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2.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CCC8" lockStructure="1"/>
  <bookViews>
    <workbookView xWindow="-60" yWindow="-105" windowWidth="7230" windowHeight="6735" tabRatio="420"/>
  </bookViews>
  <sheets>
    <sheet name="Design Converter" sheetId="1" r:id="rId1"/>
    <sheet name="BOM &amp; Schematic" sheetId="16" r:id="rId2"/>
    <sheet name="EVMs" sheetId="14" r:id="rId3"/>
    <sheet name="Variable Mgmt" sheetId="2" state="hidden" r:id="rId4"/>
    <sheet name="Calculations - Single" sheetId="24" state="hidden" r:id="rId5"/>
    <sheet name="Calculations - Dual" sheetId="25" state="hidden" r:id="rId6"/>
    <sheet name="Fsw vs VIN" sheetId="23" state="hidden" r:id="rId7"/>
    <sheet name="Parameters" sheetId="19" state="hidden" r:id="rId8"/>
    <sheet name="Efficiency Plots" sheetId="22" state="hidden" r:id="rId9"/>
    <sheet name="Fsw Plots" sheetId="28" state="hidden" r:id="rId10"/>
    <sheet name="Schematic Mgmt" sheetId="21" state="hidden" r:id="rId11"/>
    <sheet name="Standard Value Calculator" sheetId="8" state="hidden" r:id="rId12"/>
  </sheets>
  <definedNames>
    <definedName name="_Don1">'Variable Mgmt'!$B$60</definedName>
    <definedName name="BDserR">Parameters!$D$49</definedName>
    <definedName name="Cb">'Variable Mgmt'!$B$154</definedName>
    <definedName name="Cin" localSheetId="7">Parameters!$D$30</definedName>
    <definedName name="Cin">'Variable Mgmt'!$B$120</definedName>
    <definedName name="CinEsrMax">'Variable Mgmt'!$B$122</definedName>
    <definedName name="Cinmin">'Variable Mgmt'!$B$118</definedName>
    <definedName name="CONFIG">'Variable Mgmt'!$C$52</definedName>
    <definedName name="Coss">Parameters!$D$44</definedName>
    <definedName name="Cout" localSheetId="7">Parameters!$D$32</definedName>
    <definedName name="Cout">'Variable Mgmt'!$B$95</definedName>
    <definedName name="Cout_Voltage_Rating">'Variable Mgmt'!$S$53</definedName>
    <definedName name="Cout2">'Variable Mgmt'!$B$105</definedName>
    <definedName name="CoutEsr">'Variable Mgmt'!$B$97</definedName>
    <definedName name="CoutEsr2">'Variable Mgmt'!$B$107</definedName>
    <definedName name="Css">'Variable Mgmt'!$B$134</definedName>
    <definedName name="Css_u">'Variable Mgmt'!$B$135</definedName>
    <definedName name="Csw">Parameters!$D$45</definedName>
    <definedName name="Diode_TC">'Variable Mgmt'!$B$165</definedName>
    <definedName name="Don_Vinmax">'Variable Mgmt'!$B$63</definedName>
    <definedName name="Don_Vinmin">'Variable Mgmt'!$B$61</definedName>
    <definedName name="Don_Vinnom">'Variable Mgmt'!$B$62</definedName>
    <definedName name="EFF_DUAL">'Efficiency Plots'!$B$7</definedName>
    <definedName name="EFF_SINGLE">'Efficiency Plots'!$B$5</definedName>
    <definedName name="Efficiency">'Variable Mgmt'!$B$33</definedName>
    <definedName name="Fsw" localSheetId="7">Parameters!$D$20</definedName>
    <definedName name="Fsw_DCM">'Variable Mgmt'!$B$39</definedName>
    <definedName name="Fsw_DUAL">'Fsw Plots'!$B$7</definedName>
    <definedName name="Fsw_max">Parameters!$D$21</definedName>
    <definedName name="Fsw_SINGLE">'Fsw Plots'!$B$5</definedName>
    <definedName name="Icinrms">'Variable Mgmt'!$B$117</definedName>
    <definedName name="Icoutrms">'Variable Mgmt'!$B$89</definedName>
    <definedName name="Iin_Vinmax">'Variable Mgmt'!$B$37</definedName>
    <definedName name="Iin_Vinmin">'Variable Mgmt'!$B$35</definedName>
    <definedName name="Iin_Vinnom">'Variable Mgmt'!$B$36</definedName>
    <definedName name="Iout">'Variable Mgmt'!$B$12</definedName>
    <definedName name="Iout_max">Parameters!$D$10</definedName>
    <definedName name="Iout2">'Variable Mgmt'!$B$18</definedName>
    <definedName name="Iout2_actual">'Variable Mgmt'!$B$19</definedName>
    <definedName name="Ioutmax_Vinmax" localSheetId="5">'Calculations - Dual'!$Q$216</definedName>
    <definedName name="Ioutmax_Vinmax">'Calculations - Single'!$P$216</definedName>
    <definedName name="Ioutmax_Vinmin" localSheetId="5">'Calculations - Dual'!$Q$110</definedName>
    <definedName name="Ioutmax_Vinmin">'Calculations - Single'!$P$110</definedName>
    <definedName name="Ioutmax_Vinnom" localSheetId="5">'Calculations - Dual'!$Q$5</definedName>
    <definedName name="Ioutmax_Vinnom">'Calculations - Single'!$P$5</definedName>
    <definedName name="IQ">Parameters!$D$38</definedName>
    <definedName name="Iripple">Parameters!$D$19</definedName>
    <definedName name="Iripple_Vinmax" localSheetId="5">'Variable Mgmt'!#REF!</definedName>
    <definedName name="Iripple_Vinmax" localSheetId="9">'Variable Mgmt'!#REF!</definedName>
    <definedName name="Iripple_Vinmax">'Variable Mgmt'!#REF!</definedName>
    <definedName name="Iripple_Vinmin" localSheetId="5">'Variable Mgmt'!#REF!</definedName>
    <definedName name="Iripple_Vinmin" localSheetId="9">'Variable Mgmt'!#REF!</definedName>
    <definedName name="Iripple_Vinmin">'Variable Mgmt'!#REF!</definedName>
    <definedName name="Iripple_Vinnom" localSheetId="5">'Variable Mgmt'!#REF!</definedName>
    <definedName name="Iripple_Vinnom" localSheetId="9">'Variable Mgmt'!#REF!</definedName>
    <definedName name="Iripple_Vinnom">'Variable Mgmt'!#REF!</definedName>
    <definedName name="Iripple1" localSheetId="5">'Variable Mgmt'!#REF!</definedName>
    <definedName name="Iripple1" localSheetId="9">'Variable Mgmt'!#REF!</definedName>
    <definedName name="Iripple1">'Variable Mgmt'!#REF!</definedName>
    <definedName name="Iss">'Variable Mgmt'!$B$133</definedName>
    <definedName name="Isw_max">Parameters!$D$35</definedName>
    <definedName name="Isw_min">Parameters!$D$36</definedName>
    <definedName name="Iuvlo_hys">'Variable Mgmt'!$B$144</definedName>
    <definedName name="Iuvlo1">'Variable Mgmt'!$B$142</definedName>
    <definedName name="Iuvlo2">'Variable Mgmt'!$B$143</definedName>
    <definedName name="k_core">Parameters!$D$29</definedName>
    <definedName name="L">Parameters!$D$26</definedName>
    <definedName name="Lf">'Variable Mgmt'!$B$73</definedName>
    <definedName name="Lleak">'Variable Mgmt'!$B$74</definedName>
    <definedName name="Lmin">'Variable Mgmt'!$B$84</definedName>
    <definedName name="Ltc">'Variable Mgmt'!$B$176</definedName>
    <definedName name="max_I">Parameters!$H$109</definedName>
    <definedName name="min_I">Parameters!$H$108</definedName>
    <definedName name="MODE">'Variable Mgmt'!$C$51</definedName>
    <definedName name="MODE_SS">'Variable Mgmt'!$J$56</definedName>
    <definedName name="MODE_TC">'Variable Mgmt'!$G$50</definedName>
    <definedName name="MODE_TOP">'Variable Mgmt'!$B$51</definedName>
    <definedName name="MODE_UVLO">'Variable Mgmt'!$G$56</definedName>
    <definedName name="Npri_sec1">'Variable Mgmt'!$R$41</definedName>
    <definedName name="Npri_sec2">'Variable Mgmt'!$R$43</definedName>
    <definedName name="Nps">'Variable Mgmt'!$R$40</definedName>
    <definedName name="Nsec1sec2">'Variable Mgmt'!$R$42</definedName>
    <definedName name="OffTime">Parameters!$D$18</definedName>
    <definedName name="OnTime">Parameters!$D$17</definedName>
    <definedName name="Pi">'Variable Mgmt'!$B$157</definedName>
    <definedName name="PICTURE1">INDIRECT('Schematic Mgmt'!$A$2)</definedName>
    <definedName name="PICTURE2">INDIRECT('Fsw Plots'!$A$2)</definedName>
    <definedName name="PICTURE3">INDIRECT('Efficiency Plots'!$A$2)</definedName>
    <definedName name="Pin">'Variable Mgmt'!$B$34</definedName>
    <definedName name="PLOT_TYPE">'Variable Mgmt'!$M$56</definedName>
    <definedName name="Pout">'Variable Mgmt'!$B$14</definedName>
    <definedName name="Pout_total">'Variable Mgmt'!$B$22</definedName>
    <definedName name="Pout2">'Variable Mgmt'!$B$21</definedName>
    <definedName name="_xlnm.Print_Area" localSheetId="1">'BOM &amp; Schematic'!$A$1:$I$50</definedName>
    <definedName name="_xlnm.Print_Area" localSheetId="0">'Design Converter'!$A$1:$R$48</definedName>
    <definedName name="Qg">Parameters!$D$43</definedName>
    <definedName name="RCinEsr" localSheetId="7">Parameters!$D$31</definedName>
    <definedName name="RCinEsr">'Variable Mgmt'!$B$123</definedName>
    <definedName name="RCoutEsr" localSheetId="7">Parameters!$D$33</definedName>
    <definedName name="RCoutEsr">'Variable Mgmt'!$B$97</definedName>
    <definedName name="Rdcr_pri">'Variable Mgmt'!$B$75</definedName>
    <definedName name="Rdcr_sec">'Variable Mgmt'!$B$76</definedName>
    <definedName name="Rdcr_sec2">'Variable Mgmt'!$B$77</definedName>
    <definedName name="Rdson">Parameters!$D$40</definedName>
    <definedName name="RdsonTC">Parameters!$D$41</definedName>
    <definedName name="Rfb">'Variable Mgmt'!$B$41</definedName>
    <definedName name="Rfb_recommend">'Variable Mgmt'!$B$161</definedName>
    <definedName name="Rfb2_u">'Variable Mgmt'!$B$163</definedName>
    <definedName name="Rout">'Variable Mgmt'!$B$13</definedName>
    <definedName name="Rout2">'Variable Mgmt'!$B$20</definedName>
    <definedName name="Rpg" localSheetId="9">'Variable Mgmt'!#REF!</definedName>
    <definedName name="Rpg">'Variable Mgmt'!#REF!</definedName>
    <definedName name="rr">Parameters!$H$110</definedName>
    <definedName name="RTC">'Variable Mgmt'!$B$167</definedName>
    <definedName name="RTC_1">'Variable Mgmt'!$B$166</definedName>
    <definedName name="Ruvlo1">'Variable Mgmt'!$B$149</definedName>
    <definedName name="Ruvlo2">'Variable Mgmt'!$B$150</definedName>
    <definedName name="SCH_BIPOLAR_UVLOadj_SSadj_TCno">'Schematic Mgmt'!$H$21</definedName>
    <definedName name="SCH_BIPOLAR_UVLOadj_SSadj_TCyes">'Schematic Mgmt'!$H$7</definedName>
    <definedName name="SCH_BIPOLAR_UVLOadj_SSint_TCno">'Schematic Mgmt'!$H$19</definedName>
    <definedName name="SCH_BIPOLAR_UVLOadj_SSint_TCyes">'Schematic Mgmt'!$H$17</definedName>
    <definedName name="SCH_BIPOLAR_UVLOint_SSadj_TCno">'Schematic Mgmt'!$H$15</definedName>
    <definedName name="SCH_BIPOLAR_UVLOint_SSadj_TCyes">'Schematic Mgmt'!$H$9</definedName>
    <definedName name="SCH_BIPOLAR_UVLOint_SSint_TCno">'Schematic Mgmt'!$H$13</definedName>
    <definedName name="SCH_BIPOLAR_UVLOint_SSint_TCyes">'Schematic Mgmt'!$H$11</definedName>
    <definedName name="SCH_DUAL_UVLOadj_SSadj_TCno">'Schematic Mgmt'!$E$21</definedName>
    <definedName name="SCH_DUAL_UVLOadj_SSadj_TCyes">'Schematic Mgmt'!$E$7</definedName>
    <definedName name="SCH_DUAL_UVLOadj_SSint_TCno">'Schematic Mgmt'!$E$19</definedName>
    <definedName name="SCH_DUAL_UVLOadj_SSint_TCyes">'Schematic Mgmt'!$E$17</definedName>
    <definedName name="SCH_DUAL_UVLOint_SSadj_TCno">'Schematic Mgmt'!$E$15</definedName>
    <definedName name="SCH_DUAL_UVLOint_SSadj_TCyes">'Schematic Mgmt'!$E$9</definedName>
    <definedName name="SCH_DUAL_UVLOint_SSint_TCno">'Schematic Mgmt'!$E$13</definedName>
    <definedName name="SCH_DUAL_UVLOint_SSint_TCyes">'Schematic Mgmt'!$E$11</definedName>
    <definedName name="SCH_SINGLE_UVLOadj_SSadj_TCno">'Schematic Mgmt'!$B$21</definedName>
    <definedName name="SCH_SINGLE_UVLOadj_SSadj_TCyes">'Schematic Mgmt'!$B$7</definedName>
    <definedName name="SCH_SINGLE_UVLOadj_SSint_TCno">'Schematic Mgmt'!$B$19</definedName>
    <definedName name="SCH_SINGLE_UVLOadj_SSint_TCyes">'Schematic Mgmt'!$B$17</definedName>
    <definedName name="SCH_SINGLE_UVLOint_SSadj_TCno">'Schematic Mgmt'!$B$15</definedName>
    <definedName name="SCH_SINGLE_UVLOint_SSadj_TCyes">'Schematic Mgmt'!$B$9</definedName>
    <definedName name="SCH_SINGLE_UVLOint_SSint_TCno">'Schematic Mgmt'!$B$13</definedName>
    <definedName name="SCH_SINGLE_UVLOint_SSint_TCyes">'Schematic Mgmt'!$B$11</definedName>
    <definedName name="Ta" localSheetId="7">Parameters!$D$12</definedName>
    <definedName name="Ta">'Variable Mgmt'!$B$174</definedName>
    <definedName name="TC">'Variable Mgmt'!$G$50</definedName>
    <definedName name="Tfall">Parameters!$D$23</definedName>
    <definedName name="ThetaCa">'Variable Mgmt'!$B$177</definedName>
    <definedName name="ThetaJA">Parameters!$D$53</definedName>
    <definedName name="TL">'Variable Mgmt'!$B$85</definedName>
    <definedName name="Toff_Vinmax">'Variable Mgmt'!$B$158</definedName>
    <definedName name="Ton_Vinmin">'Variable Mgmt'!$B$159</definedName>
    <definedName name="Trise">Parameters!$D$22</definedName>
    <definedName name="TrrBot">Parameters!$D$51</definedName>
    <definedName name="Tss">'Variable Mgmt'!$B$132</definedName>
    <definedName name="Turns_Ratio">'Variable Mgmt'!$S$38</definedName>
    <definedName name="Turns_Ratio2">'Variable Mgmt'!$W$38</definedName>
    <definedName name="Vdd">Parameters!$D$13</definedName>
    <definedName name="Vfwd1">Parameters!$D$47</definedName>
    <definedName name="Vfwd2">Parameters!$D$48</definedName>
    <definedName name="Vin">'Design Converter'!$E$7</definedName>
    <definedName name="VIN_max">'Variable Mgmt'!$B$9</definedName>
    <definedName name="VIN_min">'Variable Mgmt'!$B$7</definedName>
    <definedName name="VIN_nom">'Variable Mgmt'!$B$8</definedName>
    <definedName name="Vinripple1">'Variable Mgmt'!$B$115</definedName>
    <definedName name="Vinripple2">'Variable Mgmt'!$B$128</definedName>
    <definedName name="VINuvlo_off">'Variable Mgmt'!$B$147</definedName>
    <definedName name="VINuvlo_on">'Variable Mgmt'!$B$146</definedName>
    <definedName name="Vout">'Variable Mgmt'!$B$11</definedName>
    <definedName name="Vout_ripple">'Variable Mgmt'!$B$30</definedName>
    <definedName name="Vout_ripple2">'Variable Mgmt'!$B$31</definedName>
    <definedName name="Vout2">'Variable Mgmt'!$B$16</definedName>
    <definedName name="Vout2_actual">'Variable Mgmt'!$B$17</definedName>
    <definedName name="Vref">'Variable Mgmt'!$B$40</definedName>
    <definedName name="Vripple1_actual">'Variable Mgmt'!$B$99</definedName>
    <definedName name="Vripple1_spec">'Variable Mgmt'!$B$93</definedName>
    <definedName name="Vripple2_actual">'Variable Mgmt'!$B$109</definedName>
    <definedName name="Vripple2_spec">'Variable Mgmt'!$B$103</definedName>
    <definedName name="VRRM_DIODE">'Variable Mgmt'!$B$28</definedName>
    <definedName name="Vuvlo_hys">'Variable Mgmt'!$B$141</definedName>
    <definedName name="Vuvlo_off">'Variable Mgmt'!$B$140</definedName>
    <definedName name="Vuvlo_on">'Variable Mgmt'!$B$139</definedName>
  </definedNames>
  <calcPr calcId="145621"/>
</workbook>
</file>

<file path=xl/calcChain.xml><?xml version="1.0" encoding="utf-8"?>
<calcChain xmlns="http://schemas.openxmlformats.org/spreadsheetml/2006/main">
  <c r="B109" i="2" l="1"/>
  <c r="B128" i="2"/>
  <c r="AZ110" i="25"/>
  <c r="AZ111" i="25"/>
  <c r="AZ112" i="25"/>
  <c r="AZ113" i="25"/>
  <c r="AZ114" i="25"/>
  <c r="AZ115" i="25"/>
  <c r="AZ116" i="25"/>
  <c r="AZ117" i="25"/>
  <c r="AZ118" i="25"/>
  <c r="AZ119" i="25"/>
  <c r="AZ120" i="25"/>
  <c r="AZ121" i="25"/>
  <c r="AZ122" i="25"/>
  <c r="AZ123" i="25"/>
  <c r="AZ124" i="25"/>
  <c r="AZ125" i="25"/>
  <c r="AZ126" i="25"/>
  <c r="AZ127" i="25"/>
  <c r="AZ128" i="25"/>
  <c r="AZ129" i="25"/>
  <c r="AZ130" i="25"/>
  <c r="AZ131" i="25"/>
  <c r="AZ132" i="25"/>
  <c r="AZ133" i="25"/>
  <c r="AZ134" i="25"/>
  <c r="AZ135" i="25"/>
  <c r="AZ136" i="25"/>
  <c r="AZ137" i="25"/>
  <c r="AZ138" i="25"/>
  <c r="AZ139" i="25"/>
  <c r="AZ140" i="25"/>
  <c r="AZ141" i="25"/>
  <c r="AZ142" i="25"/>
  <c r="AZ143" i="25"/>
  <c r="AZ144" i="25"/>
  <c r="AZ145" i="25"/>
  <c r="AZ146" i="25"/>
  <c r="AZ147" i="25"/>
  <c r="AZ148" i="25"/>
  <c r="AZ149" i="25"/>
  <c r="AZ150" i="25"/>
  <c r="AZ151" i="25"/>
  <c r="AZ152" i="25"/>
  <c r="AZ153" i="25"/>
  <c r="AZ154" i="25"/>
  <c r="AZ155" i="25"/>
  <c r="AZ156" i="25"/>
  <c r="AZ157" i="25"/>
  <c r="AZ158" i="25"/>
  <c r="AZ159" i="25"/>
  <c r="AZ160" i="25"/>
  <c r="AZ161" i="25"/>
  <c r="AZ162" i="25"/>
  <c r="AZ163" i="25"/>
  <c r="AZ164" i="25"/>
  <c r="AZ165" i="25"/>
  <c r="AZ166" i="25"/>
  <c r="AZ167" i="25"/>
  <c r="AZ168" i="25"/>
  <c r="AZ169" i="25"/>
  <c r="AZ170" i="25"/>
  <c r="AZ171" i="25"/>
  <c r="AZ172" i="25"/>
  <c r="AZ173" i="25"/>
  <c r="AZ174" i="25"/>
  <c r="AZ175" i="25"/>
  <c r="AZ176" i="25"/>
  <c r="AZ177" i="25"/>
  <c r="AZ178" i="25"/>
  <c r="AZ179" i="25"/>
  <c r="AZ180" i="25"/>
  <c r="AZ181" i="25"/>
  <c r="AZ182" i="25"/>
  <c r="AZ183" i="25"/>
  <c r="AZ184" i="25"/>
  <c r="AZ185" i="25"/>
  <c r="AZ186" i="25"/>
  <c r="AZ187" i="25"/>
  <c r="AZ188" i="25"/>
  <c r="AZ189" i="25"/>
  <c r="AZ190" i="25"/>
  <c r="AZ191" i="25"/>
  <c r="AZ192" i="25"/>
  <c r="AZ193" i="25"/>
  <c r="AZ194" i="25"/>
  <c r="AZ195" i="25"/>
  <c r="AZ196" i="25"/>
  <c r="AZ197" i="25"/>
  <c r="AZ198" i="25"/>
  <c r="AZ199" i="25"/>
  <c r="AZ200" i="25"/>
  <c r="AZ201" i="25"/>
  <c r="AZ202" i="25"/>
  <c r="AZ203" i="25"/>
  <c r="AZ204" i="25"/>
  <c r="AZ205" i="25"/>
  <c r="AZ206" i="25"/>
  <c r="AZ207" i="25"/>
  <c r="AZ208" i="25"/>
  <c r="AZ209" i="25"/>
  <c r="AZ210" i="25"/>
  <c r="AZ216" i="25"/>
  <c r="AZ217" i="25"/>
  <c r="AZ218" i="25"/>
  <c r="AZ219" i="25"/>
  <c r="AZ220" i="25"/>
  <c r="AZ221" i="25"/>
  <c r="AZ222" i="25"/>
  <c r="AZ223" i="25"/>
  <c r="AZ224" i="25"/>
  <c r="AZ225" i="25"/>
  <c r="AZ226" i="25"/>
  <c r="AZ227" i="25"/>
  <c r="AZ228" i="25"/>
  <c r="AZ229" i="25"/>
  <c r="AZ230" i="25"/>
  <c r="AZ231" i="25"/>
  <c r="AZ232" i="25"/>
  <c r="AZ233" i="25"/>
  <c r="AZ234" i="25"/>
  <c r="AZ235" i="25"/>
  <c r="AZ236" i="25"/>
  <c r="AZ237" i="25"/>
  <c r="AZ238" i="25"/>
  <c r="AZ239" i="25"/>
  <c r="AZ240" i="25"/>
  <c r="AZ241" i="25"/>
  <c r="AZ242" i="25"/>
  <c r="AZ243" i="25"/>
  <c r="AZ244" i="25"/>
  <c r="AZ245" i="25"/>
  <c r="AZ246" i="25"/>
  <c r="AZ247" i="25"/>
  <c r="AZ248" i="25"/>
  <c r="AZ249" i="25"/>
  <c r="AZ250" i="25"/>
  <c r="AZ251" i="25"/>
  <c r="AZ252" i="25"/>
  <c r="AZ253" i="25"/>
  <c r="AZ254" i="25"/>
  <c r="AZ255" i="25"/>
  <c r="AZ256" i="25"/>
  <c r="AZ257" i="25"/>
  <c r="AZ258" i="25"/>
  <c r="AZ259" i="25"/>
  <c r="AZ260" i="25"/>
  <c r="AZ261" i="25"/>
  <c r="AZ262" i="25"/>
  <c r="AZ263" i="25"/>
  <c r="AZ264" i="25"/>
  <c r="AZ265" i="25"/>
  <c r="AZ266" i="25"/>
  <c r="AZ267" i="25"/>
  <c r="AZ268" i="25"/>
  <c r="AZ269" i="25"/>
  <c r="AZ270" i="25"/>
  <c r="AZ271" i="25"/>
  <c r="AZ272" i="25"/>
  <c r="AZ273" i="25"/>
  <c r="AZ274" i="25"/>
  <c r="AZ275" i="25"/>
  <c r="AZ276" i="25"/>
  <c r="AZ277" i="25"/>
  <c r="AZ278" i="25"/>
  <c r="AZ279" i="25"/>
  <c r="AZ280" i="25"/>
  <c r="AZ281" i="25"/>
  <c r="AZ282" i="25"/>
  <c r="AZ283" i="25"/>
  <c r="AZ284" i="25"/>
  <c r="AZ285" i="25"/>
  <c r="AZ286" i="25"/>
  <c r="AZ287" i="25"/>
  <c r="AZ288" i="25"/>
  <c r="AZ289" i="25"/>
  <c r="AZ290" i="25"/>
  <c r="AZ291" i="25"/>
  <c r="AZ292" i="25"/>
  <c r="AZ293" i="25"/>
  <c r="AZ294" i="25"/>
  <c r="AZ295" i="25"/>
  <c r="AZ296" i="25"/>
  <c r="AZ297" i="25"/>
  <c r="AZ298" i="25"/>
  <c r="AZ299" i="25"/>
  <c r="AZ300" i="25"/>
  <c r="AZ301" i="25"/>
  <c r="AZ302" i="25"/>
  <c r="AZ303" i="25"/>
  <c r="AZ304" i="25"/>
  <c r="AZ305" i="25"/>
  <c r="AZ306" i="25"/>
  <c r="AZ307" i="25"/>
  <c r="AZ308" i="25"/>
  <c r="AZ309" i="25"/>
  <c r="AZ310" i="25"/>
  <c r="AZ311" i="25"/>
  <c r="AZ312" i="25"/>
  <c r="AZ313" i="25"/>
  <c r="AZ314" i="25"/>
  <c r="AZ315" i="25"/>
  <c r="AZ316" i="25"/>
  <c r="AY110" i="25"/>
  <c r="AZ105" i="25"/>
  <c r="AZ6" i="25"/>
  <c r="AZ7" i="25"/>
  <c r="AZ8" i="25"/>
  <c r="AZ9" i="25"/>
  <c r="AZ10" i="25"/>
  <c r="AZ11" i="25"/>
  <c r="AZ12" i="25"/>
  <c r="AZ13" i="25"/>
  <c r="AZ14" i="25"/>
  <c r="AZ15" i="25"/>
  <c r="AZ16" i="25"/>
  <c r="AZ17" i="25"/>
  <c r="AZ18" i="25"/>
  <c r="AZ19" i="25"/>
  <c r="AZ20" i="25"/>
  <c r="AZ21" i="25"/>
  <c r="AZ22" i="25"/>
  <c r="AZ23" i="25"/>
  <c r="AZ24" i="25"/>
  <c r="AZ25" i="25"/>
  <c r="AZ26" i="25"/>
  <c r="AZ27" i="25"/>
  <c r="AZ28" i="25"/>
  <c r="AZ29" i="25"/>
  <c r="AZ30" i="25"/>
  <c r="AZ31" i="25"/>
  <c r="AZ32" i="25"/>
  <c r="AZ33" i="25"/>
  <c r="AZ34" i="25"/>
  <c r="AZ35" i="25"/>
  <c r="AZ36" i="25"/>
  <c r="AZ37" i="25"/>
  <c r="AZ38" i="25"/>
  <c r="AZ39" i="25"/>
  <c r="AZ40" i="25"/>
  <c r="AZ41" i="25"/>
  <c r="AZ42" i="25"/>
  <c r="AZ43" i="25"/>
  <c r="AZ44" i="25"/>
  <c r="AZ45" i="25"/>
  <c r="AZ46" i="25"/>
  <c r="AZ47" i="25"/>
  <c r="AZ48" i="25"/>
  <c r="AZ49" i="25"/>
  <c r="AZ50" i="25"/>
  <c r="AZ51" i="25"/>
  <c r="AZ52" i="25"/>
  <c r="AZ53" i="25"/>
  <c r="AZ54" i="25"/>
  <c r="AZ55" i="25"/>
  <c r="AZ56" i="25"/>
  <c r="AZ57" i="25"/>
  <c r="AZ58" i="25"/>
  <c r="AZ59" i="25"/>
  <c r="AZ60" i="25"/>
  <c r="AZ61" i="25"/>
  <c r="AZ62" i="25"/>
  <c r="AZ63" i="25"/>
  <c r="AZ64" i="25"/>
  <c r="AZ65" i="25"/>
  <c r="AZ66" i="25"/>
  <c r="AZ67" i="25"/>
  <c r="AZ68" i="25"/>
  <c r="AZ69" i="25"/>
  <c r="AZ70" i="25"/>
  <c r="AZ71" i="25"/>
  <c r="AZ72" i="25"/>
  <c r="AZ73" i="25"/>
  <c r="AZ74" i="25"/>
  <c r="AZ75" i="25"/>
  <c r="AZ76" i="25"/>
  <c r="AZ77" i="25"/>
  <c r="AZ78" i="25"/>
  <c r="AZ79" i="25"/>
  <c r="AZ80" i="25"/>
  <c r="AZ81" i="25"/>
  <c r="AZ82" i="25"/>
  <c r="AZ83" i="25"/>
  <c r="AZ84" i="25"/>
  <c r="AZ85" i="25"/>
  <c r="AZ86" i="25"/>
  <c r="AZ87" i="25"/>
  <c r="AZ88" i="25"/>
  <c r="AZ89" i="25"/>
  <c r="AZ90" i="25"/>
  <c r="AZ91" i="25"/>
  <c r="AZ92" i="25"/>
  <c r="AZ93" i="25"/>
  <c r="AZ94" i="25"/>
  <c r="AZ95" i="25"/>
  <c r="AZ96" i="25"/>
  <c r="AZ97" i="25"/>
  <c r="AZ98" i="25"/>
  <c r="AZ99" i="25"/>
  <c r="AZ100" i="25"/>
  <c r="AZ101" i="25"/>
  <c r="AZ102" i="25"/>
  <c r="AZ103" i="25"/>
  <c r="AZ104" i="25"/>
  <c r="AZ5" i="25"/>
  <c r="AW6" i="25"/>
  <c r="AW7" i="25"/>
  <c r="AW8" i="25"/>
  <c r="AW9" i="25"/>
  <c r="AW10" i="25"/>
  <c r="AW11" i="25"/>
  <c r="AW12" i="25"/>
  <c r="AW13" i="25"/>
  <c r="AW14" i="25"/>
  <c r="AW15" i="25"/>
  <c r="AW16" i="25"/>
  <c r="AW17" i="25"/>
  <c r="AW18" i="25"/>
  <c r="AW19" i="25"/>
  <c r="AW20" i="25"/>
  <c r="AW21" i="25"/>
  <c r="AW22" i="25"/>
  <c r="AW23" i="25"/>
  <c r="AW24" i="25"/>
  <c r="AW25" i="25"/>
  <c r="AW26" i="25"/>
  <c r="AW27" i="25"/>
  <c r="AW28" i="25"/>
  <c r="AW29" i="25"/>
  <c r="AW30" i="25"/>
  <c r="AW31" i="25"/>
  <c r="AW32" i="25"/>
  <c r="AW33" i="25"/>
  <c r="AW34" i="25"/>
  <c r="AW35" i="25"/>
  <c r="AW36" i="25"/>
  <c r="AW37" i="25"/>
  <c r="AW38" i="25"/>
  <c r="AW39" i="25"/>
  <c r="AW40" i="25"/>
  <c r="AW41" i="25"/>
  <c r="AW42" i="25"/>
  <c r="AW43" i="25"/>
  <c r="AW44" i="25"/>
  <c r="AW45" i="25"/>
  <c r="AW46" i="25"/>
  <c r="AW47" i="25"/>
  <c r="AW48" i="25"/>
  <c r="AW49" i="25"/>
  <c r="AW50" i="25"/>
  <c r="AW51" i="25"/>
  <c r="AW52" i="25"/>
  <c r="AW53" i="25"/>
  <c r="AW54" i="25"/>
  <c r="AW55" i="25"/>
  <c r="AW56" i="25"/>
  <c r="AW57" i="25"/>
  <c r="AW58" i="25"/>
  <c r="AW59" i="25"/>
  <c r="AW60" i="25"/>
  <c r="AW61" i="25"/>
  <c r="AW62" i="25"/>
  <c r="AW63" i="25"/>
  <c r="AW64" i="25"/>
  <c r="AW65" i="25"/>
  <c r="AW66" i="25"/>
  <c r="AW67" i="25"/>
  <c r="AW68" i="25"/>
  <c r="AW69" i="25"/>
  <c r="AW70" i="25"/>
  <c r="AW71" i="25"/>
  <c r="AW72" i="25"/>
  <c r="AW73" i="25"/>
  <c r="AW74" i="25"/>
  <c r="AW75" i="25"/>
  <c r="AW76" i="25"/>
  <c r="AW77" i="25"/>
  <c r="AW78" i="25"/>
  <c r="AW79" i="25"/>
  <c r="AW80" i="25"/>
  <c r="AW81" i="25"/>
  <c r="AW82" i="25"/>
  <c r="AW83" i="25"/>
  <c r="AW84" i="25"/>
  <c r="AW85" i="25"/>
  <c r="AW86" i="25"/>
  <c r="AW87" i="25"/>
  <c r="AW88" i="25"/>
  <c r="AW89" i="25"/>
  <c r="AW90" i="25"/>
  <c r="AW91" i="25"/>
  <c r="AW92" i="25"/>
  <c r="AW93" i="25"/>
  <c r="AW94" i="25"/>
  <c r="AW95" i="25"/>
  <c r="AW96" i="25"/>
  <c r="AW97" i="25"/>
  <c r="AW98" i="25"/>
  <c r="AW99" i="25"/>
  <c r="AW100" i="25"/>
  <c r="AW101" i="25"/>
  <c r="AW102" i="25"/>
  <c r="AW103" i="25"/>
  <c r="AW104" i="25"/>
  <c r="AW105" i="25"/>
  <c r="AW110" i="25"/>
  <c r="AW111" i="25"/>
  <c r="AW112" i="25"/>
  <c r="AW113" i="25"/>
  <c r="AW114" i="25"/>
  <c r="AW115" i="25"/>
  <c r="AW116" i="25"/>
  <c r="AW117" i="25"/>
  <c r="AW118" i="25"/>
  <c r="AW119" i="25"/>
  <c r="AW120" i="25"/>
  <c r="AW121" i="25"/>
  <c r="AW122" i="25"/>
  <c r="AW123" i="25"/>
  <c r="AW124" i="25"/>
  <c r="AW125" i="25"/>
  <c r="AW126" i="25"/>
  <c r="AW127" i="25"/>
  <c r="AW128" i="25"/>
  <c r="AW129" i="25"/>
  <c r="AW130" i="25"/>
  <c r="AW131" i="25"/>
  <c r="AW132" i="25"/>
  <c r="AW133" i="25"/>
  <c r="AW134" i="25"/>
  <c r="AW135" i="25"/>
  <c r="AW136" i="25"/>
  <c r="AW137" i="25"/>
  <c r="AW138" i="25"/>
  <c r="AW139" i="25"/>
  <c r="AW140" i="25"/>
  <c r="AW141" i="25"/>
  <c r="AW142" i="25"/>
  <c r="AW143" i="25"/>
  <c r="AW144" i="25"/>
  <c r="AW145" i="25"/>
  <c r="AW146" i="25"/>
  <c r="AW147" i="25"/>
  <c r="AW148" i="25"/>
  <c r="AW149" i="25"/>
  <c r="AW150" i="25"/>
  <c r="AW151" i="25"/>
  <c r="AW152" i="25"/>
  <c r="AW153" i="25"/>
  <c r="AW154" i="25"/>
  <c r="AW155" i="25"/>
  <c r="AW156" i="25"/>
  <c r="AW157" i="25"/>
  <c r="AW158" i="25"/>
  <c r="AW159" i="25"/>
  <c r="AW160" i="25"/>
  <c r="AW161" i="25"/>
  <c r="AW162" i="25"/>
  <c r="AW163" i="25"/>
  <c r="AW164" i="25"/>
  <c r="AW165" i="25"/>
  <c r="AW166" i="25"/>
  <c r="AW167" i="25"/>
  <c r="AW168" i="25"/>
  <c r="AW169" i="25"/>
  <c r="AW170" i="25"/>
  <c r="AW171" i="25"/>
  <c r="AW172" i="25"/>
  <c r="AW173" i="25"/>
  <c r="AW174" i="25"/>
  <c r="AW175" i="25"/>
  <c r="AW176" i="25"/>
  <c r="AW177" i="25"/>
  <c r="AW178" i="25"/>
  <c r="AW179" i="25"/>
  <c r="AW180" i="25"/>
  <c r="AW181" i="25"/>
  <c r="AW182" i="25"/>
  <c r="AW183" i="25"/>
  <c r="AW184" i="25"/>
  <c r="AW185" i="25"/>
  <c r="AW186" i="25"/>
  <c r="AW187" i="25"/>
  <c r="AW188" i="25"/>
  <c r="AW189" i="25"/>
  <c r="AW190" i="25"/>
  <c r="AW191" i="25"/>
  <c r="AW192" i="25"/>
  <c r="AW193" i="25"/>
  <c r="AW194" i="25"/>
  <c r="AW195" i="25"/>
  <c r="AW196" i="25"/>
  <c r="AW197" i="25"/>
  <c r="AW198" i="25"/>
  <c r="AW199" i="25"/>
  <c r="AW200" i="25"/>
  <c r="AW201" i="25"/>
  <c r="AW202" i="25"/>
  <c r="AW203" i="25"/>
  <c r="AW204" i="25"/>
  <c r="AW205" i="25"/>
  <c r="AW206" i="25"/>
  <c r="AW207" i="25"/>
  <c r="AW208" i="25"/>
  <c r="AW209" i="25"/>
  <c r="AW210" i="25"/>
  <c r="AW216" i="25"/>
  <c r="AW217" i="25"/>
  <c r="AW218" i="25"/>
  <c r="AW219" i="25"/>
  <c r="AW220" i="25"/>
  <c r="AW221" i="25"/>
  <c r="AW222" i="25"/>
  <c r="AW223" i="25"/>
  <c r="AW224" i="25"/>
  <c r="AW225" i="25"/>
  <c r="AW226" i="25"/>
  <c r="AW227" i="25"/>
  <c r="AW228" i="25"/>
  <c r="AW229" i="25"/>
  <c r="AW230" i="25"/>
  <c r="AW231" i="25"/>
  <c r="AW232" i="25"/>
  <c r="AW233" i="25"/>
  <c r="AW234" i="25"/>
  <c r="AW235" i="25"/>
  <c r="AW236" i="25"/>
  <c r="AW237" i="25"/>
  <c r="AW238" i="25"/>
  <c r="AW239" i="25"/>
  <c r="AW240" i="25"/>
  <c r="AW241" i="25"/>
  <c r="AW242" i="25"/>
  <c r="AW243" i="25"/>
  <c r="AW244" i="25"/>
  <c r="AW245" i="25"/>
  <c r="AW246" i="25"/>
  <c r="AW247" i="25"/>
  <c r="AW248" i="25"/>
  <c r="AW249" i="25"/>
  <c r="AW250" i="25"/>
  <c r="AW251" i="25"/>
  <c r="AW252" i="25"/>
  <c r="AW253" i="25"/>
  <c r="AW254" i="25"/>
  <c r="AW255" i="25"/>
  <c r="AW256" i="25"/>
  <c r="AW257" i="25"/>
  <c r="AW258" i="25"/>
  <c r="AW259" i="25"/>
  <c r="AW260" i="25"/>
  <c r="AW261" i="25"/>
  <c r="AW262" i="25"/>
  <c r="AW263" i="25"/>
  <c r="AW264" i="25"/>
  <c r="AW265" i="25"/>
  <c r="AW266" i="25"/>
  <c r="AW267" i="25"/>
  <c r="AW268" i="25"/>
  <c r="AW269" i="25"/>
  <c r="AW270" i="25"/>
  <c r="AW271" i="25"/>
  <c r="AW272" i="25"/>
  <c r="AW273" i="25"/>
  <c r="AW274" i="25"/>
  <c r="AW275" i="25"/>
  <c r="AW276" i="25"/>
  <c r="AW277" i="25"/>
  <c r="AW278" i="25"/>
  <c r="AW279" i="25"/>
  <c r="AW280" i="25"/>
  <c r="AW281" i="25"/>
  <c r="AW282" i="25"/>
  <c r="AW283" i="25"/>
  <c r="AW284" i="25"/>
  <c r="AW285" i="25"/>
  <c r="AW286" i="25"/>
  <c r="AW287" i="25"/>
  <c r="AW288" i="25"/>
  <c r="AW289" i="25"/>
  <c r="AW290" i="25"/>
  <c r="AW291" i="25"/>
  <c r="AW292" i="25"/>
  <c r="AW293" i="25"/>
  <c r="AW294" i="25"/>
  <c r="AW295" i="25"/>
  <c r="AW296" i="25"/>
  <c r="AW297" i="25"/>
  <c r="AW298" i="25"/>
  <c r="AW299" i="25"/>
  <c r="AW300" i="25"/>
  <c r="AW301" i="25"/>
  <c r="AW302" i="25"/>
  <c r="AW303" i="25"/>
  <c r="AW304" i="25"/>
  <c r="AW305" i="25"/>
  <c r="AW306" i="25"/>
  <c r="AW307" i="25"/>
  <c r="AW308" i="25"/>
  <c r="AW309" i="25"/>
  <c r="AW310" i="25"/>
  <c r="AW311" i="25"/>
  <c r="AW312" i="25"/>
  <c r="AW313" i="25"/>
  <c r="AW314" i="25"/>
  <c r="AW315" i="25"/>
  <c r="AW316" i="25"/>
  <c r="B119" i="2"/>
  <c r="BD110" i="24"/>
  <c r="BD111" i="24"/>
  <c r="BD112" i="24"/>
  <c r="BD113" i="24"/>
  <c r="BD114" i="24"/>
  <c r="BD115" i="24"/>
  <c r="BD116" i="24"/>
  <c r="BD117" i="24"/>
  <c r="BD118" i="24"/>
  <c r="BD119" i="24"/>
  <c r="BD120" i="24"/>
  <c r="BD121" i="24"/>
  <c r="BD122" i="24"/>
  <c r="BD123" i="24"/>
  <c r="BD124" i="24"/>
  <c r="BD125" i="24"/>
  <c r="BD126" i="24"/>
  <c r="BD127" i="24"/>
  <c r="BD128" i="24"/>
  <c r="BD129" i="24"/>
  <c r="BD130" i="24"/>
  <c r="BD131" i="24"/>
  <c r="BD132" i="24"/>
  <c r="BD133" i="24"/>
  <c r="BD134" i="24"/>
  <c r="BD135" i="24"/>
  <c r="BD136" i="24"/>
  <c r="BD137" i="24"/>
  <c r="BD138" i="24"/>
  <c r="BD139" i="24"/>
  <c r="BD140" i="24"/>
  <c r="BD141" i="24"/>
  <c r="BD142" i="24"/>
  <c r="BD143" i="24"/>
  <c r="BD144" i="24"/>
  <c r="BD145" i="24"/>
  <c r="BD146" i="24"/>
  <c r="BD147" i="24"/>
  <c r="BD148" i="24"/>
  <c r="BD149" i="24"/>
  <c r="BD150" i="24"/>
  <c r="BD151" i="24"/>
  <c r="BD152" i="24"/>
  <c r="BD153" i="24"/>
  <c r="BD154" i="24"/>
  <c r="BD155" i="24"/>
  <c r="BD156" i="24"/>
  <c r="BD157" i="24"/>
  <c r="BD158" i="24"/>
  <c r="BD159" i="24"/>
  <c r="BD160" i="24"/>
  <c r="BD161" i="24"/>
  <c r="BD162" i="24"/>
  <c r="BD163" i="24"/>
  <c r="BD164" i="24"/>
  <c r="BD165" i="24"/>
  <c r="BD166" i="24"/>
  <c r="BD167" i="24"/>
  <c r="BD168" i="24"/>
  <c r="BD169" i="24"/>
  <c r="BD170" i="24"/>
  <c r="BD171" i="24"/>
  <c r="BD172" i="24"/>
  <c r="BD173" i="24"/>
  <c r="BD174" i="24"/>
  <c r="BD175" i="24"/>
  <c r="BD176" i="24"/>
  <c r="BD177" i="24"/>
  <c r="BD178" i="24"/>
  <c r="BD179" i="24"/>
  <c r="BD180" i="24"/>
  <c r="BD181" i="24"/>
  <c r="BD182" i="24"/>
  <c r="BD183" i="24"/>
  <c r="BD184" i="24"/>
  <c r="BD185" i="24"/>
  <c r="BD186" i="24"/>
  <c r="BD187" i="24"/>
  <c r="BD188" i="24"/>
  <c r="BD189" i="24"/>
  <c r="BD190" i="24"/>
  <c r="BD191" i="24"/>
  <c r="BD192" i="24"/>
  <c r="BD193" i="24"/>
  <c r="BD194" i="24"/>
  <c r="BD195" i="24"/>
  <c r="BD196" i="24"/>
  <c r="BD197" i="24"/>
  <c r="BD198" i="24"/>
  <c r="BD199" i="24"/>
  <c r="BD200" i="24"/>
  <c r="BD201" i="24"/>
  <c r="BD202" i="24"/>
  <c r="BD203" i="24"/>
  <c r="BD204" i="24"/>
  <c r="BD205" i="24"/>
  <c r="BD206" i="24"/>
  <c r="BD207" i="24"/>
  <c r="BD208" i="24"/>
  <c r="BD209" i="24"/>
  <c r="BD210" i="24"/>
  <c r="BD216" i="24"/>
  <c r="BD217" i="24"/>
  <c r="BD218" i="24"/>
  <c r="BD219" i="24"/>
  <c r="BD220" i="24"/>
  <c r="BD221" i="24"/>
  <c r="BD222" i="24"/>
  <c r="BD223" i="24"/>
  <c r="BD224" i="24"/>
  <c r="BD225" i="24"/>
  <c r="BD226" i="24"/>
  <c r="BD227" i="24"/>
  <c r="BD228" i="24"/>
  <c r="BD229" i="24"/>
  <c r="BD230" i="24"/>
  <c r="BD231" i="24"/>
  <c r="BD232" i="24"/>
  <c r="BD233" i="24"/>
  <c r="BD234" i="24"/>
  <c r="BD235" i="24"/>
  <c r="BD236" i="24"/>
  <c r="BD237" i="24"/>
  <c r="BD238" i="24"/>
  <c r="BD239" i="24"/>
  <c r="BD240" i="24"/>
  <c r="BD241" i="24"/>
  <c r="BD242" i="24"/>
  <c r="BD243" i="24"/>
  <c r="BD244" i="24"/>
  <c r="BD245" i="24"/>
  <c r="BD246" i="24"/>
  <c r="BD247" i="24"/>
  <c r="BD248" i="24"/>
  <c r="BD249" i="24"/>
  <c r="BD250" i="24"/>
  <c r="BD251" i="24"/>
  <c r="BD252" i="24"/>
  <c r="BD253" i="24"/>
  <c r="BD254" i="24"/>
  <c r="BD255" i="24"/>
  <c r="BD256" i="24"/>
  <c r="BD257" i="24"/>
  <c r="BD258" i="24"/>
  <c r="BD259" i="24"/>
  <c r="BD260" i="24"/>
  <c r="BD261" i="24"/>
  <c r="BD262" i="24"/>
  <c r="BD263" i="24"/>
  <c r="BD264" i="24"/>
  <c r="BD265" i="24"/>
  <c r="BD266" i="24"/>
  <c r="BD267" i="24"/>
  <c r="BD268" i="24"/>
  <c r="BD269" i="24"/>
  <c r="BD270" i="24"/>
  <c r="BD271" i="24"/>
  <c r="BD272" i="24"/>
  <c r="BD273" i="24"/>
  <c r="BD274" i="24"/>
  <c r="BD275" i="24"/>
  <c r="BD276" i="24"/>
  <c r="BD277" i="24"/>
  <c r="BD278" i="24"/>
  <c r="BD279" i="24"/>
  <c r="BD280" i="24"/>
  <c r="BD281" i="24"/>
  <c r="BD282" i="24"/>
  <c r="BD283" i="24"/>
  <c r="BD284" i="24"/>
  <c r="BD285" i="24"/>
  <c r="BD286" i="24"/>
  <c r="BD287" i="24"/>
  <c r="BD288" i="24"/>
  <c r="BD289" i="24"/>
  <c r="BD290" i="24"/>
  <c r="BD291" i="24"/>
  <c r="BD292" i="24"/>
  <c r="BD293" i="24"/>
  <c r="BD294" i="24"/>
  <c r="BD295" i="24"/>
  <c r="BD296" i="24"/>
  <c r="BD297" i="24"/>
  <c r="BD298" i="24"/>
  <c r="BD299" i="24"/>
  <c r="BD300" i="24"/>
  <c r="BD301" i="24"/>
  <c r="BD302" i="24"/>
  <c r="BD303" i="24"/>
  <c r="BD304" i="24"/>
  <c r="BD305" i="24"/>
  <c r="BD306" i="24"/>
  <c r="BD307" i="24"/>
  <c r="BD308" i="24"/>
  <c r="BD309" i="24"/>
  <c r="BD310" i="24"/>
  <c r="BD311" i="24"/>
  <c r="BD312" i="24"/>
  <c r="BD313" i="24"/>
  <c r="BD314" i="24"/>
  <c r="BD315" i="24"/>
  <c r="BD316" i="24"/>
  <c r="BD6" i="24"/>
  <c r="BD7" i="24"/>
  <c r="BD8" i="24"/>
  <c r="BD9" i="24"/>
  <c r="BD10" i="24"/>
  <c r="BD11" i="24"/>
  <c r="BD12" i="24"/>
  <c r="BD13" i="24"/>
  <c r="BD14" i="24"/>
  <c r="BD15" i="24"/>
  <c r="BD16" i="24"/>
  <c r="BD17" i="24"/>
  <c r="BD18" i="24"/>
  <c r="BD19" i="24"/>
  <c r="BD20" i="24"/>
  <c r="BD21" i="24"/>
  <c r="BD22" i="24"/>
  <c r="BD23" i="24"/>
  <c r="BD24" i="24"/>
  <c r="BD25" i="24"/>
  <c r="BD26" i="24"/>
  <c r="BD27" i="24"/>
  <c r="BD28" i="24"/>
  <c r="BD29" i="24"/>
  <c r="BD30" i="24"/>
  <c r="BD31" i="24"/>
  <c r="BD32" i="24"/>
  <c r="BD33" i="24"/>
  <c r="BD34" i="24"/>
  <c r="BD35" i="24"/>
  <c r="BD36" i="24"/>
  <c r="BD37" i="24"/>
  <c r="BD38" i="24"/>
  <c r="BD39" i="24"/>
  <c r="BD40" i="24"/>
  <c r="BD41" i="24"/>
  <c r="BD42" i="24"/>
  <c r="BD43" i="24"/>
  <c r="BD44" i="24"/>
  <c r="BD45" i="24"/>
  <c r="BD46" i="24"/>
  <c r="BD47" i="24"/>
  <c r="BD48" i="24"/>
  <c r="BD49" i="24"/>
  <c r="BD50" i="24"/>
  <c r="BD51" i="24"/>
  <c r="BD52" i="24"/>
  <c r="BD53" i="24"/>
  <c r="BD54" i="24"/>
  <c r="BD55" i="24"/>
  <c r="BD56" i="24"/>
  <c r="BD57" i="24"/>
  <c r="BD58" i="24"/>
  <c r="BD59" i="24"/>
  <c r="BD60" i="24"/>
  <c r="BD61" i="24"/>
  <c r="BD62" i="24"/>
  <c r="BD63" i="24"/>
  <c r="BD64" i="24"/>
  <c r="BD65" i="24"/>
  <c r="BD66" i="24"/>
  <c r="BD67" i="24"/>
  <c r="BD68" i="24"/>
  <c r="BD69" i="24"/>
  <c r="BD70" i="24"/>
  <c r="BD71" i="24"/>
  <c r="BD72" i="24"/>
  <c r="BD73" i="24"/>
  <c r="BD74" i="24"/>
  <c r="BD75" i="24"/>
  <c r="BD76" i="24"/>
  <c r="BD77" i="24"/>
  <c r="BD78" i="24"/>
  <c r="BD79" i="24"/>
  <c r="BD80" i="24"/>
  <c r="BD81" i="24"/>
  <c r="BD82" i="24"/>
  <c r="BD83" i="24"/>
  <c r="BD84" i="24"/>
  <c r="BD85" i="24"/>
  <c r="BD86" i="24"/>
  <c r="BD87" i="24"/>
  <c r="BD88" i="24"/>
  <c r="BD89" i="24"/>
  <c r="BD90" i="24"/>
  <c r="BD91" i="24"/>
  <c r="BD92" i="24"/>
  <c r="BD93" i="24"/>
  <c r="BD94" i="24"/>
  <c r="BD95" i="24"/>
  <c r="BD96" i="24"/>
  <c r="BD97" i="24"/>
  <c r="BD98" i="24"/>
  <c r="BD99" i="24"/>
  <c r="BD100" i="24"/>
  <c r="BD101" i="24"/>
  <c r="BD102" i="24"/>
  <c r="BD103" i="24"/>
  <c r="BD104" i="24"/>
  <c r="BD105" i="24"/>
  <c r="BD5" i="24"/>
  <c r="BC1" i="24" l="1"/>
  <c r="D53" i="19"/>
  <c r="B53" i="19"/>
  <c r="D41" i="19"/>
  <c r="B174" i="2"/>
  <c r="BU1" i="24" l="1"/>
  <c r="B74" i="2" l="1"/>
  <c r="M10" i="1"/>
  <c r="K10" i="1"/>
  <c r="B36" i="19" l="1"/>
  <c r="B18" i="2" l="1"/>
  <c r="B28" i="19"/>
  <c r="D28" i="19" s="1"/>
  <c r="B48" i="19"/>
  <c r="D48" i="19" s="1"/>
  <c r="AY46" i="25" l="1"/>
  <c r="AY146" i="25"/>
  <c r="AY170" i="25"/>
  <c r="AY186" i="25"/>
  <c r="AY202" i="25"/>
  <c r="AY223" i="25"/>
  <c r="AY247" i="25"/>
  <c r="AY263" i="25"/>
  <c r="AY279" i="25"/>
  <c r="AY295" i="25"/>
  <c r="AY15" i="25"/>
  <c r="AY31" i="25"/>
  <c r="AY63" i="25"/>
  <c r="AY79" i="25"/>
  <c r="AY95" i="25"/>
  <c r="AY115" i="25"/>
  <c r="AY131" i="25"/>
  <c r="AY155" i="25"/>
  <c r="AY171" i="25"/>
  <c r="AY195" i="25"/>
  <c r="AY216" i="25"/>
  <c r="AY248" i="25"/>
  <c r="AY272" i="25"/>
  <c r="AY304" i="25"/>
  <c r="AY32" i="25"/>
  <c r="AY232" i="25"/>
  <c r="AY72" i="25"/>
  <c r="AY8" i="25"/>
  <c r="AY16" i="25"/>
  <c r="AY24" i="25"/>
  <c r="AY64" i="25"/>
  <c r="AY80" i="25"/>
  <c r="AY88" i="25"/>
  <c r="AY9" i="25"/>
  <c r="AY17" i="25"/>
  <c r="AY25" i="25"/>
  <c r="AY33" i="25"/>
  <c r="AY41" i="25"/>
  <c r="AY49" i="25"/>
  <c r="AY10" i="25"/>
  <c r="AY18" i="25"/>
  <c r="AY26" i="25"/>
  <c r="AY34" i="25"/>
  <c r="AY42" i="25"/>
  <c r="AY50" i="25"/>
  <c r="AY58" i="25"/>
  <c r="AY66" i="25"/>
  <c r="AY74" i="25"/>
  <c r="AY82" i="25"/>
  <c r="AY90" i="25"/>
  <c r="AY98" i="25"/>
  <c r="AY118" i="25"/>
  <c r="AY126" i="25"/>
  <c r="AY134" i="25"/>
  <c r="AY142" i="25"/>
  <c r="AY150" i="25"/>
  <c r="AY158" i="25"/>
  <c r="AY166" i="25"/>
  <c r="AY174" i="25"/>
  <c r="AY182" i="25"/>
  <c r="AY190" i="25"/>
  <c r="AY198" i="25"/>
  <c r="AY206" i="25"/>
  <c r="AY219" i="25"/>
  <c r="AY227" i="25"/>
  <c r="AY235" i="25"/>
  <c r="AY243" i="25"/>
  <c r="AY251" i="25"/>
  <c r="AY259" i="25"/>
  <c r="AY267" i="25"/>
  <c r="AY275" i="25"/>
  <c r="AY283" i="25"/>
  <c r="AY11" i="25"/>
  <c r="AY19" i="25"/>
  <c r="AY27" i="25"/>
  <c r="AY35" i="25"/>
  <c r="AY43" i="25"/>
  <c r="AY51" i="25"/>
  <c r="AY59" i="25"/>
  <c r="AY67" i="25"/>
  <c r="AY75" i="25"/>
  <c r="AY83" i="25"/>
  <c r="AY91" i="25"/>
  <c r="AY99" i="25"/>
  <c r="AY111" i="25"/>
  <c r="AY119" i="25"/>
  <c r="AY127" i="25"/>
  <c r="AY135" i="25"/>
  <c r="AY143" i="25"/>
  <c r="AY151" i="25"/>
  <c r="AY159" i="25"/>
  <c r="AY167" i="25"/>
  <c r="AY175" i="25"/>
  <c r="AY183" i="25"/>
  <c r="AY191" i="25"/>
  <c r="AY199" i="25"/>
  <c r="AY207" i="25"/>
  <c r="AY220" i="25"/>
  <c r="AY228" i="25"/>
  <c r="AY236" i="25"/>
  <c r="AY244" i="25"/>
  <c r="AY252" i="25"/>
  <c r="AY260" i="25"/>
  <c r="AY268" i="25"/>
  <c r="AY276" i="25"/>
  <c r="AY284" i="25"/>
  <c r="AY292" i="25"/>
  <c r="AY300" i="25"/>
  <c r="AY308" i="25"/>
  <c r="AY316" i="25"/>
  <c r="AY12" i="25"/>
  <c r="AY20" i="25"/>
  <c r="AY28" i="25"/>
  <c r="AY36" i="25"/>
  <c r="AY44" i="25"/>
  <c r="AY52" i="25"/>
  <c r="AY60" i="25"/>
  <c r="AY68" i="25"/>
  <c r="AY76" i="25"/>
  <c r="AY84" i="25"/>
  <c r="AY92" i="25"/>
  <c r="AY100" i="25"/>
  <c r="AY112" i="25"/>
  <c r="AY120" i="25"/>
  <c r="AY128" i="25"/>
  <c r="AY136" i="25"/>
  <c r="AY144" i="25"/>
  <c r="AY152" i="25"/>
  <c r="AY160" i="25"/>
  <c r="AY168" i="25"/>
  <c r="AY176" i="25"/>
  <c r="AY184" i="25"/>
  <c r="AY192" i="25"/>
  <c r="AY200" i="25"/>
  <c r="AY208" i="25"/>
  <c r="AY221" i="25"/>
  <c r="AY229" i="25"/>
  <c r="AY237" i="25"/>
  <c r="AY245" i="25"/>
  <c r="AY253" i="25"/>
  <c r="AY261" i="25"/>
  <c r="AY269" i="25"/>
  <c r="AY277" i="25"/>
  <c r="AY285" i="25"/>
  <c r="AY293" i="25"/>
  <c r="AY301" i="25"/>
  <c r="AY309" i="25"/>
  <c r="AY5" i="25"/>
  <c r="AY187" i="25"/>
  <c r="AY256" i="25"/>
  <c r="AY288" i="25"/>
  <c r="AY312" i="25"/>
  <c r="AY48" i="25"/>
  <c r="AY104" i="25"/>
  <c r="AY56" i="25"/>
  <c r="AY13" i="25"/>
  <c r="AY21" i="25"/>
  <c r="AY29" i="25"/>
  <c r="AY37" i="25"/>
  <c r="AY45" i="25"/>
  <c r="AY53" i="25"/>
  <c r="AY61" i="25"/>
  <c r="AY69" i="25"/>
  <c r="AY77" i="25"/>
  <c r="AY85" i="25"/>
  <c r="AY93" i="25"/>
  <c r="AY101" i="25"/>
  <c r="AY113" i="25"/>
  <c r="AY121" i="25"/>
  <c r="AY129" i="25"/>
  <c r="AY137" i="25"/>
  <c r="AY145" i="25"/>
  <c r="AY153" i="25"/>
  <c r="AY161" i="25"/>
  <c r="AY169" i="25"/>
  <c r="AY177" i="25"/>
  <c r="AY185" i="25"/>
  <c r="AY193" i="25"/>
  <c r="AY201" i="25"/>
  <c r="AY209" i="25"/>
  <c r="AY222" i="25"/>
  <c r="AY230" i="25"/>
  <c r="AY238" i="25"/>
  <c r="AY246" i="25"/>
  <c r="AY254" i="25"/>
  <c r="AY262" i="25"/>
  <c r="AY270" i="25"/>
  <c r="AY278" i="25"/>
  <c r="AY286" i="25"/>
  <c r="AY294" i="25"/>
  <c r="AY302" i="25"/>
  <c r="AY310" i="25"/>
  <c r="AY6" i="25"/>
  <c r="AY14" i="25"/>
  <c r="AY22" i="25"/>
  <c r="AY30" i="25"/>
  <c r="AY38" i="25"/>
  <c r="AY54" i="25"/>
  <c r="AY62" i="25"/>
  <c r="AY70" i="25"/>
  <c r="AY78" i="25"/>
  <c r="AY86" i="25"/>
  <c r="AY94" i="25"/>
  <c r="AY102" i="25"/>
  <c r="AY114" i="25"/>
  <c r="AY122" i="25"/>
  <c r="AY130" i="25"/>
  <c r="AY138" i="25"/>
  <c r="AY154" i="25"/>
  <c r="AY162" i="25"/>
  <c r="AY178" i="25"/>
  <c r="AY194" i="25"/>
  <c r="AY210" i="25"/>
  <c r="AY231" i="25"/>
  <c r="AY239" i="25"/>
  <c r="AY255" i="25"/>
  <c r="AY271" i="25"/>
  <c r="AY287" i="25"/>
  <c r="AY303" i="25"/>
  <c r="AY311" i="25"/>
  <c r="AY7" i="25"/>
  <c r="AY23" i="25"/>
  <c r="AY39" i="25"/>
  <c r="AY47" i="25"/>
  <c r="AY55" i="25"/>
  <c r="AY71" i="25"/>
  <c r="AY87" i="25"/>
  <c r="AY103" i="25"/>
  <c r="AY123" i="25"/>
  <c r="AY139" i="25"/>
  <c r="AY147" i="25"/>
  <c r="AY163" i="25"/>
  <c r="AY179" i="25"/>
  <c r="AY203" i="25"/>
  <c r="AY224" i="25"/>
  <c r="AY240" i="25"/>
  <c r="AY264" i="25"/>
  <c r="AY280" i="25"/>
  <c r="AY296" i="25"/>
  <c r="AY40" i="25"/>
  <c r="AY73" i="25"/>
  <c r="AY124" i="25"/>
  <c r="AY156" i="25"/>
  <c r="AY188" i="25"/>
  <c r="AY225" i="25"/>
  <c r="AY257" i="25"/>
  <c r="AY289" i="25"/>
  <c r="AY307" i="25"/>
  <c r="AY258" i="25"/>
  <c r="AY313" i="25"/>
  <c r="AY89" i="25"/>
  <c r="AY164" i="25"/>
  <c r="AY196" i="25"/>
  <c r="AY265" i="25"/>
  <c r="AY314" i="25"/>
  <c r="AY133" i="25"/>
  <c r="AY165" i="25"/>
  <c r="AY234" i="25"/>
  <c r="AY297" i="25"/>
  <c r="AY117" i="25"/>
  <c r="AY250" i="25"/>
  <c r="AY81" i="25"/>
  <c r="AY125" i="25"/>
  <c r="AY157" i="25"/>
  <c r="AY189" i="25"/>
  <c r="AY226" i="25"/>
  <c r="AY290" i="25"/>
  <c r="AY132" i="25"/>
  <c r="AY233" i="25"/>
  <c r="AY291" i="25"/>
  <c r="AY96" i="25"/>
  <c r="AY197" i="25"/>
  <c r="AY266" i="25"/>
  <c r="AY315" i="25"/>
  <c r="AY149" i="25"/>
  <c r="AY282" i="25"/>
  <c r="AY97" i="25"/>
  <c r="AY140" i="25"/>
  <c r="AY172" i="25"/>
  <c r="AY204" i="25"/>
  <c r="AY241" i="25"/>
  <c r="AY273" i="25"/>
  <c r="AY298" i="25"/>
  <c r="AY105" i="25"/>
  <c r="AY141" i="25"/>
  <c r="AY173" i="25"/>
  <c r="AY205" i="25"/>
  <c r="AY242" i="25"/>
  <c r="AY274" i="25"/>
  <c r="AY299" i="25"/>
  <c r="AY57" i="25"/>
  <c r="AY116" i="25"/>
  <c r="AY148" i="25"/>
  <c r="AY180" i="25"/>
  <c r="AY217" i="25"/>
  <c r="AY249" i="25"/>
  <c r="AY281" i="25"/>
  <c r="AY305" i="25"/>
  <c r="AY65" i="25"/>
  <c r="AY181" i="25"/>
  <c r="AY218" i="25"/>
  <c r="AY306" i="25"/>
  <c r="BO110" i="25"/>
  <c r="BP110" i="24"/>
  <c r="BS110" i="24" s="1"/>
  <c r="M1" i="24"/>
  <c r="R41" i="2"/>
  <c r="R40" i="2"/>
  <c r="W41" i="2"/>
  <c r="R38" i="2" l="1"/>
  <c r="R32" i="2"/>
  <c r="R34" i="2"/>
  <c r="K39" i="16" l="1"/>
  <c r="K38" i="16"/>
  <c r="K37" i="16"/>
  <c r="K36" i="16"/>
  <c r="K35" i="16"/>
  <c r="K45" i="16"/>
  <c r="J45" i="16"/>
  <c r="K33" i="16"/>
  <c r="J33" i="16"/>
  <c r="I33" i="16"/>
  <c r="H33" i="16"/>
  <c r="I34" i="16"/>
  <c r="H34" i="16"/>
  <c r="C37" i="16"/>
  <c r="D36" i="16"/>
  <c r="D35" i="16"/>
  <c r="J36" i="16"/>
  <c r="J39" i="16"/>
  <c r="J37" i="16"/>
  <c r="H36" i="16"/>
  <c r="J35" i="16"/>
  <c r="J44" i="16"/>
  <c r="I44" i="16"/>
  <c r="H44" i="16"/>
  <c r="A44" i="16"/>
  <c r="D38" i="16"/>
  <c r="D37" i="16"/>
  <c r="J38" i="16"/>
  <c r="F213" i="2"/>
  <c r="K41" i="16"/>
  <c r="J41" i="16"/>
  <c r="I36" i="16"/>
  <c r="C36" i="16"/>
  <c r="B34" i="16"/>
  <c r="A36" i="16"/>
  <c r="B219" i="2"/>
  <c r="A33" i="16"/>
  <c r="K44" i="16"/>
  <c r="K13" i="1" l="1"/>
  <c r="M13" i="1"/>
  <c r="A2" i="28"/>
  <c r="A2" i="22"/>
  <c r="B17" i="2"/>
  <c r="B16" i="2"/>
  <c r="I5" i="25" l="1"/>
  <c r="B51" i="2"/>
  <c r="D213" i="2" s="1"/>
  <c r="B19" i="2"/>
  <c r="BP6" i="19"/>
  <c r="BQ6" i="19"/>
  <c r="BU6" i="19"/>
  <c r="BV6" i="19"/>
  <c r="BW6" i="19"/>
  <c r="CA6" i="19"/>
  <c r="CB6" i="19"/>
  <c r="CC6" i="19"/>
  <c r="BP7" i="19"/>
  <c r="BQ7" i="19"/>
  <c r="BU7" i="19"/>
  <c r="BV7" i="19"/>
  <c r="BW7" i="19"/>
  <c r="CA7" i="19"/>
  <c r="CB7" i="19"/>
  <c r="CC7" i="19"/>
  <c r="BP8" i="19"/>
  <c r="BQ8" i="19"/>
  <c r="BU8" i="19"/>
  <c r="BV8" i="19"/>
  <c r="BW8" i="19"/>
  <c r="CA8" i="19"/>
  <c r="CB8" i="19"/>
  <c r="CC8" i="19"/>
  <c r="BP9" i="19"/>
  <c r="BQ9" i="19"/>
  <c r="BU9" i="19"/>
  <c r="BV9" i="19"/>
  <c r="BW9" i="19"/>
  <c r="CA9" i="19"/>
  <c r="CB9" i="19"/>
  <c r="CC9" i="19"/>
  <c r="D24" i="2"/>
  <c r="A24" i="2"/>
  <c r="AL216" i="25"/>
  <c r="AL110"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AL5" i="25"/>
  <c r="J5" i="25"/>
  <c r="K12" i="1"/>
  <c r="V38" i="2"/>
  <c r="V36" i="2"/>
  <c r="K9" i="1"/>
  <c r="V28" i="2"/>
  <c r="V29" i="2"/>
  <c r="V35" i="2"/>
  <c r="V34" i="2"/>
  <c r="V33" i="2"/>
  <c r="V32" i="2"/>
  <c r="V31" i="2"/>
  <c r="V30" i="2"/>
  <c r="B265" i="2" l="1"/>
  <c r="R37" i="2"/>
  <c r="R36" i="2"/>
  <c r="R35" i="2"/>
  <c r="R33" i="2"/>
  <c r="R31" i="2"/>
  <c r="R30" i="2"/>
  <c r="R29" i="2"/>
  <c r="R28" i="2"/>
  <c r="B107" i="2" l="1"/>
  <c r="B105" i="2"/>
  <c r="C33" i="16" s="1"/>
  <c r="B77" i="2"/>
  <c r="B82" i="2" s="1"/>
  <c r="K23" i="1" l="1"/>
  <c r="K20" i="1"/>
  <c r="D10" i="1"/>
  <c r="D11" i="1"/>
  <c r="D35" i="1"/>
  <c r="D13" i="1"/>
  <c r="D12" i="1"/>
  <c r="D23" i="1"/>
  <c r="D20" i="1"/>
  <c r="D36" i="1"/>
  <c r="B165" i="2" l="1"/>
  <c r="BO5" i="25" l="1"/>
  <c r="BP5" i="25"/>
  <c r="BP5" i="24"/>
  <c r="I56" i="2"/>
  <c r="B263" i="2"/>
  <c r="F13" i="1"/>
  <c r="B12" i="2"/>
  <c r="CE110" i="25" l="1"/>
  <c r="B248" i="2"/>
  <c r="G111" i="25"/>
  <c r="G115" i="25"/>
  <c r="G119" i="25"/>
  <c r="G123" i="25"/>
  <c r="G127" i="25"/>
  <c r="G131" i="25"/>
  <c r="G135" i="25"/>
  <c r="G139" i="25"/>
  <c r="G143" i="25"/>
  <c r="G147" i="25"/>
  <c r="G151" i="25"/>
  <c r="G155" i="25"/>
  <c r="G159" i="25"/>
  <c r="G163" i="25"/>
  <c r="G167" i="25"/>
  <c r="G171" i="25"/>
  <c r="G175" i="25"/>
  <c r="G179" i="25"/>
  <c r="G183" i="25"/>
  <c r="G187" i="25"/>
  <c r="G191" i="25"/>
  <c r="G195" i="25"/>
  <c r="G199" i="25"/>
  <c r="G203" i="25"/>
  <c r="G207" i="25"/>
  <c r="G216" i="25"/>
  <c r="G220" i="25"/>
  <c r="I220" i="25" s="1"/>
  <c r="G224" i="25"/>
  <c r="I224" i="25" s="1"/>
  <c r="G228" i="25"/>
  <c r="I228" i="25" s="1"/>
  <c r="G232" i="25"/>
  <c r="I232" i="25" s="1"/>
  <c r="G236" i="25"/>
  <c r="I236" i="25" s="1"/>
  <c r="G240" i="25"/>
  <c r="I240" i="25" s="1"/>
  <c r="G244" i="25"/>
  <c r="I244" i="25" s="1"/>
  <c r="G248" i="25"/>
  <c r="I248" i="25" s="1"/>
  <c r="G252" i="25"/>
  <c r="I252" i="25" s="1"/>
  <c r="G256" i="25"/>
  <c r="I256" i="25" s="1"/>
  <c r="G260" i="25"/>
  <c r="I260" i="25" s="1"/>
  <c r="G264" i="25"/>
  <c r="I264" i="25" s="1"/>
  <c r="G268" i="25"/>
  <c r="I268" i="25" s="1"/>
  <c r="G272" i="25"/>
  <c r="I272" i="25" s="1"/>
  <c r="G276" i="25"/>
  <c r="I276" i="25" s="1"/>
  <c r="G280" i="25"/>
  <c r="I280" i="25" s="1"/>
  <c r="G284" i="25"/>
  <c r="I284" i="25" s="1"/>
  <c r="G288" i="25"/>
  <c r="I288" i="25" s="1"/>
  <c r="G292" i="25"/>
  <c r="I292" i="25" s="1"/>
  <c r="G296" i="25"/>
  <c r="I296" i="25" s="1"/>
  <c r="G300" i="25"/>
  <c r="I300" i="25" s="1"/>
  <c r="G304" i="25"/>
  <c r="I304" i="25" s="1"/>
  <c r="G308" i="25"/>
  <c r="I308" i="25" s="1"/>
  <c r="G312" i="25"/>
  <c r="I312" i="25" s="1"/>
  <c r="G316" i="25"/>
  <c r="I316" i="25" s="1"/>
  <c r="G8" i="25"/>
  <c r="BP8" i="25" s="1"/>
  <c r="G12" i="25"/>
  <c r="BP12" i="25" s="1"/>
  <c r="G16" i="25"/>
  <c r="BP16" i="25" s="1"/>
  <c r="G20" i="25"/>
  <c r="BP20" i="25" s="1"/>
  <c r="G24" i="25"/>
  <c r="BP24" i="25" s="1"/>
  <c r="G28" i="25"/>
  <c r="BP28" i="25" s="1"/>
  <c r="G32" i="25"/>
  <c r="BP32" i="25" s="1"/>
  <c r="G36" i="25"/>
  <c r="BP36" i="25" s="1"/>
  <c r="G40" i="25"/>
  <c r="BP40" i="25" s="1"/>
  <c r="G44" i="25"/>
  <c r="BP44" i="25" s="1"/>
  <c r="G48" i="25"/>
  <c r="BP48" i="25" s="1"/>
  <c r="G52" i="25"/>
  <c r="BP52" i="25" s="1"/>
  <c r="G56" i="25"/>
  <c r="BP56" i="25" s="1"/>
  <c r="G60" i="25"/>
  <c r="BP60" i="25" s="1"/>
  <c r="G64" i="25"/>
  <c r="BP64" i="25" s="1"/>
  <c r="G68" i="25"/>
  <c r="BP68" i="25" s="1"/>
  <c r="G72" i="25"/>
  <c r="BP72" i="25" s="1"/>
  <c r="G76" i="25"/>
  <c r="BP76" i="25" s="1"/>
  <c r="G80" i="25"/>
  <c r="BP80" i="25" s="1"/>
  <c r="G84" i="25"/>
  <c r="BP84" i="25" s="1"/>
  <c r="G88" i="25"/>
  <c r="BP88" i="25" s="1"/>
  <c r="G92" i="25"/>
  <c r="BP92" i="25" s="1"/>
  <c r="G96" i="25"/>
  <c r="BP96" i="25" s="1"/>
  <c r="G100" i="25"/>
  <c r="BP100" i="25" s="1"/>
  <c r="G104" i="25"/>
  <c r="BP104" i="25" s="1"/>
  <c r="G118" i="25"/>
  <c r="G150" i="25"/>
  <c r="G162" i="25"/>
  <c r="G174" i="25"/>
  <c r="G112" i="25"/>
  <c r="G116" i="25"/>
  <c r="G120" i="25"/>
  <c r="G124" i="25"/>
  <c r="G128" i="25"/>
  <c r="G132" i="25"/>
  <c r="G136" i="25"/>
  <c r="G140" i="25"/>
  <c r="G144" i="25"/>
  <c r="G148" i="25"/>
  <c r="G152" i="25"/>
  <c r="G156" i="25"/>
  <c r="G160" i="25"/>
  <c r="G164" i="25"/>
  <c r="G168" i="25"/>
  <c r="G172" i="25"/>
  <c r="G176" i="25"/>
  <c r="G180" i="25"/>
  <c r="G184" i="25"/>
  <c r="G188" i="25"/>
  <c r="G192" i="25"/>
  <c r="G196" i="25"/>
  <c r="G200" i="25"/>
  <c r="G204" i="25"/>
  <c r="G208" i="25"/>
  <c r="G217" i="25"/>
  <c r="I217" i="25" s="1"/>
  <c r="G221" i="25"/>
  <c r="I221" i="25" s="1"/>
  <c r="G225" i="25"/>
  <c r="I225" i="25" s="1"/>
  <c r="G229" i="25"/>
  <c r="I229" i="25" s="1"/>
  <c r="G233" i="25"/>
  <c r="I233" i="25" s="1"/>
  <c r="G237" i="25"/>
  <c r="I237" i="25" s="1"/>
  <c r="G241" i="25"/>
  <c r="I241" i="25" s="1"/>
  <c r="G245" i="25"/>
  <c r="I245" i="25" s="1"/>
  <c r="G249" i="25"/>
  <c r="I249" i="25" s="1"/>
  <c r="G253" i="25"/>
  <c r="I253" i="25" s="1"/>
  <c r="G257" i="25"/>
  <c r="I257" i="25" s="1"/>
  <c r="G261" i="25"/>
  <c r="I261" i="25" s="1"/>
  <c r="G265" i="25"/>
  <c r="I265" i="25" s="1"/>
  <c r="G269" i="25"/>
  <c r="I269" i="25" s="1"/>
  <c r="G273" i="25"/>
  <c r="I273" i="25" s="1"/>
  <c r="G277" i="25"/>
  <c r="I277" i="25" s="1"/>
  <c r="G281" i="25"/>
  <c r="I281" i="25" s="1"/>
  <c r="G285" i="25"/>
  <c r="I285" i="25" s="1"/>
  <c r="G289" i="25"/>
  <c r="I289" i="25" s="1"/>
  <c r="G293" i="25"/>
  <c r="I293" i="25" s="1"/>
  <c r="G297" i="25"/>
  <c r="I297" i="25" s="1"/>
  <c r="G301" i="25"/>
  <c r="I301" i="25" s="1"/>
  <c r="G305" i="25"/>
  <c r="I305" i="25" s="1"/>
  <c r="G309" i="25"/>
  <c r="I309" i="25" s="1"/>
  <c r="G313" i="25"/>
  <c r="I313" i="25" s="1"/>
  <c r="G9" i="25"/>
  <c r="BP9" i="25" s="1"/>
  <c r="G13" i="25"/>
  <c r="BP13" i="25" s="1"/>
  <c r="G17" i="25"/>
  <c r="BP17" i="25" s="1"/>
  <c r="G21" i="25"/>
  <c r="BP21" i="25" s="1"/>
  <c r="G25" i="25"/>
  <c r="BP25" i="25" s="1"/>
  <c r="G29" i="25"/>
  <c r="BP29" i="25" s="1"/>
  <c r="G33" i="25"/>
  <c r="BP33" i="25" s="1"/>
  <c r="G37" i="25"/>
  <c r="BP37" i="25" s="1"/>
  <c r="G41" i="25"/>
  <c r="BP41" i="25" s="1"/>
  <c r="G45" i="25"/>
  <c r="BP45" i="25" s="1"/>
  <c r="G49" i="25"/>
  <c r="BP49" i="25" s="1"/>
  <c r="G53" i="25"/>
  <c r="BP53" i="25" s="1"/>
  <c r="G57" i="25"/>
  <c r="BP57" i="25" s="1"/>
  <c r="G61" i="25"/>
  <c r="BP61" i="25" s="1"/>
  <c r="G65" i="25"/>
  <c r="BP65" i="25" s="1"/>
  <c r="G69" i="25"/>
  <c r="BP69" i="25" s="1"/>
  <c r="G73" i="25"/>
  <c r="BP73" i="25" s="1"/>
  <c r="G77" i="25"/>
  <c r="BP77" i="25" s="1"/>
  <c r="G81" i="25"/>
  <c r="BP81" i="25" s="1"/>
  <c r="G85" i="25"/>
  <c r="BP85" i="25" s="1"/>
  <c r="G89" i="25"/>
  <c r="BP89" i="25" s="1"/>
  <c r="G93" i="25"/>
  <c r="BP93" i="25" s="1"/>
  <c r="G97" i="25"/>
  <c r="BP97" i="25" s="1"/>
  <c r="G101" i="25"/>
  <c r="BP101" i="25" s="1"/>
  <c r="G105" i="25"/>
  <c r="BP105" i="25" s="1"/>
  <c r="G122" i="25"/>
  <c r="G154" i="25"/>
  <c r="G170" i="25"/>
  <c r="G113" i="25"/>
  <c r="G117" i="25"/>
  <c r="G121" i="25"/>
  <c r="G125" i="25"/>
  <c r="G129" i="25"/>
  <c r="G133" i="25"/>
  <c r="G137" i="25"/>
  <c r="G141" i="25"/>
  <c r="G145" i="25"/>
  <c r="G149" i="25"/>
  <c r="G153" i="25"/>
  <c r="G157" i="25"/>
  <c r="G161" i="25"/>
  <c r="G165" i="25"/>
  <c r="G169" i="25"/>
  <c r="G173" i="25"/>
  <c r="G177" i="25"/>
  <c r="G181" i="25"/>
  <c r="G185" i="25"/>
  <c r="G189" i="25"/>
  <c r="G193" i="25"/>
  <c r="G197" i="25"/>
  <c r="G201" i="25"/>
  <c r="G205" i="25"/>
  <c r="G209" i="25"/>
  <c r="G218" i="25"/>
  <c r="I218" i="25" s="1"/>
  <c r="G222" i="25"/>
  <c r="I222" i="25" s="1"/>
  <c r="G226" i="25"/>
  <c r="I226" i="25" s="1"/>
  <c r="G230" i="25"/>
  <c r="I230" i="25" s="1"/>
  <c r="G234" i="25"/>
  <c r="I234" i="25" s="1"/>
  <c r="G238" i="25"/>
  <c r="I238" i="25" s="1"/>
  <c r="G242" i="25"/>
  <c r="I242" i="25" s="1"/>
  <c r="G246" i="25"/>
  <c r="I246" i="25" s="1"/>
  <c r="G250" i="25"/>
  <c r="I250" i="25" s="1"/>
  <c r="G254" i="25"/>
  <c r="I254" i="25" s="1"/>
  <c r="G258" i="25"/>
  <c r="I258" i="25" s="1"/>
  <c r="G262" i="25"/>
  <c r="I262" i="25" s="1"/>
  <c r="G266" i="25"/>
  <c r="I266" i="25" s="1"/>
  <c r="G270" i="25"/>
  <c r="I270" i="25" s="1"/>
  <c r="G274" i="25"/>
  <c r="I274" i="25" s="1"/>
  <c r="G278" i="25"/>
  <c r="I278" i="25" s="1"/>
  <c r="G282" i="25"/>
  <c r="I282" i="25" s="1"/>
  <c r="G286" i="25"/>
  <c r="I286" i="25" s="1"/>
  <c r="G290" i="25"/>
  <c r="I290" i="25" s="1"/>
  <c r="G294" i="25"/>
  <c r="I294" i="25" s="1"/>
  <c r="G298" i="25"/>
  <c r="I298" i="25" s="1"/>
  <c r="G302" i="25"/>
  <c r="I302" i="25" s="1"/>
  <c r="G306" i="25"/>
  <c r="I306" i="25" s="1"/>
  <c r="G310" i="25"/>
  <c r="I310" i="25" s="1"/>
  <c r="G314" i="25"/>
  <c r="I314" i="25" s="1"/>
  <c r="G10" i="25"/>
  <c r="BP10" i="25" s="1"/>
  <c r="G14" i="25"/>
  <c r="BP14" i="25" s="1"/>
  <c r="G18" i="25"/>
  <c r="BP18" i="25" s="1"/>
  <c r="G22" i="25"/>
  <c r="BP22" i="25" s="1"/>
  <c r="G26" i="25"/>
  <c r="BP26" i="25" s="1"/>
  <c r="G30" i="25"/>
  <c r="BP30" i="25" s="1"/>
  <c r="G34" i="25"/>
  <c r="BP34" i="25" s="1"/>
  <c r="G38" i="25"/>
  <c r="BP38" i="25" s="1"/>
  <c r="G42" i="25"/>
  <c r="BP42" i="25" s="1"/>
  <c r="G46" i="25"/>
  <c r="BP46" i="25" s="1"/>
  <c r="G50" i="25"/>
  <c r="BP50" i="25" s="1"/>
  <c r="G54" i="25"/>
  <c r="BP54" i="25" s="1"/>
  <c r="G58" i="25"/>
  <c r="BP58" i="25" s="1"/>
  <c r="G62" i="25"/>
  <c r="BP62" i="25" s="1"/>
  <c r="G66" i="25"/>
  <c r="BP66" i="25" s="1"/>
  <c r="G70" i="25"/>
  <c r="BP70" i="25" s="1"/>
  <c r="G74" i="25"/>
  <c r="BP74" i="25" s="1"/>
  <c r="G78" i="25"/>
  <c r="BP78" i="25" s="1"/>
  <c r="G82" i="25"/>
  <c r="BP82" i="25" s="1"/>
  <c r="G86" i="25"/>
  <c r="BP86" i="25" s="1"/>
  <c r="G90" i="25"/>
  <c r="BP90" i="25" s="1"/>
  <c r="G94" i="25"/>
  <c r="BP94" i="25" s="1"/>
  <c r="G98" i="25"/>
  <c r="BP98" i="25" s="1"/>
  <c r="G102" i="25"/>
  <c r="BP102" i="25" s="1"/>
  <c r="G7" i="25"/>
  <c r="BP7" i="25" s="1"/>
  <c r="G110" i="25"/>
  <c r="G114" i="25"/>
  <c r="G126" i="25"/>
  <c r="G130" i="25"/>
  <c r="G134" i="25"/>
  <c r="G138" i="25"/>
  <c r="G142" i="25"/>
  <c r="G146" i="25"/>
  <c r="G158" i="25"/>
  <c r="G166" i="25"/>
  <c r="G182" i="25"/>
  <c r="G198" i="25"/>
  <c r="G219" i="25"/>
  <c r="I219" i="25" s="1"/>
  <c r="G235" i="25"/>
  <c r="I235" i="25" s="1"/>
  <c r="G251" i="25"/>
  <c r="I251" i="25" s="1"/>
  <c r="G267" i="25"/>
  <c r="I267" i="25" s="1"/>
  <c r="G283" i="25"/>
  <c r="I283" i="25" s="1"/>
  <c r="G299" i="25"/>
  <c r="I299" i="25" s="1"/>
  <c r="G315" i="25"/>
  <c r="I315" i="25" s="1"/>
  <c r="G11" i="25"/>
  <c r="BP11" i="25" s="1"/>
  <c r="G27" i="25"/>
  <c r="BP27" i="25" s="1"/>
  <c r="G43" i="25"/>
  <c r="BP43" i="25" s="1"/>
  <c r="G59" i="25"/>
  <c r="BP59" i="25" s="1"/>
  <c r="G75" i="25"/>
  <c r="BP75" i="25" s="1"/>
  <c r="G91" i="25"/>
  <c r="BP91" i="25" s="1"/>
  <c r="G6" i="25"/>
  <c r="BP6" i="25" s="1"/>
  <c r="G186" i="25"/>
  <c r="G255" i="25"/>
  <c r="I255" i="25" s="1"/>
  <c r="G303" i="25"/>
  <c r="I303" i="25" s="1"/>
  <c r="G47" i="25"/>
  <c r="BP47" i="25" s="1"/>
  <c r="G95" i="25"/>
  <c r="BP95" i="25" s="1"/>
  <c r="G190" i="25"/>
  <c r="G206" i="25"/>
  <c r="G227" i="25"/>
  <c r="I227" i="25" s="1"/>
  <c r="G243" i="25"/>
  <c r="I243" i="25" s="1"/>
  <c r="G259" i="25"/>
  <c r="I259" i="25" s="1"/>
  <c r="G275" i="25"/>
  <c r="I275" i="25" s="1"/>
  <c r="G291" i="25"/>
  <c r="I291" i="25" s="1"/>
  <c r="G307" i="25"/>
  <c r="I307" i="25" s="1"/>
  <c r="G19" i="25"/>
  <c r="BP19" i="25" s="1"/>
  <c r="G35" i="25"/>
  <c r="BP35" i="25" s="1"/>
  <c r="G51" i="25"/>
  <c r="BP51" i="25" s="1"/>
  <c r="G67" i="25"/>
  <c r="BP67" i="25" s="1"/>
  <c r="G83" i="25"/>
  <c r="BP83" i="25" s="1"/>
  <c r="G99" i="25"/>
  <c r="BP99" i="25" s="1"/>
  <c r="G87" i="25"/>
  <c r="BP87" i="25" s="1"/>
  <c r="G223" i="25"/>
  <c r="I223" i="25" s="1"/>
  <c r="G239" i="25"/>
  <c r="I239" i="25" s="1"/>
  <c r="G287" i="25"/>
  <c r="I287" i="25" s="1"/>
  <c r="G15" i="25"/>
  <c r="BP15" i="25" s="1"/>
  <c r="G63" i="25"/>
  <c r="BP63" i="25" s="1"/>
  <c r="G178" i="25"/>
  <c r="G194" i="25"/>
  <c r="G210" i="25"/>
  <c r="G231" i="25"/>
  <c r="I231" i="25" s="1"/>
  <c r="G247" i="25"/>
  <c r="I247" i="25" s="1"/>
  <c r="G263" i="25"/>
  <c r="I263" i="25" s="1"/>
  <c r="G279" i="25"/>
  <c r="I279" i="25" s="1"/>
  <c r="G295" i="25"/>
  <c r="I295" i="25" s="1"/>
  <c r="G311" i="25"/>
  <c r="I311" i="25" s="1"/>
  <c r="G23" i="25"/>
  <c r="BP23" i="25" s="1"/>
  <c r="G39" i="25"/>
  <c r="BP39" i="25" s="1"/>
  <c r="G55" i="25"/>
  <c r="BP55" i="25" s="1"/>
  <c r="G71" i="25"/>
  <c r="BP71" i="25" s="1"/>
  <c r="G103" i="25"/>
  <c r="BP103" i="25" s="1"/>
  <c r="G202" i="25"/>
  <c r="G271" i="25"/>
  <c r="I271" i="25" s="1"/>
  <c r="G31" i="25"/>
  <c r="BP31" i="25" s="1"/>
  <c r="G79" i="25"/>
  <c r="BP79" i="25" s="1"/>
  <c r="F7" i="25"/>
  <c r="BO7" i="25" s="1"/>
  <c r="F6" i="25"/>
  <c r="BO6" i="25" s="1"/>
  <c r="I158" i="25" l="1"/>
  <c r="BP158" i="25"/>
  <c r="BP110" i="25"/>
  <c r="BS110" i="25" s="1"/>
  <c r="I189" i="25"/>
  <c r="BP189" i="25"/>
  <c r="I157" i="25"/>
  <c r="BP157" i="25"/>
  <c r="I125" i="25"/>
  <c r="BP125" i="25"/>
  <c r="I170" i="25"/>
  <c r="BP170" i="25"/>
  <c r="I180" i="25"/>
  <c r="BP180" i="25"/>
  <c r="I148" i="25"/>
  <c r="BP148" i="25"/>
  <c r="I116" i="25"/>
  <c r="BP116" i="25"/>
  <c r="I150" i="25"/>
  <c r="BP150" i="25"/>
  <c r="I195" i="25"/>
  <c r="BP195" i="25"/>
  <c r="I163" i="25"/>
  <c r="BP163" i="25"/>
  <c r="I131" i="25"/>
  <c r="BP131" i="25"/>
  <c r="I190" i="25"/>
  <c r="BP190" i="25"/>
  <c r="I198" i="25"/>
  <c r="BP198" i="25"/>
  <c r="I146" i="25"/>
  <c r="BP146" i="25"/>
  <c r="I130" i="25"/>
  <c r="BP130" i="25"/>
  <c r="I201" i="25"/>
  <c r="BP201" i="25"/>
  <c r="I169" i="25"/>
  <c r="BP169" i="25"/>
  <c r="I137" i="25"/>
  <c r="BP137" i="25"/>
  <c r="I154" i="25"/>
  <c r="BP154" i="25"/>
  <c r="I192" i="25"/>
  <c r="BP192" i="25"/>
  <c r="I160" i="25"/>
  <c r="BP160" i="25"/>
  <c r="I128" i="25"/>
  <c r="BP128" i="25"/>
  <c r="I207" i="25"/>
  <c r="BP207" i="25"/>
  <c r="I175" i="25"/>
  <c r="BP175" i="25"/>
  <c r="I143" i="25"/>
  <c r="BP143" i="25"/>
  <c r="I111" i="25"/>
  <c r="BP111" i="25"/>
  <c r="I202" i="25"/>
  <c r="BP202" i="25"/>
  <c r="I210" i="25"/>
  <c r="BP210" i="25"/>
  <c r="I166" i="25"/>
  <c r="BP166" i="25"/>
  <c r="I138" i="25"/>
  <c r="BP138" i="25"/>
  <c r="I114" i="25"/>
  <c r="BP114" i="25"/>
  <c r="I209" i="25"/>
  <c r="BP209" i="25"/>
  <c r="I193" i="25"/>
  <c r="BP193" i="25"/>
  <c r="I177" i="25"/>
  <c r="BP177" i="25"/>
  <c r="I161" i="25"/>
  <c r="BP161" i="25"/>
  <c r="I145" i="25"/>
  <c r="BP145" i="25"/>
  <c r="I129" i="25"/>
  <c r="BP129" i="25"/>
  <c r="I113" i="25"/>
  <c r="BP113" i="25"/>
  <c r="I200" i="25"/>
  <c r="BP200" i="25"/>
  <c r="I184" i="25"/>
  <c r="BP184" i="25"/>
  <c r="I168" i="25"/>
  <c r="BP168" i="25"/>
  <c r="I152" i="25"/>
  <c r="BP152" i="25"/>
  <c r="I136" i="25"/>
  <c r="BP136" i="25"/>
  <c r="I120" i="25"/>
  <c r="BP120" i="25"/>
  <c r="I162" i="25"/>
  <c r="BP162" i="25"/>
  <c r="I199" i="25"/>
  <c r="BP199" i="25"/>
  <c r="I183" i="25"/>
  <c r="BP183" i="25"/>
  <c r="I167" i="25"/>
  <c r="BP167" i="25"/>
  <c r="I151" i="25"/>
  <c r="BP151" i="25"/>
  <c r="I135" i="25"/>
  <c r="BP135" i="25"/>
  <c r="I119" i="25"/>
  <c r="BP119" i="25"/>
  <c r="I194" i="25"/>
  <c r="BP194" i="25"/>
  <c r="I206" i="25"/>
  <c r="BP206" i="25"/>
  <c r="I134" i="25"/>
  <c r="BP134" i="25"/>
  <c r="I205" i="25"/>
  <c r="BP205" i="25"/>
  <c r="I173" i="25"/>
  <c r="BP173" i="25"/>
  <c r="I141" i="25"/>
  <c r="BP141" i="25"/>
  <c r="I196" i="25"/>
  <c r="BP196" i="25"/>
  <c r="I164" i="25"/>
  <c r="BP164" i="25"/>
  <c r="I132" i="25"/>
  <c r="BP132" i="25"/>
  <c r="I179" i="25"/>
  <c r="BP179" i="25"/>
  <c r="I147" i="25"/>
  <c r="BP147" i="25"/>
  <c r="I115" i="25"/>
  <c r="BP115" i="25"/>
  <c r="I178" i="25"/>
  <c r="BP178" i="25"/>
  <c r="I185" i="25"/>
  <c r="BP185" i="25"/>
  <c r="I153" i="25"/>
  <c r="BP153" i="25"/>
  <c r="I121" i="25"/>
  <c r="BP121" i="25"/>
  <c r="I208" i="25"/>
  <c r="BP208" i="25"/>
  <c r="I176" i="25"/>
  <c r="BP176" i="25"/>
  <c r="I144" i="25"/>
  <c r="BP144" i="25"/>
  <c r="I112" i="25"/>
  <c r="BP112" i="25"/>
  <c r="I118" i="25"/>
  <c r="BP118" i="25"/>
  <c r="I191" i="25"/>
  <c r="BP191" i="25"/>
  <c r="I159" i="25"/>
  <c r="BP159" i="25"/>
  <c r="I127" i="25"/>
  <c r="BP127" i="25"/>
  <c r="I186" i="25"/>
  <c r="BP186" i="25"/>
  <c r="I182" i="25"/>
  <c r="BP182" i="25"/>
  <c r="I142" i="25"/>
  <c r="BP142" i="25"/>
  <c r="I126" i="25"/>
  <c r="BP126" i="25"/>
  <c r="I197" i="25"/>
  <c r="BP197" i="25"/>
  <c r="I181" i="25"/>
  <c r="BP181" i="25"/>
  <c r="I165" i="25"/>
  <c r="BP165" i="25"/>
  <c r="I149" i="25"/>
  <c r="BP149" i="25"/>
  <c r="I133" i="25"/>
  <c r="BP133" i="25"/>
  <c r="I117" i="25"/>
  <c r="BP117" i="25"/>
  <c r="I122" i="25"/>
  <c r="BP122" i="25"/>
  <c r="I204" i="25"/>
  <c r="BP204" i="25"/>
  <c r="I188" i="25"/>
  <c r="BP188" i="25"/>
  <c r="I172" i="25"/>
  <c r="BP172" i="25"/>
  <c r="I156" i="25"/>
  <c r="BP156" i="25"/>
  <c r="I140" i="25"/>
  <c r="BP140" i="25"/>
  <c r="I124" i="25"/>
  <c r="BP124" i="25"/>
  <c r="I174" i="25"/>
  <c r="BP174" i="25"/>
  <c r="I203" i="25"/>
  <c r="BP203" i="25"/>
  <c r="I187" i="25"/>
  <c r="BP187" i="25"/>
  <c r="I171" i="25"/>
  <c r="BP171" i="25"/>
  <c r="I155" i="25"/>
  <c r="BP155" i="25"/>
  <c r="I139" i="25"/>
  <c r="BP139" i="25"/>
  <c r="I123" i="25"/>
  <c r="BP123" i="25"/>
  <c r="CE6" i="25"/>
  <c r="CE7" i="25"/>
  <c r="I6" i="25"/>
  <c r="I7" i="25"/>
  <c r="I67" i="25"/>
  <c r="I86" i="25"/>
  <c r="I54" i="25"/>
  <c r="I22" i="25"/>
  <c r="I93" i="25"/>
  <c r="I61" i="25"/>
  <c r="I29" i="25"/>
  <c r="I104" i="25"/>
  <c r="I88" i="25"/>
  <c r="I72" i="25"/>
  <c r="I56" i="25"/>
  <c r="I40" i="25"/>
  <c r="I24" i="25"/>
  <c r="I8" i="25"/>
  <c r="I39" i="25"/>
  <c r="I15" i="25"/>
  <c r="I87" i="25"/>
  <c r="I51" i="25"/>
  <c r="I47" i="25"/>
  <c r="I43" i="25"/>
  <c r="I98" i="25"/>
  <c r="I82" i="25"/>
  <c r="I66" i="25"/>
  <c r="I50" i="25"/>
  <c r="I34" i="25"/>
  <c r="I18" i="25"/>
  <c r="I105" i="25"/>
  <c r="I89" i="25"/>
  <c r="I73" i="25"/>
  <c r="I57" i="25"/>
  <c r="I41" i="25"/>
  <c r="I25" i="25"/>
  <c r="I9" i="25"/>
  <c r="I100" i="25"/>
  <c r="I84" i="25"/>
  <c r="I68" i="25"/>
  <c r="I52" i="25"/>
  <c r="I36" i="25"/>
  <c r="I20" i="25"/>
  <c r="I59" i="25"/>
  <c r="I102" i="25"/>
  <c r="I38" i="25"/>
  <c r="I77" i="25"/>
  <c r="I13" i="25"/>
  <c r="I79" i="25"/>
  <c r="I23" i="25"/>
  <c r="I99" i="25"/>
  <c r="I91" i="25"/>
  <c r="I27" i="25"/>
  <c r="I94" i="25"/>
  <c r="I78" i="25"/>
  <c r="I62" i="25"/>
  <c r="I46" i="25"/>
  <c r="I30" i="25"/>
  <c r="I14" i="25"/>
  <c r="I101" i="25"/>
  <c r="I85" i="25"/>
  <c r="I69" i="25"/>
  <c r="I53" i="25"/>
  <c r="I37" i="25"/>
  <c r="I21" i="25"/>
  <c r="I96" i="25"/>
  <c r="I80" i="25"/>
  <c r="I64" i="25"/>
  <c r="I48" i="25"/>
  <c r="I32" i="25"/>
  <c r="I16" i="25"/>
  <c r="I55" i="25"/>
  <c r="I63" i="25"/>
  <c r="I95" i="25"/>
  <c r="I70" i="25"/>
  <c r="I45" i="25"/>
  <c r="I103" i="25"/>
  <c r="I35" i="25"/>
  <c r="I31" i="25"/>
  <c r="I71" i="25"/>
  <c r="I83" i="25"/>
  <c r="I19" i="25"/>
  <c r="I75" i="25"/>
  <c r="I11" i="25"/>
  <c r="I90" i="25"/>
  <c r="I74" i="25"/>
  <c r="I58" i="25"/>
  <c r="I42" i="25"/>
  <c r="I26" i="25"/>
  <c r="I10" i="25"/>
  <c r="I97" i="25"/>
  <c r="I81" i="25"/>
  <c r="I65" i="25"/>
  <c r="I49" i="25"/>
  <c r="I33" i="25"/>
  <c r="I17" i="25"/>
  <c r="I92" i="25"/>
  <c r="I76" i="25"/>
  <c r="I60" i="25"/>
  <c r="I44" i="25"/>
  <c r="I28" i="25"/>
  <c r="I12" i="25"/>
  <c r="I110" i="25"/>
  <c r="I216" i="25"/>
  <c r="B212" i="2"/>
  <c r="A210" i="2"/>
  <c r="B52" i="2"/>
  <c r="D209" i="2" l="1"/>
  <c r="A209" i="2"/>
  <c r="D208" i="2" l="1"/>
  <c r="D264" i="2"/>
  <c r="F12" i="1"/>
  <c r="C227" i="2"/>
  <c r="C236" i="2"/>
  <c r="D236" i="2"/>
  <c r="B47" i="19"/>
  <c r="B31" i="2" l="1"/>
  <c r="B20" i="2"/>
  <c r="B21" i="2"/>
  <c r="B24" i="2"/>
  <c r="C213" i="2"/>
  <c r="C52" i="2"/>
  <c r="B76" i="2"/>
  <c r="B81" i="2" s="1"/>
  <c r="B103" i="2" l="1"/>
  <c r="B58" i="2"/>
  <c r="C58" i="2"/>
  <c r="B264" i="2"/>
  <c r="C212" i="2"/>
  <c r="F212" i="2"/>
  <c r="D212" i="2"/>
  <c r="B209" i="2"/>
  <c r="B210" i="2"/>
  <c r="B124" i="2"/>
  <c r="B120" i="2"/>
  <c r="B220" i="2" s="1"/>
  <c r="B97" i="2"/>
  <c r="B95" i="2"/>
  <c r="D32" i="1"/>
  <c r="AM5" i="24"/>
  <c r="AM216" i="24"/>
  <c r="AM110" i="24"/>
  <c r="AX116" i="25" l="1"/>
  <c r="AX124" i="25"/>
  <c r="AX132" i="25"/>
  <c r="AX140" i="25"/>
  <c r="AX148" i="25"/>
  <c r="AX156" i="25"/>
  <c r="AX164" i="25"/>
  <c r="AX172" i="25"/>
  <c r="AX180" i="25"/>
  <c r="AX188" i="25"/>
  <c r="AX196" i="25"/>
  <c r="AX204" i="25"/>
  <c r="AX217" i="25"/>
  <c r="AX225" i="25"/>
  <c r="AX233" i="25"/>
  <c r="AX241" i="25"/>
  <c r="AX249" i="25"/>
  <c r="AX257" i="25"/>
  <c r="AX265" i="25"/>
  <c r="AX273" i="25"/>
  <c r="AX281" i="25"/>
  <c r="AX289" i="25"/>
  <c r="AX297" i="25"/>
  <c r="AX305" i="25"/>
  <c r="AX313" i="25"/>
  <c r="AX10" i="25"/>
  <c r="AX26" i="25"/>
  <c r="AX34" i="25"/>
  <c r="AX50" i="25"/>
  <c r="AX66" i="25"/>
  <c r="AX90" i="25"/>
  <c r="AX5" i="25"/>
  <c r="AX173" i="25"/>
  <c r="AX218" i="25"/>
  <c r="AX242" i="25"/>
  <c r="AX274" i="25"/>
  <c r="AX298" i="25"/>
  <c r="AX19" i="25"/>
  <c r="AX35" i="25"/>
  <c r="AX59" i="25"/>
  <c r="AX91" i="25"/>
  <c r="AX283" i="25"/>
  <c r="AX28" i="25"/>
  <c r="AX84" i="25"/>
  <c r="AX53" i="25"/>
  <c r="AX93" i="25"/>
  <c r="AX117" i="25"/>
  <c r="AX125" i="25"/>
  <c r="AX133" i="25"/>
  <c r="AX141" i="25"/>
  <c r="AX149" i="25"/>
  <c r="AX165" i="25"/>
  <c r="AX181" i="25"/>
  <c r="AX189" i="25"/>
  <c r="AX197" i="25"/>
  <c r="AX234" i="25"/>
  <c r="AX258" i="25"/>
  <c r="AX282" i="25"/>
  <c r="AX314" i="25"/>
  <c r="AX27" i="25"/>
  <c r="AX51" i="25"/>
  <c r="AX75" i="25"/>
  <c r="AX315" i="25"/>
  <c r="AX60" i="25"/>
  <c r="AX37" i="25"/>
  <c r="AX101" i="25"/>
  <c r="AX110" i="25"/>
  <c r="AX118" i="25"/>
  <c r="AX126" i="25"/>
  <c r="AX134" i="25"/>
  <c r="AX142" i="25"/>
  <c r="AX150" i="25"/>
  <c r="AX158" i="25"/>
  <c r="AX166" i="25"/>
  <c r="AX174" i="25"/>
  <c r="AX182" i="25"/>
  <c r="AX190" i="25"/>
  <c r="AX198" i="25"/>
  <c r="AX206" i="25"/>
  <c r="AX219" i="25"/>
  <c r="AX227" i="25"/>
  <c r="AX235" i="25"/>
  <c r="AX243" i="25"/>
  <c r="AX251" i="25"/>
  <c r="AX259" i="25"/>
  <c r="AX267" i="25"/>
  <c r="AX12" i="25"/>
  <c r="AX52" i="25"/>
  <c r="AX92" i="25"/>
  <c r="AX21" i="25"/>
  <c r="AX111" i="25"/>
  <c r="AX119" i="25"/>
  <c r="AX127" i="25"/>
  <c r="AX135" i="25"/>
  <c r="AX143" i="25"/>
  <c r="AX151" i="25"/>
  <c r="AX159" i="25"/>
  <c r="AX167" i="25"/>
  <c r="AX175" i="25"/>
  <c r="AX183" i="25"/>
  <c r="AX191" i="25"/>
  <c r="AX199" i="25"/>
  <c r="AX207" i="25"/>
  <c r="AX220" i="25"/>
  <c r="AX228" i="25"/>
  <c r="AX236" i="25"/>
  <c r="AX244" i="25"/>
  <c r="AX252" i="25"/>
  <c r="AX260" i="25"/>
  <c r="AX268" i="25"/>
  <c r="AX276" i="25"/>
  <c r="AX284" i="25"/>
  <c r="AX292" i="25"/>
  <c r="AX300" i="25"/>
  <c r="AX308" i="25"/>
  <c r="AX316" i="25"/>
  <c r="AX13" i="25"/>
  <c r="AX77" i="25"/>
  <c r="AX112" i="25"/>
  <c r="AX120" i="25"/>
  <c r="AX128" i="25"/>
  <c r="AX136" i="25"/>
  <c r="AX144" i="25"/>
  <c r="AX152" i="25"/>
  <c r="AX160" i="25"/>
  <c r="AX168" i="25"/>
  <c r="AX176" i="25"/>
  <c r="AX184" i="25"/>
  <c r="AX192" i="25"/>
  <c r="AX200" i="25"/>
  <c r="AX208" i="25"/>
  <c r="AX221" i="25"/>
  <c r="AX229" i="25"/>
  <c r="AX237" i="25"/>
  <c r="AX245" i="25"/>
  <c r="AX253" i="25"/>
  <c r="AX261" i="25"/>
  <c r="AX269" i="25"/>
  <c r="AX277" i="25"/>
  <c r="AX285" i="25"/>
  <c r="AX293" i="25"/>
  <c r="AX301" i="25"/>
  <c r="AX309" i="25"/>
  <c r="AX6" i="25"/>
  <c r="AX14" i="25"/>
  <c r="AX22" i="25"/>
  <c r="AX30" i="25"/>
  <c r="AX38" i="25"/>
  <c r="AX46" i="25"/>
  <c r="AX54" i="25"/>
  <c r="AX62" i="25"/>
  <c r="AX70" i="25"/>
  <c r="AX78" i="25"/>
  <c r="AX86" i="25"/>
  <c r="AX94" i="25"/>
  <c r="AX102" i="25"/>
  <c r="AX32" i="25"/>
  <c r="AX56" i="25"/>
  <c r="AX80" i="25"/>
  <c r="AX104" i="25"/>
  <c r="AX275" i="25"/>
  <c r="AX36" i="25"/>
  <c r="AX45" i="25"/>
  <c r="AX85" i="25"/>
  <c r="AX113" i="25"/>
  <c r="AX121" i="25"/>
  <c r="AX129" i="25"/>
  <c r="AX137" i="25"/>
  <c r="AX145" i="25"/>
  <c r="AX153" i="25"/>
  <c r="AX161" i="25"/>
  <c r="AX169" i="25"/>
  <c r="AX177" i="25"/>
  <c r="AX185" i="25"/>
  <c r="AX193" i="25"/>
  <c r="AX201" i="25"/>
  <c r="AX209" i="25"/>
  <c r="AX222" i="25"/>
  <c r="AX230" i="25"/>
  <c r="AX238" i="25"/>
  <c r="AX246" i="25"/>
  <c r="AX254" i="25"/>
  <c r="AX262" i="25"/>
  <c r="AX270" i="25"/>
  <c r="AX278" i="25"/>
  <c r="AX286" i="25"/>
  <c r="AX294" i="25"/>
  <c r="AX302" i="25"/>
  <c r="AX310" i="25"/>
  <c r="AX7" i="25"/>
  <c r="AX15" i="25"/>
  <c r="AX23" i="25"/>
  <c r="AX31" i="25"/>
  <c r="AX39" i="25"/>
  <c r="AX47" i="25"/>
  <c r="AX55" i="25"/>
  <c r="AX63" i="25"/>
  <c r="AX71" i="25"/>
  <c r="AX79" i="25"/>
  <c r="AX87" i="25"/>
  <c r="AX95" i="25"/>
  <c r="AX103" i="25"/>
  <c r="AX114" i="25"/>
  <c r="AX130" i="25"/>
  <c r="AX138" i="25"/>
  <c r="AX146" i="25"/>
  <c r="AX162" i="25"/>
  <c r="AX170" i="25"/>
  <c r="AX186" i="25"/>
  <c r="AX202" i="25"/>
  <c r="AX223" i="25"/>
  <c r="AX239" i="25"/>
  <c r="AX255" i="25"/>
  <c r="AX271" i="25"/>
  <c r="AX287" i="25"/>
  <c r="AX303" i="25"/>
  <c r="AX8" i="25"/>
  <c r="AX24" i="25"/>
  <c r="AX40" i="25"/>
  <c r="AX64" i="25"/>
  <c r="AX88" i="25"/>
  <c r="AX299" i="25"/>
  <c r="AX44" i="25"/>
  <c r="AX100" i="25"/>
  <c r="AX61" i="25"/>
  <c r="AX122" i="25"/>
  <c r="AX154" i="25"/>
  <c r="AX178" i="25"/>
  <c r="AX194" i="25"/>
  <c r="AX210" i="25"/>
  <c r="AX231" i="25"/>
  <c r="AX247" i="25"/>
  <c r="AX263" i="25"/>
  <c r="AX279" i="25"/>
  <c r="AX295" i="25"/>
  <c r="AX311" i="25"/>
  <c r="AX16" i="25"/>
  <c r="AX48" i="25"/>
  <c r="AX72" i="25"/>
  <c r="AX96" i="25"/>
  <c r="AX291" i="25"/>
  <c r="AX68" i="25"/>
  <c r="AX29" i="25"/>
  <c r="AX115" i="25"/>
  <c r="AX123" i="25"/>
  <c r="AX131" i="25"/>
  <c r="AX139" i="25"/>
  <c r="AX147" i="25"/>
  <c r="AX155" i="25"/>
  <c r="AX163" i="25"/>
  <c r="AX171" i="25"/>
  <c r="AX179" i="25"/>
  <c r="AX187" i="25"/>
  <c r="AX195" i="25"/>
  <c r="AX203" i="25"/>
  <c r="AX216" i="25"/>
  <c r="AX224" i="25"/>
  <c r="AX232" i="25"/>
  <c r="AX240" i="25"/>
  <c r="AX248" i="25"/>
  <c r="AX256" i="25"/>
  <c r="AX264" i="25"/>
  <c r="AX272" i="25"/>
  <c r="AX280" i="25"/>
  <c r="AX288" i="25"/>
  <c r="AX296" i="25"/>
  <c r="AX304" i="25"/>
  <c r="AX312" i="25"/>
  <c r="AX9" i="25"/>
  <c r="AX17" i="25"/>
  <c r="AX25" i="25"/>
  <c r="AX33" i="25"/>
  <c r="AX41" i="25"/>
  <c r="AX49" i="25"/>
  <c r="AX57" i="25"/>
  <c r="AX65" i="25"/>
  <c r="AX73" i="25"/>
  <c r="AX81" i="25"/>
  <c r="AX89" i="25"/>
  <c r="AX97" i="25"/>
  <c r="AX105" i="25"/>
  <c r="AX18" i="25"/>
  <c r="AX42" i="25"/>
  <c r="AX58" i="25"/>
  <c r="AX74" i="25"/>
  <c r="AX82" i="25"/>
  <c r="AX98" i="25"/>
  <c r="AX157" i="25"/>
  <c r="AX205" i="25"/>
  <c r="AX226" i="25"/>
  <c r="AX250" i="25"/>
  <c r="AX266" i="25"/>
  <c r="AX290" i="25"/>
  <c r="AX306" i="25"/>
  <c r="AX11" i="25"/>
  <c r="AX43" i="25"/>
  <c r="AX67" i="25"/>
  <c r="AX83" i="25"/>
  <c r="AX99" i="25"/>
  <c r="AX307" i="25"/>
  <c r="AX20" i="25"/>
  <c r="AX76" i="25"/>
  <c r="AX69" i="25"/>
  <c r="B215" i="2"/>
  <c r="B216" i="2"/>
  <c r="C32" i="16"/>
  <c r="B218" i="2"/>
  <c r="C31" i="16"/>
  <c r="I6"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55" i="24"/>
  <c r="I56" i="24"/>
  <c r="I57" i="24"/>
  <c r="I58" i="24"/>
  <c r="I59" i="24"/>
  <c r="I60" i="24"/>
  <c r="I61" i="24"/>
  <c r="I62" i="24"/>
  <c r="I63" i="24"/>
  <c r="I64" i="24"/>
  <c r="I65" i="24"/>
  <c r="I66" i="24"/>
  <c r="I67" i="24"/>
  <c r="I68" i="24"/>
  <c r="I69" i="24"/>
  <c r="I70" i="24"/>
  <c r="I71" i="24"/>
  <c r="I72" i="24"/>
  <c r="I73" i="24"/>
  <c r="I74" i="24"/>
  <c r="I75" i="24"/>
  <c r="I76" i="24"/>
  <c r="I77" i="24"/>
  <c r="I78" i="24"/>
  <c r="I79" i="24"/>
  <c r="I80" i="24"/>
  <c r="I81" i="24"/>
  <c r="I82" i="24"/>
  <c r="I83" i="24"/>
  <c r="I84" i="24"/>
  <c r="I85" i="24"/>
  <c r="I86" i="24"/>
  <c r="I87" i="24"/>
  <c r="I88" i="24"/>
  <c r="I89" i="24"/>
  <c r="I90" i="24"/>
  <c r="I91" i="24"/>
  <c r="I92" i="24"/>
  <c r="I93" i="24"/>
  <c r="I94" i="24"/>
  <c r="I95" i="24"/>
  <c r="I96" i="24"/>
  <c r="I97" i="24"/>
  <c r="I98" i="24"/>
  <c r="I99" i="24"/>
  <c r="I100" i="24"/>
  <c r="I101" i="24"/>
  <c r="I102" i="24"/>
  <c r="I103" i="24"/>
  <c r="I104" i="24"/>
  <c r="I105" i="24"/>
  <c r="I5" i="24"/>
  <c r="D21" i="19"/>
  <c r="D36" i="19"/>
  <c r="F12" i="19"/>
  <c r="D37" i="19"/>
  <c r="D35" i="19"/>
  <c r="B41" i="2"/>
  <c r="C41" i="16" s="1"/>
  <c r="D41" i="16" s="1"/>
  <c r="B33" i="19"/>
  <c r="F56" i="2"/>
  <c r="F50" i="2"/>
  <c r="D29" i="1"/>
  <c r="G237" i="2"/>
  <c r="C232" i="2"/>
  <c r="C233" i="2"/>
  <c r="A241" i="2"/>
  <c r="G51" i="2"/>
  <c r="A199" i="2"/>
  <c r="C245" i="2"/>
  <c r="U2" i="24" l="1"/>
  <c r="B162" i="2"/>
  <c r="B166" i="2" s="1"/>
  <c r="I9" i="8" s="1"/>
  <c r="I10" i="8"/>
  <c r="B147" i="2"/>
  <c r="B144" i="2"/>
  <c r="B56" i="2" l="1"/>
  <c r="C189" i="2"/>
  <c r="K44" i="2"/>
  <c r="K34" i="16" l="1"/>
  <c r="J34" i="16"/>
  <c r="K43" i="16"/>
  <c r="K42" i="16"/>
  <c r="J43" i="16"/>
  <c r="J42" i="16"/>
  <c r="I43" i="16" l="1"/>
  <c r="I42" i="16"/>
  <c r="H43" i="16"/>
  <c r="H42" i="16"/>
  <c r="J40" i="16"/>
  <c r="K40" i="16"/>
  <c r="K32" i="16"/>
  <c r="J32" i="16"/>
  <c r="K31" i="16"/>
  <c r="J31" i="16" l="1"/>
  <c r="T61" i="2"/>
  <c r="R61" i="2"/>
  <c r="B11" i="2" l="1"/>
  <c r="B26" i="19"/>
  <c r="D26" i="19" s="1"/>
  <c r="B20" i="19"/>
  <c r="D20" i="19" s="1"/>
  <c r="B27" i="19"/>
  <c r="D27" i="19" s="1"/>
  <c r="B8" i="2"/>
  <c r="B115" i="2" s="1"/>
  <c r="B75" i="2"/>
  <c r="B80" i="2" s="1"/>
  <c r="B73" i="2"/>
  <c r="B123" i="2"/>
  <c r="BP106" i="19"/>
  <c r="D45" i="19"/>
  <c r="A34" i="16"/>
  <c r="A43" i="16"/>
  <c r="A42" i="16"/>
  <c r="C246" i="2"/>
  <c r="B261" i="2"/>
  <c r="B236" i="2"/>
  <c r="B232" i="2"/>
  <c r="J50" i="2"/>
  <c r="C229" i="2"/>
  <c r="B229" i="2"/>
  <c r="B32" i="19"/>
  <c r="D32" i="19" s="1"/>
  <c r="B31" i="19"/>
  <c r="D31" i="19" s="1"/>
  <c r="B30" i="19"/>
  <c r="D30" i="19" s="1"/>
  <c r="B8" i="19"/>
  <c r="D8" i="19" s="1"/>
  <c r="F91" i="19"/>
  <c r="F90" i="19"/>
  <c r="F89" i="19"/>
  <c r="D52" i="19"/>
  <c r="D51" i="19"/>
  <c r="D50" i="19"/>
  <c r="D49" i="19"/>
  <c r="D47" i="19"/>
  <c r="D44" i="19"/>
  <c r="D43" i="19"/>
  <c r="D40" i="19"/>
  <c r="D38" i="19"/>
  <c r="D33" i="19"/>
  <c r="D29" i="19"/>
  <c r="D23" i="19"/>
  <c r="D22" i="19"/>
  <c r="D13" i="19"/>
  <c r="B181" i="2" s="1"/>
  <c r="D12" i="19"/>
  <c r="A31" i="16"/>
  <c r="B214" i="2"/>
  <c r="A213" i="2"/>
  <c r="B9" i="2"/>
  <c r="I6" i="8"/>
  <c r="J6" i="8" s="1"/>
  <c r="D40" i="16"/>
  <c r="C45" i="16"/>
  <c r="B146" i="2"/>
  <c r="B149" i="2" s="1"/>
  <c r="B141" i="2"/>
  <c r="B199" i="2"/>
  <c r="B213" i="2"/>
  <c r="B7" i="2"/>
  <c r="I212" i="24" s="1"/>
  <c r="B132" i="2"/>
  <c r="B134" i="2" s="1"/>
  <c r="B176" i="2"/>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E3" i="8"/>
  <c r="A208" i="2"/>
  <c r="B208" i="2"/>
  <c r="I14" i="8"/>
  <c r="B186" i="2"/>
  <c r="I13" i="8"/>
  <c r="J13" i="8" s="1"/>
  <c r="I7" i="8"/>
  <c r="J7" i="8" s="1"/>
  <c r="J14" i="8"/>
  <c r="B33" i="2" l="1"/>
  <c r="B84" i="2"/>
  <c r="L6" i="1" s="1"/>
  <c r="M212" i="24"/>
  <c r="K212" i="24"/>
  <c r="G11" i="2"/>
  <c r="B61" i="2"/>
  <c r="M2" i="24"/>
  <c r="S5" i="24"/>
  <c r="T5" i="24" s="1"/>
  <c r="D39" i="16"/>
  <c r="K12" i="2"/>
  <c r="K11" i="2"/>
  <c r="BL9" i="25"/>
  <c r="BL69" i="25"/>
  <c r="BL15" i="25"/>
  <c r="BL31" i="25"/>
  <c r="BL47" i="25"/>
  <c r="BL63" i="25"/>
  <c r="BL79" i="25"/>
  <c r="BL29" i="25"/>
  <c r="BL65" i="25"/>
  <c r="BL8" i="25"/>
  <c r="BL24" i="25"/>
  <c r="BL40" i="25"/>
  <c r="BL56" i="25"/>
  <c r="BL72" i="25"/>
  <c r="BL88" i="25"/>
  <c r="BL49" i="25"/>
  <c r="BL6" i="25"/>
  <c r="BL22" i="25"/>
  <c r="BL38" i="25"/>
  <c r="BL54" i="25"/>
  <c r="BL70" i="25"/>
  <c r="BL86" i="25"/>
  <c r="BL102" i="25"/>
  <c r="BL104" i="25"/>
  <c r="BL97" i="25"/>
  <c r="BL105" i="25"/>
  <c r="BL42" i="25"/>
  <c r="BL74" i="25"/>
  <c r="BL92" i="25"/>
  <c r="BL99" i="25"/>
  <c r="BL27" i="25"/>
  <c r="BL75" i="25"/>
  <c r="BL5" i="25"/>
  <c r="BL68" i="25"/>
  <c r="BL85" i="25"/>
  <c r="BL34" i="25"/>
  <c r="BL82" i="25"/>
  <c r="BL95" i="25"/>
  <c r="BL21" i="25"/>
  <c r="BL81" i="25"/>
  <c r="BL19" i="25"/>
  <c r="BL35" i="25"/>
  <c r="BL51" i="25"/>
  <c r="BL67" i="25"/>
  <c r="BL83" i="25"/>
  <c r="BL33" i="25"/>
  <c r="BL77" i="25"/>
  <c r="BL12" i="25"/>
  <c r="BL28" i="25"/>
  <c r="BL44" i="25"/>
  <c r="BL60" i="25"/>
  <c r="BL76" i="25"/>
  <c r="BL13" i="25"/>
  <c r="BL61" i="25"/>
  <c r="BL10" i="25"/>
  <c r="BL26" i="25"/>
  <c r="BL58" i="25"/>
  <c r="BL90" i="25"/>
  <c r="BL91" i="25"/>
  <c r="BL11" i="25"/>
  <c r="BL17" i="25"/>
  <c r="BL36" i="25"/>
  <c r="BL37" i="25"/>
  <c r="BL50" i="25"/>
  <c r="BL96" i="25"/>
  <c r="BL41" i="25"/>
  <c r="BL7" i="25"/>
  <c r="BL23" i="25"/>
  <c r="BL39" i="25"/>
  <c r="BL55" i="25"/>
  <c r="BL71" i="25"/>
  <c r="BL87" i="25"/>
  <c r="BL45" i="25"/>
  <c r="BL89" i="25"/>
  <c r="BL16" i="25"/>
  <c r="BL32" i="25"/>
  <c r="BL48" i="25"/>
  <c r="BL64" i="25"/>
  <c r="BL80" i="25"/>
  <c r="BL25" i="25"/>
  <c r="BL73" i="25"/>
  <c r="BL14" i="25"/>
  <c r="BL30" i="25"/>
  <c r="BL46" i="25"/>
  <c r="BL62" i="25"/>
  <c r="BL78" i="25"/>
  <c r="BL98" i="25"/>
  <c r="BL100" i="25"/>
  <c r="BL93" i="25"/>
  <c r="BL101" i="25"/>
  <c r="BL53" i="25"/>
  <c r="BL43" i="25"/>
  <c r="BL59" i="25"/>
  <c r="BL57" i="25"/>
  <c r="BL20" i="25"/>
  <c r="BL52" i="25"/>
  <c r="BL84" i="25"/>
  <c r="BL18" i="25"/>
  <c r="BL66" i="25"/>
  <c r="BL94" i="25"/>
  <c r="BL103" i="25"/>
  <c r="BS5" i="24"/>
  <c r="B28" i="2"/>
  <c r="C39" i="16"/>
  <c r="R42" i="2"/>
  <c r="J210" i="25"/>
  <c r="J206" i="25"/>
  <c r="J202" i="25"/>
  <c r="J198" i="25"/>
  <c r="J194" i="25"/>
  <c r="J190" i="25"/>
  <c r="J186" i="25"/>
  <c r="J182" i="25"/>
  <c r="J178" i="25"/>
  <c r="J174" i="25"/>
  <c r="J170" i="25"/>
  <c r="J166" i="25"/>
  <c r="J162" i="25"/>
  <c r="J158" i="25"/>
  <c r="J154" i="25"/>
  <c r="J150" i="25"/>
  <c r="J146" i="25"/>
  <c r="J142" i="25"/>
  <c r="J138" i="25"/>
  <c r="J134" i="25"/>
  <c r="J130" i="25"/>
  <c r="J126" i="25"/>
  <c r="J122" i="25"/>
  <c r="J118" i="25"/>
  <c r="J114" i="25"/>
  <c r="J207" i="25"/>
  <c r="J179" i="25"/>
  <c r="J167" i="25"/>
  <c r="J155" i="25"/>
  <c r="J147" i="25"/>
  <c r="J135" i="25"/>
  <c r="J119" i="25"/>
  <c r="J111" i="25"/>
  <c r="J209" i="25"/>
  <c r="J205" i="25"/>
  <c r="J201" i="25"/>
  <c r="J197" i="25"/>
  <c r="J193" i="25"/>
  <c r="J189" i="25"/>
  <c r="J185" i="25"/>
  <c r="J181" i="25"/>
  <c r="J177" i="25"/>
  <c r="J173" i="25"/>
  <c r="J169" i="25"/>
  <c r="J165" i="25"/>
  <c r="J161" i="25"/>
  <c r="J157" i="25"/>
  <c r="J153" i="25"/>
  <c r="J149" i="25"/>
  <c r="J145" i="25"/>
  <c r="J141" i="25"/>
  <c r="J137" i="25"/>
  <c r="J133" i="25"/>
  <c r="J129" i="25"/>
  <c r="J125" i="25"/>
  <c r="J121" i="25"/>
  <c r="J117" i="25"/>
  <c r="J113" i="25"/>
  <c r="J110" i="25"/>
  <c r="BL110" i="25" s="1"/>
  <c r="J203" i="25"/>
  <c r="J195" i="25"/>
  <c r="J191" i="25"/>
  <c r="J187" i="25"/>
  <c r="J175" i="25"/>
  <c r="J159" i="25"/>
  <c r="J139" i="25"/>
  <c r="J127" i="25"/>
  <c r="J208" i="25"/>
  <c r="J204" i="25"/>
  <c r="J200" i="25"/>
  <c r="J196" i="25"/>
  <c r="J192" i="25"/>
  <c r="J188" i="25"/>
  <c r="J184" i="25"/>
  <c r="J180" i="25"/>
  <c r="J176" i="25"/>
  <c r="J172" i="25"/>
  <c r="J168" i="25"/>
  <c r="J164" i="25"/>
  <c r="J160" i="25"/>
  <c r="J156" i="25"/>
  <c r="J152" i="25"/>
  <c r="J148" i="25"/>
  <c r="J144" i="25"/>
  <c r="J140" i="25"/>
  <c r="J136" i="25"/>
  <c r="J132" i="25"/>
  <c r="J128" i="25"/>
  <c r="J124" i="25"/>
  <c r="J120" i="25"/>
  <c r="J116" i="25"/>
  <c r="J112" i="25"/>
  <c r="J199" i="25"/>
  <c r="J183" i="25"/>
  <c r="J171" i="25"/>
  <c r="J163" i="25"/>
  <c r="J151" i="25"/>
  <c r="J143" i="25"/>
  <c r="J131" i="25"/>
  <c r="J123" i="25"/>
  <c r="J115" i="25"/>
  <c r="B14" i="2"/>
  <c r="H110" i="25"/>
  <c r="AH110" i="25" s="1"/>
  <c r="H5" i="25"/>
  <c r="AH5" i="25" s="1"/>
  <c r="H216" i="25"/>
  <c r="AH216" i="25" s="1"/>
  <c r="L105" i="25"/>
  <c r="L101" i="25"/>
  <c r="L97" i="25"/>
  <c r="L93" i="25"/>
  <c r="N104" i="25"/>
  <c r="N96" i="25"/>
  <c r="N93" i="25"/>
  <c r="N83" i="25"/>
  <c r="N75" i="25"/>
  <c r="N67" i="25"/>
  <c r="N59" i="25"/>
  <c r="N51" i="25"/>
  <c r="N43" i="25"/>
  <c r="L37" i="25"/>
  <c r="N31" i="25"/>
  <c r="N23" i="25"/>
  <c r="N15" i="25"/>
  <c r="L84" i="25"/>
  <c r="L64" i="25"/>
  <c r="L48" i="25"/>
  <c r="L28" i="25"/>
  <c r="L12" i="25"/>
  <c r="L8" i="25"/>
  <c r="N99" i="25"/>
  <c r="N86" i="25"/>
  <c r="N78" i="25"/>
  <c r="N70" i="25"/>
  <c r="N50" i="25"/>
  <c r="N38" i="25"/>
  <c r="N34" i="25"/>
  <c r="N18" i="25"/>
  <c r="N95" i="25"/>
  <c r="L83" i="25"/>
  <c r="L75" i="25"/>
  <c r="L67" i="25"/>
  <c r="L104" i="25"/>
  <c r="L100" i="25"/>
  <c r="L96" i="25"/>
  <c r="L92" i="25"/>
  <c r="N102" i="25"/>
  <c r="N94" i="25"/>
  <c r="L90" i="25"/>
  <c r="L82" i="25"/>
  <c r="L74" i="25"/>
  <c r="L66" i="25"/>
  <c r="L58" i="25"/>
  <c r="L50" i="25"/>
  <c r="L42" i="25"/>
  <c r="L36" i="25"/>
  <c r="L30" i="25"/>
  <c r="L22" i="25"/>
  <c r="L14" i="25"/>
  <c r="N81" i="25"/>
  <c r="L60" i="25"/>
  <c r="N45" i="25"/>
  <c r="N21" i="25"/>
  <c r="L11" i="25"/>
  <c r="L7" i="25"/>
  <c r="N91" i="25"/>
  <c r="L102" i="25"/>
  <c r="L98" i="25"/>
  <c r="L94" i="25"/>
  <c r="N98" i="25"/>
  <c r="N101" i="25"/>
  <c r="L86" i="25"/>
  <c r="L78" i="25"/>
  <c r="L70" i="25"/>
  <c r="L62" i="25"/>
  <c r="L54" i="25"/>
  <c r="L46" i="25"/>
  <c r="L38" i="25"/>
  <c r="L34" i="25"/>
  <c r="L26" i="25"/>
  <c r="L18" i="25"/>
  <c r="N89" i="25"/>
  <c r="N69" i="25"/>
  <c r="L52" i="25"/>
  <c r="N41" i="25"/>
  <c r="N13" i="25"/>
  <c r="L9" i="25"/>
  <c r="L5" i="25"/>
  <c r="L89" i="25"/>
  <c r="L99" i="25"/>
  <c r="N71" i="25"/>
  <c r="N39" i="25"/>
  <c r="N97" i="25"/>
  <c r="L16" i="25"/>
  <c r="L85" i="25"/>
  <c r="N74" i="25"/>
  <c r="L53" i="25"/>
  <c r="N37" i="25"/>
  <c r="N26" i="25"/>
  <c r="L87" i="25"/>
  <c r="N76" i="25"/>
  <c r="N64" i="25"/>
  <c r="N56" i="25"/>
  <c r="N48" i="25"/>
  <c r="N40" i="25"/>
  <c r="N28" i="25"/>
  <c r="N20" i="25"/>
  <c r="N12" i="25"/>
  <c r="N8" i="25"/>
  <c r="N105" i="25"/>
  <c r="N77" i="25"/>
  <c r="N65" i="25"/>
  <c r="N49" i="25"/>
  <c r="N29" i="25"/>
  <c r="N17" i="25"/>
  <c r="L61" i="25"/>
  <c r="L41" i="25"/>
  <c r="L21" i="25"/>
  <c r="N11" i="25"/>
  <c r="L88" i="25"/>
  <c r="N61" i="25"/>
  <c r="N25" i="25"/>
  <c r="N66" i="25"/>
  <c r="L57" i="25"/>
  <c r="L17" i="25"/>
  <c r="L91" i="25"/>
  <c r="N100" i="25"/>
  <c r="N27" i="25"/>
  <c r="N53" i="25"/>
  <c r="L81" i="25"/>
  <c r="N35" i="25"/>
  <c r="N14" i="25"/>
  <c r="N80" i="25"/>
  <c r="N60" i="25"/>
  <c r="N44" i="25"/>
  <c r="N24" i="25"/>
  <c r="N10" i="25"/>
  <c r="N85" i="25"/>
  <c r="N33" i="25"/>
  <c r="L65" i="25"/>
  <c r="L29" i="25"/>
  <c r="L95" i="25"/>
  <c r="N63" i="25"/>
  <c r="L35" i="25"/>
  <c r="L72" i="25"/>
  <c r="L10" i="25"/>
  <c r="N82" i="25"/>
  <c r="L73" i="25"/>
  <c r="N46" i="25"/>
  <c r="N36" i="25"/>
  <c r="N22" i="25"/>
  <c r="N84" i="25"/>
  <c r="N72" i="25"/>
  <c r="L63" i="25"/>
  <c r="L55" i="25"/>
  <c r="L47" i="25"/>
  <c r="L39" i="25"/>
  <c r="L27" i="25"/>
  <c r="L19" i="25"/>
  <c r="N7" i="25"/>
  <c r="T7" i="25" s="1"/>
  <c r="L76" i="25"/>
  <c r="L40" i="25"/>
  <c r="L33" i="25"/>
  <c r="N87" i="25"/>
  <c r="L6" i="25"/>
  <c r="L45" i="25"/>
  <c r="N103" i="25"/>
  <c r="N52" i="25"/>
  <c r="N16" i="25"/>
  <c r="N73" i="25"/>
  <c r="L24" i="25"/>
  <c r="L13" i="25"/>
  <c r="L103" i="25"/>
  <c r="N92" i="25"/>
  <c r="N79" i="25"/>
  <c r="N47" i="25"/>
  <c r="N19" i="25"/>
  <c r="L44" i="25"/>
  <c r="N90" i="25"/>
  <c r="L77" i="25"/>
  <c r="N58" i="25"/>
  <c r="N42" i="25"/>
  <c r="N30" i="25"/>
  <c r="N88" i="25"/>
  <c r="L79" i="25"/>
  <c r="N68" i="25"/>
  <c r="L59" i="25"/>
  <c r="L51" i="25"/>
  <c r="L43" i="25"/>
  <c r="L31" i="25"/>
  <c r="L23" i="25"/>
  <c r="L15" i="25"/>
  <c r="N9" i="25"/>
  <c r="N5" i="25"/>
  <c r="L80" i="25"/>
  <c r="L68" i="25"/>
  <c r="L56" i="25"/>
  <c r="L32" i="25"/>
  <c r="L20" i="25"/>
  <c r="N62" i="25"/>
  <c r="L49" i="25"/>
  <c r="L25" i="25"/>
  <c r="N55" i="25"/>
  <c r="L69" i="25"/>
  <c r="L71" i="25"/>
  <c r="N32" i="25"/>
  <c r="N6" i="25"/>
  <c r="T6" i="25" s="1"/>
  <c r="N57" i="25"/>
  <c r="N54" i="25"/>
  <c r="J313" i="25"/>
  <c r="J309" i="25"/>
  <c r="J305" i="25"/>
  <c r="J301" i="25"/>
  <c r="J297" i="25"/>
  <c r="J293" i="25"/>
  <c r="J289" i="25"/>
  <c r="J285" i="25"/>
  <c r="J281" i="25"/>
  <c r="J277" i="25"/>
  <c r="J273" i="25"/>
  <c r="J269" i="25"/>
  <c r="J265" i="25"/>
  <c r="J261" i="25"/>
  <c r="J257" i="25"/>
  <c r="J253" i="25"/>
  <c r="J249" i="25"/>
  <c r="J245" i="25"/>
  <c r="J241" i="25"/>
  <c r="J237" i="25"/>
  <c r="J233" i="25"/>
  <c r="J229" i="25"/>
  <c r="J225" i="25"/>
  <c r="J221" i="25"/>
  <c r="J217" i="25"/>
  <c r="J316" i="25"/>
  <c r="J312" i="25"/>
  <c r="J308" i="25"/>
  <c r="J304" i="25"/>
  <c r="J300" i="25"/>
  <c r="J296" i="25"/>
  <c r="J292" i="25"/>
  <c r="J288" i="25"/>
  <c r="J284" i="25"/>
  <c r="J280" i="25"/>
  <c r="J276" i="25"/>
  <c r="J272" i="25"/>
  <c r="J268" i="25"/>
  <c r="J264" i="25"/>
  <c r="J260" i="25"/>
  <c r="J256" i="25"/>
  <c r="J252" i="25"/>
  <c r="J248" i="25"/>
  <c r="J244" i="25"/>
  <c r="J240" i="25"/>
  <c r="J236" i="25"/>
  <c r="J232" i="25"/>
  <c r="J228" i="25"/>
  <c r="J224" i="25"/>
  <c r="J220" i="25"/>
  <c r="J315" i="25"/>
  <c r="J311" i="25"/>
  <c r="J307" i="25"/>
  <c r="J303" i="25"/>
  <c r="J299" i="25"/>
  <c r="J295" i="25"/>
  <c r="J291" i="25"/>
  <c r="J287" i="25"/>
  <c r="J283" i="25"/>
  <c r="J279" i="25"/>
  <c r="J275" i="25"/>
  <c r="J271" i="25"/>
  <c r="J267" i="25"/>
  <c r="J263" i="25"/>
  <c r="J259" i="25"/>
  <c r="J255" i="25"/>
  <c r="J251" i="25"/>
  <c r="J247" i="25"/>
  <c r="J243" i="25"/>
  <c r="J239" i="25"/>
  <c r="J235" i="25"/>
  <c r="J231" i="25"/>
  <c r="J227" i="25"/>
  <c r="J223" i="25"/>
  <c r="J219" i="25"/>
  <c r="J216" i="25"/>
  <c r="J314" i="25"/>
  <c r="J310" i="25"/>
  <c r="J306" i="25"/>
  <c r="J302" i="25"/>
  <c r="J298" i="25"/>
  <c r="J294" i="25"/>
  <c r="J290" i="25"/>
  <c r="J286" i="25"/>
  <c r="J282" i="25"/>
  <c r="J266" i="25"/>
  <c r="J250" i="25"/>
  <c r="J234" i="25"/>
  <c r="J218" i="25"/>
  <c r="J278" i="25"/>
  <c r="J262" i="25"/>
  <c r="J246" i="25"/>
  <c r="J230" i="25"/>
  <c r="J274" i="25"/>
  <c r="J258" i="25"/>
  <c r="J242" i="25"/>
  <c r="J226" i="25"/>
  <c r="J270" i="25"/>
  <c r="J254" i="25"/>
  <c r="J238" i="25"/>
  <c r="J222" i="25"/>
  <c r="B63" i="2"/>
  <c r="B62" i="2"/>
  <c r="B161" i="2"/>
  <c r="E26" i="1" s="1"/>
  <c r="BM105" i="24"/>
  <c r="BM65" i="24"/>
  <c r="BM25" i="24"/>
  <c r="BM100" i="24"/>
  <c r="BM84" i="24"/>
  <c r="BM68" i="24"/>
  <c r="BM52" i="24"/>
  <c r="BM36" i="24"/>
  <c r="BM20" i="24"/>
  <c r="BM97" i="24"/>
  <c r="BM37" i="24"/>
  <c r="BM95" i="24"/>
  <c r="BM79" i="24"/>
  <c r="BM63" i="24"/>
  <c r="BM47" i="24"/>
  <c r="BM31" i="24"/>
  <c r="BM15" i="24"/>
  <c r="BM89" i="24"/>
  <c r="BM45" i="24"/>
  <c r="BM98" i="24"/>
  <c r="BM82" i="24"/>
  <c r="BM66" i="24"/>
  <c r="BM50" i="24"/>
  <c r="BM34" i="24"/>
  <c r="BM18" i="24"/>
  <c r="BM78" i="24"/>
  <c r="BM46" i="24"/>
  <c r="BM30" i="24"/>
  <c r="BM83" i="24"/>
  <c r="BM19" i="24"/>
  <c r="BM102" i="24"/>
  <c r="BM70" i="24"/>
  <c r="BM22" i="24"/>
  <c r="BM93" i="24"/>
  <c r="BM49" i="24"/>
  <c r="BM13" i="24"/>
  <c r="BM96" i="24"/>
  <c r="BM80" i="24"/>
  <c r="BM64" i="24"/>
  <c r="BM48" i="24"/>
  <c r="BM32" i="24"/>
  <c r="BM16" i="24"/>
  <c r="BM81" i="24"/>
  <c r="BM21" i="24"/>
  <c r="BM91" i="24"/>
  <c r="BM75" i="24"/>
  <c r="BM59" i="24"/>
  <c r="BM43" i="24"/>
  <c r="BM27" i="24"/>
  <c r="BM11" i="24"/>
  <c r="BM77" i="24"/>
  <c r="BM33" i="24"/>
  <c r="BM94" i="24"/>
  <c r="BM62" i="24"/>
  <c r="BM14" i="24"/>
  <c r="BM51" i="24"/>
  <c r="BM53" i="24"/>
  <c r="BM54" i="24"/>
  <c r="BM85" i="24"/>
  <c r="BM41" i="24"/>
  <c r="BM9" i="24"/>
  <c r="BM92" i="24"/>
  <c r="BM76" i="24"/>
  <c r="BM60" i="24"/>
  <c r="BM44" i="24"/>
  <c r="BM28" i="24"/>
  <c r="BM12" i="24"/>
  <c r="BM69" i="24"/>
  <c r="BM103" i="24"/>
  <c r="BM87" i="24"/>
  <c r="BM71" i="24"/>
  <c r="BM55" i="24"/>
  <c r="BM39" i="24"/>
  <c r="BM23" i="24"/>
  <c r="BM7" i="24"/>
  <c r="BM61" i="24"/>
  <c r="BM17" i="24"/>
  <c r="BM90" i="24"/>
  <c r="BM74" i="24"/>
  <c r="BM58" i="24"/>
  <c r="BM42" i="24"/>
  <c r="BM26" i="24"/>
  <c r="BM10" i="24"/>
  <c r="BM73" i="24"/>
  <c r="BM29" i="24"/>
  <c r="BM104" i="24"/>
  <c r="BM88" i="24"/>
  <c r="BM72" i="24"/>
  <c r="BM56" i="24"/>
  <c r="BM40" i="24"/>
  <c r="BM24" i="24"/>
  <c r="BM8" i="24"/>
  <c r="BM57" i="24"/>
  <c r="BM99" i="24"/>
  <c r="BM67" i="24"/>
  <c r="BM35" i="24"/>
  <c r="BM101" i="24"/>
  <c r="BM86" i="24"/>
  <c r="BM38" i="24"/>
  <c r="BM6" i="24"/>
  <c r="B182" i="2"/>
  <c r="BM5" i="24"/>
  <c r="B178" i="2"/>
  <c r="B30" i="2"/>
  <c r="AW2" i="25" s="1"/>
  <c r="B125" i="2"/>
  <c r="I113" i="24"/>
  <c r="I117" i="24"/>
  <c r="I121" i="24"/>
  <c r="I125" i="24"/>
  <c r="I129" i="24"/>
  <c r="I133" i="24"/>
  <c r="I137" i="24"/>
  <c r="I141" i="24"/>
  <c r="I145" i="24"/>
  <c r="I149" i="24"/>
  <c r="I153" i="24"/>
  <c r="I157" i="24"/>
  <c r="I161" i="24"/>
  <c r="I165" i="24"/>
  <c r="I169" i="24"/>
  <c r="I173" i="24"/>
  <c r="I177" i="24"/>
  <c r="I181" i="24"/>
  <c r="I185" i="24"/>
  <c r="I189" i="24"/>
  <c r="I193" i="24"/>
  <c r="I197" i="24"/>
  <c r="I201" i="24"/>
  <c r="I205" i="24"/>
  <c r="I209" i="24"/>
  <c r="I114" i="24"/>
  <c r="I118" i="24"/>
  <c r="I122" i="24"/>
  <c r="I126" i="24"/>
  <c r="I130" i="24"/>
  <c r="I134" i="24"/>
  <c r="I138" i="24"/>
  <c r="I116" i="24"/>
  <c r="I124" i="24"/>
  <c r="I132" i="24"/>
  <c r="I140" i="24"/>
  <c r="I146" i="24"/>
  <c r="I151" i="24"/>
  <c r="I156" i="24"/>
  <c r="I162" i="24"/>
  <c r="I167" i="24"/>
  <c r="I172" i="24"/>
  <c r="I178" i="24"/>
  <c r="I183" i="24"/>
  <c r="I188" i="24"/>
  <c r="I194" i="24"/>
  <c r="I199" i="24"/>
  <c r="I204" i="24"/>
  <c r="I210" i="24"/>
  <c r="I111" i="24"/>
  <c r="I119" i="24"/>
  <c r="I127" i="24"/>
  <c r="I135" i="24"/>
  <c r="I142" i="24"/>
  <c r="I147" i="24"/>
  <c r="I152" i="24"/>
  <c r="I158" i="24"/>
  <c r="I163" i="24"/>
  <c r="I168" i="24"/>
  <c r="I174" i="24"/>
  <c r="I179" i="24"/>
  <c r="I184" i="24"/>
  <c r="I190" i="24"/>
  <c r="I195" i="24"/>
  <c r="I200" i="24"/>
  <c r="I206" i="24"/>
  <c r="I110" i="24"/>
  <c r="I112" i="24"/>
  <c r="I120" i="24"/>
  <c r="I128" i="24"/>
  <c r="I136" i="24"/>
  <c r="I143" i="24"/>
  <c r="I148" i="24"/>
  <c r="I154" i="24"/>
  <c r="I159" i="24"/>
  <c r="I164" i="24"/>
  <c r="I170" i="24"/>
  <c r="I175" i="24"/>
  <c r="I180" i="24"/>
  <c r="I186" i="24"/>
  <c r="I191" i="24"/>
  <c r="I196" i="24"/>
  <c r="I202" i="24"/>
  <c r="I207" i="24"/>
  <c r="I115" i="24"/>
  <c r="I123" i="24"/>
  <c r="I131" i="24"/>
  <c r="I139" i="24"/>
  <c r="I144" i="24"/>
  <c r="I150" i="24"/>
  <c r="I155" i="24"/>
  <c r="I160" i="24"/>
  <c r="I166" i="24"/>
  <c r="I171" i="24"/>
  <c r="I176" i="24"/>
  <c r="I182" i="24"/>
  <c r="I187" i="24"/>
  <c r="I192" i="24"/>
  <c r="I198" i="24"/>
  <c r="I203" i="24"/>
  <c r="I208" i="24"/>
  <c r="H216" i="24"/>
  <c r="H110" i="24"/>
  <c r="I217" i="24"/>
  <c r="I221" i="24"/>
  <c r="I225" i="24"/>
  <c r="I229" i="24"/>
  <c r="I233" i="24"/>
  <c r="I237" i="24"/>
  <c r="I241" i="24"/>
  <c r="I245" i="24"/>
  <c r="I249" i="24"/>
  <c r="I253" i="24"/>
  <c r="I257" i="24"/>
  <c r="I261" i="24"/>
  <c r="I265" i="24"/>
  <c r="I269" i="24"/>
  <c r="I273" i="24"/>
  <c r="I277" i="24"/>
  <c r="I281" i="24"/>
  <c r="I285" i="24"/>
  <c r="I289" i="24"/>
  <c r="I293" i="24"/>
  <c r="I297" i="24"/>
  <c r="I301" i="24"/>
  <c r="I305" i="24"/>
  <c r="I309" i="24"/>
  <c r="I313" i="24"/>
  <c r="I216" i="24"/>
  <c r="I219" i="24"/>
  <c r="I235" i="24"/>
  <c r="I243" i="24"/>
  <c r="I251" i="24"/>
  <c r="I259" i="24"/>
  <c r="I267" i="24"/>
  <c r="I275" i="24"/>
  <c r="I283" i="24"/>
  <c r="I291" i="24"/>
  <c r="I299" i="24"/>
  <c r="I303" i="24"/>
  <c r="I311" i="24"/>
  <c r="I224" i="24"/>
  <c r="I232" i="24"/>
  <c r="I240" i="24"/>
  <c r="I248" i="24"/>
  <c r="I256" i="24"/>
  <c r="I264" i="24"/>
  <c r="I272" i="24"/>
  <c r="I280" i="24"/>
  <c r="I288" i="24"/>
  <c r="I296" i="24"/>
  <c r="I300" i="24"/>
  <c r="I308" i="24"/>
  <c r="I218" i="24"/>
  <c r="I222" i="24"/>
  <c r="I226" i="24"/>
  <c r="I230" i="24"/>
  <c r="I234" i="24"/>
  <c r="I238" i="24"/>
  <c r="I242" i="24"/>
  <c r="I246" i="24"/>
  <c r="I250" i="24"/>
  <c r="I254" i="24"/>
  <c r="I258" i="24"/>
  <c r="I262" i="24"/>
  <c r="I266" i="24"/>
  <c r="I270" i="24"/>
  <c r="I274" i="24"/>
  <c r="I278" i="24"/>
  <c r="I282" i="24"/>
  <c r="I286" i="24"/>
  <c r="I290" i="24"/>
  <c r="I294" i="24"/>
  <c r="I298" i="24"/>
  <c r="I302" i="24"/>
  <c r="I306" i="24"/>
  <c r="I310" i="24"/>
  <c r="I314" i="24"/>
  <c r="I223" i="24"/>
  <c r="I227" i="24"/>
  <c r="I231" i="24"/>
  <c r="I239" i="24"/>
  <c r="I247" i="24"/>
  <c r="I255" i="24"/>
  <c r="I263" i="24"/>
  <c r="I271" i="24"/>
  <c r="I279" i="24"/>
  <c r="I287" i="24"/>
  <c r="I295" i="24"/>
  <c r="I307" i="24"/>
  <c r="I315" i="24"/>
  <c r="I220" i="24"/>
  <c r="I228" i="24"/>
  <c r="I236" i="24"/>
  <c r="I244" i="24"/>
  <c r="I252" i="24"/>
  <c r="I260" i="24"/>
  <c r="I268" i="24"/>
  <c r="I276" i="24"/>
  <c r="I284" i="24"/>
  <c r="I292" i="24"/>
  <c r="I304" i="24"/>
  <c r="I312" i="24"/>
  <c r="I316" i="24"/>
  <c r="E15" i="23"/>
  <c r="R15" i="23" s="1"/>
  <c r="E23" i="23"/>
  <c r="R23" i="23" s="1"/>
  <c r="E31" i="23"/>
  <c r="R31" i="23" s="1"/>
  <c r="E39" i="23"/>
  <c r="R39" i="23" s="1"/>
  <c r="E47" i="23"/>
  <c r="R47" i="23" s="1"/>
  <c r="E55" i="23"/>
  <c r="R55" i="23" s="1"/>
  <c r="E63" i="23"/>
  <c r="R63" i="23" s="1"/>
  <c r="E71" i="23"/>
  <c r="R71" i="23" s="1"/>
  <c r="E79" i="23"/>
  <c r="R79" i="23" s="1"/>
  <c r="E87" i="23"/>
  <c r="R87" i="23" s="1"/>
  <c r="E95" i="23"/>
  <c r="R95" i="23" s="1"/>
  <c r="E103" i="23"/>
  <c r="R103" i="23" s="1"/>
  <c r="E20" i="23"/>
  <c r="R20" i="23" s="1"/>
  <c r="E44" i="23"/>
  <c r="R44" i="23" s="1"/>
  <c r="E68" i="23"/>
  <c r="R68" i="23" s="1"/>
  <c r="E84" i="23"/>
  <c r="R84" i="23" s="1"/>
  <c r="E7" i="23"/>
  <c r="R7" i="23" s="1"/>
  <c r="E16" i="23"/>
  <c r="R16" i="23" s="1"/>
  <c r="E24" i="23"/>
  <c r="R24" i="23" s="1"/>
  <c r="E32" i="23"/>
  <c r="R32" i="23" s="1"/>
  <c r="E40" i="23"/>
  <c r="R40" i="23" s="1"/>
  <c r="E48" i="23"/>
  <c r="R48" i="23" s="1"/>
  <c r="E56" i="23"/>
  <c r="R56" i="23" s="1"/>
  <c r="E64" i="23"/>
  <c r="R64" i="23" s="1"/>
  <c r="E72" i="23"/>
  <c r="R72" i="23" s="1"/>
  <c r="E80" i="23"/>
  <c r="R80" i="23" s="1"/>
  <c r="E88" i="23"/>
  <c r="R88" i="23" s="1"/>
  <c r="E96" i="23"/>
  <c r="R96" i="23" s="1"/>
  <c r="E104" i="23"/>
  <c r="R104" i="23" s="1"/>
  <c r="E28" i="23"/>
  <c r="R28" i="23" s="1"/>
  <c r="E60" i="23"/>
  <c r="R60" i="23" s="1"/>
  <c r="E92" i="23"/>
  <c r="R92" i="23" s="1"/>
  <c r="E11" i="23"/>
  <c r="R11" i="23" s="1"/>
  <c r="E19" i="23"/>
  <c r="R19" i="23" s="1"/>
  <c r="E27" i="23"/>
  <c r="R27" i="23" s="1"/>
  <c r="E35" i="23"/>
  <c r="R35" i="23" s="1"/>
  <c r="E43" i="23"/>
  <c r="R43" i="23" s="1"/>
  <c r="E51" i="23"/>
  <c r="R51" i="23" s="1"/>
  <c r="E59" i="23"/>
  <c r="R59" i="23" s="1"/>
  <c r="E67" i="23"/>
  <c r="R67" i="23" s="1"/>
  <c r="E75" i="23"/>
  <c r="R75" i="23" s="1"/>
  <c r="E83" i="23"/>
  <c r="R83" i="23" s="1"/>
  <c r="E91" i="23"/>
  <c r="R91" i="23" s="1"/>
  <c r="E99" i="23"/>
  <c r="R99" i="23" s="1"/>
  <c r="E6" i="23"/>
  <c r="R6" i="23" s="1"/>
  <c r="E12" i="23"/>
  <c r="R12" i="23" s="1"/>
  <c r="E36" i="23"/>
  <c r="R36" i="23" s="1"/>
  <c r="E52" i="23"/>
  <c r="R52" i="23" s="1"/>
  <c r="E76" i="23"/>
  <c r="R76" i="23" s="1"/>
  <c r="E100" i="23"/>
  <c r="R100" i="23" s="1"/>
  <c r="K16" i="24"/>
  <c r="M58" i="24"/>
  <c r="M42" i="24"/>
  <c r="M26" i="24"/>
  <c r="K10" i="24"/>
  <c r="K45" i="24"/>
  <c r="K29" i="24"/>
  <c r="M7" i="24"/>
  <c r="M54" i="24"/>
  <c r="M38" i="24"/>
  <c r="K22" i="24"/>
  <c r="M6" i="24"/>
  <c r="K57" i="24"/>
  <c r="K41" i="24"/>
  <c r="K25" i="24"/>
  <c r="K20" i="24"/>
  <c r="M34" i="24"/>
  <c r="K12" i="24"/>
  <c r="K53" i="24"/>
  <c r="E94" i="23"/>
  <c r="R94" i="23" s="1"/>
  <c r="E78" i="23"/>
  <c r="R78" i="23" s="1"/>
  <c r="E62" i="23"/>
  <c r="R62" i="23" s="1"/>
  <c r="E46" i="23"/>
  <c r="R46" i="23" s="1"/>
  <c r="E30" i="23"/>
  <c r="R30" i="23" s="1"/>
  <c r="E14" i="23"/>
  <c r="R14" i="23" s="1"/>
  <c r="M103" i="24"/>
  <c r="K98" i="24"/>
  <c r="M87" i="24"/>
  <c r="K82" i="24"/>
  <c r="M96" i="24"/>
  <c r="K91" i="24"/>
  <c r="K81" i="24"/>
  <c r="K101" i="24"/>
  <c r="K93" i="24"/>
  <c r="K85" i="24"/>
  <c r="M94" i="24"/>
  <c r="M85" i="24"/>
  <c r="K75" i="24"/>
  <c r="K70" i="24"/>
  <c r="M80" i="24"/>
  <c r="K67" i="24"/>
  <c r="M89" i="24"/>
  <c r="K69" i="24"/>
  <c r="K61" i="24"/>
  <c r="M55" i="24"/>
  <c r="K50" i="24"/>
  <c r="M5" i="24"/>
  <c r="BB5" i="24" s="1"/>
  <c r="M30" i="24"/>
  <c r="K49" i="24"/>
  <c r="E106" i="23"/>
  <c r="R106" i="23" s="1"/>
  <c r="E90" i="23"/>
  <c r="R90" i="23" s="1"/>
  <c r="E74" i="23"/>
  <c r="R74" i="23" s="1"/>
  <c r="E58" i="23"/>
  <c r="R58" i="23" s="1"/>
  <c r="E42" i="23"/>
  <c r="R42" i="23" s="1"/>
  <c r="E26" i="23"/>
  <c r="R26" i="23" s="1"/>
  <c r="E9" i="23"/>
  <c r="R9" i="23" s="1"/>
  <c r="K102" i="24"/>
  <c r="M91" i="24"/>
  <c r="K86" i="24"/>
  <c r="M100" i="24"/>
  <c r="K95" i="24"/>
  <c r="M84" i="24"/>
  <c r="M74" i="24"/>
  <c r="K100" i="24"/>
  <c r="K92" i="24"/>
  <c r="K84" i="24"/>
  <c r="M75" i="24"/>
  <c r="M102" i="24"/>
  <c r="M93" i="24"/>
  <c r="K80" i="24"/>
  <c r="M73" i="24"/>
  <c r="M63" i="24"/>
  <c r="M77" i="24"/>
  <c r="K71" i="24"/>
  <c r="M105" i="24"/>
  <c r="K68" i="24"/>
  <c r="M59" i="24"/>
  <c r="K54" i="24"/>
  <c r="M50" i="24"/>
  <c r="E102" i="23"/>
  <c r="R102" i="23" s="1"/>
  <c r="E70" i="23"/>
  <c r="R70" i="23" s="1"/>
  <c r="E38" i="23"/>
  <c r="R38" i="23" s="1"/>
  <c r="K8" i="24"/>
  <c r="M95" i="24"/>
  <c r="K99" i="24"/>
  <c r="M88" i="24"/>
  <c r="M78" i="24"/>
  <c r="K97" i="24"/>
  <c r="M79" i="24"/>
  <c r="M101" i="24"/>
  <c r="K79" i="24"/>
  <c r="M67" i="24"/>
  <c r="K58" i="24"/>
  <c r="M47" i="24"/>
  <c r="M35" i="24"/>
  <c r="K30" i="24"/>
  <c r="K72" i="24"/>
  <c r="M57" i="24"/>
  <c r="K52" i="24"/>
  <c r="M41" i="24"/>
  <c r="K36" i="24"/>
  <c r="M25" i="24"/>
  <c r="K21" i="24"/>
  <c r="M10" i="24"/>
  <c r="K23" i="24"/>
  <c r="M12" i="24"/>
  <c r="K7" i="24"/>
  <c r="E101" i="23"/>
  <c r="R101" i="23" s="1"/>
  <c r="E85" i="23"/>
  <c r="R85" i="23" s="1"/>
  <c r="E69" i="23"/>
  <c r="R69" i="23" s="1"/>
  <c r="E53" i="23"/>
  <c r="R53" i="23" s="1"/>
  <c r="E37" i="23"/>
  <c r="R37" i="23" s="1"/>
  <c r="E21" i="23"/>
  <c r="R21" i="23" s="1"/>
  <c r="K5" i="24"/>
  <c r="M28" i="24"/>
  <c r="M36" i="24"/>
  <c r="M44" i="24"/>
  <c r="M52" i="24"/>
  <c r="M60" i="24"/>
  <c r="K18" i="24"/>
  <c r="E86" i="23"/>
  <c r="R86" i="23" s="1"/>
  <c r="E22" i="23"/>
  <c r="R22" i="23" s="1"/>
  <c r="M104" i="24"/>
  <c r="K83" i="24"/>
  <c r="K105" i="24"/>
  <c r="K74" i="24"/>
  <c r="M72" i="24"/>
  <c r="M64" i="24"/>
  <c r="K65" i="24"/>
  <c r="M43" i="24"/>
  <c r="K60" i="24"/>
  <c r="M49" i="24"/>
  <c r="K28" i="24"/>
  <c r="M62" i="24"/>
  <c r="K13" i="24"/>
  <c r="M20" i="24"/>
  <c r="E93" i="23"/>
  <c r="R93" i="23" s="1"/>
  <c r="E77" i="23"/>
  <c r="R77" i="23" s="1"/>
  <c r="E45" i="23"/>
  <c r="R45" i="23" s="1"/>
  <c r="E13" i="23"/>
  <c r="R13" i="23" s="1"/>
  <c r="M24" i="24"/>
  <c r="M40" i="24"/>
  <c r="M56" i="24"/>
  <c r="K14" i="24"/>
  <c r="E82" i="23"/>
  <c r="R82" i="23" s="1"/>
  <c r="E50" i="23"/>
  <c r="R50" i="23" s="1"/>
  <c r="M92" i="24"/>
  <c r="K104" i="24"/>
  <c r="M86" i="24"/>
  <c r="K64" i="24"/>
  <c r="K42" i="24"/>
  <c r="K26" i="24"/>
  <c r="M53" i="24"/>
  <c r="M37" i="24"/>
  <c r="K17" i="24"/>
  <c r="M66" i="24"/>
  <c r="M8" i="24"/>
  <c r="E89" i="23"/>
  <c r="R89" i="23" s="1"/>
  <c r="E57" i="23"/>
  <c r="R57" i="23" s="1"/>
  <c r="E25" i="23"/>
  <c r="R25" i="23" s="1"/>
  <c r="M9" i="24"/>
  <c r="M17" i="24"/>
  <c r="K27" i="24"/>
  <c r="K43" i="24"/>
  <c r="M69" i="24"/>
  <c r="M46" i="24"/>
  <c r="E98" i="23"/>
  <c r="R98" i="23" s="1"/>
  <c r="E66" i="23"/>
  <c r="R66" i="23" s="1"/>
  <c r="E34" i="23"/>
  <c r="R34" i="23" s="1"/>
  <c r="K94" i="24"/>
  <c r="M83" i="24"/>
  <c r="K87" i="24"/>
  <c r="K77" i="24"/>
  <c r="K96" i="24"/>
  <c r="K78" i="24"/>
  <c r="K76" i="24"/>
  <c r="K66" i="24"/>
  <c r="M81" i="24"/>
  <c r="M68" i="24"/>
  <c r="M98" i="24"/>
  <c r="K73" i="24"/>
  <c r="K46" i="24"/>
  <c r="M39" i="24"/>
  <c r="K34" i="24"/>
  <c r="M97" i="24"/>
  <c r="K56" i="24"/>
  <c r="M45" i="24"/>
  <c r="K40" i="24"/>
  <c r="M29" i="24"/>
  <c r="K24" i="24"/>
  <c r="M70" i="24"/>
  <c r="M14" i="24"/>
  <c r="K9" i="24"/>
  <c r="M16" i="24"/>
  <c r="K11" i="24"/>
  <c r="E97" i="23"/>
  <c r="R97" i="23" s="1"/>
  <c r="E81" i="23"/>
  <c r="R81" i="23" s="1"/>
  <c r="E65" i="23"/>
  <c r="R65" i="23" s="1"/>
  <c r="E49" i="23"/>
  <c r="R49" i="23" s="1"/>
  <c r="E33" i="23"/>
  <c r="R33" i="23" s="1"/>
  <c r="E17" i="23"/>
  <c r="R17" i="23" s="1"/>
  <c r="K6" i="24"/>
  <c r="M11" i="24"/>
  <c r="M15" i="24"/>
  <c r="M19" i="24"/>
  <c r="M23" i="24"/>
  <c r="K31" i="24"/>
  <c r="K39" i="24"/>
  <c r="K47" i="24"/>
  <c r="K55" i="24"/>
  <c r="M61" i="24"/>
  <c r="K37" i="24"/>
  <c r="E54" i="23"/>
  <c r="R54" i="23" s="1"/>
  <c r="K90" i="24"/>
  <c r="K89" i="24"/>
  <c r="K62" i="24"/>
  <c r="M76" i="24"/>
  <c r="M82" i="24"/>
  <c r="K38" i="24"/>
  <c r="M27" i="24"/>
  <c r="K44" i="24"/>
  <c r="M33" i="24"/>
  <c r="M18" i="24"/>
  <c r="K15" i="24"/>
  <c r="E10" i="23"/>
  <c r="R10" i="23" s="1"/>
  <c r="E61" i="23"/>
  <c r="R61" i="23" s="1"/>
  <c r="E29" i="23"/>
  <c r="R29" i="23" s="1"/>
  <c r="M32" i="24"/>
  <c r="M48" i="24"/>
  <c r="M65" i="24"/>
  <c r="K33" i="24"/>
  <c r="E18" i="23"/>
  <c r="R18" i="23" s="1"/>
  <c r="M99" i="24"/>
  <c r="K103" i="24"/>
  <c r="K88" i="24"/>
  <c r="M71" i="24"/>
  <c r="K63" i="24"/>
  <c r="M51" i="24"/>
  <c r="M31" i="24"/>
  <c r="M90" i="24"/>
  <c r="K48" i="24"/>
  <c r="K32" i="24"/>
  <c r="M22" i="24"/>
  <c r="K19" i="24"/>
  <c r="E105" i="23"/>
  <c r="R105" i="23" s="1"/>
  <c r="E73" i="23"/>
  <c r="R73" i="23" s="1"/>
  <c r="E41" i="23"/>
  <c r="R41" i="23" s="1"/>
  <c r="E8" i="23"/>
  <c r="R8" i="23" s="1"/>
  <c r="M13" i="24"/>
  <c r="M21" i="24"/>
  <c r="K35" i="24"/>
  <c r="K51" i="24"/>
  <c r="K59" i="24"/>
  <c r="D9" i="23"/>
  <c r="F9" i="23" s="1"/>
  <c r="D13" i="23"/>
  <c r="I13" i="23" s="1"/>
  <c r="D17" i="23"/>
  <c r="I17" i="23" s="1"/>
  <c r="D21" i="23"/>
  <c r="D25" i="23"/>
  <c r="I25" i="23" s="1"/>
  <c r="D29" i="23"/>
  <c r="D33" i="23"/>
  <c r="F33" i="23" s="1"/>
  <c r="D37" i="23"/>
  <c r="D41" i="23"/>
  <c r="F41" i="23" s="1"/>
  <c r="D45" i="23"/>
  <c r="D49" i="23"/>
  <c r="I49" i="23" s="1"/>
  <c r="D10" i="23"/>
  <c r="I10" i="23" s="1"/>
  <c r="D14" i="23"/>
  <c r="I14" i="23" s="1"/>
  <c r="D18" i="23"/>
  <c r="D22" i="23"/>
  <c r="I22" i="23" s="1"/>
  <c r="D26" i="23"/>
  <c r="D30" i="23"/>
  <c r="I30" i="23" s="1"/>
  <c r="D34" i="23"/>
  <c r="D38" i="23"/>
  <c r="F38" i="23" s="1"/>
  <c r="D42" i="23"/>
  <c r="D46" i="23"/>
  <c r="I46" i="23" s="1"/>
  <c r="D50" i="23"/>
  <c r="D54" i="23"/>
  <c r="I54" i="23" s="1"/>
  <c r="D58" i="23"/>
  <c r="D62" i="23"/>
  <c r="F62" i="23" s="1"/>
  <c r="D66" i="23"/>
  <c r="D70" i="23"/>
  <c r="F70" i="23" s="1"/>
  <c r="D74" i="23"/>
  <c r="D78" i="23"/>
  <c r="F78" i="23" s="1"/>
  <c r="D82" i="23"/>
  <c r="D86" i="23"/>
  <c r="F86" i="23" s="1"/>
  <c r="D90" i="23"/>
  <c r="D94" i="23"/>
  <c r="I94" i="23" s="1"/>
  <c r="D98" i="23"/>
  <c r="F98" i="23" s="1"/>
  <c r="D102" i="23"/>
  <c r="I102" i="23" s="1"/>
  <c r="D106" i="23"/>
  <c r="F106" i="23" s="1"/>
  <c r="D16" i="23"/>
  <c r="F16" i="23" s="1"/>
  <c r="D24" i="23"/>
  <c r="D32" i="23"/>
  <c r="I32" i="23" s="1"/>
  <c r="D40" i="23"/>
  <c r="D48" i="23"/>
  <c r="F48" i="23" s="1"/>
  <c r="D55" i="23"/>
  <c r="D60" i="23"/>
  <c r="I60" i="23" s="1"/>
  <c r="D65" i="23"/>
  <c r="I65" i="23" s="1"/>
  <c r="D71" i="23"/>
  <c r="I71" i="23" s="1"/>
  <c r="D76" i="23"/>
  <c r="F76" i="23" s="1"/>
  <c r="D81" i="23"/>
  <c r="I81" i="23" s="1"/>
  <c r="D87" i="23"/>
  <c r="D92" i="23"/>
  <c r="I92" i="23" s="1"/>
  <c r="D97" i="23"/>
  <c r="D103" i="23"/>
  <c r="I103" i="23" s="1"/>
  <c r="D7" i="23"/>
  <c r="F7" i="23" s="1"/>
  <c r="D23" i="23"/>
  <c r="F23" i="23" s="1"/>
  <c r="D39" i="23"/>
  <c r="F39" i="23" s="1"/>
  <c r="D53" i="23"/>
  <c r="I53" i="23" s="1"/>
  <c r="D64" i="23"/>
  <c r="D75" i="23"/>
  <c r="F75" i="23" s="1"/>
  <c r="D85" i="23"/>
  <c r="D96" i="23"/>
  <c r="F96" i="23" s="1"/>
  <c r="D8" i="23"/>
  <c r="D11" i="23"/>
  <c r="F11" i="23" s="1"/>
  <c r="D19" i="23"/>
  <c r="D27" i="23"/>
  <c r="F27" i="23" s="1"/>
  <c r="D35" i="23"/>
  <c r="D43" i="23"/>
  <c r="F43" i="23" s="1"/>
  <c r="D51" i="23"/>
  <c r="D56" i="23"/>
  <c r="F56" i="23" s="1"/>
  <c r="D61" i="23"/>
  <c r="I61" i="23" s="1"/>
  <c r="D67" i="23"/>
  <c r="I67" i="23" s="1"/>
  <c r="D72" i="23"/>
  <c r="D77" i="23"/>
  <c r="I77" i="23" s="1"/>
  <c r="D83" i="23"/>
  <c r="D88" i="23"/>
  <c r="I88" i="23" s="1"/>
  <c r="D93" i="23"/>
  <c r="D99" i="23"/>
  <c r="F99" i="23" s="1"/>
  <c r="D104" i="23"/>
  <c r="D6" i="23"/>
  <c r="I6" i="23" s="1"/>
  <c r="D12" i="23"/>
  <c r="I12" i="23" s="1"/>
  <c r="D20" i="23"/>
  <c r="I20" i="23" s="1"/>
  <c r="D28" i="23"/>
  <c r="D36" i="23"/>
  <c r="F36" i="23" s="1"/>
  <c r="D44" i="23"/>
  <c r="F44" i="23" s="1"/>
  <c r="D52" i="23"/>
  <c r="I52" i="23" s="1"/>
  <c r="D57" i="23"/>
  <c r="D63" i="23"/>
  <c r="I63" i="23" s="1"/>
  <c r="D68" i="23"/>
  <c r="D73" i="23"/>
  <c r="I73" i="23" s="1"/>
  <c r="D79" i="23"/>
  <c r="F79" i="23" s="1"/>
  <c r="D84" i="23"/>
  <c r="I84" i="23" s="1"/>
  <c r="D89" i="23"/>
  <c r="F89" i="23" s="1"/>
  <c r="D95" i="23"/>
  <c r="I95" i="23" s="1"/>
  <c r="D100" i="23"/>
  <c r="D105" i="23"/>
  <c r="I105" i="23" s="1"/>
  <c r="D15" i="23"/>
  <c r="D31" i="23"/>
  <c r="F31" i="23" s="1"/>
  <c r="D47" i="23"/>
  <c r="D59" i="23"/>
  <c r="F59" i="23" s="1"/>
  <c r="D69" i="23"/>
  <c r="F69" i="23" s="1"/>
  <c r="D80" i="23"/>
  <c r="I80" i="23" s="1"/>
  <c r="D91" i="23"/>
  <c r="D101" i="23"/>
  <c r="I101" i="23" s="1"/>
  <c r="B10" i="19"/>
  <c r="D10" i="19" s="1"/>
  <c r="I16" i="8"/>
  <c r="J16" i="8" s="1"/>
  <c r="D149" i="2" s="1"/>
  <c r="B150" i="2" s="1"/>
  <c r="B187" i="2"/>
  <c r="B190" i="2" s="1"/>
  <c r="B11" i="19"/>
  <c r="D11" i="19" s="1"/>
  <c r="I4" i="8" s="1"/>
  <c r="J4" i="8" s="1"/>
  <c r="B205" i="2"/>
  <c r="B3" i="8"/>
  <c r="B159" i="8" s="1"/>
  <c r="B158" i="8" s="1"/>
  <c r="B157" i="8" s="1"/>
  <c r="B156" i="8" s="1"/>
  <c r="B155" i="8" s="1"/>
  <c r="B154" i="8" s="1"/>
  <c r="B153" i="8" s="1"/>
  <c r="B152" i="8" s="1"/>
  <c r="B151" i="8" s="1"/>
  <c r="B150" i="8" s="1"/>
  <c r="B149" i="8" s="1"/>
  <c r="B148" i="8" s="1"/>
  <c r="B147" i="8" s="1"/>
  <c r="B146" i="8" s="1"/>
  <c r="B145" i="8" s="1"/>
  <c r="B144" i="8" s="1"/>
  <c r="B143" i="8" s="1"/>
  <c r="B142" i="8" s="1"/>
  <c r="B141" i="8" s="1"/>
  <c r="B140" i="8" s="1"/>
  <c r="B139" i="8" s="1"/>
  <c r="B138" i="8" s="1"/>
  <c r="B137" i="8" s="1"/>
  <c r="B136" i="8" s="1"/>
  <c r="B135" i="8" s="1"/>
  <c r="B134" i="8" s="1"/>
  <c r="B133" i="8" s="1"/>
  <c r="B132" i="8" s="1"/>
  <c r="B131" i="8" s="1"/>
  <c r="B130" i="8" s="1"/>
  <c r="B129" i="8" s="1"/>
  <c r="B128" i="8" s="1"/>
  <c r="B127" i="8" s="1"/>
  <c r="B126" i="8" s="1"/>
  <c r="B125" i="8" s="1"/>
  <c r="B124" i="8" s="1"/>
  <c r="B123" i="8" s="1"/>
  <c r="B122" i="8" s="1"/>
  <c r="B121" i="8" s="1"/>
  <c r="B120" i="8" s="1"/>
  <c r="B119" i="8" s="1"/>
  <c r="B118" i="8" s="1"/>
  <c r="B117" i="8" s="1"/>
  <c r="B116" i="8" s="1"/>
  <c r="B115" i="8" s="1"/>
  <c r="B114" i="8" s="1"/>
  <c r="B113" i="8" s="1"/>
  <c r="B112" i="8" s="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s="1"/>
  <c r="B82" i="8" s="1"/>
  <c r="B81" i="8" s="1"/>
  <c r="B80" i="8" s="1"/>
  <c r="B79" i="8" s="1"/>
  <c r="B78" i="8" s="1"/>
  <c r="B77" i="8" s="1"/>
  <c r="B76" i="8" s="1"/>
  <c r="B75" i="8" s="1"/>
  <c r="B74" i="8" s="1"/>
  <c r="B73" i="8" s="1"/>
  <c r="B72" i="8" s="1"/>
  <c r="B71" i="8" s="1"/>
  <c r="B70" i="8" s="1"/>
  <c r="B69" i="8" s="1"/>
  <c r="B68" i="8" s="1"/>
  <c r="B67" i="8" s="1"/>
  <c r="B66" i="8" s="1"/>
  <c r="B65" i="8" s="1"/>
  <c r="B64" i="8" s="1"/>
  <c r="B63" i="8" s="1"/>
  <c r="B62" i="8" s="1"/>
  <c r="B61" i="8" s="1"/>
  <c r="B60" i="8" s="1"/>
  <c r="B59" i="8" s="1"/>
  <c r="B58" i="8" s="1"/>
  <c r="B57" i="8" s="1"/>
  <c r="B56" i="8" s="1"/>
  <c r="B55" i="8" s="1"/>
  <c r="B54" i="8" s="1"/>
  <c r="B53" i="8" s="1"/>
  <c r="B52" i="8" s="1"/>
  <c r="B51" i="8" s="1"/>
  <c r="B50" i="8" s="1"/>
  <c r="B49" i="8" s="1"/>
  <c r="B48" i="8" s="1"/>
  <c r="B47" i="8" s="1"/>
  <c r="B46" i="8" s="1"/>
  <c r="B45" i="8" s="1"/>
  <c r="B44" i="8" s="1"/>
  <c r="B43" i="8" s="1"/>
  <c r="B42" i="8" s="1"/>
  <c r="B41" i="8" s="1"/>
  <c r="B40" i="8" s="1"/>
  <c r="B39" i="8" s="1"/>
  <c r="B38" i="8" s="1"/>
  <c r="B37" i="8" s="1"/>
  <c r="B36" i="8" s="1"/>
  <c r="B35" i="8" s="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B9" i="8" s="1"/>
  <c r="B8" i="8" s="1"/>
  <c r="B7" i="8" s="1"/>
  <c r="B6" i="8" s="1"/>
  <c r="B4" i="8" s="1"/>
  <c r="D31" i="16"/>
  <c r="D3" i="8"/>
  <c r="D159" i="8" s="1"/>
  <c r="D158" i="8" s="1"/>
  <c r="D157" i="8" s="1"/>
  <c r="D156" i="8" s="1"/>
  <c r="D155" i="8" s="1"/>
  <c r="D154" i="8" s="1"/>
  <c r="D153" i="8" s="1"/>
  <c r="D152" i="8" s="1"/>
  <c r="D151" i="8" s="1"/>
  <c r="D150" i="8" s="1"/>
  <c r="D149" i="8" s="1"/>
  <c r="D148" i="8" s="1"/>
  <c r="D147" i="8" s="1"/>
  <c r="D146" i="8" s="1"/>
  <c r="D145" i="8" s="1"/>
  <c r="D144" i="8" s="1"/>
  <c r="D143" i="8" s="1"/>
  <c r="D142" i="8" s="1"/>
  <c r="D141" i="8" s="1"/>
  <c r="D140" i="8" s="1"/>
  <c r="D139" i="8" s="1"/>
  <c r="D138" i="8" s="1"/>
  <c r="D137" i="8" s="1"/>
  <c r="D136" i="8" s="1"/>
  <c r="D135" i="8" s="1"/>
  <c r="D134" i="8" s="1"/>
  <c r="D133" i="8" s="1"/>
  <c r="D132" i="8" s="1"/>
  <c r="D131" i="8" s="1"/>
  <c r="D130" i="8" s="1"/>
  <c r="D129" i="8" s="1"/>
  <c r="D128" i="8" s="1"/>
  <c r="D127" i="8" s="1"/>
  <c r="D126" i="8" s="1"/>
  <c r="D125" i="8" s="1"/>
  <c r="D124" i="8" s="1"/>
  <c r="D123" i="8" s="1"/>
  <c r="D122" i="8" s="1"/>
  <c r="D121" i="8" s="1"/>
  <c r="D120" i="8" s="1"/>
  <c r="D119" i="8" s="1"/>
  <c r="D118" i="8" s="1"/>
  <c r="D117" i="8" s="1"/>
  <c r="D116" i="8" s="1"/>
  <c r="D115" i="8" s="1"/>
  <c r="D114" i="8" s="1"/>
  <c r="D113" i="8" s="1"/>
  <c r="D112" i="8" s="1"/>
  <c r="D111" i="8" s="1"/>
  <c r="D110" i="8" s="1"/>
  <c r="D109" i="8" s="1"/>
  <c r="D108" i="8" s="1"/>
  <c r="D107" i="8" s="1"/>
  <c r="D106" i="8" s="1"/>
  <c r="D105" i="8" s="1"/>
  <c r="D104" i="8" s="1"/>
  <c r="D103" i="8" s="1"/>
  <c r="D102" i="8" s="1"/>
  <c r="D101" i="8" s="1"/>
  <c r="D100" i="8" s="1"/>
  <c r="D99" i="8" s="1"/>
  <c r="D98" i="8" s="1"/>
  <c r="D97" i="8" s="1"/>
  <c r="D96" i="8" s="1"/>
  <c r="D95" i="8" s="1"/>
  <c r="D94" i="8" s="1"/>
  <c r="D93" i="8" s="1"/>
  <c r="D92" i="8" s="1"/>
  <c r="D91" i="8" s="1"/>
  <c r="D90" i="8" s="1"/>
  <c r="D89" i="8" s="1"/>
  <c r="D88" i="8" s="1"/>
  <c r="D87" i="8" s="1"/>
  <c r="D86" i="8" s="1"/>
  <c r="D85" i="8" s="1"/>
  <c r="D84" i="8" s="1"/>
  <c r="D83" i="8" s="1"/>
  <c r="D82" i="8" s="1"/>
  <c r="D81" i="8" s="1"/>
  <c r="D80" i="8" s="1"/>
  <c r="D79" i="8" s="1"/>
  <c r="D78" i="8" s="1"/>
  <c r="D77" i="8" s="1"/>
  <c r="D76" i="8" s="1"/>
  <c r="D75" i="8" s="1"/>
  <c r="D74" i="8" s="1"/>
  <c r="D73" i="8" s="1"/>
  <c r="D72" i="8" s="1"/>
  <c r="D71" i="8" s="1"/>
  <c r="D70" i="8" s="1"/>
  <c r="D69" i="8" s="1"/>
  <c r="D68" i="8" s="1"/>
  <c r="D67" i="8" s="1"/>
  <c r="D66" i="8" s="1"/>
  <c r="D65" i="8" s="1"/>
  <c r="D64" i="8" s="1"/>
  <c r="D63" i="8" s="1"/>
  <c r="D62" i="8" s="1"/>
  <c r="D61" i="8" s="1"/>
  <c r="D60" i="8" s="1"/>
  <c r="D59" i="8" s="1"/>
  <c r="D58" i="8" s="1"/>
  <c r="D57" i="8" s="1"/>
  <c r="D56" i="8" s="1"/>
  <c r="D55" i="8" s="1"/>
  <c r="D54" i="8" s="1"/>
  <c r="D53" i="8" s="1"/>
  <c r="D52" i="8" s="1"/>
  <c r="D51" i="8" s="1"/>
  <c r="D50" i="8" s="1"/>
  <c r="D49" i="8" s="1"/>
  <c r="D48" i="8" s="1"/>
  <c r="D47" i="8" s="1"/>
  <c r="D46" i="8" s="1"/>
  <c r="D45" i="8" s="1"/>
  <c r="D44" i="8" s="1"/>
  <c r="D43" i="8" s="1"/>
  <c r="D42" i="8" s="1"/>
  <c r="D41" i="8" s="1"/>
  <c r="D40" i="8" s="1"/>
  <c r="D39" i="8" s="1"/>
  <c r="D38" i="8" s="1"/>
  <c r="D37" i="8" s="1"/>
  <c r="D36" i="8" s="1"/>
  <c r="D35" i="8" s="1"/>
  <c r="D34" i="8" s="1"/>
  <c r="D33" i="8" s="1"/>
  <c r="D32" i="8" s="1"/>
  <c r="D31" i="8" s="1"/>
  <c r="D30" i="8" s="1"/>
  <c r="D29" i="8" s="1"/>
  <c r="D28" i="8" s="1"/>
  <c r="D27" i="8" s="1"/>
  <c r="D26" i="8" s="1"/>
  <c r="D25" i="8" s="1"/>
  <c r="D24" i="8" s="1"/>
  <c r="D23" i="8" s="1"/>
  <c r="D22" i="8" s="1"/>
  <c r="D21" i="8" s="1"/>
  <c r="D20" i="8" s="1"/>
  <c r="D19" i="8" s="1"/>
  <c r="D18" i="8" s="1"/>
  <c r="D17" i="8" s="1"/>
  <c r="D16" i="8" s="1"/>
  <c r="D15" i="8" s="1"/>
  <c r="D14" i="8" s="1"/>
  <c r="D13" i="8" s="1"/>
  <c r="D12" i="8" s="1"/>
  <c r="D11" i="8" s="1"/>
  <c r="D10" i="8" s="1"/>
  <c r="D9" i="8" s="1"/>
  <c r="D8" i="8" s="1"/>
  <c r="D7" i="8" s="1"/>
  <c r="D6" i="8" s="1"/>
  <c r="D4" i="8" s="1"/>
  <c r="E159" i="8"/>
  <c r="E158" i="8" s="1"/>
  <c r="E157" i="8" s="1"/>
  <c r="E156" i="8" s="1"/>
  <c r="E155" i="8" s="1"/>
  <c r="E154" i="8" s="1"/>
  <c r="E153" i="8" s="1"/>
  <c r="E152" i="8" s="1"/>
  <c r="E151" i="8" s="1"/>
  <c r="E150" i="8" s="1"/>
  <c r="E149" i="8" s="1"/>
  <c r="E148" i="8" s="1"/>
  <c r="E147" i="8" s="1"/>
  <c r="E146" i="8" s="1"/>
  <c r="E145" i="8" s="1"/>
  <c r="E144" i="8" s="1"/>
  <c r="E143" i="8" s="1"/>
  <c r="E142" i="8" s="1"/>
  <c r="E141" i="8" s="1"/>
  <c r="E140" i="8" s="1"/>
  <c r="E139" i="8" s="1"/>
  <c r="E138" i="8" s="1"/>
  <c r="E137" i="8" s="1"/>
  <c r="E136" i="8" s="1"/>
  <c r="E135" i="8" s="1"/>
  <c r="E134" i="8" s="1"/>
  <c r="E133" i="8" s="1"/>
  <c r="E132" i="8" s="1"/>
  <c r="E131" i="8" s="1"/>
  <c r="E130" i="8" s="1"/>
  <c r="E129" i="8" s="1"/>
  <c r="E128" i="8" s="1"/>
  <c r="E127" i="8" s="1"/>
  <c r="E126" i="8" s="1"/>
  <c r="E125" i="8" s="1"/>
  <c r="E124" i="8" s="1"/>
  <c r="E123" i="8" s="1"/>
  <c r="E122" i="8" s="1"/>
  <c r="E121" i="8" s="1"/>
  <c r="E120" i="8" s="1"/>
  <c r="E119" i="8" s="1"/>
  <c r="E118" i="8" s="1"/>
  <c r="E117" i="8" s="1"/>
  <c r="E116" i="8" s="1"/>
  <c r="E115" i="8" s="1"/>
  <c r="E114" i="8" s="1"/>
  <c r="E113" i="8" s="1"/>
  <c r="E112" i="8" s="1"/>
  <c r="E111" i="8" s="1"/>
  <c r="E110" i="8" s="1"/>
  <c r="E109" i="8" s="1"/>
  <c r="E108" i="8" s="1"/>
  <c r="E107" i="8" s="1"/>
  <c r="E106" i="8" s="1"/>
  <c r="E105" i="8" s="1"/>
  <c r="E104" i="8" s="1"/>
  <c r="E103" i="8" s="1"/>
  <c r="E102" i="8" s="1"/>
  <c r="E101" i="8" s="1"/>
  <c r="E100" i="8" s="1"/>
  <c r="E99" i="8" s="1"/>
  <c r="E98" i="8" s="1"/>
  <c r="E97" i="8" s="1"/>
  <c r="E96" i="8" s="1"/>
  <c r="E95" i="8" s="1"/>
  <c r="E94" i="8" s="1"/>
  <c r="E93" i="8" s="1"/>
  <c r="E92" i="8" s="1"/>
  <c r="E91" i="8" s="1"/>
  <c r="E90" i="8" s="1"/>
  <c r="E89" i="8" s="1"/>
  <c r="E88" i="8" s="1"/>
  <c r="E87" i="8" s="1"/>
  <c r="E86" i="8" s="1"/>
  <c r="E85" i="8" s="1"/>
  <c r="E84" i="8" s="1"/>
  <c r="E83" i="8" s="1"/>
  <c r="E82" i="8" s="1"/>
  <c r="E81" i="8" s="1"/>
  <c r="E80" i="8" s="1"/>
  <c r="E79" i="8" s="1"/>
  <c r="E78" i="8" s="1"/>
  <c r="E77" i="8" s="1"/>
  <c r="E76" i="8" s="1"/>
  <c r="E75" i="8" s="1"/>
  <c r="E74" i="8" s="1"/>
  <c r="E73" i="8" s="1"/>
  <c r="E72" i="8" s="1"/>
  <c r="E71" i="8" s="1"/>
  <c r="E70" i="8" s="1"/>
  <c r="E69" i="8" s="1"/>
  <c r="E68" i="8" s="1"/>
  <c r="E67" i="8" s="1"/>
  <c r="E66" i="8" s="1"/>
  <c r="E65" i="8" s="1"/>
  <c r="E64" i="8" s="1"/>
  <c r="E63" i="8" s="1"/>
  <c r="E62" i="8" s="1"/>
  <c r="E61" i="8" s="1"/>
  <c r="E60" i="8" s="1"/>
  <c r="E59" i="8" s="1"/>
  <c r="E58" i="8" s="1"/>
  <c r="E57" i="8" s="1"/>
  <c r="E56" i="8" s="1"/>
  <c r="E55" i="8" s="1"/>
  <c r="E54" i="8" s="1"/>
  <c r="E53" i="8" s="1"/>
  <c r="E52" i="8" s="1"/>
  <c r="E51" i="8" s="1"/>
  <c r="E50" i="8" s="1"/>
  <c r="E49" i="8" s="1"/>
  <c r="E48" i="8" s="1"/>
  <c r="E47" i="8" s="1"/>
  <c r="E46" i="8" s="1"/>
  <c r="E45" i="8" s="1"/>
  <c r="E44" i="8" s="1"/>
  <c r="E43" i="8" s="1"/>
  <c r="E42" i="8" s="1"/>
  <c r="E41" i="8" s="1"/>
  <c r="E40" i="8" s="1"/>
  <c r="E39" i="8" s="1"/>
  <c r="E38" i="8" s="1"/>
  <c r="E37" i="8" s="1"/>
  <c r="E36" i="8" s="1"/>
  <c r="E35" i="8" s="1"/>
  <c r="E34" i="8" s="1"/>
  <c r="E33" i="8" s="1"/>
  <c r="E32" i="8" s="1"/>
  <c r="E31" i="8" s="1"/>
  <c r="E30" i="8" s="1"/>
  <c r="E29" i="8" s="1"/>
  <c r="E28" i="8" s="1"/>
  <c r="E27" i="8" s="1"/>
  <c r="E26" i="8" s="1"/>
  <c r="E25" i="8" s="1"/>
  <c r="E24" i="8" s="1"/>
  <c r="E23" i="8" s="1"/>
  <c r="E22" i="8" s="1"/>
  <c r="E21" i="8" s="1"/>
  <c r="E20" i="8" s="1"/>
  <c r="E19" i="8" s="1"/>
  <c r="E18" i="8" s="1"/>
  <c r="E17" i="8" s="1"/>
  <c r="E16" i="8" s="1"/>
  <c r="E15" i="8" s="1"/>
  <c r="E14" i="8" s="1"/>
  <c r="E13" i="8" s="1"/>
  <c r="E12" i="8" s="1"/>
  <c r="E11" i="8" s="1"/>
  <c r="E10" i="8" s="1"/>
  <c r="E9" i="8" s="1"/>
  <c r="E8" i="8" s="1"/>
  <c r="E7" i="8" s="1"/>
  <c r="E6" i="8" s="1"/>
  <c r="E4" i="8" s="1"/>
  <c r="B206" i="2"/>
  <c r="S53" i="2"/>
  <c r="D33" i="16" s="1"/>
  <c r="B200" i="2"/>
  <c r="I50" i="2"/>
  <c r="C3" i="8"/>
  <c r="C159" i="8" s="1"/>
  <c r="C158" i="8" s="1"/>
  <c r="G35" i="16"/>
  <c r="A200" i="2"/>
  <c r="F27" i="1"/>
  <c r="B9" i="19"/>
  <c r="D9" i="19" s="1"/>
  <c r="B17" i="19"/>
  <c r="D17" i="19" s="1"/>
  <c r="B189" i="2"/>
  <c r="B188" i="2"/>
  <c r="B13" i="2"/>
  <c r="N212" i="24" l="1"/>
  <c r="BA212" i="24"/>
  <c r="N9" i="24"/>
  <c r="BA9" i="24"/>
  <c r="N77" i="24"/>
  <c r="BA77" i="24"/>
  <c r="N54" i="24"/>
  <c r="BA54" i="24"/>
  <c r="N90" i="24"/>
  <c r="BA90" i="24"/>
  <c r="N30" i="24"/>
  <c r="BA30" i="24"/>
  <c r="N71" i="24"/>
  <c r="BA71" i="24"/>
  <c r="N21" i="24"/>
  <c r="BA21" i="24"/>
  <c r="N82" i="24"/>
  <c r="BA82" i="24"/>
  <c r="N16" i="24"/>
  <c r="BA16" i="24"/>
  <c r="N81" i="24"/>
  <c r="BA81" i="24"/>
  <c r="N17" i="24"/>
  <c r="BA17" i="24"/>
  <c r="N37" i="24"/>
  <c r="BA37" i="24"/>
  <c r="N43" i="24"/>
  <c r="BA43" i="24"/>
  <c r="N12" i="24"/>
  <c r="BA12" i="24"/>
  <c r="N57" i="24"/>
  <c r="BA57" i="24"/>
  <c r="N101" i="24"/>
  <c r="BA101" i="24"/>
  <c r="N91" i="24"/>
  <c r="BA91" i="24"/>
  <c r="N89" i="24"/>
  <c r="BA89" i="24"/>
  <c r="N103" i="24"/>
  <c r="BA103" i="24"/>
  <c r="N38" i="24"/>
  <c r="BA38" i="24"/>
  <c r="N58" i="24"/>
  <c r="BA58" i="24"/>
  <c r="AW5" i="25"/>
  <c r="N76" i="24"/>
  <c r="BA76" i="24"/>
  <c r="N63" i="24"/>
  <c r="BA63" i="24"/>
  <c r="N7" i="24"/>
  <c r="BA7" i="24"/>
  <c r="N31" i="24"/>
  <c r="BA31" i="24"/>
  <c r="N18" i="24"/>
  <c r="BA18" i="24"/>
  <c r="N70" i="24"/>
  <c r="BA70" i="24"/>
  <c r="N39" i="24"/>
  <c r="BA39" i="24"/>
  <c r="N56" i="24"/>
  <c r="BA56" i="24"/>
  <c r="N72" i="24"/>
  <c r="BA72" i="24"/>
  <c r="N60" i="24"/>
  <c r="BA60" i="24"/>
  <c r="N35" i="24"/>
  <c r="BA35" i="24"/>
  <c r="N78" i="24"/>
  <c r="BA78" i="24"/>
  <c r="N50" i="24"/>
  <c r="BA50" i="24"/>
  <c r="N73" i="24"/>
  <c r="BA73" i="24"/>
  <c r="N74" i="24"/>
  <c r="BA74" i="24"/>
  <c r="N5" i="24"/>
  <c r="Q5" i="24" s="1"/>
  <c r="BA5" i="24"/>
  <c r="N97" i="24"/>
  <c r="BA97" i="24"/>
  <c r="N79" i="24"/>
  <c r="BA79" i="24"/>
  <c r="N34" i="24"/>
  <c r="BA34" i="24"/>
  <c r="N14" i="24"/>
  <c r="BA14" i="24"/>
  <c r="N80" i="24"/>
  <c r="BA80" i="24"/>
  <c r="N51" i="24"/>
  <c r="BA51" i="24"/>
  <c r="N65" i="24"/>
  <c r="BA65" i="24"/>
  <c r="N33" i="24"/>
  <c r="BA33" i="24"/>
  <c r="N23" i="24"/>
  <c r="BA23" i="24"/>
  <c r="N46" i="24"/>
  <c r="BA46" i="24"/>
  <c r="N40" i="24"/>
  <c r="BA40" i="24"/>
  <c r="N62" i="24"/>
  <c r="BA62" i="24"/>
  <c r="N52" i="24"/>
  <c r="BA52" i="24"/>
  <c r="N25" i="24"/>
  <c r="BA25" i="24"/>
  <c r="N47" i="24"/>
  <c r="BA47" i="24"/>
  <c r="N88" i="24"/>
  <c r="BA88" i="24"/>
  <c r="N84" i="24"/>
  <c r="BA84" i="24"/>
  <c r="N96" i="24"/>
  <c r="BA96" i="24"/>
  <c r="N64" i="24"/>
  <c r="BA64" i="24"/>
  <c r="N48" i="24"/>
  <c r="BA48" i="24"/>
  <c r="N29" i="24"/>
  <c r="BA29" i="24"/>
  <c r="N69" i="24"/>
  <c r="BA69" i="24"/>
  <c r="N8" i="24"/>
  <c r="BA8" i="24"/>
  <c r="N86" i="24"/>
  <c r="BA86" i="24"/>
  <c r="N24" i="24"/>
  <c r="BA24" i="24"/>
  <c r="N44" i="24"/>
  <c r="BA44" i="24"/>
  <c r="N59" i="24"/>
  <c r="BA59" i="24"/>
  <c r="N93" i="24"/>
  <c r="BA93" i="24"/>
  <c r="N55" i="24"/>
  <c r="BA55" i="24"/>
  <c r="N85" i="24"/>
  <c r="BA85" i="24"/>
  <c r="N13" i="24"/>
  <c r="BA13" i="24"/>
  <c r="N20" i="24"/>
  <c r="BA20" i="24"/>
  <c r="N32" i="24"/>
  <c r="BA32" i="24"/>
  <c r="N27" i="24"/>
  <c r="BA27" i="24"/>
  <c r="N15" i="24"/>
  <c r="BA15" i="24"/>
  <c r="N98" i="24"/>
  <c r="BA98" i="24"/>
  <c r="N66" i="24"/>
  <c r="BA66" i="24"/>
  <c r="N49" i="24"/>
  <c r="BA49" i="24"/>
  <c r="N36" i="24"/>
  <c r="BA36" i="24"/>
  <c r="N41" i="24"/>
  <c r="BA41" i="24"/>
  <c r="N67" i="24"/>
  <c r="BA67" i="24"/>
  <c r="N95" i="24"/>
  <c r="BA95" i="24"/>
  <c r="N102" i="24"/>
  <c r="BA102" i="24"/>
  <c r="N100" i="24"/>
  <c r="BA100" i="24"/>
  <c r="N94" i="24"/>
  <c r="BA94" i="24"/>
  <c r="N87" i="24"/>
  <c r="BA87" i="24"/>
  <c r="N6" i="24"/>
  <c r="BA6" i="24"/>
  <c r="N26" i="24"/>
  <c r="BA26" i="24"/>
  <c r="N99" i="24"/>
  <c r="BA99" i="24"/>
  <c r="N53" i="24"/>
  <c r="BA53" i="24"/>
  <c r="N10" i="24"/>
  <c r="BA10" i="24"/>
  <c r="N19" i="24"/>
  <c r="BA19" i="24"/>
  <c r="N22" i="24"/>
  <c r="BA22" i="24"/>
  <c r="N61" i="24"/>
  <c r="BA61" i="24"/>
  <c r="N11" i="24"/>
  <c r="BA11" i="24"/>
  <c r="N45" i="24"/>
  <c r="BA45" i="24"/>
  <c r="N68" i="24"/>
  <c r="BA68" i="24"/>
  <c r="N83" i="24"/>
  <c r="BA83" i="24"/>
  <c r="N92" i="24"/>
  <c r="BA92" i="24"/>
  <c r="N104" i="24"/>
  <c r="BA104" i="24"/>
  <c r="N28" i="24"/>
  <c r="BA28" i="24"/>
  <c r="N105" i="24"/>
  <c r="BA105" i="24"/>
  <c r="N75" i="24"/>
  <c r="BA75" i="24"/>
  <c r="N42" i="24"/>
  <c r="BA42" i="24"/>
  <c r="BM110" i="24"/>
  <c r="P212" i="24"/>
  <c r="L14" i="1"/>
  <c r="D61" i="2"/>
  <c r="N131" i="25"/>
  <c r="O131" i="25" s="1"/>
  <c r="Q131" i="25" s="1"/>
  <c r="BL131" i="25"/>
  <c r="L116" i="25"/>
  <c r="BL116" i="25"/>
  <c r="L164" i="25"/>
  <c r="BL164" i="25"/>
  <c r="N157" i="25"/>
  <c r="O157" i="25" s="1"/>
  <c r="R157" i="25" s="1"/>
  <c r="BL157" i="25"/>
  <c r="N189" i="25"/>
  <c r="O189" i="25" s="1"/>
  <c r="R189" i="25" s="1"/>
  <c r="BL189" i="25"/>
  <c r="N138" i="25"/>
  <c r="O138" i="25" s="1"/>
  <c r="R138" i="25" s="1"/>
  <c r="BL138" i="25"/>
  <c r="L143" i="25"/>
  <c r="BL143" i="25"/>
  <c r="N183" i="25"/>
  <c r="O183" i="25" s="1"/>
  <c r="Q183" i="25" s="1"/>
  <c r="BL183" i="25"/>
  <c r="L120" i="25"/>
  <c r="BL120" i="25"/>
  <c r="L136" i="25"/>
  <c r="BL136" i="25"/>
  <c r="N152" i="25"/>
  <c r="O152" i="25" s="1"/>
  <c r="Q152" i="25" s="1"/>
  <c r="BL152" i="25"/>
  <c r="L168" i="25"/>
  <c r="BL168" i="25"/>
  <c r="N184" i="25"/>
  <c r="O184" i="25" s="1"/>
  <c r="Q184" i="25" s="1"/>
  <c r="BL184" i="25"/>
  <c r="N200" i="25"/>
  <c r="O200" i="25" s="1"/>
  <c r="Q200" i="25" s="1"/>
  <c r="BL200" i="25"/>
  <c r="N139" i="25"/>
  <c r="O139" i="25" s="1"/>
  <c r="R139" i="25" s="1"/>
  <c r="BL139" i="25"/>
  <c r="L191" i="25"/>
  <c r="BL191" i="25"/>
  <c r="N113" i="25"/>
  <c r="O113" i="25" s="1"/>
  <c r="Q113" i="25" s="1"/>
  <c r="BL113" i="25"/>
  <c r="L129" i="25"/>
  <c r="BL129" i="25"/>
  <c r="N145" i="25"/>
  <c r="O145" i="25" s="1"/>
  <c r="R145" i="25" s="1"/>
  <c r="BL145" i="25"/>
  <c r="N177" i="25"/>
  <c r="O177" i="25" s="1"/>
  <c r="R177" i="25" s="1"/>
  <c r="BL177" i="25"/>
  <c r="L193" i="25"/>
  <c r="BL193" i="25"/>
  <c r="L209" i="25"/>
  <c r="BL209" i="25"/>
  <c r="L147" i="25"/>
  <c r="BL147" i="25"/>
  <c r="N207" i="25"/>
  <c r="O207" i="25" s="1"/>
  <c r="Q207" i="25" s="1"/>
  <c r="BL207" i="25"/>
  <c r="N126" i="25"/>
  <c r="O126" i="25" s="1"/>
  <c r="R126" i="25" s="1"/>
  <c r="BL126" i="25"/>
  <c r="N142" i="25"/>
  <c r="O142" i="25" s="1"/>
  <c r="Q142" i="25" s="1"/>
  <c r="BL142" i="25"/>
  <c r="N158" i="25"/>
  <c r="O158" i="25" s="1"/>
  <c r="R158" i="25" s="1"/>
  <c r="BL158" i="25"/>
  <c r="L174" i="25"/>
  <c r="BL174" i="25"/>
  <c r="N190" i="25"/>
  <c r="O190" i="25" s="1"/>
  <c r="Q190" i="25" s="1"/>
  <c r="BL190" i="25"/>
  <c r="L206" i="25"/>
  <c r="BL206" i="25"/>
  <c r="L115" i="25"/>
  <c r="BL115" i="25"/>
  <c r="N151" i="25"/>
  <c r="O151" i="25" s="1"/>
  <c r="R151" i="25" s="1"/>
  <c r="BL151" i="25"/>
  <c r="L199" i="25"/>
  <c r="BL199" i="25"/>
  <c r="N124" i="25"/>
  <c r="O124" i="25" s="1"/>
  <c r="Q124" i="25" s="1"/>
  <c r="BL124" i="25"/>
  <c r="L140" i="25"/>
  <c r="BL140" i="25"/>
  <c r="L156" i="25"/>
  <c r="BL156" i="25"/>
  <c r="N172" i="25"/>
  <c r="O172" i="25" s="1"/>
  <c r="R172" i="25" s="1"/>
  <c r="BL172" i="25"/>
  <c r="N188" i="25"/>
  <c r="O188" i="25" s="1"/>
  <c r="Q188" i="25" s="1"/>
  <c r="BL188" i="25"/>
  <c r="N204" i="25"/>
  <c r="O204" i="25" s="1"/>
  <c r="R204" i="25" s="1"/>
  <c r="BL204" i="25"/>
  <c r="L159" i="25"/>
  <c r="BL159" i="25"/>
  <c r="N195" i="25"/>
  <c r="O195" i="25" s="1"/>
  <c r="Q195" i="25" s="1"/>
  <c r="BL195" i="25"/>
  <c r="N117" i="25"/>
  <c r="O117" i="25" s="1"/>
  <c r="Q117" i="25" s="1"/>
  <c r="BL117" i="25"/>
  <c r="N133" i="25"/>
  <c r="O133" i="25" s="1"/>
  <c r="R133" i="25" s="1"/>
  <c r="BL133" i="25"/>
  <c r="L149" i="25"/>
  <c r="BL149" i="25"/>
  <c r="N165" i="25"/>
  <c r="O165" i="25" s="1"/>
  <c r="R165" i="25" s="1"/>
  <c r="BL165" i="25"/>
  <c r="N181" i="25"/>
  <c r="O181" i="25" s="1"/>
  <c r="Q181" i="25" s="1"/>
  <c r="BL181" i="25"/>
  <c r="N197" i="25"/>
  <c r="O197" i="25" s="1"/>
  <c r="Q197" i="25" s="1"/>
  <c r="BL197" i="25"/>
  <c r="L111" i="25"/>
  <c r="BL111" i="25"/>
  <c r="N155" i="25"/>
  <c r="O155" i="25" s="1"/>
  <c r="Q155" i="25" s="1"/>
  <c r="BL155" i="25"/>
  <c r="L114" i="25"/>
  <c r="BL114" i="25"/>
  <c r="L130" i="25"/>
  <c r="BL130" i="25"/>
  <c r="N146" i="25"/>
  <c r="O146" i="25" s="1"/>
  <c r="Q146" i="25" s="1"/>
  <c r="BL146" i="25"/>
  <c r="N162" i="25"/>
  <c r="O162" i="25" s="1"/>
  <c r="Q162" i="25" s="1"/>
  <c r="BL162" i="25"/>
  <c r="L178" i="25"/>
  <c r="BL178" i="25"/>
  <c r="L194" i="25"/>
  <c r="BL194" i="25"/>
  <c r="L210" i="25"/>
  <c r="BL210" i="25"/>
  <c r="N171" i="25"/>
  <c r="O171" i="25" s="1"/>
  <c r="R171" i="25" s="1"/>
  <c r="BL171" i="25"/>
  <c r="L132" i="25"/>
  <c r="BL132" i="25"/>
  <c r="N148" i="25"/>
  <c r="O148" i="25" s="1"/>
  <c r="Q148" i="25" s="1"/>
  <c r="BL148" i="25"/>
  <c r="N180" i="25"/>
  <c r="O180" i="25" s="1"/>
  <c r="R180" i="25" s="1"/>
  <c r="BL180" i="25"/>
  <c r="L196" i="25"/>
  <c r="BL196" i="25"/>
  <c r="N127" i="25"/>
  <c r="O127" i="25" s="1"/>
  <c r="Q127" i="25" s="1"/>
  <c r="BL127" i="25"/>
  <c r="L187" i="25"/>
  <c r="BL187" i="25"/>
  <c r="N125" i="25"/>
  <c r="O125" i="25" s="1"/>
  <c r="Q125" i="25" s="1"/>
  <c r="BL125" i="25"/>
  <c r="N141" i="25"/>
  <c r="O141" i="25" s="1"/>
  <c r="R141" i="25" s="1"/>
  <c r="BL141" i="25"/>
  <c r="N173" i="25"/>
  <c r="O173" i="25" s="1"/>
  <c r="R173" i="25" s="1"/>
  <c r="BL173" i="25"/>
  <c r="N205" i="25"/>
  <c r="O205" i="25" s="1"/>
  <c r="Q205" i="25" s="1"/>
  <c r="BL205" i="25"/>
  <c r="L135" i="25"/>
  <c r="BL135" i="25"/>
  <c r="L179" i="25"/>
  <c r="BL179" i="25"/>
  <c r="N122" i="25"/>
  <c r="O122" i="25" s="1"/>
  <c r="R122" i="25" s="1"/>
  <c r="BL122" i="25"/>
  <c r="L154" i="25"/>
  <c r="BL154" i="25"/>
  <c r="N170" i="25"/>
  <c r="O170" i="25" s="1"/>
  <c r="R170" i="25" s="1"/>
  <c r="BL170" i="25"/>
  <c r="L186" i="25"/>
  <c r="BL186" i="25"/>
  <c r="N202" i="25"/>
  <c r="O202" i="25" s="1"/>
  <c r="R202" i="25" s="1"/>
  <c r="BL202" i="25"/>
  <c r="L161" i="25"/>
  <c r="BL161" i="25"/>
  <c r="L123" i="25"/>
  <c r="BL123" i="25"/>
  <c r="N163" i="25"/>
  <c r="O163" i="25" s="1"/>
  <c r="Q163" i="25" s="1"/>
  <c r="BL163" i="25"/>
  <c r="L112" i="25"/>
  <c r="BL112" i="25"/>
  <c r="N128" i="25"/>
  <c r="O128" i="25" s="1"/>
  <c r="Q128" i="25" s="1"/>
  <c r="BL128" i="25"/>
  <c r="L144" i="25"/>
  <c r="BL144" i="25"/>
  <c r="L160" i="25"/>
  <c r="BL160" i="25"/>
  <c r="N176" i="25"/>
  <c r="O176" i="25" s="1"/>
  <c r="R176" i="25" s="1"/>
  <c r="BL176" i="25"/>
  <c r="L192" i="25"/>
  <c r="BL192" i="25"/>
  <c r="N208" i="25"/>
  <c r="O208" i="25" s="1"/>
  <c r="Q208" i="25" s="1"/>
  <c r="BL208" i="25"/>
  <c r="L175" i="25"/>
  <c r="BL175" i="25"/>
  <c r="N203" i="25"/>
  <c r="O203" i="25" s="1"/>
  <c r="Q203" i="25" s="1"/>
  <c r="BL203" i="25"/>
  <c r="N121" i="25"/>
  <c r="O121" i="25" s="1"/>
  <c r="Q121" i="25" s="1"/>
  <c r="BL121" i="25"/>
  <c r="L137" i="25"/>
  <c r="BL137" i="25"/>
  <c r="L153" i="25"/>
  <c r="BL153" i="25"/>
  <c r="L169" i="25"/>
  <c r="BL169" i="25"/>
  <c r="L185" i="25"/>
  <c r="BL185" i="25"/>
  <c r="L201" i="25"/>
  <c r="BL201" i="25"/>
  <c r="L119" i="25"/>
  <c r="BL119" i="25"/>
  <c r="L167" i="25"/>
  <c r="BL167" i="25"/>
  <c r="N118" i="25"/>
  <c r="O118" i="25" s="1"/>
  <c r="R118" i="25" s="1"/>
  <c r="BL118" i="25"/>
  <c r="L134" i="25"/>
  <c r="BL134" i="25"/>
  <c r="N150" i="25"/>
  <c r="O150" i="25" s="1"/>
  <c r="Q150" i="25" s="1"/>
  <c r="BL150" i="25"/>
  <c r="L166" i="25"/>
  <c r="BL166" i="25"/>
  <c r="L182" i="25"/>
  <c r="BL182" i="25"/>
  <c r="L198" i="25"/>
  <c r="BL198" i="25"/>
  <c r="K171" i="24"/>
  <c r="BM171" i="24"/>
  <c r="M123" i="24"/>
  <c r="BM123" i="24"/>
  <c r="K175" i="24"/>
  <c r="BM175" i="24"/>
  <c r="M128" i="24"/>
  <c r="BM128" i="24"/>
  <c r="K184" i="24"/>
  <c r="BM184" i="24"/>
  <c r="M142" i="24"/>
  <c r="BM142" i="24"/>
  <c r="M194" i="24"/>
  <c r="BM194" i="24"/>
  <c r="K151" i="24"/>
  <c r="BM151" i="24"/>
  <c r="K124" i="24"/>
  <c r="BM124" i="24"/>
  <c r="K114" i="24"/>
  <c r="BM114" i="24"/>
  <c r="M181" i="24"/>
  <c r="BM181" i="24"/>
  <c r="M165" i="24"/>
  <c r="BM165" i="24"/>
  <c r="K133" i="24"/>
  <c r="BM133" i="24"/>
  <c r="M208" i="24"/>
  <c r="BM208" i="24"/>
  <c r="K166" i="24"/>
  <c r="BM166" i="24"/>
  <c r="M115" i="24"/>
  <c r="BM115" i="24"/>
  <c r="M170" i="24"/>
  <c r="BM170" i="24"/>
  <c r="K120" i="24"/>
  <c r="BM120" i="24"/>
  <c r="M179" i="24"/>
  <c r="BM179" i="24"/>
  <c r="K135" i="24"/>
  <c r="BM135" i="24"/>
  <c r="M210" i="24"/>
  <c r="BA210" i="24" s="1"/>
  <c r="BM210" i="24"/>
  <c r="M167" i="24"/>
  <c r="BM167" i="24"/>
  <c r="K146" i="24"/>
  <c r="BM146" i="24"/>
  <c r="K126" i="24"/>
  <c r="BM126" i="24"/>
  <c r="K193" i="24"/>
  <c r="BM193" i="24"/>
  <c r="M161" i="24"/>
  <c r="BM161" i="24"/>
  <c r="K113" i="24"/>
  <c r="BM113" i="24"/>
  <c r="K198" i="24"/>
  <c r="BM198" i="24"/>
  <c r="K176" i="24"/>
  <c r="BM176" i="24"/>
  <c r="M155" i="24"/>
  <c r="BM155" i="24"/>
  <c r="M131" i="24"/>
  <c r="BM131" i="24"/>
  <c r="K202" i="24"/>
  <c r="BM202" i="24"/>
  <c r="K180" i="24"/>
  <c r="BM180" i="24"/>
  <c r="M159" i="24"/>
  <c r="BM159" i="24"/>
  <c r="M136" i="24"/>
  <c r="BM136" i="24"/>
  <c r="K190" i="24"/>
  <c r="BM190" i="24"/>
  <c r="K168" i="24"/>
  <c r="BM168" i="24"/>
  <c r="K147" i="24"/>
  <c r="BM147" i="24"/>
  <c r="M119" i="24"/>
  <c r="BM119" i="24"/>
  <c r="M199" i="24"/>
  <c r="BM199" i="24"/>
  <c r="K178" i="24"/>
  <c r="BM178" i="24"/>
  <c r="K156" i="24"/>
  <c r="BM156" i="24"/>
  <c r="K132" i="24"/>
  <c r="BM132" i="24"/>
  <c r="M134" i="24"/>
  <c r="BM134" i="24"/>
  <c r="K118" i="24"/>
  <c r="BM118" i="24"/>
  <c r="M201" i="24"/>
  <c r="BM201" i="24"/>
  <c r="K185" i="24"/>
  <c r="BM185" i="24"/>
  <c r="M169" i="24"/>
  <c r="BM169" i="24"/>
  <c r="K153" i="24"/>
  <c r="BM153" i="24"/>
  <c r="M137" i="24"/>
  <c r="BM137" i="24"/>
  <c r="K121" i="24"/>
  <c r="BM121" i="24"/>
  <c r="M192" i="24"/>
  <c r="BM192" i="24"/>
  <c r="M150" i="24"/>
  <c r="BM150" i="24"/>
  <c r="M196" i="24"/>
  <c r="BM196" i="24"/>
  <c r="M154" i="24"/>
  <c r="BM154" i="24"/>
  <c r="M206" i="24"/>
  <c r="BM206" i="24"/>
  <c r="M163" i="24"/>
  <c r="BM163" i="24"/>
  <c r="K111" i="24"/>
  <c r="BM111" i="24"/>
  <c r="M172" i="24"/>
  <c r="BM172" i="24"/>
  <c r="K130" i="24"/>
  <c r="BM130" i="24"/>
  <c r="K197" i="24"/>
  <c r="BM197" i="24"/>
  <c r="M149" i="24"/>
  <c r="BM149" i="24"/>
  <c r="K117" i="24"/>
  <c r="BM117" i="24"/>
  <c r="M187" i="24"/>
  <c r="BM187" i="24"/>
  <c r="K144" i="24"/>
  <c r="BM144" i="24"/>
  <c r="K191" i="24"/>
  <c r="BM191" i="24"/>
  <c r="M148" i="24"/>
  <c r="BM148" i="24"/>
  <c r="K200" i="24"/>
  <c r="BM200" i="24"/>
  <c r="K158" i="24"/>
  <c r="BM158" i="24"/>
  <c r="M188" i="24"/>
  <c r="BM188" i="24"/>
  <c r="M116" i="24"/>
  <c r="BM116" i="24"/>
  <c r="K209" i="24"/>
  <c r="BM209" i="24"/>
  <c r="M177" i="24"/>
  <c r="BM177" i="24"/>
  <c r="M145" i="24"/>
  <c r="BM145" i="24"/>
  <c r="K129" i="24"/>
  <c r="BM129" i="24"/>
  <c r="M203" i="24"/>
  <c r="BM203" i="24"/>
  <c r="M182" i="24"/>
  <c r="BM182" i="24"/>
  <c r="K160" i="24"/>
  <c r="BM160" i="24"/>
  <c r="K139" i="24"/>
  <c r="BM139" i="24"/>
  <c r="M207" i="24"/>
  <c r="BM207" i="24"/>
  <c r="M186" i="24"/>
  <c r="BM186" i="24"/>
  <c r="K164" i="24"/>
  <c r="BM164" i="24"/>
  <c r="K143" i="24"/>
  <c r="BM143" i="24"/>
  <c r="M112" i="24"/>
  <c r="BM112" i="24"/>
  <c r="K195" i="24"/>
  <c r="BM195" i="24"/>
  <c r="K174" i="24"/>
  <c r="BM174" i="24"/>
  <c r="M152" i="24"/>
  <c r="BM152" i="24"/>
  <c r="K127" i="24"/>
  <c r="BM127" i="24"/>
  <c r="K204" i="24"/>
  <c r="BM204" i="24"/>
  <c r="M183" i="24"/>
  <c r="BM183" i="24"/>
  <c r="M162" i="24"/>
  <c r="BM162" i="24"/>
  <c r="K140" i="24"/>
  <c r="BM140" i="24"/>
  <c r="K138" i="24"/>
  <c r="BM138" i="24"/>
  <c r="M122" i="24"/>
  <c r="BM122" i="24"/>
  <c r="M205" i="24"/>
  <c r="BM205" i="24"/>
  <c r="K189" i="24"/>
  <c r="BM189" i="24"/>
  <c r="K173" i="24"/>
  <c r="BM173" i="24"/>
  <c r="M157" i="24"/>
  <c r="BM157" i="24"/>
  <c r="K141" i="24"/>
  <c r="BM141" i="24"/>
  <c r="M125" i="24"/>
  <c r="BM125" i="24"/>
  <c r="N187" i="25"/>
  <c r="O187" i="25" s="1"/>
  <c r="Q187" i="25" s="1"/>
  <c r="L200" i="25"/>
  <c r="B249" i="2"/>
  <c r="L13" i="1"/>
  <c r="J5" i="24"/>
  <c r="O5" i="24"/>
  <c r="S216" i="24"/>
  <c r="T216" i="24" s="1"/>
  <c r="S110" i="24"/>
  <c r="T110" i="24" s="1"/>
  <c r="A28" i="16"/>
  <c r="P5" i="24"/>
  <c r="U5" i="24"/>
  <c r="T5" i="25"/>
  <c r="U5" i="25" s="1"/>
  <c r="N110" i="25"/>
  <c r="T110" i="25" s="1"/>
  <c r="U110" i="25" s="1"/>
  <c r="M110" i="24"/>
  <c r="BS5" i="25"/>
  <c r="L176" i="25"/>
  <c r="B245" i="2"/>
  <c r="D245" i="2" s="1"/>
  <c r="D34" i="16"/>
  <c r="L155" i="25"/>
  <c r="N149" i="25"/>
  <c r="O149" i="25" s="1"/>
  <c r="R149" i="25" s="1"/>
  <c r="N115" i="25"/>
  <c r="O115" i="25" s="1"/>
  <c r="R115" i="25" s="1"/>
  <c r="L172" i="25"/>
  <c r="N199" i="25"/>
  <c r="O199" i="25" s="1"/>
  <c r="R199" i="25" s="1"/>
  <c r="L124" i="25"/>
  <c r="N156" i="25"/>
  <c r="O156" i="25" s="1"/>
  <c r="R156" i="25" s="1"/>
  <c r="N114" i="25"/>
  <c r="O114" i="25" s="1"/>
  <c r="Q114" i="25" s="1"/>
  <c r="N130" i="25"/>
  <c r="O130" i="25" s="1"/>
  <c r="Q130" i="25" s="1"/>
  <c r="L195" i="25"/>
  <c r="N194" i="25"/>
  <c r="O194" i="25" s="1"/>
  <c r="R194" i="25" s="1"/>
  <c r="L162" i="25"/>
  <c r="L151" i="25"/>
  <c r="N143" i="25"/>
  <c r="O143" i="25" s="1"/>
  <c r="Q143" i="25" s="1"/>
  <c r="L145" i="25"/>
  <c r="O9" i="25"/>
  <c r="R9" i="25" s="1"/>
  <c r="O10" i="25"/>
  <c r="Q10" i="25" s="1"/>
  <c r="O80" i="25"/>
  <c r="Q80" i="25" s="1"/>
  <c r="O53" i="25"/>
  <c r="R53" i="25" s="1"/>
  <c r="L113" i="25"/>
  <c r="N161" i="25"/>
  <c r="O161" i="25" s="1"/>
  <c r="Q161" i="25" s="1"/>
  <c r="W42" i="2"/>
  <c r="W43" i="2" s="1"/>
  <c r="R43" i="2"/>
  <c r="N111" i="25"/>
  <c r="O111" i="25" s="1"/>
  <c r="R111" i="25" s="1"/>
  <c r="N159" i="25"/>
  <c r="O159" i="25" s="1"/>
  <c r="R159" i="25" s="1"/>
  <c r="L133" i="25"/>
  <c r="L197" i="25"/>
  <c r="N140" i="25"/>
  <c r="O140" i="25" s="1"/>
  <c r="R140" i="25" s="1"/>
  <c r="N178" i="25"/>
  <c r="O178" i="25" s="1"/>
  <c r="Q178" i="25" s="1"/>
  <c r="N210" i="25"/>
  <c r="O210" i="25" s="1"/>
  <c r="Q210" i="25" s="1"/>
  <c r="L146" i="25"/>
  <c r="L204" i="25"/>
  <c r="L117" i="25"/>
  <c r="L165" i="25"/>
  <c r="L188" i="25"/>
  <c r="L181" i="25"/>
  <c r="L184" i="25"/>
  <c r="L177" i="25"/>
  <c r="N193" i="25"/>
  <c r="O193" i="25" s="1"/>
  <c r="Q193" i="25" s="1"/>
  <c r="N147" i="25"/>
  <c r="O147" i="25" s="1"/>
  <c r="R147" i="25" s="1"/>
  <c r="L139" i="25"/>
  <c r="L142" i="25"/>
  <c r="L183" i="25"/>
  <c r="N168" i="25"/>
  <c r="O168" i="25" s="1"/>
  <c r="Q168" i="25" s="1"/>
  <c r="N174" i="25"/>
  <c r="O174" i="25" s="1"/>
  <c r="Q174" i="25" s="1"/>
  <c r="O57" i="25"/>
  <c r="R57" i="25" s="1"/>
  <c r="O89" i="25"/>
  <c r="R89" i="25" s="1"/>
  <c r="O94" i="25"/>
  <c r="R94" i="25" s="1"/>
  <c r="O55" i="25"/>
  <c r="Q55" i="25" s="1"/>
  <c r="O65" i="25"/>
  <c r="Q65" i="25" s="1"/>
  <c r="O12" i="25"/>
  <c r="R12" i="25" s="1"/>
  <c r="O104" i="25"/>
  <c r="Q104" i="25" s="1"/>
  <c r="O13" i="25"/>
  <c r="R13" i="25" s="1"/>
  <c r="O32" i="25"/>
  <c r="Q32" i="25" s="1"/>
  <c r="O52" i="25"/>
  <c r="Q52" i="25" s="1"/>
  <c r="O18" i="25"/>
  <c r="R18" i="25" s="1"/>
  <c r="O31" i="25"/>
  <c r="Q31" i="25" s="1"/>
  <c r="O59" i="25"/>
  <c r="Q59" i="25" s="1"/>
  <c r="O93" i="25"/>
  <c r="Q93" i="25" s="1"/>
  <c r="R44" i="2"/>
  <c r="B26" i="2"/>
  <c r="L118" i="25"/>
  <c r="N175" i="25"/>
  <c r="O175" i="25" s="1"/>
  <c r="R175" i="25" s="1"/>
  <c r="L148" i="25"/>
  <c r="L122" i="25"/>
  <c r="N136" i="25"/>
  <c r="O136" i="25" s="1"/>
  <c r="R136" i="25" s="1"/>
  <c r="L180" i="25"/>
  <c r="N120" i="25"/>
  <c r="O120" i="25" s="1"/>
  <c r="R120" i="25" s="1"/>
  <c r="L163" i="25"/>
  <c r="N129" i="25"/>
  <c r="O129" i="25" s="1"/>
  <c r="Q129" i="25" s="1"/>
  <c r="N119" i="25"/>
  <c r="O119" i="25" s="1"/>
  <c r="Q119" i="25" s="1"/>
  <c r="L128" i="25"/>
  <c r="L158" i="25"/>
  <c r="L152" i="25"/>
  <c r="N191" i="25"/>
  <c r="O191" i="25" s="1"/>
  <c r="R191" i="25" s="1"/>
  <c r="N192" i="25"/>
  <c r="O192" i="25" s="1"/>
  <c r="R192" i="25" s="1"/>
  <c r="N185" i="25"/>
  <c r="O185" i="25" s="1"/>
  <c r="Q185" i="25" s="1"/>
  <c r="N166" i="25"/>
  <c r="O166" i="25" s="1"/>
  <c r="Q166" i="25" s="1"/>
  <c r="L203" i="25"/>
  <c r="N167" i="25"/>
  <c r="O167" i="25" s="1"/>
  <c r="R167" i="25" s="1"/>
  <c r="L207" i="25"/>
  <c r="N209" i="25"/>
  <c r="O209" i="25" s="1"/>
  <c r="Q209" i="25" s="1"/>
  <c r="L126" i="25"/>
  <c r="N206" i="25"/>
  <c r="O206" i="25" s="1"/>
  <c r="Q206" i="25" s="1"/>
  <c r="N160" i="25"/>
  <c r="O160" i="25" s="1"/>
  <c r="R160" i="25" s="1"/>
  <c r="N153" i="25"/>
  <c r="O153" i="25" s="1"/>
  <c r="Q153" i="25" s="1"/>
  <c r="N134" i="25"/>
  <c r="O134" i="25" s="1"/>
  <c r="Q134" i="25" s="1"/>
  <c r="N198" i="25"/>
  <c r="O198" i="25" s="1"/>
  <c r="R198" i="25" s="1"/>
  <c r="N201" i="25"/>
  <c r="O201" i="25" s="1"/>
  <c r="R201" i="25" s="1"/>
  <c r="N112" i="25"/>
  <c r="O112" i="25" s="1"/>
  <c r="R112" i="25" s="1"/>
  <c r="L121" i="25"/>
  <c r="N123" i="25"/>
  <c r="O123" i="25" s="1"/>
  <c r="L150" i="25"/>
  <c r="N144" i="25"/>
  <c r="O144" i="25" s="1"/>
  <c r="Q144" i="25" s="1"/>
  <c r="N137" i="25"/>
  <c r="O137" i="25" s="1"/>
  <c r="R137" i="25" s="1"/>
  <c r="N169" i="25"/>
  <c r="O169" i="25" s="1"/>
  <c r="Q169" i="25" s="1"/>
  <c r="N182" i="25"/>
  <c r="O182" i="25" s="1"/>
  <c r="R182" i="25" s="1"/>
  <c r="L208" i="25"/>
  <c r="L190" i="25"/>
  <c r="L127" i="25"/>
  <c r="N116" i="25"/>
  <c r="O116" i="25" s="1"/>
  <c r="Q116" i="25" s="1"/>
  <c r="O87" i="25"/>
  <c r="Q87" i="25" s="1"/>
  <c r="O29" i="25"/>
  <c r="R29" i="25" s="1"/>
  <c r="O64" i="25"/>
  <c r="R64" i="25" s="1"/>
  <c r="O35" i="25"/>
  <c r="R35" i="25" s="1"/>
  <c r="O62" i="25"/>
  <c r="R62" i="25" s="1"/>
  <c r="O81" i="25"/>
  <c r="R81" i="25" s="1"/>
  <c r="O72" i="25"/>
  <c r="Q72" i="25" s="1"/>
  <c r="O22" i="25"/>
  <c r="Q22" i="25" s="1"/>
  <c r="O82" i="25"/>
  <c r="Q82" i="25" s="1"/>
  <c r="O63" i="25"/>
  <c r="R63" i="25" s="1"/>
  <c r="O41" i="25"/>
  <c r="Q41" i="25" s="1"/>
  <c r="O67" i="25"/>
  <c r="R67" i="25" s="1"/>
  <c r="O86" i="25"/>
  <c r="Q86" i="25" s="1"/>
  <c r="O44" i="25"/>
  <c r="Q44" i="25" s="1"/>
  <c r="O79" i="25"/>
  <c r="R79" i="25" s="1"/>
  <c r="O100" i="25"/>
  <c r="Q100" i="25" s="1"/>
  <c r="O90" i="25"/>
  <c r="Q90" i="25" s="1"/>
  <c r="O58" i="25"/>
  <c r="Q58" i="25" s="1"/>
  <c r="O30" i="25"/>
  <c r="R30" i="25" s="1"/>
  <c r="O73" i="25"/>
  <c r="R73" i="25" s="1"/>
  <c r="O15" i="25"/>
  <c r="Q15" i="25" s="1"/>
  <c r="O25" i="25"/>
  <c r="R25" i="25" s="1"/>
  <c r="O24" i="25"/>
  <c r="R24" i="25" s="1"/>
  <c r="O6" i="25"/>
  <c r="Q6" i="25" s="1"/>
  <c r="O88" i="25"/>
  <c r="Q88" i="25" s="1"/>
  <c r="O47" i="25"/>
  <c r="Q47" i="25" s="1"/>
  <c r="O16" i="25"/>
  <c r="R16" i="25" s="1"/>
  <c r="O85" i="25"/>
  <c r="Q85" i="25" s="1"/>
  <c r="O60" i="25"/>
  <c r="R60" i="25" s="1"/>
  <c r="O61" i="25"/>
  <c r="R61" i="25" s="1"/>
  <c r="O49" i="25"/>
  <c r="R49" i="25" s="1"/>
  <c r="O8" i="25"/>
  <c r="Q8" i="25" s="1"/>
  <c r="O40" i="25"/>
  <c r="Q40" i="25" s="1"/>
  <c r="O76" i="25"/>
  <c r="Q76" i="25" s="1"/>
  <c r="O26" i="25"/>
  <c r="Q26" i="25" s="1"/>
  <c r="O71" i="25"/>
  <c r="R71" i="25" s="1"/>
  <c r="O69" i="25"/>
  <c r="Q69" i="25" s="1"/>
  <c r="O101" i="25"/>
  <c r="R101" i="25" s="1"/>
  <c r="O21" i="25"/>
  <c r="Q21" i="25" s="1"/>
  <c r="O50" i="25"/>
  <c r="R50" i="25" s="1"/>
  <c r="O99" i="25"/>
  <c r="R99" i="25" s="1"/>
  <c r="O23" i="25"/>
  <c r="Q23" i="25" s="1"/>
  <c r="O51" i="25"/>
  <c r="Q51" i="25" s="1"/>
  <c r="O83" i="25"/>
  <c r="Q83" i="25" s="1"/>
  <c r="O96" i="25"/>
  <c r="Q96" i="25" s="1"/>
  <c r="O91" i="25"/>
  <c r="Q91" i="25" s="1"/>
  <c r="O43" i="25"/>
  <c r="Q43" i="25" s="1"/>
  <c r="O38" i="25"/>
  <c r="Q38" i="25" s="1"/>
  <c r="O70" i="25"/>
  <c r="Q70" i="25" s="1"/>
  <c r="O39" i="25"/>
  <c r="R39" i="25" s="1"/>
  <c r="O37" i="25"/>
  <c r="R37" i="25" s="1"/>
  <c r="O36" i="25"/>
  <c r="Q36" i="25" s="1"/>
  <c r="O84" i="25"/>
  <c r="Q84" i="25" s="1"/>
  <c r="O75" i="25"/>
  <c r="Q75" i="25" s="1"/>
  <c r="O19" i="25"/>
  <c r="R19" i="25" s="1"/>
  <c r="O74" i="25"/>
  <c r="Q74" i="25" s="1"/>
  <c r="O46" i="25"/>
  <c r="R46" i="25" s="1"/>
  <c r="O48" i="25"/>
  <c r="R48" i="25" s="1"/>
  <c r="O105" i="25"/>
  <c r="Q105" i="25" s="1"/>
  <c r="O45" i="25"/>
  <c r="Q45" i="25" s="1"/>
  <c r="O7" i="25"/>
  <c r="R7" i="25" s="1"/>
  <c r="O33" i="25"/>
  <c r="Q33" i="25" s="1"/>
  <c r="O28" i="25"/>
  <c r="Q28" i="25" s="1"/>
  <c r="O54" i="25"/>
  <c r="Q54" i="25" s="1"/>
  <c r="O68" i="25"/>
  <c r="R68" i="25" s="1"/>
  <c r="O42" i="25"/>
  <c r="R42" i="25" s="1"/>
  <c r="O92" i="25"/>
  <c r="Q92" i="25" s="1"/>
  <c r="O103" i="25"/>
  <c r="Q103" i="25" s="1"/>
  <c r="O14" i="25"/>
  <c r="Q14" i="25" s="1"/>
  <c r="O27" i="25"/>
  <c r="R27" i="25" s="1"/>
  <c r="O66" i="25"/>
  <c r="R66" i="25" s="1"/>
  <c r="O11" i="25"/>
  <c r="Q11" i="25" s="1"/>
  <c r="O17" i="25"/>
  <c r="R17" i="25" s="1"/>
  <c r="O77" i="25"/>
  <c r="Q77" i="25" s="1"/>
  <c r="O20" i="25"/>
  <c r="R20" i="25" s="1"/>
  <c r="O56" i="25"/>
  <c r="Q56" i="25" s="1"/>
  <c r="O97" i="25"/>
  <c r="Q97" i="25" s="1"/>
  <c r="O98" i="25"/>
  <c r="R98" i="25" s="1"/>
  <c r="O102" i="25"/>
  <c r="R102" i="25" s="1"/>
  <c r="O95" i="25"/>
  <c r="R95" i="25" s="1"/>
  <c r="O34" i="25"/>
  <c r="R34" i="25" s="1"/>
  <c r="O78" i="25"/>
  <c r="Q78" i="25" s="1"/>
  <c r="L171" i="25"/>
  <c r="L110" i="25"/>
  <c r="L141" i="25"/>
  <c r="L173" i="25"/>
  <c r="L205" i="25"/>
  <c r="N154" i="25"/>
  <c r="O154" i="25" s="1"/>
  <c r="Q154" i="25" s="1"/>
  <c r="N186" i="25"/>
  <c r="O186" i="25" s="1"/>
  <c r="Q186" i="25" s="1"/>
  <c r="N179" i="25"/>
  <c r="O179" i="25" s="1"/>
  <c r="Q179" i="25" s="1"/>
  <c r="L138" i="25"/>
  <c r="L170" i="25"/>
  <c r="L202" i="25"/>
  <c r="N135" i="25"/>
  <c r="O135" i="25" s="1"/>
  <c r="R135" i="25" s="1"/>
  <c r="L131" i="25"/>
  <c r="L125" i="25"/>
  <c r="L157" i="25"/>
  <c r="L189" i="25"/>
  <c r="N132" i="25"/>
  <c r="O132" i="25" s="1"/>
  <c r="Q132" i="25" s="1"/>
  <c r="N164" i="25"/>
  <c r="O164" i="25" s="1"/>
  <c r="Q164" i="25" s="1"/>
  <c r="N196" i="25"/>
  <c r="O196" i="25" s="1"/>
  <c r="Q196" i="25" s="1"/>
  <c r="I9" i="19"/>
  <c r="I8" i="19"/>
  <c r="I7" i="19"/>
  <c r="I6" i="19"/>
  <c r="N238" i="25"/>
  <c r="O238" i="25" s="1"/>
  <c r="L238" i="25"/>
  <c r="N242" i="25"/>
  <c r="O242" i="25" s="1"/>
  <c r="L242" i="25"/>
  <c r="N246" i="25"/>
  <c r="O246" i="25" s="1"/>
  <c r="L246" i="25"/>
  <c r="N234" i="25"/>
  <c r="O234" i="25" s="1"/>
  <c r="L234" i="25"/>
  <c r="N286" i="25"/>
  <c r="O286" i="25" s="1"/>
  <c r="L286" i="25"/>
  <c r="N302" i="25"/>
  <c r="O302" i="25" s="1"/>
  <c r="L302" i="25"/>
  <c r="N216" i="25"/>
  <c r="L216" i="25"/>
  <c r="N231" i="25"/>
  <c r="O231" i="25" s="1"/>
  <c r="L231" i="25"/>
  <c r="L247" i="25"/>
  <c r="N247" i="25"/>
  <c r="O247" i="25" s="1"/>
  <c r="L263" i="25"/>
  <c r="N263" i="25"/>
  <c r="O263" i="25" s="1"/>
  <c r="L279" i="25"/>
  <c r="N279" i="25"/>
  <c r="O279" i="25" s="1"/>
  <c r="L295" i="25"/>
  <c r="N295" i="25"/>
  <c r="O295" i="25" s="1"/>
  <c r="N311" i="25"/>
  <c r="O311" i="25" s="1"/>
  <c r="L311" i="25"/>
  <c r="L228" i="25"/>
  <c r="N228" i="25"/>
  <c r="O228" i="25" s="1"/>
  <c r="L244" i="25"/>
  <c r="N244" i="25"/>
  <c r="O244" i="25" s="1"/>
  <c r="L260" i="25"/>
  <c r="N260" i="25"/>
  <c r="O260" i="25" s="1"/>
  <c r="N276" i="25"/>
  <c r="O276" i="25" s="1"/>
  <c r="L276" i="25"/>
  <c r="L292" i="25"/>
  <c r="N292" i="25"/>
  <c r="O292" i="25" s="1"/>
  <c r="N308" i="25"/>
  <c r="O308" i="25" s="1"/>
  <c r="L308" i="25"/>
  <c r="N221" i="25"/>
  <c r="O221" i="25" s="1"/>
  <c r="L221" i="25"/>
  <c r="L237" i="25"/>
  <c r="N237" i="25"/>
  <c r="O237" i="25" s="1"/>
  <c r="L253" i="25"/>
  <c r="N253" i="25"/>
  <c r="O253" i="25" s="1"/>
  <c r="L269" i="25"/>
  <c r="N269" i="25"/>
  <c r="O269" i="25" s="1"/>
  <c r="N285" i="25"/>
  <c r="O285" i="25" s="1"/>
  <c r="L285" i="25"/>
  <c r="L301" i="25"/>
  <c r="N301" i="25"/>
  <c r="O301" i="25" s="1"/>
  <c r="N254" i="25"/>
  <c r="O254" i="25" s="1"/>
  <c r="L254" i="25"/>
  <c r="N258" i="25"/>
  <c r="O258" i="25" s="1"/>
  <c r="L258" i="25"/>
  <c r="N262" i="25"/>
  <c r="O262" i="25" s="1"/>
  <c r="L262" i="25"/>
  <c r="N250" i="25"/>
  <c r="O250" i="25" s="1"/>
  <c r="L250" i="25"/>
  <c r="N290" i="25"/>
  <c r="O290" i="25" s="1"/>
  <c r="L290" i="25"/>
  <c r="N306" i="25"/>
  <c r="O306" i="25" s="1"/>
  <c r="L306" i="25"/>
  <c r="L219" i="25"/>
  <c r="N219" i="25"/>
  <c r="O219" i="25" s="1"/>
  <c r="L235" i="25"/>
  <c r="N235" i="25"/>
  <c r="O235" i="25" s="1"/>
  <c r="L251" i="25"/>
  <c r="N251" i="25"/>
  <c r="O251" i="25" s="1"/>
  <c r="L267" i="25"/>
  <c r="N267" i="25"/>
  <c r="O267" i="25" s="1"/>
  <c r="N283" i="25"/>
  <c r="O283" i="25" s="1"/>
  <c r="L283" i="25"/>
  <c r="N299" i="25"/>
  <c r="O299" i="25" s="1"/>
  <c r="L299" i="25"/>
  <c r="N315" i="25"/>
  <c r="O315" i="25" s="1"/>
  <c r="L315" i="25"/>
  <c r="N232" i="25"/>
  <c r="O232" i="25" s="1"/>
  <c r="L232" i="25"/>
  <c r="N248" i="25"/>
  <c r="O248" i="25" s="1"/>
  <c r="L248" i="25"/>
  <c r="N264" i="25"/>
  <c r="O264" i="25" s="1"/>
  <c r="L264" i="25"/>
  <c r="N280" i="25"/>
  <c r="O280" i="25" s="1"/>
  <c r="L280" i="25"/>
  <c r="L296" i="25"/>
  <c r="N296" i="25"/>
  <c r="O296" i="25" s="1"/>
  <c r="N312" i="25"/>
  <c r="O312" i="25" s="1"/>
  <c r="L312" i="25"/>
  <c r="N225" i="25"/>
  <c r="O225" i="25" s="1"/>
  <c r="L225" i="25"/>
  <c r="N241" i="25"/>
  <c r="O241" i="25" s="1"/>
  <c r="L241" i="25"/>
  <c r="N257" i="25"/>
  <c r="O257" i="25" s="1"/>
  <c r="L257" i="25"/>
  <c r="N273" i="25"/>
  <c r="O273" i="25" s="1"/>
  <c r="L273" i="25"/>
  <c r="N289" i="25"/>
  <c r="O289" i="25" s="1"/>
  <c r="L289" i="25"/>
  <c r="L305" i="25"/>
  <c r="N305" i="25"/>
  <c r="O305" i="25" s="1"/>
  <c r="N270" i="25"/>
  <c r="O270" i="25" s="1"/>
  <c r="L270" i="25"/>
  <c r="L274" i="25"/>
  <c r="N274" i="25"/>
  <c r="O274" i="25" s="1"/>
  <c r="N278" i="25"/>
  <c r="O278" i="25" s="1"/>
  <c r="L278" i="25"/>
  <c r="N266" i="25"/>
  <c r="O266" i="25" s="1"/>
  <c r="L266" i="25"/>
  <c r="N294" i="25"/>
  <c r="O294" i="25" s="1"/>
  <c r="L294" i="25"/>
  <c r="L310" i="25"/>
  <c r="N310" i="25"/>
  <c r="O310" i="25" s="1"/>
  <c r="L223" i="25"/>
  <c r="N223" i="25"/>
  <c r="O223" i="25" s="1"/>
  <c r="L239" i="25"/>
  <c r="N239" i="25"/>
  <c r="O239" i="25" s="1"/>
  <c r="L255" i="25"/>
  <c r="N255" i="25"/>
  <c r="O255" i="25" s="1"/>
  <c r="L271" i="25"/>
  <c r="N271" i="25"/>
  <c r="O271" i="25" s="1"/>
  <c r="L287" i="25"/>
  <c r="N287" i="25"/>
  <c r="O287" i="25" s="1"/>
  <c r="L303" i="25"/>
  <c r="N303" i="25"/>
  <c r="O303" i="25" s="1"/>
  <c r="N220" i="25"/>
  <c r="O220" i="25" s="1"/>
  <c r="L220" i="25"/>
  <c r="N236" i="25"/>
  <c r="O236" i="25" s="1"/>
  <c r="L236" i="25"/>
  <c r="N252" i="25"/>
  <c r="O252" i="25" s="1"/>
  <c r="L252" i="25"/>
  <c r="N268" i="25"/>
  <c r="O268" i="25" s="1"/>
  <c r="L268" i="25"/>
  <c r="N284" i="25"/>
  <c r="O284" i="25" s="1"/>
  <c r="L284" i="25"/>
  <c r="L300" i="25"/>
  <c r="N300" i="25"/>
  <c r="O300" i="25" s="1"/>
  <c r="N316" i="25"/>
  <c r="O316" i="25" s="1"/>
  <c r="L316" i="25"/>
  <c r="N229" i="25"/>
  <c r="O229" i="25" s="1"/>
  <c r="L229" i="25"/>
  <c r="N245" i="25"/>
  <c r="O245" i="25" s="1"/>
  <c r="L245" i="25"/>
  <c r="N261" i="25"/>
  <c r="O261" i="25" s="1"/>
  <c r="L261" i="25"/>
  <c r="L277" i="25"/>
  <c r="N277" i="25"/>
  <c r="O277" i="25" s="1"/>
  <c r="N293" i="25"/>
  <c r="O293" i="25" s="1"/>
  <c r="L293" i="25"/>
  <c r="L309" i="25"/>
  <c r="N309" i="25"/>
  <c r="O309" i="25" s="1"/>
  <c r="L222" i="25"/>
  <c r="N222" i="25"/>
  <c r="O222" i="25" s="1"/>
  <c r="L226" i="25"/>
  <c r="N226" i="25"/>
  <c r="O226" i="25" s="1"/>
  <c r="L230" i="25"/>
  <c r="N230" i="25"/>
  <c r="O230" i="25" s="1"/>
  <c r="L218" i="25"/>
  <c r="N218" i="25"/>
  <c r="O218" i="25" s="1"/>
  <c r="N282" i="25"/>
  <c r="O282" i="25" s="1"/>
  <c r="L282" i="25"/>
  <c r="N298" i="25"/>
  <c r="O298" i="25" s="1"/>
  <c r="L298" i="25"/>
  <c r="N314" i="25"/>
  <c r="O314" i="25" s="1"/>
  <c r="L314" i="25"/>
  <c r="N227" i="25"/>
  <c r="O227" i="25" s="1"/>
  <c r="L227" i="25"/>
  <c r="L243" i="25"/>
  <c r="N243" i="25"/>
  <c r="O243" i="25" s="1"/>
  <c r="L259" i="25"/>
  <c r="N259" i="25"/>
  <c r="O259" i="25" s="1"/>
  <c r="N275" i="25"/>
  <c r="O275" i="25" s="1"/>
  <c r="L275" i="25"/>
  <c r="L291" i="25"/>
  <c r="N291" i="25"/>
  <c r="O291" i="25" s="1"/>
  <c r="N307" i="25"/>
  <c r="O307" i="25" s="1"/>
  <c r="L307" i="25"/>
  <c r="N224" i="25"/>
  <c r="O224" i="25" s="1"/>
  <c r="L224" i="25"/>
  <c r="L240" i="25"/>
  <c r="N240" i="25"/>
  <c r="O240" i="25" s="1"/>
  <c r="L256" i="25"/>
  <c r="N256" i="25"/>
  <c r="O256" i="25" s="1"/>
  <c r="N272" i="25"/>
  <c r="O272" i="25" s="1"/>
  <c r="L272" i="25"/>
  <c r="N288" i="25"/>
  <c r="O288" i="25" s="1"/>
  <c r="L288" i="25"/>
  <c r="L304" i="25"/>
  <c r="N304" i="25"/>
  <c r="O304" i="25" s="1"/>
  <c r="N217" i="25"/>
  <c r="O217" i="25" s="1"/>
  <c r="L217" i="25"/>
  <c r="N233" i="25"/>
  <c r="O233" i="25" s="1"/>
  <c r="L233" i="25"/>
  <c r="N249" i="25"/>
  <c r="O249" i="25" s="1"/>
  <c r="L249" i="25"/>
  <c r="N265" i="25"/>
  <c r="O265" i="25" s="1"/>
  <c r="L265" i="25"/>
  <c r="N281" i="25"/>
  <c r="O281" i="25" s="1"/>
  <c r="L281" i="25"/>
  <c r="N297" i="25"/>
  <c r="O297" i="25" s="1"/>
  <c r="L297" i="25"/>
  <c r="L313" i="25"/>
  <c r="N313" i="25"/>
  <c r="O313" i="25" s="1"/>
  <c r="F314" i="25"/>
  <c r="F310" i="25"/>
  <c r="F306" i="25"/>
  <c r="F304" i="25"/>
  <c r="F303" i="25"/>
  <c r="F302" i="25"/>
  <c r="F301" i="25"/>
  <c r="F315" i="25"/>
  <c r="F311" i="25"/>
  <c r="F307" i="25"/>
  <c r="F305" i="25"/>
  <c r="F300" i="25"/>
  <c r="F296" i="25"/>
  <c r="F292" i="25"/>
  <c r="F288" i="25"/>
  <c r="F284" i="25"/>
  <c r="F313" i="25"/>
  <c r="F312" i="25"/>
  <c r="F297" i="25"/>
  <c r="F293" i="25"/>
  <c r="F289" i="25"/>
  <c r="F285" i="25"/>
  <c r="F281" i="25"/>
  <c r="F279" i="25"/>
  <c r="F275" i="25"/>
  <c r="F271" i="25"/>
  <c r="F316" i="25"/>
  <c r="F309" i="25"/>
  <c r="F280" i="25"/>
  <c r="F276" i="25"/>
  <c r="F272" i="25"/>
  <c r="F294" i="25"/>
  <c r="F286" i="25"/>
  <c r="F265" i="25"/>
  <c r="F261" i="25"/>
  <c r="F257" i="25"/>
  <c r="F253" i="25"/>
  <c r="F249" i="25"/>
  <c r="F245" i="25"/>
  <c r="F241" i="25"/>
  <c r="F237" i="25"/>
  <c r="F233" i="25"/>
  <c r="F208" i="25"/>
  <c r="F204" i="25"/>
  <c r="F200" i="25"/>
  <c r="F299" i="25"/>
  <c r="F291" i="25"/>
  <c r="F283" i="25"/>
  <c r="F266" i="25"/>
  <c r="F262" i="25"/>
  <c r="F258" i="25"/>
  <c r="F254" i="25"/>
  <c r="F250" i="25"/>
  <c r="F246" i="25"/>
  <c r="F242" i="25"/>
  <c r="F238" i="25"/>
  <c r="F234" i="25"/>
  <c r="F207" i="25"/>
  <c r="F203" i="25"/>
  <c r="F308" i="25"/>
  <c r="F298" i="25"/>
  <c r="F282" i="25"/>
  <c r="F228" i="25"/>
  <c r="F224" i="25"/>
  <c r="F220" i="25"/>
  <c r="F210" i="25"/>
  <c r="F209" i="25"/>
  <c r="F206" i="25"/>
  <c r="F205" i="25"/>
  <c r="F202" i="25"/>
  <c r="F201" i="25"/>
  <c r="F199" i="25"/>
  <c r="F195" i="25"/>
  <c r="F191" i="25"/>
  <c r="F187" i="25"/>
  <c r="F183" i="25"/>
  <c r="F179" i="25"/>
  <c r="F175" i="25"/>
  <c r="F171" i="25"/>
  <c r="F167" i="25"/>
  <c r="F163" i="25"/>
  <c r="F159" i="25"/>
  <c r="F155" i="25"/>
  <c r="F151" i="25"/>
  <c r="F147" i="25"/>
  <c r="F143" i="25"/>
  <c r="F139" i="25"/>
  <c r="F135" i="25"/>
  <c r="F131" i="25"/>
  <c r="F287" i="25"/>
  <c r="F278" i="25"/>
  <c r="F274" i="25"/>
  <c r="F270" i="25"/>
  <c r="F268" i="25"/>
  <c r="F267" i="25"/>
  <c r="F264" i="25"/>
  <c r="F263" i="25"/>
  <c r="F260" i="25"/>
  <c r="F259" i="25"/>
  <c r="F256" i="25"/>
  <c r="F255" i="25"/>
  <c r="F252" i="25"/>
  <c r="F251" i="25"/>
  <c r="F248" i="25"/>
  <c r="F247" i="25"/>
  <c r="F244" i="25"/>
  <c r="F243" i="25"/>
  <c r="F240" i="25"/>
  <c r="F239" i="25"/>
  <c r="F236" i="25"/>
  <c r="F235" i="25"/>
  <c r="F232" i="25"/>
  <c r="F229" i="25"/>
  <c r="F225" i="25"/>
  <c r="F221" i="25"/>
  <c r="F217" i="25"/>
  <c r="F198" i="25"/>
  <c r="F194" i="25"/>
  <c r="F190" i="25"/>
  <c r="F186" i="25"/>
  <c r="F182" i="25"/>
  <c r="F178" i="25"/>
  <c r="F174" i="25"/>
  <c r="F170" i="25"/>
  <c r="F166" i="25"/>
  <c r="F162" i="25"/>
  <c r="F158" i="25"/>
  <c r="F154" i="25"/>
  <c r="F150" i="25"/>
  <c r="F146" i="25"/>
  <c r="F142" i="25"/>
  <c r="F138" i="25"/>
  <c r="F134" i="25"/>
  <c r="F130" i="25"/>
  <c r="F197" i="25"/>
  <c r="F196" i="25"/>
  <c r="F193" i="25"/>
  <c r="F192" i="25"/>
  <c r="F189" i="25"/>
  <c r="F188" i="25"/>
  <c r="F185" i="25"/>
  <c r="F184" i="25"/>
  <c r="F181" i="25"/>
  <c r="F180" i="25"/>
  <c r="F177" i="25"/>
  <c r="F176" i="25"/>
  <c r="F173" i="25"/>
  <c r="F172" i="25"/>
  <c r="F169" i="25"/>
  <c r="F168" i="25"/>
  <c r="F165" i="25"/>
  <c r="F164" i="25"/>
  <c r="F161" i="25"/>
  <c r="F160" i="25"/>
  <c r="F157" i="25"/>
  <c r="F156" i="25"/>
  <c r="F153" i="25"/>
  <c r="F152" i="25"/>
  <c r="F149" i="25"/>
  <c r="F148" i="25"/>
  <c r="F145" i="25"/>
  <c r="F144" i="25"/>
  <c r="F141" i="25"/>
  <c r="F140" i="25"/>
  <c r="F137" i="25"/>
  <c r="F136" i="25"/>
  <c r="F133" i="25"/>
  <c r="F132" i="25"/>
  <c r="F129" i="25"/>
  <c r="F128" i="25"/>
  <c r="F127" i="25"/>
  <c r="F123" i="25"/>
  <c r="F119" i="25"/>
  <c r="F115" i="25"/>
  <c r="F111" i="25"/>
  <c r="F105" i="25"/>
  <c r="BO105" i="25" s="1"/>
  <c r="F104" i="25"/>
  <c r="BO104" i="25" s="1"/>
  <c r="F103" i="25"/>
  <c r="BO103" i="25" s="1"/>
  <c r="F102" i="25"/>
  <c r="BO102" i="25" s="1"/>
  <c r="F101" i="25"/>
  <c r="BO101" i="25" s="1"/>
  <c r="F100" i="25"/>
  <c r="BO100" i="25" s="1"/>
  <c r="F99" i="25"/>
  <c r="BO99" i="25" s="1"/>
  <c r="F98" i="25"/>
  <c r="BO98" i="25" s="1"/>
  <c r="F97" i="25"/>
  <c r="BO97" i="25" s="1"/>
  <c r="F96" i="25"/>
  <c r="BO96" i="25" s="1"/>
  <c r="F95" i="25"/>
  <c r="BO95" i="25" s="1"/>
  <c r="F94" i="25"/>
  <c r="BO94" i="25" s="1"/>
  <c r="F93" i="25"/>
  <c r="BO93" i="25" s="1"/>
  <c r="F92" i="25"/>
  <c r="BO92" i="25" s="1"/>
  <c r="F91" i="25"/>
  <c r="BO91" i="25" s="1"/>
  <c r="F290" i="25"/>
  <c r="F277" i="25"/>
  <c r="F273" i="25"/>
  <c r="F269" i="25"/>
  <c r="F231" i="25"/>
  <c r="F230" i="25"/>
  <c r="F227" i="25"/>
  <c r="F226" i="25"/>
  <c r="F223" i="25"/>
  <c r="F222" i="25"/>
  <c r="F219" i="25"/>
  <c r="F218" i="25"/>
  <c r="F126" i="25"/>
  <c r="F122" i="25"/>
  <c r="F118" i="25"/>
  <c r="F114" i="25"/>
  <c r="F295" i="25"/>
  <c r="F87" i="25"/>
  <c r="BO87" i="25" s="1"/>
  <c r="F83" i="25"/>
  <c r="BO83" i="25" s="1"/>
  <c r="F79" i="25"/>
  <c r="BO79" i="25" s="1"/>
  <c r="F75" i="25"/>
  <c r="BO75" i="25" s="1"/>
  <c r="F71" i="25"/>
  <c r="BO71" i="25" s="1"/>
  <c r="F67" i="25"/>
  <c r="BO67" i="25" s="1"/>
  <c r="F63" i="25"/>
  <c r="BO63" i="25" s="1"/>
  <c r="F59" i="25"/>
  <c r="BO59" i="25" s="1"/>
  <c r="F55" i="25"/>
  <c r="BO55" i="25" s="1"/>
  <c r="F51" i="25"/>
  <c r="BO51" i="25" s="1"/>
  <c r="F47" i="25"/>
  <c r="BO47" i="25" s="1"/>
  <c r="F43" i="25"/>
  <c r="BO43" i="25" s="1"/>
  <c r="F39" i="25"/>
  <c r="BO39" i="25" s="1"/>
  <c r="F31" i="25"/>
  <c r="BO31" i="25" s="1"/>
  <c r="F27" i="25"/>
  <c r="BO27" i="25" s="1"/>
  <c r="F23" i="25"/>
  <c r="BO23" i="25" s="1"/>
  <c r="F19" i="25"/>
  <c r="BO19" i="25" s="1"/>
  <c r="F15" i="25"/>
  <c r="BO15" i="25" s="1"/>
  <c r="F125" i="25"/>
  <c r="F117" i="25"/>
  <c r="F113" i="25"/>
  <c r="F85" i="25"/>
  <c r="BO85" i="25" s="1"/>
  <c r="F77" i="25"/>
  <c r="BO77" i="25" s="1"/>
  <c r="F73" i="25"/>
  <c r="BO73" i="25" s="1"/>
  <c r="F65" i="25"/>
  <c r="BO65" i="25" s="1"/>
  <c r="F61" i="25"/>
  <c r="BO61" i="25" s="1"/>
  <c r="F57" i="25"/>
  <c r="BO57" i="25" s="1"/>
  <c r="F49" i="25"/>
  <c r="BO49" i="25" s="1"/>
  <c r="F33" i="25"/>
  <c r="BO33" i="25" s="1"/>
  <c r="F29" i="25"/>
  <c r="BO29" i="25" s="1"/>
  <c r="F25" i="25"/>
  <c r="BO25" i="25" s="1"/>
  <c r="F17" i="25"/>
  <c r="BO17" i="25" s="1"/>
  <c r="F13" i="25"/>
  <c r="BO13" i="25" s="1"/>
  <c r="F11" i="25"/>
  <c r="BO11" i="25" s="1"/>
  <c r="F10" i="25"/>
  <c r="BO10" i="25" s="1"/>
  <c r="F9" i="25"/>
  <c r="BO9" i="25" s="1"/>
  <c r="F8" i="25"/>
  <c r="BO8" i="25" s="1"/>
  <c r="F124" i="25"/>
  <c r="F120" i="25"/>
  <c r="F116" i="25"/>
  <c r="F112" i="25"/>
  <c r="F90" i="25"/>
  <c r="BO90" i="25" s="1"/>
  <c r="F86" i="25"/>
  <c r="BO86" i="25" s="1"/>
  <c r="F82" i="25"/>
  <c r="BO82" i="25" s="1"/>
  <c r="F78" i="25"/>
  <c r="BO78" i="25" s="1"/>
  <c r="F74" i="25"/>
  <c r="BO74" i="25" s="1"/>
  <c r="F70" i="25"/>
  <c r="BO70" i="25" s="1"/>
  <c r="F66" i="25"/>
  <c r="BO66" i="25" s="1"/>
  <c r="F62" i="25"/>
  <c r="BO62" i="25" s="1"/>
  <c r="F54" i="25"/>
  <c r="BO54" i="25" s="1"/>
  <c r="F88" i="25"/>
  <c r="BO88" i="25" s="1"/>
  <c r="F84" i="25"/>
  <c r="BO84" i="25" s="1"/>
  <c r="F80" i="25"/>
  <c r="BO80" i="25" s="1"/>
  <c r="F76" i="25"/>
  <c r="BO76" i="25" s="1"/>
  <c r="F72" i="25"/>
  <c r="BO72" i="25" s="1"/>
  <c r="F68" i="25"/>
  <c r="BO68" i="25" s="1"/>
  <c r="F64" i="25"/>
  <c r="BO64" i="25" s="1"/>
  <c r="F60" i="25"/>
  <c r="BO60" i="25" s="1"/>
  <c r="F56" i="25"/>
  <c r="BO56" i="25" s="1"/>
  <c r="F52" i="25"/>
  <c r="BO52" i="25" s="1"/>
  <c r="F48" i="25"/>
  <c r="BO48" i="25" s="1"/>
  <c r="F44" i="25"/>
  <c r="BO44" i="25" s="1"/>
  <c r="F40" i="25"/>
  <c r="BO40" i="25" s="1"/>
  <c r="F32" i="25"/>
  <c r="BO32" i="25" s="1"/>
  <c r="F28" i="25"/>
  <c r="BO28" i="25" s="1"/>
  <c r="F24" i="25"/>
  <c r="BO24" i="25" s="1"/>
  <c r="F20" i="25"/>
  <c r="BO20" i="25" s="1"/>
  <c r="F16" i="25"/>
  <c r="BO16" i="25" s="1"/>
  <c r="F12" i="25"/>
  <c r="BO12" i="25" s="1"/>
  <c r="F121" i="25"/>
  <c r="F89" i="25"/>
  <c r="BO89" i="25" s="1"/>
  <c r="F81" i="25"/>
  <c r="BO81" i="25" s="1"/>
  <c r="F69" i="25"/>
  <c r="BO69" i="25" s="1"/>
  <c r="F53" i="25"/>
  <c r="BO53" i="25" s="1"/>
  <c r="F45" i="25"/>
  <c r="BO45" i="25" s="1"/>
  <c r="F41" i="25"/>
  <c r="BO41" i="25" s="1"/>
  <c r="F21" i="25"/>
  <c r="BO21" i="25" s="1"/>
  <c r="F58" i="25"/>
  <c r="BO58" i="25" s="1"/>
  <c r="F50" i="25"/>
  <c r="BO50" i="25" s="1"/>
  <c r="F46" i="25"/>
  <c r="BO46" i="25" s="1"/>
  <c r="F42" i="25"/>
  <c r="BO42" i="25" s="1"/>
  <c r="F38" i="25"/>
  <c r="BO38" i="25" s="1"/>
  <c r="F37" i="25"/>
  <c r="BO37" i="25" s="1"/>
  <c r="F36" i="25"/>
  <c r="BO36" i="25" s="1"/>
  <c r="F35" i="25"/>
  <c r="BO35" i="25" s="1"/>
  <c r="F34" i="25"/>
  <c r="BO34" i="25" s="1"/>
  <c r="F30" i="25"/>
  <c r="BO30" i="25" s="1"/>
  <c r="F26" i="25"/>
  <c r="BO26" i="25" s="1"/>
  <c r="F22" i="25"/>
  <c r="BO22" i="25" s="1"/>
  <c r="F18" i="25"/>
  <c r="BO18" i="25" s="1"/>
  <c r="F14" i="25"/>
  <c r="BO14" i="25" s="1"/>
  <c r="B93" i="2"/>
  <c r="M180" i="24"/>
  <c r="K128" i="24"/>
  <c r="K115" i="24"/>
  <c r="B34" i="2"/>
  <c r="B36" i="2" s="1"/>
  <c r="B22" i="2"/>
  <c r="M144" i="24"/>
  <c r="M113" i="24"/>
  <c r="K116" i="24"/>
  <c r="K179" i="24"/>
  <c r="M200" i="24"/>
  <c r="M146" i="24"/>
  <c r="K188" i="24"/>
  <c r="M193" i="24"/>
  <c r="K161" i="24"/>
  <c r="M129" i="24"/>
  <c r="M191" i="24"/>
  <c r="K187" i="24"/>
  <c r="M126" i="24"/>
  <c r="K167" i="24"/>
  <c r="M209" i="24"/>
  <c r="K208" i="24"/>
  <c r="K210" i="24"/>
  <c r="M166" i="24"/>
  <c r="M120" i="24"/>
  <c r="K177" i="24"/>
  <c r="M158" i="24"/>
  <c r="K170" i="24"/>
  <c r="K148" i="24"/>
  <c r="K145" i="24"/>
  <c r="M135" i="24"/>
  <c r="F17" i="23"/>
  <c r="J17" i="23" s="1"/>
  <c r="M176" i="24"/>
  <c r="M156" i="24"/>
  <c r="M118" i="24"/>
  <c r="K137" i="24"/>
  <c r="M132" i="24"/>
  <c r="K136" i="24"/>
  <c r="K201" i="24"/>
  <c r="I33" i="23"/>
  <c r="M114" i="24"/>
  <c r="K194" i="24"/>
  <c r="K206" i="24"/>
  <c r="K163" i="24"/>
  <c r="F54" i="23"/>
  <c r="J54" i="23" s="1"/>
  <c r="M130" i="24"/>
  <c r="K192" i="24"/>
  <c r="K199" i="24"/>
  <c r="K196" i="24"/>
  <c r="M151" i="24"/>
  <c r="K172" i="24"/>
  <c r="K123" i="24"/>
  <c r="M175" i="24"/>
  <c r="K165" i="24"/>
  <c r="K181" i="24"/>
  <c r="K154" i="24"/>
  <c r="M117" i="24"/>
  <c r="M124" i="24"/>
  <c r="K142" i="24"/>
  <c r="I9" i="23"/>
  <c r="I70" i="23"/>
  <c r="M168" i="24"/>
  <c r="M197" i="24"/>
  <c r="K134" i="24"/>
  <c r="K182" i="24"/>
  <c r="F32" i="23"/>
  <c r="J32" i="23" s="1"/>
  <c r="F49" i="23"/>
  <c r="G49" i="23" s="1"/>
  <c r="H49" i="23" s="1"/>
  <c r="M153" i="24"/>
  <c r="K131" i="24"/>
  <c r="M178" i="24"/>
  <c r="K125" i="24"/>
  <c r="M202" i="24"/>
  <c r="F103" i="23"/>
  <c r="G103" i="23" s="1"/>
  <c r="H103" i="23" s="1"/>
  <c r="F53" i="23"/>
  <c r="J53" i="23" s="1"/>
  <c r="K169" i="24"/>
  <c r="M198" i="24"/>
  <c r="K150" i="24"/>
  <c r="K119" i="24"/>
  <c r="K110" i="24"/>
  <c r="K152" i="24"/>
  <c r="I16" i="23"/>
  <c r="F46" i="23"/>
  <c r="J46" i="23" s="1"/>
  <c r="I43" i="23"/>
  <c r="I36" i="23"/>
  <c r="F67" i="23"/>
  <c r="G67" i="23" s="1"/>
  <c r="H67" i="23" s="1"/>
  <c r="K155" i="24"/>
  <c r="K159" i="24"/>
  <c r="M127" i="24"/>
  <c r="M121" i="24"/>
  <c r="M147" i="24"/>
  <c r="M190" i="24"/>
  <c r="M173" i="24"/>
  <c r="M164" i="24"/>
  <c r="K162" i="24"/>
  <c r="I59" i="23"/>
  <c r="F30" i="23"/>
  <c r="J30" i="23" s="1"/>
  <c r="F88" i="23"/>
  <c r="G88" i="23" s="1"/>
  <c r="H88" i="23" s="1"/>
  <c r="I78" i="23"/>
  <c r="K122" i="24"/>
  <c r="M185" i="24"/>
  <c r="M140" i="24"/>
  <c r="M189" i="24"/>
  <c r="I27" i="23"/>
  <c r="I75" i="23"/>
  <c r="F73" i="23"/>
  <c r="J73" i="23" s="1"/>
  <c r="F71" i="23"/>
  <c r="J71" i="23" s="1"/>
  <c r="I48" i="23"/>
  <c r="F84" i="23"/>
  <c r="G84" i="23" s="1"/>
  <c r="H84" i="23" s="1"/>
  <c r="F6" i="23"/>
  <c r="J6" i="23" s="1"/>
  <c r="F25" i="23"/>
  <c r="J25" i="23" s="1"/>
  <c r="I23" i="23"/>
  <c r="F60" i="23"/>
  <c r="G60" i="23" s="1"/>
  <c r="H60" i="23" s="1"/>
  <c r="I38" i="23"/>
  <c r="I62" i="23"/>
  <c r="K149" i="24"/>
  <c r="M111" i="24"/>
  <c r="M138" i="24"/>
  <c r="K112" i="24"/>
  <c r="K207" i="24"/>
  <c r="M171" i="24"/>
  <c r="K157" i="24"/>
  <c r="M184" i="24"/>
  <c r="K203" i="24"/>
  <c r="M133" i="24"/>
  <c r="M143" i="24"/>
  <c r="F105" i="23"/>
  <c r="J105" i="23" s="1"/>
  <c r="F94" i="23"/>
  <c r="J94" i="23" s="1"/>
  <c r="I41" i="23"/>
  <c r="F92" i="23"/>
  <c r="J92" i="23" s="1"/>
  <c r="M204" i="24"/>
  <c r="M139" i="24"/>
  <c r="M174" i="24"/>
  <c r="M160" i="24"/>
  <c r="K205" i="24"/>
  <c r="M195" i="24"/>
  <c r="M141" i="24"/>
  <c r="A226" i="2"/>
  <c r="C226" i="2"/>
  <c r="I11" i="23"/>
  <c r="F101" i="23"/>
  <c r="J101" i="23" s="1"/>
  <c r="F20" i="23"/>
  <c r="G20" i="23" s="1"/>
  <c r="H20" i="23" s="1"/>
  <c r="F81" i="23"/>
  <c r="J81" i="23" s="1"/>
  <c r="F14" i="23"/>
  <c r="J14" i="23" s="1"/>
  <c r="F22" i="23"/>
  <c r="J22" i="23" s="1"/>
  <c r="F63" i="23"/>
  <c r="G63" i="23" s="1"/>
  <c r="H63" i="23" s="1"/>
  <c r="K186" i="24"/>
  <c r="K183" i="24"/>
  <c r="F219" i="24"/>
  <c r="F223" i="24"/>
  <c r="F227" i="24"/>
  <c r="F231" i="24"/>
  <c r="F235" i="24"/>
  <c r="F239" i="24"/>
  <c r="F243" i="24"/>
  <c r="F247" i="24"/>
  <c r="F251" i="24"/>
  <c r="F255" i="24"/>
  <c r="F259" i="24"/>
  <c r="F263" i="24"/>
  <c r="F267" i="24"/>
  <c r="F271" i="24"/>
  <c r="F275" i="24"/>
  <c r="F279" i="24"/>
  <c r="F283" i="24"/>
  <c r="F287" i="24"/>
  <c r="F291" i="24"/>
  <c r="F295" i="24"/>
  <c r="F299" i="24"/>
  <c r="F303" i="24"/>
  <c r="F307" i="24"/>
  <c r="F311" i="24"/>
  <c r="F315" i="24"/>
  <c r="F132" i="24"/>
  <c r="BB132" i="24" s="1"/>
  <c r="F136" i="24"/>
  <c r="BB136" i="24" s="1"/>
  <c r="F140" i="24"/>
  <c r="F144" i="24"/>
  <c r="BB144" i="24" s="1"/>
  <c r="F148" i="24"/>
  <c r="BB148" i="24" s="1"/>
  <c r="F152" i="24"/>
  <c r="BB152" i="24" s="1"/>
  <c r="F156" i="24"/>
  <c r="BB156" i="24" s="1"/>
  <c r="F160" i="24"/>
  <c r="F164" i="24"/>
  <c r="BB164" i="24" s="1"/>
  <c r="F168" i="24"/>
  <c r="BB168" i="24" s="1"/>
  <c r="F172" i="24"/>
  <c r="BB172" i="24" s="1"/>
  <c r="F176" i="24"/>
  <c r="F180" i="24"/>
  <c r="F184" i="24"/>
  <c r="BB184" i="24" s="1"/>
  <c r="F188" i="24"/>
  <c r="BB188" i="24" s="1"/>
  <c r="F192" i="24"/>
  <c r="F196" i="24"/>
  <c r="BB196" i="24" s="1"/>
  <c r="F200" i="24"/>
  <c r="F204" i="24"/>
  <c r="F208" i="24"/>
  <c r="BB208" i="24" s="1"/>
  <c r="F114" i="24"/>
  <c r="BB114" i="24" s="1"/>
  <c r="F118" i="24"/>
  <c r="F122" i="24"/>
  <c r="BB122" i="24" s="1"/>
  <c r="F126" i="24"/>
  <c r="F130" i="24"/>
  <c r="BB130" i="24" s="1"/>
  <c r="F157" i="24"/>
  <c r="BB157" i="24" s="1"/>
  <c r="F161" i="24"/>
  <c r="BB161" i="24" s="1"/>
  <c r="F169" i="24"/>
  <c r="F177" i="24"/>
  <c r="BB177" i="24" s="1"/>
  <c r="F181" i="24"/>
  <c r="BB181" i="24" s="1"/>
  <c r="F189" i="24"/>
  <c r="BB189" i="24" s="1"/>
  <c r="F193" i="24"/>
  <c r="BB193" i="24" s="1"/>
  <c r="F201" i="24"/>
  <c r="BB201" i="24" s="1"/>
  <c r="F205" i="24"/>
  <c r="BB205" i="24" s="1"/>
  <c r="F115" i="24"/>
  <c r="F119" i="24"/>
  <c r="BB119" i="24" s="1"/>
  <c r="F127" i="24"/>
  <c r="BB127" i="24" s="1"/>
  <c r="F112" i="24"/>
  <c r="F194" i="24"/>
  <c r="BB194" i="24" s="1"/>
  <c r="F206" i="24"/>
  <c r="F210" i="24"/>
  <c r="BB210" i="24" s="1"/>
  <c r="F124" i="24"/>
  <c r="F128" i="24"/>
  <c r="F222" i="24"/>
  <c r="F234" i="24"/>
  <c r="F246" i="24"/>
  <c r="F258" i="24"/>
  <c r="F270" i="24"/>
  <c r="F274" i="24"/>
  <c r="F286" i="24"/>
  <c r="F298" i="24"/>
  <c r="F302" i="24"/>
  <c r="F314" i="24"/>
  <c r="F217" i="24"/>
  <c r="F135" i="24"/>
  <c r="BB135" i="24" s="1"/>
  <c r="F143" i="24"/>
  <c r="F151" i="24"/>
  <c r="F159" i="24"/>
  <c r="BB159" i="24" s="1"/>
  <c r="F171" i="24"/>
  <c r="BB171" i="24" s="1"/>
  <c r="F175" i="24"/>
  <c r="F220" i="24"/>
  <c r="F224" i="24"/>
  <c r="F228" i="24"/>
  <c r="F232" i="24"/>
  <c r="F236" i="24"/>
  <c r="F240" i="24"/>
  <c r="F244" i="24"/>
  <c r="F248" i="24"/>
  <c r="F252" i="24"/>
  <c r="F256" i="24"/>
  <c r="F260" i="24"/>
  <c r="F264" i="24"/>
  <c r="F268" i="24"/>
  <c r="F272" i="24"/>
  <c r="F276" i="24"/>
  <c r="F280" i="24"/>
  <c r="F284" i="24"/>
  <c r="F288" i="24"/>
  <c r="F292" i="24"/>
  <c r="F296" i="24"/>
  <c r="F300" i="24"/>
  <c r="F304" i="24"/>
  <c r="F308" i="24"/>
  <c r="F312" i="24"/>
  <c r="F316" i="24"/>
  <c r="F133" i="24"/>
  <c r="BB133" i="24" s="1"/>
  <c r="F137" i="24"/>
  <c r="BB137" i="24" s="1"/>
  <c r="F141" i="24"/>
  <c r="BB141" i="24" s="1"/>
  <c r="F145" i="24"/>
  <c r="BB145" i="24" s="1"/>
  <c r="F149" i="24"/>
  <c r="BB149" i="24" s="1"/>
  <c r="F153" i="24"/>
  <c r="BB153" i="24" s="1"/>
  <c r="F165" i="24"/>
  <c r="F173" i="24"/>
  <c r="BB173" i="24" s="1"/>
  <c r="F185" i="24"/>
  <c r="BB185" i="24" s="1"/>
  <c r="F197" i="24"/>
  <c r="BB197" i="24" s="1"/>
  <c r="F209" i="24"/>
  <c r="F123" i="24"/>
  <c r="BB123" i="24" s="1"/>
  <c r="F190" i="24"/>
  <c r="F198" i="24"/>
  <c r="BB198" i="24" s="1"/>
  <c r="F116" i="24"/>
  <c r="BB116" i="24" s="1"/>
  <c r="F230" i="24"/>
  <c r="F238" i="24"/>
  <c r="F254" i="24"/>
  <c r="F266" i="24"/>
  <c r="F278" i="24"/>
  <c r="F290" i="24"/>
  <c r="F306" i="24"/>
  <c r="F139" i="24"/>
  <c r="F155" i="24"/>
  <c r="BB155" i="24" s="1"/>
  <c r="F167" i="24"/>
  <c r="BB167" i="24" s="1"/>
  <c r="F183" i="24"/>
  <c r="BB183" i="24" s="1"/>
  <c r="F221" i="24"/>
  <c r="F225" i="24"/>
  <c r="F229" i="24"/>
  <c r="F233" i="24"/>
  <c r="F237" i="24"/>
  <c r="F241" i="24"/>
  <c r="F245" i="24"/>
  <c r="F249" i="24"/>
  <c r="F253" i="24"/>
  <c r="F257" i="24"/>
  <c r="F261" i="24"/>
  <c r="F265" i="24"/>
  <c r="F269" i="24"/>
  <c r="F273" i="24"/>
  <c r="F277" i="24"/>
  <c r="F281" i="24"/>
  <c r="F285" i="24"/>
  <c r="F289" i="24"/>
  <c r="F293" i="24"/>
  <c r="F297" i="24"/>
  <c r="F301" i="24"/>
  <c r="F305" i="24"/>
  <c r="F309" i="24"/>
  <c r="F313" i="24"/>
  <c r="F218" i="24"/>
  <c r="F134" i="24"/>
  <c r="F138" i="24"/>
  <c r="F142" i="24"/>
  <c r="BB142" i="24" s="1"/>
  <c r="F146" i="24"/>
  <c r="BB146" i="24" s="1"/>
  <c r="F150" i="24"/>
  <c r="BB150" i="24" s="1"/>
  <c r="F154" i="24"/>
  <c r="BB154" i="24" s="1"/>
  <c r="F158" i="24"/>
  <c r="BB158" i="24" s="1"/>
  <c r="F162" i="24"/>
  <c r="BB162" i="24" s="1"/>
  <c r="F166" i="24"/>
  <c r="BB166" i="24" s="1"/>
  <c r="F170" i="24"/>
  <c r="BB170" i="24" s="1"/>
  <c r="F174" i="24"/>
  <c r="BB174" i="24" s="1"/>
  <c r="F178" i="24"/>
  <c r="BB178" i="24" s="1"/>
  <c r="F182" i="24"/>
  <c r="BB182" i="24" s="1"/>
  <c r="F186" i="24"/>
  <c r="BB186" i="24" s="1"/>
  <c r="F202" i="24"/>
  <c r="BB202" i="24" s="1"/>
  <c r="F120" i="24"/>
  <c r="BB120" i="24" s="1"/>
  <c r="F111" i="24"/>
  <c r="BB111" i="24" s="1"/>
  <c r="F226" i="24"/>
  <c r="F242" i="24"/>
  <c r="F250" i="24"/>
  <c r="F262" i="24"/>
  <c r="F282" i="24"/>
  <c r="F294" i="24"/>
  <c r="F310" i="24"/>
  <c r="F131" i="24"/>
  <c r="BB131" i="24" s="1"/>
  <c r="F147" i="24"/>
  <c r="F163" i="24"/>
  <c r="BB163" i="24" s="1"/>
  <c r="F179" i="24"/>
  <c r="BB179" i="24" s="1"/>
  <c r="F191" i="24"/>
  <c r="BB191" i="24" s="1"/>
  <c r="F207" i="24"/>
  <c r="F125" i="24"/>
  <c r="BB125" i="24" s="1"/>
  <c r="F129" i="24"/>
  <c r="BB129" i="24" s="1"/>
  <c r="F121" i="24"/>
  <c r="BB121" i="24" s="1"/>
  <c r="F195" i="24"/>
  <c r="BB195" i="24" s="1"/>
  <c r="F113" i="24"/>
  <c r="BB113" i="24" s="1"/>
  <c r="F203" i="24"/>
  <c r="F199" i="24"/>
  <c r="F117" i="24"/>
  <c r="BB117" i="24" s="1"/>
  <c r="F187" i="24"/>
  <c r="BB187" i="24" s="1"/>
  <c r="I99" i="23"/>
  <c r="F80" i="23"/>
  <c r="J80" i="23" s="1"/>
  <c r="I31" i="23"/>
  <c r="I96" i="23"/>
  <c r="F77" i="23"/>
  <c r="G77" i="23" s="1"/>
  <c r="H77" i="23" s="1"/>
  <c r="I56" i="23"/>
  <c r="I86" i="23"/>
  <c r="K312" i="24"/>
  <c r="M312" i="24"/>
  <c r="K276" i="24"/>
  <c r="M276" i="24"/>
  <c r="K244" i="24"/>
  <c r="M244" i="24"/>
  <c r="M315" i="24"/>
  <c r="K315" i="24"/>
  <c r="M279" i="24"/>
  <c r="K279" i="24"/>
  <c r="K247" i="24"/>
  <c r="M247" i="24"/>
  <c r="M223" i="24"/>
  <c r="K223" i="24"/>
  <c r="K302" i="24"/>
  <c r="M302" i="24"/>
  <c r="K286" i="24"/>
  <c r="M286" i="24"/>
  <c r="M270" i="24"/>
  <c r="K270" i="24"/>
  <c r="M254" i="24"/>
  <c r="K254" i="24"/>
  <c r="M238" i="24"/>
  <c r="K238" i="24"/>
  <c r="K222" i="24"/>
  <c r="M222" i="24"/>
  <c r="K296" i="24"/>
  <c r="M296" i="24"/>
  <c r="M264" i="24"/>
  <c r="K264" i="24"/>
  <c r="M232" i="24"/>
  <c r="K232" i="24"/>
  <c r="M299" i="24"/>
  <c r="K299" i="24"/>
  <c r="M267" i="24"/>
  <c r="K267" i="24"/>
  <c r="K235" i="24"/>
  <c r="M235" i="24"/>
  <c r="K309" i="24"/>
  <c r="M309" i="24"/>
  <c r="K293" i="24"/>
  <c r="M293" i="24"/>
  <c r="K277" i="24"/>
  <c r="M277" i="24"/>
  <c r="M261" i="24"/>
  <c r="K261" i="24"/>
  <c r="M245" i="24"/>
  <c r="K245" i="24"/>
  <c r="M229" i="24"/>
  <c r="K229" i="24"/>
  <c r="M304" i="24"/>
  <c r="K304" i="24"/>
  <c r="K268" i="24"/>
  <c r="M268" i="24"/>
  <c r="K236" i="24"/>
  <c r="M236" i="24"/>
  <c r="M307" i="24"/>
  <c r="K307" i="24"/>
  <c r="K271" i="24"/>
  <c r="M271" i="24"/>
  <c r="M239" i="24"/>
  <c r="K239" i="24"/>
  <c r="K314" i="24"/>
  <c r="M314" i="24"/>
  <c r="K298" i="24"/>
  <c r="M298" i="24"/>
  <c r="K282" i="24"/>
  <c r="M282" i="24"/>
  <c r="M266" i="24"/>
  <c r="K266" i="24"/>
  <c r="K250" i="24"/>
  <c r="M250" i="24"/>
  <c r="K234" i="24"/>
  <c r="M234" i="24"/>
  <c r="M218" i="24"/>
  <c r="K218" i="24"/>
  <c r="M288" i="24"/>
  <c r="K288" i="24"/>
  <c r="K256" i="24"/>
  <c r="M256" i="24"/>
  <c r="K224" i="24"/>
  <c r="M224" i="24"/>
  <c r="K291" i="24"/>
  <c r="M291" i="24"/>
  <c r="M259" i="24"/>
  <c r="K259" i="24"/>
  <c r="K219" i="24"/>
  <c r="M219" i="24"/>
  <c r="K305" i="24"/>
  <c r="M305" i="24"/>
  <c r="M289" i="24"/>
  <c r="K289" i="24"/>
  <c r="K273" i="24"/>
  <c r="M273" i="24"/>
  <c r="M257" i="24"/>
  <c r="K257" i="24"/>
  <c r="M241" i="24"/>
  <c r="K241" i="24"/>
  <c r="M225" i="24"/>
  <c r="K225" i="24"/>
  <c r="M292" i="24"/>
  <c r="K292" i="24"/>
  <c r="M260" i="24"/>
  <c r="K260" i="24"/>
  <c r="M228" i="24"/>
  <c r="K228" i="24"/>
  <c r="M295" i="24"/>
  <c r="K295" i="24"/>
  <c r="M263" i="24"/>
  <c r="K263" i="24"/>
  <c r="K231" i="24"/>
  <c r="M231" i="24"/>
  <c r="K310" i="24"/>
  <c r="M310" i="24"/>
  <c r="K294" i="24"/>
  <c r="M294" i="24"/>
  <c r="M278" i="24"/>
  <c r="K278" i="24"/>
  <c r="K262" i="24"/>
  <c r="M262" i="24"/>
  <c r="K246" i="24"/>
  <c r="M246" i="24"/>
  <c r="M230" i="24"/>
  <c r="K230" i="24"/>
  <c r="K308" i="24"/>
  <c r="M308" i="24"/>
  <c r="M280" i="24"/>
  <c r="K280" i="24"/>
  <c r="K248" i="24"/>
  <c r="M248" i="24"/>
  <c r="K311" i="24"/>
  <c r="M311" i="24"/>
  <c r="K283" i="24"/>
  <c r="M283" i="24"/>
  <c r="K251" i="24"/>
  <c r="M251" i="24"/>
  <c r="K216" i="24"/>
  <c r="M216" i="24"/>
  <c r="K301" i="24"/>
  <c r="M301" i="24"/>
  <c r="M285" i="24"/>
  <c r="K285" i="24"/>
  <c r="K269" i="24"/>
  <c r="M269" i="24"/>
  <c r="M253" i="24"/>
  <c r="K253" i="24"/>
  <c r="K237" i="24"/>
  <c r="M237" i="24"/>
  <c r="M221" i="24"/>
  <c r="K221" i="24"/>
  <c r="I98" i="23"/>
  <c r="K316" i="24"/>
  <c r="M316" i="24"/>
  <c r="K284" i="24"/>
  <c r="M284" i="24"/>
  <c r="M252" i="24"/>
  <c r="K252" i="24"/>
  <c r="M220" i="24"/>
  <c r="K220" i="24"/>
  <c r="M287" i="24"/>
  <c r="K287" i="24"/>
  <c r="K255" i="24"/>
  <c r="M255" i="24"/>
  <c r="K227" i="24"/>
  <c r="M227" i="24"/>
  <c r="K306" i="24"/>
  <c r="M306" i="24"/>
  <c r="M290" i="24"/>
  <c r="K290" i="24"/>
  <c r="K274" i="24"/>
  <c r="M274" i="24"/>
  <c r="M258" i="24"/>
  <c r="K258" i="24"/>
  <c r="M242" i="24"/>
  <c r="K242" i="24"/>
  <c r="M226" i="24"/>
  <c r="K226" i="24"/>
  <c r="K300" i="24"/>
  <c r="M300" i="24"/>
  <c r="M272" i="24"/>
  <c r="K272" i="24"/>
  <c r="K240" i="24"/>
  <c r="M240" i="24"/>
  <c r="K303" i="24"/>
  <c r="M303" i="24"/>
  <c r="K275" i="24"/>
  <c r="M275" i="24"/>
  <c r="M243" i="24"/>
  <c r="K243" i="24"/>
  <c r="K313" i="24"/>
  <c r="M313" i="24"/>
  <c r="M297" i="24"/>
  <c r="K297" i="24"/>
  <c r="M281" i="24"/>
  <c r="K281" i="24"/>
  <c r="K265" i="24"/>
  <c r="M265" i="24"/>
  <c r="K249" i="24"/>
  <c r="M249" i="24"/>
  <c r="K233" i="24"/>
  <c r="M233" i="24"/>
  <c r="K217" i="24"/>
  <c r="M217" i="24"/>
  <c r="H109" i="19"/>
  <c r="H110" i="19" s="1"/>
  <c r="F6" i="24"/>
  <c r="BB6" i="24" s="1"/>
  <c r="F10" i="24"/>
  <c r="BB10" i="24" s="1"/>
  <c r="F14" i="24"/>
  <c r="BB14" i="24" s="1"/>
  <c r="F18" i="24"/>
  <c r="BB18" i="24" s="1"/>
  <c r="F22" i="24"/>
  <c r="BB22" i="24" s="1"/>
  <c r="F26" i="24"/>
  <c r="BB26" i="24" s="1"/>
  <c r="F30" i="24"/>
  <c r="BB30" i="24" s="1"/>
  <c r="F34" i="24"/>
  <c r="BB34" i="24" s="1"/>
  <c r="F38" i="24"/>
  <c r="BB38" i="24" s="1"/>
  <c r="F42" i="24"/>
  <c r="BB42" i="24" s="1"/>
  <c r="F46" i="24"/>
  <c r="F50" i="24"/>
  <c r="F54" i="24"/>
  <c r="F58" i="24"/>
  <c r="F62" i="24"/>
  <c r="F66" i="24"/>
  <c r="F70" i="24"/>
  <c r="F74" i="24"/>
  <c r="F78" i="24"/>
  <c r="F82" i="24"/>
  <c r="F86" i="24"/>
  <c r="F90" i="24"/>
  <c r="F94" i="24"/>
  <c r="F98" i="24"/>
  <c r="F102" i="24"/>
  <c r="F41" i="24"/>
  <c r="BB41" i="24" s="1"/>
  <c r="F53" i="24"/>
  <c r="F69" i="24"/>
  <c r="F81" i="24"/>
  <c r="F93" i="24"/>
  <c r="F7" i="24"/>
  <c r="BB7" i="24" s="1"/>
  <c r="F11" i="24"/>
  <c r="BB11" i="24" s="1"/>
  <c r="F15" i="24"/>
  <c r="BB15" i="24" s="1"/>
  <c r="F19" i="24"/>
  <c r="BB19" i="24" s="1"/>
  <c r="F23" i="24"/>
  <c r="BB23" i="24" s="1"/>
  <c r="F27" i="24"/>
  <c r="BB27" i="24" s="1"/>
  <c r="F31" i="24"/>
  <c r="BB31" i="24" s="1"/>
  <c r="F35" i="24"/>
  <c r="BB35" i="24" s="1"/>
  <c r="F39" i="24"/>
  <c r="BB39" i="24" s="1"/>
  <c r="F43" i="24"/>
  <c r="BB43" i="24" s="1"/>
  <c r="F47" i="24"/>
  <c r="F51" i="24"/>
  <c r="F55" i="24"/>
  <c r="F59" i="24"/>
  <c r="F63" i="24"/>
  <c r="F67" i="24"/>
  <c r="F71" i="24"/>
  <c r="F75" i="24"/>
  <c r="F79" i="24"/>
  <c r="F83" i="24"/>
  <c r="F87" i="24"/>
  <c r="F91" i="24"/>
  <c r="F95" i="24"/>
  <c r="F99" i="24"/>
  <c r="F103" i="24"/>
  <c r="F37" i="24"/>
  <c r="BB37" i="24" s="1"/>
  <c r="F61" i="24"/>
  <c r="F73" i="24"/>
  <c r="F89" i="24"/>
  <c r="F101" i="24"/>
  <c r="F8" i="24"/>
  <c r="BB8" i="24" s="1"/>
  <c r="F12" i="24"/>
  <c r="BB12" i="24" s="1"/>
  <c r="F16" i="24"/>
  <c r="BB16" i="24" s="1"/>
  <c r="F20" i="24"/>
  <c r="BB20" i="24" s="1"/>
  <c r="F24" i="24"/>
  <c r="BB24" i="24" s="1"/>
  <c r="F28" i="24"/>
  <c r="BB28" i="24" s="1"/>
  <c r="F32" i="24"/>
  <c r="BB32" i="24" s="1"/>
  <c r="F36" i="24"/>
  <c r="BB36" i="24" s="1"/>
  <c r="F40" i="24"/>
  <c r="BB40" i="24" s="1"/>
  <c r="F44" i="24"/>
  <c r="BB44" i="24" s="1"/>
  <c r="F48" i="24"/>
  <c r="F52" i="24"/>
  <c r="F56" i="24"/>
  <c r="F60" i="24"/>
  <c r="F64" i="24"/>
  <c r="F68" i="24"/>
  <c r="F72" i="24"/>
  <c r="F76" i="24"/>
  <c r="F80" i="24"/>
  <c r="F84" i="24"/>
  <c r="F88" i="24"/>
  <c r="F92" i="24"/>
  <c r="F96" i="24"/>
  <c r="F100" i="24"/>
  <c r="F104" i="24"/>
  <c r="F9" i="24"/>
  <c r="BB9" i="24" s="1"/>
  <c r="F13" i="24"/>
  <c r="BB13" i="24" s="1"/>
  <c r="F17" i="24"/>
  <c r="BB17" i="24" s="1"/>
  <c r="F21" i="24"/>
  <c r="BB21" i="24" s="1"/>
  <c r="F25" i="24"/>
  <c r="BB25" i="24" s="1"/>
  <c r="F29" i="24"/>
  <c r="BB29" i="24" s="1"/>
  <c r="F33" i="24"/>
  <c r="BB33" i="24" s="1"/>
  <c r="F45" i="24"/>
  <c r="BB45" i="24" s="1"/>
  <c r="F49" i="24"/>
  <c r="F57" i="24"/>
  <c r="F65" i="24"/>
  <c r="F77" i="24"/>
  <c r="F85" i="24"/>
  <c r="F97" i="24"/>
  <c r="F105" i="24"/>
  <c r="F52" i="23"/>
  <c r="J52" i="23" s="1"/>
  <c r="F102" i="23"/>
  <c r="J102" i="23" s="1"/>
  <c r="J79" i="23"/>
  <c r="J7" i="23"/>
  <c r="J106" i="23"/>
  <c r="I87" i="23"/>
  <c r="I8" i="23"/>
  <c r="I106" i="23"/>
  <c r="J31" i="23"/>
  <c r="J99" i="23"/>
  <c r="J56" i="23"/>
  <c r="J27" i="23"/>
  <c r="J96" i="23"/>
  <c r="J86" i="23"/>
  <c r="J70" i="23"/>
  <c r="J38" i="23"/>
  <c r="J33" i="23"/>
  <c r="J69" i="23"/>
  <c r="J89" i="23"/>
  <c r="J44" i="23"/>
  <c r="F12" i="23"/>
  <c r="J12" i="23" s="1"/>
  <c r="J39" i="23"/>
  <c r="I76" i="23"/>
  <c r="J76" i="23"/>
  <c r="F24" i="23"/>
  <c r="G24" i="23" s="1"/>
  <c r="H24" i="23" s="1"/>
  <c r="J98" i="23"/>
  <c r="I50" i="23"/>
  <c r="F34" i="23"/>
  <c r="J34" i="23" s="1"/>
  <c r="F13" i="23"/>
  <c r="J13" i="23" s="1"/>
  <c r="F85" i="23"/>
  <c r="J85" i="23" s="1"/>
  <c r="F87" i="23"/>
  <c r="J87" i="23" s="1"/>
  <c r="I55" i="23"/>
  <c r="F26" i="23"/>
  <c r="J26" i="23" s="1"/>
  <c r="F61" i="23"/>
  <c r="J61" i="23" s="1"/>
  <c r="I90" i="23"/>
  <c r="J59" i="23"/>
  <c r="J36" i="23"/>
  <c r="J43" i="23"/>
  <c r="J11" i="23"/>
  <c r="J75" i="23"/>
  <c r="J23" i="23"/>
  <c r="J48" i="23"/>
  <c r="J16" i="23"/>
  <c r="J78" i="23"/>
  <c r="J62" i="23"/>
  <c r="J41" i="23"/>
  <c r="J9" i="23"/>
  <c r="N91" i="23"/>
  <c r="O91" i="23" s="1"/>
  <c r="P91" i="23" s="1"/>
  <c r="N47" i="23"/>
  <c r="O47" i="23" s="1"/>
  <c r="P47" i="23" s="1"/>
  <c r="N100" i="23"/>
  <c r="O100" i="23" s="1"/>
  <c r="P100" i="23" s="1"/>
  <c r="N79" i="23"/>
  <c r="O79" i="23" s="1"/>
  <c r="P79" i="23" s="1"/>
  <c r="N57" i="23"/>
  <c r="O57" i="23" s="1"/>
  <c r="P57" i="23" s="1"/>
  <c r="N28" i="23"/>
  <c r="O28" i="23" s="1"/>
  <c r="P28" i="23" s="1"/>
  <c r="N104" i="23"/>
  <c r="O104" i="23" s="1"/>
  <c r="P104" i="23" s="1"/>
  <c r="N83" i="23"/>
  <c r="O83" i="23" s="1"/>
  <c r="P83" i="23" s="1"/>
  <c r="N61" i="23"/>
  <c r="O61" i="23" s="1"/>
  <c r="P61" i="23" s="1"/>
  <c r="N35" i="23"/>
  <c r="O35" i="23" s="1"/>
  <c r="P35" i="23" s="1"/>
  <c r="N8" i="23"/>
  <c r="O8" i="23" s="1"/>
  <c r="P8" i="23" s="1"/>
  <c r="N64" i="23"/>
  <c r="O64" i="23" s="1"/>
  <c r="P64" i="23" s="1"/>
  <c r="N7" i="23"/>
  <c r="O7" i="23" s="1"/>
  <c r="P7" i="23" s="1"/>
  <c r="N87" i="23"/>
  <c r="O87" i="23" s="1"/>
  <c r="P87" i="23" s="1"/>
  <c r="N65" i="23"/>
  <c r="O65" i="23" s="1"/>
  <c r="P65" i="23" s="1"/>
  <c r="N40" i="23"/>
  <c r="O40" i="23" s="1"/>
  <c r="P40" i="23" s="1"/>
  <c r="N106" i="23"/>
  <c r="O106" i="23" s="1"/>
  <c r="P106" i="23" s="1"/>
  <c r="N90" i="23"/>
  <c r="O90" i="23" s="1"/>
  <c r="P90" i="23" s="1"/>
  <c r="N74" i="23"/>
  <c r="O74" i="23" s="1"/>
  <c r="P74" i="23" s="1"/>
  <c r="N58" i="23"/>
  <c r="O58" i="23" s="1"/>
  <c r="P58" i="23" s="1"/>
  <c r="N42" i="23"/>
  <c r="O42" i="23" s="1"/>
  <c r="P42" i="23" s="1"/>
  <c r="N26" i="23"/>
  <c r="O26" i="23" s="1"/>
  <c r="P26" i="23" s="1"/>
  <c r="N10" i="23"/>
  <c r="O10" i="23" s="1"/>
  <c r="P10" i="23" s="1"/>
  <c r="N37" i="23"/>
  <c r="O37" i="23" s="1"/>
  <c r="P37" i="23" s="1"/>
  <c r="N21" i="23"/>
  <c r="O21" i="23" s="1"/>
  <c r="P21" i="23" s="1"/>
  <c r="I57" i="23"/>
  <c r="F91" i="23"/>
  <c r="J91" i="23" s="1"/>
  <c r="I21" i="23"/>
  <c r="F21" i="23"/>
  <c r="J21" i="23" s="1"/>
  <c r="I40" i="23"/>
  <c r="I104" i="23"/>
  <c r="I42" i="23"/>
  <c r="N80" i="23"/>
  <c r="O80" i="23" s="1"/>
  <c r="P80" i="23" s="1"/>
  <c r="N31" i="23"/>
  <c r="O31" i="23" s="1"/>
  <c r="P31" i="23" s="1"/>
  <c r="N95" i="23"/>
  <c r="O95" i="23" s="1"/>
  <c r="P95" i="23" s="1"/>
  <c r="N73" i="23"/>
  <c r="O73" i="23" s="1"/>
  <c r="P73" i="23" s="1"/>
  <c r="N52" i="23"/>
  <c r="O52" i="23" s="1"/>
  <c r="P52" i="23" s="1"/>
  <c r="N20" i="23"/>
  <c r="O20" i="23" s="1"/>
  <c r="P20" i="23" s="1"/>
  <c r="N99" i="23"/>
  <c r="O99" i="23" s="1"/>
  <c r="P99" i="23" s="1"/>
  <c r="N77" i="23"/>
  <c r="O77" i="23" s="1"/>
  <c r="P77" i="23" s="1"/>
  <c r="N56" i="23"/>
  <c r="O56" i="23" s="1"/>
  <c r="P56" i="23" s="1"/>
  <c r="N27" i="23"/>
  <c r="O27" i="23" s="1"/>
  <c r="P27" i="23" s="1"/>
  <c r="N96" i="23"/>
  <c r="O96" i="23" s="1"/>
  <c r="P96" i="23" s="1"/>
  <c r="N53" i="23"/>
  <c r="O53" i="23" s="1"/>
  <c r="P53" i="23" s="1"/>
  <c r="N103" i="23"/>
  <c r="O103" i="23" s="1"/>
  <c r="P103" i="23" s="1"/>
  <c r="N81" i="23"/>
  <c r="O81" i="23" s="1"/>
  <c r="P81" i="23" s="1"/>
  <c r="N60" i="23"/>
  <c r="O60" i="23" s="1"/>
  <c r="P60" i="23" s="1"/>
  <c r="N32" i="23"/>
  <c r="O32" i="23" s="1"/>
  <c r="P32" i="23" s="1"/>
  <c r="N102" i="23"/>
  <c r="O102" i="23" s="1"/>
  <c r="P102" i="23" s="1"/>
  <c r="N86" i="23"/>
  <c r="O86" i="23" s="1"/>
  <c r="P86" i="23" s="1"/>
  <c r="N70" i="23"/>
  <c r="O70" i="23" s="1"/>
  <c r="P70" i="23" s="1"/>
  <c r="N54" i="23"/>
  <c r="O54" i="23" s="1"/>
  <c r="P54" i="23" s="1"/>
  <c r="N38" i="23"/>
  <c r="O38" i="23" s="1"/>
  <c r="P38" i="23" s="1"/>
  <c r="N22" i="23"/>
  <c r="O22" i="23" s="1"/>
  <c r="P22" i="23" s="1"/>
  <c r="N49" i="23"/>
  <c r="O49" i="23" s="1"/>
  <c r="P49" i="23" s="1"/>
  <c r="N33" i="23"/>
  <c r="O33" i="23" s="1"/>
  <c r="P33" i="23" s="1"/>
  <c r="N17" i="23"/>
  <c r="O17" i="23" s="1"/>
  <c r="P17" i="23" s="1"/>
  <c r="N69" i="23"/>
  <c r="O69" i="23" s="1"/>
  <c r="P69" i="23" s="1"/>
  <c r="N15" i="23"/>
  <c r="O15" i="23" s="1"/>
  <c r="P15" i="23" s="1"/>
  <c r="N89" i="23"/>
  <c r="O89" i="23" s="1"/>
  <c r="P89" i="23" s="1"/>
  <c r="N68" i="23"/>
  <c r="O68" i="23" s="1"/>
  <c r="P68" i="23" s="1"/>
  <c r="N44" i="23"/>
  <c r="O44" i="23" s="1"/>
  <c r="P44" i="23" s="1"/>
  <c r="N12" i="23"/>
  <c r="O12" i="23" s="1"/>
  <c r="P12" i="23" s="1"/>
  <c r="N93" i="23"/>
  <c r="O93" i="23" s="1"/>
  <c r="P93" i="23" s="1"/>
  <c r="N72" i="23"/>
  <c r="O72" i="23" s="1"/>
  <c r="P72" i="23" s="1"/>
  <c r="N51" i="23"/>
  <c r="O51" i="23" s="1"/>
  <c r="P51" i="23" s="1"/>
  <c r="N19" i="23"/>
  <c r="O19" i="23" s="1"/>
  <c r="P19" i="23" s="1"/>
  <c r="N85" i="23"/>
  <c r="O85" i="23" s="1"/>
  <c r="P85" i="23" s="1"/>
  <c r="N39" i="23"/>
  <c r="O39" i="23" s="1"/>
  <c r="P39" i="23" s="1"/>
  <c r="N97" i="23"/>
  <c r="O97" i="23" s="1"/>
  <c r="P97" i="23" s="1"/>
  <c r="N76" i="23"/>
  <c r="O76" i="23" s="1"/>
  <c r="P76" i="23" s="1"/>
  <c r="N55" i="23"/>
  <c r="O55" i="23" s="1"/>
  <c r="P55" i="23" s="1"/>
  <c r="N24" i="23"/>
  <c r="O24" i="23" s="1"/>
  <c r="P24" i="23" s="1"/>
  <c r="N98" i="23"/>
  <c r="O98" i="23" s="1"/>
  <c r="P98" i="23" s="1"/>
  <c r="N82" i="23"/>
  <c r="O82" i="23" s="1"/>
  <c r="P82" i="23" s="1"/>
  <c r="N66" i="23"/>
  <c r="O66" i="23" s="1"/>
  <c r="P66" i="23" s="1"/>
  <c r="N50" i="23"/>
  <c r="O50" i="23" s="1"/>
  <c r="P50" i="23" s="1"/>
  <c r="N34" i="23"/>
  <c r="O34" i="23" s="1"/>
  <c r="P34" i="23" s="1"/>
  <c r="N18" i="23"/>
  <c r="O18" i="23" s="1"/>
  <c r="P18" i="23" s="1"/>
  <c r="N45" i="23"/>
  <c r="O45" i="23" s="1"/>
  <c r="P45" i="23" s="1"/>
  <c r="N29" i="23"/>
  <c r="O29" i="23" s="1"/>
  <c r="P29" i="23" s="1"/>
  <c r="N13" i="23"/>
  <c r="O13" i="23" s="1"/>
  <c r="P13" i="23" s="1"/>
  <c r="I51" i="23"/>
  <c r="I83" i="23"/>
  <c r="I91" i="23"/>
  <c r="I44" i="23"/>
  <c r="F90" i="23"/>
  <c r="J90" i="23" s="1"/>
  <c r="F83" i="23"/>
  <c r="G83" i="23" s="1"/>
  <c r="H83" i="23" s="1"/>
  <c r="F42" i="23"/>
  <c r="G42" i="23" s="1"/>
  <c r="H42" i="23" s="1"/>
  <c r="F35" i="23"/>
  <c r="J35" i="23" s="1"/>
  <c r="I69" i="23"/>
  <c r="F50" i="23"/>
  <c r="J50" i="23" s="1"/>
  <c r="I72" i="23"/>
  <c r="I45" i="23"/>
  <c r="F65" i="23"/>
  <c r="G65" i="23" s="1"/>
  <c r="H65" i="23" s="1"/>
  <c r="F82" i="23"/>
  <c r="J82" i="23" s="1"/>
  <c r="N101" i="23"/>
  <c r="O101" i="23" s="1"/>
  <c r="P101" i="23" s="1"/>
  <c r="N59" i="23"/>
  <c r="O59" i="23" s="1"/>
  <c r="P59" i="23" s="1"/>
  <c r="N105" i="23"/>
  <c r="O105" i="23" s="1"/>
  <c r="P105" i="23" s="1"/>
  <c r="N84" i="23"/>
  <c r="O84" i="23" s="1"/>
  <c r="P84" i="23" s="1"/>
  <c r="N63" i="23"/>
  <c r="O63" i="23" s="1"/>
  <c r="P63" i="23" s="1"/>
  <c r="N36" i="23"/>
  <c r="O36" i="23" s="1"/>
  <c r="P36" i="23" s="1"/>
  <c r="N6" i="23"/>
  <c r="O6" i="23" s="1"/>
  <c r="P6" i="23" s="1"/>
  <c r="N88" i="23"/>
  <c r="O88" i="23" s="1"/>
  <c r="P88" i="23" s="1"/>
  <c r="N67" i="23"/>
  <c r="O67" i="23" s="1"/>
  <c r="P67" i="23" s="1"/>
  <c r="N43" i="23"/>
  <c r="O43" i="23" s="1"/>
  <c r="P43" i="23" s="1"/>
  <c r="N11" i="23"/>
  <c r="O11" i="23" s="1"/>
  <c r="P11" i="23" s="1"/>
  <c r="N75" i="23"/>
  <c r="O75" i="23" s="1"/>
  <c r="P75" i="23" s="1"/>
  <c r="N23" i="23"/>
  <c r="O23" i="23" s="1"/>
  <c r="P23" i="23" s="1"/>
  <c r="N92" i="23"/>
  <c r="O92" i="23" s="1"/>
  <c r="P92" i="23" s="1"/>
  <c r="N71" i="23"/>
  <c r="O71" i="23" s="1"/>
  <c r="P71" i="23" s="1"/>
  <c r="N48" i="23"/>
  <c r="O48" i="23" s="1"/>
  <c r="P48" i="23" s="1"/>
  <c r="N16" i="23"/>
  <c r="O16" i="23" s="1"/>
  <c r="P16" i="23" s="1"/>
  <c r="N94" i="23"/>
  <c r="O94" i="23" s="1"/>
  <c r="P94" i="23" s="1"/>
  <c r="N78" i="23"/>
  <c r="O78" i="23" s="1"/>
  <c r="P78" i="23" s="1"/>
  <c r="N62" i="23"/>
  <c r="O62" i="23" s="1"/>
  <c r="P62" i="23" s="1"/>
  <c r="N46" i="23"/>
  <c r="O46" i="23" s="1"/>
  <c r="P46" i="23" s="1"/>
  <c r="N30" i="23"/>
  <c r="O30" i="23" s="1"/>
  <c r="P30" i="23" s="1"/>
  <c r="N14" i="23"/>
  <c r="O14" i="23" s="1"/>
  <c r="P14" i="23" s="1"/>
  <c r="N41" i="23"/>
  <c r="O41" i="23" s="1"/>
  <c r="P41" i="23" s="1"/>
  <c r="N25" i="23"/>
  <c r="O25" i="23" s="1"/>
  <c r="P25" i="23" s="1"/>
  <c r="N9" i="23"/>
  <c r="O9" i="23" s="1"/>
  <c r="P9" i="23" s="1"/>
  <c r="I19" i="23"/>
  <c r="I28" i="23"/>
  <c r="I89" i="23"/>
  <c r="F64" i="23"/>
  <c r="J64" i="23" s="1"/>
  <c r="F37" i="23"/>
  <c r="J37" i="23" s="1"/>
  <c r="F74" i="23"/>
  <c r="G74" i="23" s="1"/>
  <c r="H74" i="23" s="1"/>
  <c r="F15" i="23"/>
  <c r="J15" i="23" s="1"/>
  <c r="I47" i="23"/>
  <c r="I97" i="23"/>
  <c r="F68" i="23"/>
  <c r="J68" i="23" s="1"/>
  <c r="F45" i="23"/>
  <c r="J45" i="23" s="1"/>
  <c r="F19" i="23"/>
  <c r="J19" i="23" s="1"/>
  <c r="F47" i="23"/>
  <c r="J47" i="23" s="1"/>
  <c r="I68" i="23"/>
  <c r="F40" i="23"/>
  <c r="J40" i="23" s="1"/>
  <c r="F104" i="23"/>
  <c r="J104" i="23" s="1"/>
  <c r="F18" i="23"/>
  <c r="J18" i="23" s="1"/>
  <c r="F57" i="23"/>
  <c r="G57" i="23" s="1"/>
  <c r="H57" i="23" s="1"/>
  <c r="I7" i="23"/>
  <c r="F28" i="23"/>
  <c r="J28" i="23" s="1"/>
  <c r="F97" i="23"/>
  <c r="G97" i="23" s="1"/>
  <c r="H97" i="23" s="1"/>
  <c r="F8" i="23"/>
  <c r="J8" i="23" s="1"/>
  <c r="I58" i="23"/>
  <c r="I82" i="23"/>
  <c r="I74" i="23"/>
  <c r="I37" i="23"/>
  <c r="I35" i="23"/>
  <c r="I85" i="23"/>
  <c r="I29" i="23"/>
  <c r="F58" i="23"/>
  <c r="G58" i="23" s="1"/>
  <c r="H58" i="23" s="1"/>
  <c r="F51" i="23"/>
  <c r="J51" i="23" s="1"/>
  <c r="I15" i="23"/>
  <c r="I79" i="23"/>
  <c r="I93" i="23"/>
  <c r="I64" i="23"/>
  <c r="F100" i="23"/>
  <c r="G100" i="23" s="1"/>
  <c r="H100" i="23" s="1"/>
  <c r="F10" i="23"/>
  <c r="J10" i="23" s="1"/>
  <c r="F66" i="23"/>
  <c r="G66" i="23" s="1"/>
  <c r="H66" i="23" s="1"/>
  <c r="F55" i="23"/>
  <c r="J55" i="23" s="1"/>
  <c r="I100" i="23"/>
  <c r="F72" i="23"/>
  <c r="G72" i="23" s="1"/>
  <c r="H72" i="23" s="1"/>
  <c r="I39" i="23"/>
  <c r="I24" i="23"/>
  <c r="F29" i="23"/>
  <c r="J29" i="23" s="1"/>
  <c r="F93" i="23"/>
  <c r="G93" i="23" s="1"/>
  <c r="H93" i="23" s="1"/>
  <c r="F95" i="23"/>
  <c r="G95" i="23" s="1"/>
  <c r="H95" i="23" s="1"/>
  <c r="I26" i="23"/>
  <c r="I66" i="23"/>
  <c r="I18" i="23"/>
  <c r="I34" i="23"/>
  <c r="G96" i="23"/>
  <c r="H96" i="23" s="1"/>
  <c r="G41" i="23"/>
  <c r="H41" i="23" s="1"/>
  <c r="G36" i="23"/>
  <c r="H36" i="23" s="1"/>
  <c r="G86" i="23"/>
  <c r="H86" i="23" s="1"/>
  <c r="G23" i="23"/>
  <c r="H23" i="23" s="1"/>
  <c r="G62" i="23"/>
  <c r="H62" i="23" s="1"/>
  <c r="G11" i="23"/>
  <c r="H11" i="23" s="1"/>
  <c r="G48" i="23"/>
  <c r="H48" i="23" s="1"/>
  <c r="G9" i="23"/>
  <c r="H9" i="23" s="1"/>
  <c r="G69" i="23"/>
  <c r="H69" i="23" s="1"/>
  <c r="G75" i="23"/>
  <c r="H75" i="23" s="1"/>
  <c r="G89" i="23"/>
  <c r="H89" i="23" s="1"/>
  <c r="G39" i="23"/>
  <c r="H39" i="23" s="1"/>
  <c r="G99" i="23"/>
  <c r="H99" i="23" s="1"/>
  <c r="G76" i="23"/>
  <c r="H76" i="23" s="1"/>
  <c r="G98" i="23"/>
  <c r="H98" i="23" s="1"/>
  <c r="G27" i="23"/>
  <c r="H27" i="23" s="1"/>
  <c r="G79" i="23"/>
  <c r="H79" i="23" s="1"/>
  <c r="G78" i="23"/>
  <c r="H78" i="23" s="1"/>
  <c r="G70" i="23"/>
  <c r="H70" i="23" s="1"/>
  <c r="G59" i="23"/>
  <c r="H59" i="23" s="1"/>
  <c r="G33" i="23"/>
  <c r="H33" i="23" s="1"/>
  <c r="G43" i="23"/>
  <c r="H43" i="23" s="1"/>
  <c r="G16" i="23"/>
  <c r="H16" i="23" s="1"/>
  <c r="G106" i="23"/>
  <c r="H106" i="23" s="1"/>
  <c r="G31" i="23"/>
  <c r="H31" i="23" s="1"/>
  <c r="G38" i="23"/>
  <c r="H38" i="23" s="1"/>
  <c r="G56" i="23"/>
  <c r="H56" i="23" s="1"/>
  <c r="G44" i="23"/>
  <c r="H44" i="23" s="1"/>
  <c r="G7" i="23"/>
  <c r="H7" i="23" s="1"/>
  <c r="B19" i="19"/>
  <c r="D19" i="19" s="1"/>
  <c r="I17" i="8"/>
  <c r="J17" i="8" s="1"/>
  <c r="D150" i="2" s="1"/>
  <c r="F238" i="2" s="1"/>
  <c r="G149" i="2"/>
  <c r="F149" i="2"/>
  <c r="E37" i="1" s="1"/>
  <c r="H237" i="2" s="1"/>
  <c r="C42" i="16" s="1"/>
  <c r="I18" i="8"/>
  <c r="J18" i="8" s="1"/>
  <c r="G241" i="2" s="1"/>
  <c r="A244" i="2"/>
  <c r="B244" i="2"/>
  <c r="B225" i="2"/>
  <c r="D32" i="16"/>
  <c r="R53" i="2"/>
  <c r="C34" i="16"/>
  <c r="B135" i="2"/>
  <c r="K49" i="2"/>
  <c r="K50" i="2"/>
  <c r="D225" i="2"/>
  <c r="C157" i="8"/>
  <c r="C156" i="8" s="1"/>
  <c r="C155" i="8" s="1"/>
  <c r="C154" i="8" s="1"/>
  <c r="C153" i="8" s="1"/>
  <c r="C152" i="8" s="1"/>
  <c r="C151" i="8" s="1"/>
  <c r="C150" i="8" s="1"/>
  <c r="C149" i="8" s="1"/>
  <c r="C148" i="8" s="1"/>
  <c r="C147" i="8" s="1"/>
  <c r="C146" i="8" s="1"/>
  <c r="C145" i="8" s="1"/>
  <c r="C144" i="8" s="1"/>
  <c r="C143" i="8" s="1"/>
  <c r="C142" i="8" s="1"/>
  <c r="C141" i="8" s="1"/>
  <c r="C140" i="8" s="1"/>
  <c r="C139" i="8" s="1"/>
  <c r="C138" i="8" s="1"/>
  <c r="C137" i="8" s="1"/>
  <c r="C136" i="8" s="1"/>
  <c r="C135" i="8" s="1"/>
  <c r="C134" i="8" s="1"/>
  <c r="C133" i="8" s="1"/>
  <c r="C132" i="8" s="1"/>
  <c r="C131" i="8" s="1"/>
  <c r="C130" i="8" s="1"/>
  <c r="C129" i="8" s="1"/>
  <c r="C128" i="8" s="1"/>
  <c r="C127" i="8" s="1"/>
  <c r="C126" i="8" s="1"/>
  <c r="C125" i="8" s="1"/>
  <c r="C124" i="8" s="1"/>
  <c r="C123" i="8" s="1"/>
  <c r="C122" i="8" s="1"/>
  <c r="C121" i="8" s="1"/>
  <c r="C120" i="8" s="1"/>
  <c r="C119" i="8" s="1"/>
  <c r="C118" i="8" s="1"/>
  <c r="C117" i="8" s="1"/>
  <c r="C116" i="8" s="1"/>
  <c r="C115" i="8" s="1"/>
  <c r="C114" i="8" s="1"/>
  <c r="C113" i="8" s="1"/>
  <c r="C112" i="8" s="1"/>
  <c r="C111" i="8" s="1"/>
  <c r="C110" i="8" s="1"/>
  <c r="C109" i="8" s="1"/>
  <c r="C108" i="8" s="1"/>
  <c r="C107" i="8" s="1"/>
  <c r="C106" i="8" s="1"/>
  <c r="C105" i="8" s="1"/>
  <c r="C104" i="8" s="1"/>
  <c r="C103" i="8" s="1"/>
  <c r="C102" i="8" s="1"/>
  <c r="C101" i="8" s="1"/>
  <c r="C100" i="8" s="1"/>
  <c r="C99" i="8" s="1"/>
  <c r="C98" i="8" s="1"/>
  <c r="C97" i="8" s="1"/>
  <c r="C96" i="8" s="1"/>
  <c r="C95" i="8" s="1"/>
  <c r="C94" i="8" s="1"/>
  <c r="C93" i="8" s="1"/>
  <c r="C92" i="8" s="1"/>
  <c r="C91" i="8" s="1"/>
  <c r="C90" i="8" s="1"/>
  <c r="C89" i="8" s="1"/>
  <c r="C88" i="8" s="1"/>
  <c r="C87" i="8" s="1"/>
  <c r="C86" i="8" s="1"/>
  <c r="C85" i="8" s="1"/>
  <c r="C84" i="8" s="1"/>
  <c r="C83" i="8" s="1"/>
  <c r="C82" i="8" s="1"/>
  <c r="C81" i="8" s="1"/>
  <c r="C80" i="8" s="1"/>
  <c r="C79" i="8" s="1"/>
  <c r="C78" i="8" s="1"/>
  <c r="C77" i="8" s="1"/>
  <c r="C76" i="8" s="1"/>
  <c r="C75" i="8" s="1"/>
  <c r="C74" i="8" s="1"/>
  <c r="C73" i="8" s="1"/>
  <c r="C72" i="8" s="1"/>
  <c r="C71" i="8" s="1"/>
  <c r="C70" i="8" s="1"/>
  <c r="C69" i="8" s="1"/>
  <c r="C68" i="8" s="1"/>
  <c r="C67" i="8" s="1"/>
  <c r="C66" i="8" s="1"/>
  <c r="C65" i="8" s="1"/>
  <c r="C64" i="8" s="1"/>
  <c r="C63" i="8" s="1"/>
  <c r="C62" i="8" s="1"/>
  <c r="C61" i="8" s="1"/>
  <c r="C60" i="8" s="1"/>
  <c r="C59" i="8" s="1"/>
  <c r="C58" i="8" s="1"/>
  <c r="C57" i="8" s="1"/>
  <c r="C56" i="8" s="1"/>
  <c r="C55" i="8" s="1"/>
  <c r="C54" i="8" s="1"/>
  <c r="C53" i="8" s="1"/>
  <c r="C52" i="8" s="1"/>
  <c r="C51" i="8" s="1"/>
  <c r="C50" i="8" s="1"/>
  <c r="C49" i="8" s="1"/>
  <c r="C48" i="8" s="1"/>
  <c r="C47" i="8" s="1"/>
  <c r="C46" i="8" s="1"/>
  <c r="C45" i="8" s="1"/>
  <c r="C44" i="8" s="1"/>
  <c r="C43" i="8" s="1"/>
  <c r="C42" i="8" s="1"/>
  <c r="C41" i="8" s="1"/>
  <c r="C40" i="8" s="1"/>
  <c r="C39" i="8" s="1"/>
  <c r="C38" i="8" s="1"/>
  <c r="C37" i="8" s="1"/>
  <c r="C36" i="8" s="1"/>
  <c r="C35" i="8" s="1"/>
  <c r="C34" i="8" s="1"/>
  <c r="C33" i="8" s="1"/>
  <c r="C32" i="8" s="1"/>
  <c r="C31" i="8" s="1"/>
  <c r="C30" i="8" s="1"/>
  <c r="C29" i="8" s="1"/>
  <c r="C28" i="8" s="1"/>
  <c r="C27" i="8" s="1"/>
  <c r="C26" i="8" s="1"/>
  <c r="C25" i="8" s="1"/>
  <c r="C24" i="8" s="1"/>
  <c r="C23" i="8" s="1"/>
  <c r="C22" i="8" s="1"/>
  <c r="C21" i="8" s="1"/>
  <c r="C20" i="8" s="1"/>
  <c r="C19" i="8" s="1"/>
  <c r="C18" i="8" s="1"/>
  <c r="C17" i="8" s="1"/>
  <c r="C16" i="8" s="1"/>
  <c r="C15" i="8" s="1"/>
  <c r="C14" i="8" s="1"/>
  <c r="C13" i="8" s="1"/>
  <c r="C12" i="8" s="1"/>
  <c r="C11" i="8" s="1"/>
  <c r="C10" i="8" s="1"/>
  <c r="C9" i="8" s="1"/>
  <c r="C8" i="8" s="1"/>
  <c r="C7" i="8" s="1"/>
  <c r="C6" i="8" s="1"/>
  <c r="C4" i="8" s="1"/>
  <c r="B224" i="2"/>
  <c r="C225" i="2"/>
  <c r="B226" i="2"/>
  <c r="A227" i="2"/>
  <c r="B230" i="2"/>
  <c r="I11" i="19"/>
  <c r="I15" i="19"/>
  <c r="I19" i="19"/>
  <c r="I23" i="19"/>
  <c r="I27" i="19"/>
  <c r="I31" i="19"/>
  <c r="I35" i="19"/>
  <c r="I39" i="19"/>
  <c r="I43" i="19"/>
  <c r="I47" i="19"/>
  <c r="I51" i="19"/>
  <c r="I55" i="19"/>
  <c r="I59" i="19"/>
  <c r="I63" i="19"/>
  <c r="I67" i="19"/>
  <c r="I71" i="19"/>
  <c r="I75" i="19"/>
  <c r="I79" i="19"/>
  <c r="I83" i="19"/>
  <c r="I87" i="19"/>
  <c r="I91" i="19"/>
  <c r="I95" i="19"/>
  <c r="I99" i="19"/>
  <c r="I103" i="19"/>
  <c r="I13" i="19"/>
  <c r="I17" i="19"/>
  <c r="I21" i="19"/>
  <c r="I25" i="19"/>
  <c r="I29" i="19"/>
  <c r="I33" i="19"/>
  <c r="I37" i="19"/>
  <c r="I41" i="19"/>
  <c r="I45" i="19"/>
  <c r="I49" i="19"/>
  <c r="I53" i="19"/>
  <c r="I57" i="19"/>
  <c r="I61" i="19"/>
  <c r="I65" i="19"/>
  <c r="I69" i="19"/>
  <c r="I73" i="19"/>
  <c r="I77" i="19"/>
  <c r="I81" i="19"/>
  <c r="I85" i="19"/>
  <c r="I89" i="19"/>
  <c r="I93" i="19"/>
  <c r="I97" i="19"/>
  <c r="I101" i="19"/>
  <c r="I105" i="19"/>
  <c r="I10" i="19"/>
  <c r="I18" i="19"/>
  <c r="I26" i="19"/>
  <c r="I34" i="19"/>
  <c r="I42" i="19"/>
  <c r="I50" i="19"/>
  <c r="I58" i="19"/>
  <c r="I66" i="19"/>
  <c r="I74" i="19"/>
  <c r="I82" i="19"/>
  <c r="I90" i="19"/>
  <c r="I98" i="19"/>
  <c r="I106" i="19"/>
  <c r="I14" i="19"/>
  <c r="I22" i="19"/>
  <c r="I30" i="19"/>
  <c r="I38" i="19"/>
  <c r="I46" i="19"/>
  <c r="I54" i="19"/>
  <c r="I62" i="19"/>
  <c r="I70" i="19"/>
  <c r="I78" i="19"/>
  <c r="I86" i="19"/>
  <c r="I94" i="19"/>
  <c r="I102" i="19"/>
  <c r="I20" i="19"/>
  <c r="I36" i="19"/>
  <c r="I52" i="19"/>
  <c r="I68" i="19"/>
  <c r="I84" i="19"/>
  <c r="I100" i="19"/>
  <c r="I24" i="19"/>
  <c r="I40" i="19"/>
  <c r="I56" i="19"/>
  <c r="I72" i="19"/>
  <c r="I88" i="19"/>
  <c r="I104" i="19"/>
  <c r="I12" i="19"/>
  <c r="I28" i="19"/>
  <c r="I44" i="19"/>
  <c r="I60" i="19"/>
  <c r="I76" i="19"/>
  <c r="I92" i="19"/>
  <c r="I16" i="19"/>
  <c r="I32" i="19"/>
  <c r="I48" i="19"/>
  <c r="I64" i="19"/>
  <c r="I80" i="19"/>
  <c r="I96" i="19"/>
  <c r="D18" i="19"/>
  <c r="N233" i="24" l="1"/>
  <c r="BA233" i="24"/>
  <c r="N303" i="24"/>
  <c r="BA303" i="24"/>
  <c r="N316" i="24"/>
  <c r="BA316" i="24"/>
  <c r="N253" i="24"/>
  <c r="BA253" i="24"/>
  <c r="N228" i="24"/>
  <c r="Q228" i="24" s="1"/>
  <c r="BA228" i="24"/>
  <c r="N241" i="24"/>
  <c r="BA241" i="24"/>
  <c r="N307" i="24"/>
  <c r="BA307" i="24"/>
  <c r="N229" i="24"/>
  <c r="BA229" i="24"/>
  <c r="N299" i="24"/>
  <c r="BA299" i="24"/>
  <c r="N279" i="24"/>
  <c r="Q279" i="24" s="1"/>
  <c r="BA279" i="24"/>
  <c r="BB294" i="24"/>
  <c r="BB313" i="24"/>
  <c r="BB281" i="24"/>
  <c r="BB249" i="24"/>
  <c r="BB254" i="24"/>
  <c r="BB292" i="24"/>
  <c r="BB260" i="24"/>
  <c r="BB228" i="24"/>
  <c r="BB258" i="24"/>
  <c r="BB311" i="24"/>
  <c r="BB279" i="24"/>
  <c r="BB247" i="24"/>
  <c r="N217" i="24"/>
  <c r="BA217" i="24"/>
  <c r="N297" i="24"/>
  <c r="BA297" i="24"/>
  <c r="N226" i="24"/>
  <c r="BA226" i="24"/>
  <c r="N290" i="24"/>
  <c r="BA290" i="24"/>
  <c r="N287" i="24"/>
  <c r="BA287" i="24"/>
  <c r="N269" i="24"/>
  <c r="BA269" i="24"/>
  <c r="N251" i="24"/>
  <c r="BA251" i="24"/>
  <c r="N262" i="24"/>
  <c r="BA262" i="24"/>
  <c r="N231" i="24"/>
  <c r="BA231" i="24"/>
  <c r="N219" i="24"/>
  <c r="BA219" i="24"/>
  <c r="N256" i="24"/>
  <c r="Q256" i="24" s="1"/>
  <c r="BA256" i="24"/>
  <c r="N250" i="24"/>
  <c r="BA250" i="24"/>
  <c r="N314" i="24"/>
  <c r="BA314" i="24"/>
  <c r="N236" i="24"/>
  <c r="BA236" i="24"/>
  <c r="N309" i="24"/>
  <c r="Q309" i="24" s="1"/>
  <c r="BA309" i="24"/>
  <c r="N302" i="24"/>
  <c r="BA302" i="24"/>
  <c r="BB282" i="24"/>
  <c r="BB309" i="24"/>
  <c r="BB277" i="24"/>
  <c r="BB245" i="24"/>
  <c r="BB238" i="24"/>
  <c r="BB288" i="24"/>
  <c r="BB256" i="24"/>
  <c r="BB224" i="24"/>
  <c r="BB217" i="24"/>
  <c r="BB246" i="24"/>
  <c r="BB307" i="24"/>
  <c r="BB275" i="24"/>
  <c r="BB243" i="24"/>
  <c r="N249" i="24"/>
  <c r="BA249" i="24"/>
  <c r="N313" i="24"/>
  <c r="BA313" i="24"/>
  <c r="N240" i="24"/>
  <c r="BA240" i="24"/>
  <c r="N306" i="24"/>
  <c r="BA306" i="24"/>
  <c r="N280" i="24"/>
  <c r="BA280" i="24"/>
  <c r="N260" i="24"/>
  <c r="BA260" i="24"/>
  <c r="N257" i="24"/>
  <c r="BA257" i="24"/>
  <c r="N245" i="24"/>
  <c r="BA245" i="24"/>
  <c r="N232" i="24"/>
  <c r="BA232" i="24"/>
  <c r="N238" i="24"/>
  <c r="BA238" i="24"/>
  <c r="N315" i="24"/>
  <c r="BA315" i="24"/>
  <c r="BB262" i="24"/>
  <c r="BB305" i="24"/>
  <c r="BB273" i="24"/>
  <c r="BB241" i="24"/>
  <c r="BB230" i="24"/>
  <c r="BB316" i="24"/>
  <c r="BB284" i="24"/>
  <c r="BB252" i="24"/>
  <c r="BB220" i="24"/>
  <c r="BB314" i="24"/>
  <c r="BB234" i="24"/>
  <c r="BB303" i="24"/>
  <c r="BB271" i="24"/>
  <c r="BB239" i="24"/>
  <c r="N242" i="24"/>
  <c r="BA242" i="24"/>
  <c r="N220" i="24"/>
  <c r="BA220" i="24"/>
  <c r="N283" i="24"/>
  <c r="BA283" i="24"/>
  <c r="N308" i="24"/>
  <c r="BA308" i="24"/>
  <c r="N273" i="24"/>
  <c r="BA273" i="24"/>
  <c r="N268" i="24"/>
  <c r="BA268" i="24"/>
  <c r="N235" i="24"/>
  <c r="Q235" i="24" s="1"/>
  <c r="BA235" i="24"/>
  <c r="N244" i="24"/>
  <c r="BA244" i="24"/>
  <c r="BB250" i="24"/>
  <c r="BB301" i="24"/>
  <c r="BB269" i="24"/>
  <c r="BB237" i="24"/>
  <c r="BB312" i="24"/>
  <c r="BB280" i="24"/>
  <c r="BB248" i="24"/>
  <c r="BB302" i="24"/>
  <c r="BB222" i="24"/>
  <c r="BB176" i="24"/>
  <c r="BB299" i="24"/>
  <c r="BB267" i="24"/>
  <c r="BB235" i="24"/>
  <c r="N265" i="24"/>
  <c r="Q265" i="24" s="1"/>
  <c r="BA265" i="24"/>
  <c r="N227" i="24"/>
  <c r="BA227" i="24"/>
  <c r="N221" i="24"/>
  <c r="BA221" i="24"/>
  <c r="N285" i="24"/>
  <c r="BA285" i="24"/>
  <c r="N278" i="24"/>
  <c r="BA278" i="24"/>
  <c r="N263" i="24"/>
  <c r="Q263" i="24" s="1"/>
  <c r="BA263" i="24"/>
  <c r="N292" i="24"/>
  <c r="BA292" i="24"/>
  <c r="N259" i="24"/>
  <c r="BA259" i="24"/>
  <c r="N288" i="24"/>
  <c r="BA288" i="24"/>
  <c r="N266" i="24"/>
  <c r="BA266" i="24"/>
  <c r="N239" i="24"/>
  <c r="BA239" i="24"/>
  <c r="N261" i="24"/>
  <c r="BA261" i="24"/>
  <c r="N264" i="24"/>
  <c r="BA264" i="24"/>
  <c r="N254" i="24"/>
  <c r="BA254" i="24"/>
  <c r="N223" i="24"/>
  <c r="BA223" i="24"/>
  <c r="BB242" i="24"/>
  <c r="BB297" i="24"/>
  <c r="BB265" i="24"/>
  <c r="BB233" i="24"/>
  <c r="BB306" i="24"/>
  <c r="BB308" i="24"/>
  <c r="BB276" i="24"/>
  <c r="BB244" i="24"/>
  <c r="BB298" i="24"/>
  <c r="BB295" i="24"/>
  <c r="BB263" i="24"/>
  <c r="BB231" i="24"/>
  <c r="N243" i="24"/>
  <c r="BA243" i="24"/>
  <c r="N272" i="24"/>
  <c r="Q272" i="24" s="1"/>
  <c r="BA272" i="24"/>
  <c r="N258" i="24"/>
  <c r="BA258" i="24"/>
  <c r="N252" i="24"/>
  <c r="BA252" i="24"/>
  <c r="N237" i="24"/>
  <c r="BA237" i="24"/>
  <c r="N301" i="24"/>
  <c r="BA301" i="24"/>
  <c r="N311" i="24"/>
  <c r="BA311" i="24"/>
  <c r="N294" i="24"/>
  <c r="BA294" i="24"/>
  <c r="N291" i="24"/>
  <c r="Q291" i="24" s="1"/>
  <c r="BA291" i="24"/>
  <c r="N282" i="24"/>
  <c r="BA282" i="24"/>
  <c r="N271" i="24"/>
  <c r="BA271" i="24"/>
  <c r="N277" i="24"/>
  <c r="BA277" i="24"/>
  <c r="N296" i="24"/>
  <c r="BA296" i="24"/>
  <c r="N247" i="24"/>
  <c r="BA247" i="24"/>
  <c r="N276" i="24"/>
  <c r="BA276" i="24"/>
  <c r="BB226" i="24"/>
  <c r="BB293" i="24"/>
  <c r="BB261" i="24"/>
  <c r="BB229" i="24"/>
  <c r="BB290" i="24"/>
  <c r="BB304" i="24"/>
  <c r="BB272" i="24"/>
  <c r="BB240" i="24"/>
  <c r="BB286" i="24"/>
  <c r="BB291" i="24"/>
  <c r="BB259" i="24"/>
  <c r="BB227" i="24"/>
  <c r="N275" i="24"/>
  <c r="BA275" i="24"/>
  <c r="N300" i="24"/>
  <c r="Q300" i="24" s="1"/>
  <c r="BA300" i="24"/>
  <c r="N274" i="24"/>
  <c r="Q274" i="24" s="1"/>
  <c r="BA274" i="24"/>
  <c r="N284" i="24"/>
  <c r="BA284" i="24"/>
  <c r="N230" i="24"/>
  <c r="BA230" i="24"/>
  <c r="N295" i="24"/>
  <c r="BA295" i="24"/>
  <c r="N225" i="24"/>
  <c r="Q225" i="24" s="1"/>
  <c r="BA225" i="24"/>
  <c r="N289" i="24"/>
  <c r="Q289" i="24" s="1"/>
  <c r="BA289" i="24"/>
  <c r="N218" i="24"/>
  <c r="BA218" i="24"/>
  <c r="N304" i="24"/>
  <c r="BA304" i="24"/>
  <c r="N267" i="24"/>
  <c r="BA267" i="24"/>
  <c r="N270" i="24"/>
  <c r="BA270" i="24"/>
  <c r="BB289" i="24"/>
  <c r="BB257" i="24"/>
  <c r="BB225" i="24"/>
  <c r="BB278" i="24"/>
  <c r="BB300" i="24"/>
  <c r="BB268" i="24"/>
  <c r="BB236" i="24"/>
  <c r="BB274" i="24"/>
  <c r="BB287" i="24"/>
  <c r="BB255" i="24"/>
  <c r="BB223" i="24"/>
  <c r="N255" i="24"/>
  <c r="Q255" i="24" s="1"/>
  <c r="BA255" i="24"/>
  <c r="N281" i="24"/>
  <c r="BA281" i="24"/>
  <c r="BA216" i="24"/>
  <c r="BB216" i="24"/>
  <c r="N248" i="24"/>
  <c r="BA248" i="24"/>
  <c r="N246" i="24"/>
  <c r="BA246" i="24"/>
  <c r="N310" i="24"/>
  <c r="Q310" i="24" s="1"/>
  <c r="BA310" i="24"/>
  <c r="N305" i="24"/>
  <c r="BA305" i="24"/>
  <c r="N224" i="24"/>
  <c r="BA224" i="24"/>
  <c r="N234" i="24"/>
  <c r="BA234" i="24"/>
  <c r="N298" i="24"/>
  <c r="BA298" i="24"/>
  <c r="N293" i="24"/>
  <c r="BA293" i="24"/>
  <c r="N222" i="24"/>
  <c r="BA222" i="24"/>
  <c r="N286" i="24"/>
  <c r="BA286" i="24"/>
  <c r="N312" i="24"/>
  <c r="BA312" i="24"/>
  <c r="BB310" i="24"/>
  <c r="BB218" i="24"/>
  <c r="BB285" i="24"/>
  <c r="BB253" i="24"/>
  <c r="BB221" i="24"/>
  <c r="BB266" i="24"/>
  <c r="BB296" i="24"/>
  <c r="BB264" i="24"/>
  <c r="BB232" i="24"/>
  <c r="BB270" i="24"/>
  <c r="BB315" i="24"/>
  <c r="BB283" i="24"/>
  <c r="BB251" i="24"/>
  <c r="BB219" i="24"/>
  <c r="BB112" i="24"/>
  <c r="BB199" i="24"/>
  <c r="BB180" i="24"/>
  <c r="BB203" i="24"/>
  <c r="BB139" i="24"/>
  <c r="BB165" i="24"/>
  <c r="BB175" i="24"/>
  <c r="BB169" i="24"/>
  <c r="BB118" i="24"/>
  <c r="BB128" i="24"/>
  <c r="BB115" i="24"/>
  <c r="BB204" i="24"/>
  <c r="BB140" i="24"/>
  <c r="BB207" i="24"/>
  <c r="BA110" i="24"/>
  <c r="BB110" i="24"/>
  <c r="BB147" i="24"/>
  <c r="BB138" i="24"/>
  <c r="BB190" i="24"/>
  <c r="BB124" i="24"/>
  <c r="BB200" i="24"/>
  <c r="BB134" i="24"/>
  <c r="BB151" i="24"/>
  <c r="BB209" i="24"/>
  <c r="BB143" i="24"/>
  <c r="BB206" i="24"/>
  <c r="BB126" i="24"/>
  <c r="BB192" i="24"/>
  <c r="BB160" i="24"/>
  <c r="BP105" i="24"/>
  <c r="BB105" i="24"/>
  <c r="B99" i="2" s="1"/>
  <c r="BP100" i="24"/>
  <c r="BB100" i="24"/>
  <c r="BP68" i="24"/>
  <c r="BB68" i="24"/>
  <c r="BP101" i="24"/>
  <c r="BB101" i="24"/>
  <c r="BP91" i="24"/>
  <c r="BB91" i="24"/>
  <c r="BP59" i="24"/>
  <c r="BB59" i="24"/>
  <c r="BP69" i="24"/>
  <c r="BB69" i="24"/>
  <c r="BP82" i="24"/>
  <c r="BB82" i="24"/>
  <c r="BP50" i="24"/>
  <c r="BB50" i="24"/>
  <c r="BP72" i="24"/>
  <c r="BB72" i="24"/>
  <c r="BP63" i="24"/>
  <c r="BB63" i="24"/>
  <c r="BP86" i="24"/>
  <c r="BB86" i="24"/>
  <c r="BP54" i="24"/>
  <c r="BB54" i="24"/>
  <c r="BP97" i="24"/>
  <c r="BB97" i="24"/>
  <c r="BP96" i="24"/>
  <c r="BB96" i="24"/>
  <c r="BP64" i="24"/>
  <c r="BB64" i="24"/>
  <c r="BP89" i="24"/>
  <c r="BB89" i="24"/>
  <c r="BP87" i="24"/>
  <c r="BB87" i="24"/>
  <c r="BP55" i="24"/>
  <c r="BB55" i="24"/>
  <c r="BP53" i="24"/>
  <c r="BB53" i="24"/>
  <c r="BP78" i="24"/>
  <c r="BB78" i="24"/>
  <c r="BP46" i="24"/>
  <c r="BB46" i="24"/>
  <c r="BP95" i="24"/>
  <c r="BB95" i="24"/>
  <c r="BP85" i="24"/>
  <c r="BB85" i="24"/>
  <c r="BP92" i="24"/>
  <c r="BB92" i="24"/>
  <c r="BP51" i="24"/>
  <c r="BB51" i="24"/>
  <c r="BP77" i="24"/>
  <c r="BB77" i="24"/>
  <c r="BP88" i="24"/>
  <c r="BB88" i="24"/>
  <c r="BP56" i="24"/>
  <c r="BB56" i="24"/>
  <c r="BP61" i="24"/>
  <c r="BB61" i="24"/>
  <c r="BP79" i="24"/>
  <c r="BB79" i="24"/>
  <c r="BP47" i="24"/>
  <c r="BB47" i="24"/>
  <c r="BP102" i="24"/>
  <c r="BB102" i="24"/>
  <c r="BP70" i="24"/>
  <c r="BB70" i="24"/>
  <c r="BP74" i="24"/>
  <c r="BB74" i="24"/>
  <c r="BP65" i="24"/>
  <c r="BB65" i="24"/>
  <c r="BP84" i="24"/>
  <c r="BB84" i="24"/>
  <c r="BP52" i="24"/>
  <c r="BB52" i="24"/>
  <c r="BP75" i="24"/>
  <c r="BB75" i="24"/>
  <c r="BP98" i="24"/>
  <c r="BB98" i="24"/>
  <c r="BP66" i="24"/>
  <c r="BB66" i="24"/>
  <c r="BP83" i="24"/>
  <c r="BB83" i="24"/>
  <c r="BP57" i="24"/>
  <c r="BB57" i="24"/>
  <c r="BP80" i="24"/>
  <c r="BB80" i="24"/>
  <c r="BP48" i="24"/>
  <c r="BB48" i="24"/>
  <c r="BP103" i="24"/>
  <c r="BB103" i="24"/>
  <c r="BP71" i="24"/>
  <c r="BB71" i="24"/>
  <c r="BP94" i="24"/>
  <c r="BB94" i="24"/>
  <c r="BP62" i="24"/>
  <c r="BB62" i="24"/>
  <c r="BP104" i="24"/>
  <c r="BB104" i="24"/>
  <c r="BP81" i="24"/>
  <c r="BB81" i="24"/>
  <c r="BP60" i="24"/>
  <c r="BB60" i="24"/>
  <c r="BP73" i="24"/>
  <c r="BB73" i="24"/>
  <c r="BP49" i="24"/>
  <c r="BB49" i="24"/>
  <c r="BP76" i="24"/>
  <c r="BB76" i="24"/>
  <c r="BP99" i="24"/>
  <c r="BB99" i="24"/>
  <c r="BP67" i="24"/>
  <c r="BB67" i="24"/>
  <c r="BP93" i="24"/>
  <c r="BB93" i="24"/>
  <c r="BP90" i="24"/>
  <c r="BB90" i="24"/>
  <c r="BP58" i="24"/>
  <c r="BB58" i="24"/>
  <c r="N195" i="24"/>
  <c r="BA195" i="24"/>
  <c r="N197" i="24"/>
  <c r="BA197" i="24"/>
  <c r="N135" i="24"/>
  <c r="BA135" i="24"/>
  <c r="N144" i="24"/>
  <c r="Q144" i="24" s="1"/>
  <c r="BA144" i="24"/>
  <c r="N205" i="24"/>
  <c r="P205" i="24" s="1"/>
  <c r="BA205" i="24"/>
  <c r="N162" i="24"/>
  <c r="P162" i="24" s="1"/>
  <c r="BA162" i="24"/>
  <c r="N152" i="24"/>
  <c r="P152" i="24" s="1"/>
  <c r="BA152" i="24"/>
  <c r="N116" i="24"/>
  <c r="P116" i="24" s="1"/>
  <c r="BA116" i="24"/>
  <c r="N148" i="24"/>
  <c r="P148" i="24" s="1"/>
  <c r="BA148" i="24"/>
  <c r="N172" i="24"/>
  <c r="P172" i="24" s="1"/>
  <c r="BA172" i="24"/>
  <c r="N154" i="24"/>
  <c r="P154" i="24" s="1"/>
  <c r="BA154" i="24"/>
  <c r="N119" i="24"/>
  <c r="P119" i="24" s="1"/>
  <c r="BA119" i="24"/>
  <c r="N136" i="24"/>
  <c r="P136" i="24" s="1"/>
  <c r="BA136" i="24"/>
  <c r="N131" i="24"/>
  <c r="P131" i="24" s="1"/>
  <c r="BA131" i="24"/>
  <c r="N179" i="24"/>
  <c r="P179" i="24" s="1"/>
  <c r="BA179" i="24"/>
  <c r="N181" i="24"/>
  <c r="P181" i="24" s="1"/>
  <c r="BA181" i="24"/>
  <c r="N194" i="24"/>
  <c r="P194" i="24" s="1"/>
  <c r="BA194" i="24"/>
  <c r="N178" i="24"/>
  <c r="BA178" i="24"/>
  <c r="N160" i="24"/>
  <c r="BA160" i="24"/>
  <c r="N143" i="24"/>
  <c r="P143" i="24" s="1"/>
  <c r="BA143" i="24"/>
  <c r="N138" i="24"/>
  <c r="BA138" i="24"/>
  <c r="N140" i="24"/>
  <c r="BA140" i="24"/>
  <c r="N164" i="24"/>
  <c r="BA164" i="24"/>
  <c r="N175" i="24"/>
  <c r="Q175" i="24" s="1"/>
  <c r="BA175" i="24"/>
  <c r="N132" i="24"/>
  <c r="BA132" i="24"/>
  <c r="N209" i="24"/>
  <c r="BA209" i="24"/>
  <c r="N157" i="24"/>
  <c r="P157" i="24" s="1"/>
  <c r="BA157" i="24"/>
  <c r="N122" i="24"/>
  <c r="P122" i="24" s="1"/>
  <c r="BA122" i="24"/>
  <c r="N183" i="24"/>
  <c r="P183" i="24" s="1"/>
  <c r="BA183" i="24"/>
  <c r="N145" i="24"/>
  <c r="P145" i="24" s="1"/>
  <c r="BA145" i="24"/>
  <c r="N188" i="24"/>
  <c r="P188" i="24" s="1"/>
  <c r="BA188" i="24"/>
  <c r="N149" i="24"/>
  <c r="P149" i="24" s="1"/>
  <c r="BA149" i="24"/>
  <c r="N196" i="24"/>
  <c r="P196" i="24" s="1"/>
  <c r="BA196" i="24"/>
  <c r="N137" i="24"/>
  <c r="P137" i="24" s="1"/>
  <c r="BA137" i="24"/>
  <c r="N201" i="24"/>
  <c r="P201" i="24" s="1"/>
  <c r="BA201" i="24"/>
  <c r="N159" i="24"/>
  <c r="P159" i="24" s="1"/>
  <c r="BA159" i="24"/>
  <c r="N155" i="24"/>
  <c r="P155" i="24" s="1"/>
  <c r="BA155" i="24"/>
  <c r="N161" i="24"/>
  <c r="P161" i="24" s="1"/>
  <c r="BA161" i="24"/>
  <c r="N167" i="24"/>
  <c r="P167" i="24" s="1"/>
  <c r="BA167" i="24"/>
  <c r="N208" i="24"/>
  <c r="P208" i="24" s="1"/>
  <c r="BA208" i="24"/>
  <c r="N142" i="24"/>
  <c r="P142" i="24" s="1"/>
  <c r="BA142" i="24"/>
  <c r="N123" i="24"/>
  <c r="P123" i="24" s="1"/>
  <c r="BA123" i="24"/>
  <c r="N189" i="24"/>
  <c r="BA189" i="24"/>
  <c r="N193" i="24"/>
  <c r="P193" i="24" s="1"/>
  <c r="BA193" i="24"/>
  <c r="N174" i="24"/>
  <c r="BA174" i="24"/>
  <c r="N133" i="24"/>
  <c r="BA133" i="24"/>
  <c r="N111" i="24"/>
  <c r="BA111" i="24"/>
  <c r="N185" i="24"/>
  <c r="P185" i="24" s="1"/>
  <c r="BA185" i="24"/>
  <c r="N173" i="24"/>
  <c r="BA173" i="24"/>
  <c r="N198" i="24"/>
  <c r="BA198" i="24"/>
  <c r="N153" i="24"/>
  <c r="BA153" i="24"/>
  <c r="N146" i="24"/>
  <c r="P146" i="24" s="1"/>
  <c r="BA146" i="24"/>
  <c r="N130" i="24"/>
  <c r="BA130" i="24"/>
  <c r="N139" i="24"/>
  <c r="BA139" i="24"/>
  <c r="N190" i="24"/>
  <c r="BA190" i="24"/>
  <c r="N118" i="24"/>
  <c r="P118" i="24" s="1"/>
  <c r="BA118" i="24"/>
  <c r="N158" i="24"/>
  <c r="BA158" i="24"/>
  <c r="N126" i="24"/>
  <c r="BA126" i="24"/>
  <c r="N200" i="24"/>
  <c r="BA200" i="24"/>
  <c r="N186" i="24"/>
  <c r="P186" i="24" s="1"/>
  <c r="BA186" i="24"/>
  <c r="N182" i="24"/>
  <c r="P182" i="24" s="1"/>
  <c r="BA182" i="24"/>
  <c r="N177" i="24"/>
  <c r="P177" i="24" s="1"/>
  <c r="BA177" i="24"/>
  <c r="N163" i="24"/>
  <c r="P163" i="24" s="1"/>
  <c r="BA163" i="24"/>
  <c r="N150" i="24"/>
  <c r="P150" i="24" s="1"/>
  <c r="BA150" i="24"/>
  <c r="N170" i="24"/>
  <c r="P170" i="24" s="1"/>
  <c r="BA170" i="24"/>
  <c r="N204" i="24"/>
  <c r="BA204" i="24"/>
  <c r="N184" i="24"/>
  <c r="BA184" i="24"/>
  <c r="N147" i="24"/>
  <c r="Q147" i="24" s="1"/>
  <c r="BA147" i="24"/>
  <c r="N124" i="24"/>
  <c r="BA124" i="24"/>
  <c r="N151" i="24"/>
  <c r="BA151" i="24"/>
  <c r="N156" i="24"/>
  <c r="BA156" i="24"/>
  <c r="N180" i="24"/>
  <c r="P180" i="24" s="1"/>
  <c r="BA180" i="24"/>
  <c r="N121" i="24"/>
  <c r="BA121" i="24"/>
  <c r="N117" i="24"/>
  <c r="BA117" i="24"/>
  <c r="N114" i="24"/>
  <c r="BA114" i="24"/>
  <c r="N176" i="24"/>
  <c r="P176" i="24" s="1"/>
  <c r="BA176" i="24"/>
  <c r="N120" i="24"/>
  <c r="BA120" i="24"/>
  <c r="N191" i="24"/>
  <c r="BA191" i="24"/>
  <c r="N125" i="24"/>
  <c r="P125" i="24" s="1"/>
  <c r="BA125" i="24"/>
  <c r="N112" i="24"/>
  <c r="P112" i="24" s="1"/>
  <c r="BA112" i="24"/>
  <c r="N207" i="24"/>
  <c r="P207" i="24" s="1"/>
  <c r="BA207" i="24"/>
  <c r="N203" i="24"/>
  <c r="P203" i="24" s="1"/>
  <c r="BA203" i="24"/>
  <c r="N187" i="24"/>
  <c r="P187" i="24" s="1"/>
  <c r="BA187" i="24"/>
  <c r="N206" i="24"/>
  <c r="P206" i="24" s="1"/>
  <c r="BA206" i="24"/>
  <c r="N192" i="24"/>
  <c r="P192" i="24" s="1"/>
  <c r="BA192" i="24"/>
  <c r="N169" i="24"/>
  <c r="P169" i="24" s="1"/>
  <c r="BA169" i="24"/>
  <c r="N134" i="24"/>
  <c r="P134" i="24" s="1"/>
  <c r="BA134" i="24"/>
  <c r="N199" i="24"/>
  <c r="P199" i="24" s="1"/>
  <c r="BA199" i="24"/>
  <c r="N115" i="24"/>
  <c r="P115" i="24" s="1"/>
  <c r="BA115" i="24"/>
  <c r="N165" i="24"/>
  <c r="P165" i="24" s="1"/>
  <c r="BA165" i="24"/>
  <c r="N128" i="24"/>
  <c r="P128" i="24" s="1"/>
  <c r="BA128" i="24"/>
  <c r="N168" i="24"/>
  <c r="P168" i="24" s="1"/>
  <c r="BA168" i="24"/>
  <c r="N141" i="24"/>
  <c r="BA141" i="24"/>
  <c r="N171" i="24"/>
  <c r="BA171" i="24"/>
  <c r="N127" i="24"/>
  <c r="BA127" i="24"/>
  <c r="N202" i="24"/>
  <c r="P202" i="24" s="1"/>
  <c r="BA202" i="24"/>
  <c r="N166" i="24"/>
  <c r="BA166" i="24"/>
  <c r="N129" i="24"/>
  <c r="BA129" i="24"/>
  <c r="N113" i="24"/>
  <c r="BA113" i="24"/>
  <c r="BP41" i="24"/>
  <c r="BS41" i="24" s="1"/>
  <c r="BP38" i="24"/>
  <c r="BS38" i="24" s="1"/>
  <c r="BP29" i="24"/>
  <c r="BP32" i="24"/>
  <c r="BS32" i="24" s="1"/>
  <c r="BP23" i="24"/>
  <c r="BS23" i="24" s="1"/>
  <c r="BP14" i="24"/>
  <c r="BP25" i="24"/>
  <c r="BP10" i="24"/>
  <c r="BS10" i="24" s="1"/>
  <c r="BP21" i="24"/>
  <c r="BS21" i="24" s="1"/>
  <c r="BP17" i="24"/>
  <c r="BS17" i="24" s="1"/>
  <c r="BP20" i="24"/>
  <c r="BP37" i="24"/>
  <c r="BS37" i="24" s="1"/>
  <c r="BP43" i="24"/>
  <c r="BS43" i="24" s="1"/>
  <c r="BP11" i="24"/>
  <c r="BP34" i="24"/>
  <c r="BP42" i="24"/>
  <c r="BS42" i="24" s="1"/>
  <c r="BP6" i="24"/>
  <c r="BS6" i="24" s="1"/>
  <c r="BP13" i="24"/>
  <c r="BS13" i="24" s="1"/>
  <c r="BP16" i="24"/>
  <c r="BP39" i="24"/>
  <c r="BS39" i="24" s="1"/>
  <c r="BP7" i="24"/>
  <c r="BS7" i="24" s="1"/>
  <c r="BP30" i="24"/>
  <c r="BP28" i="24"/>
  <c r="BP9" i="24"/>
  <c r="BS9" i="24" s="1"/>
  <c r="BP44" i="24"/>
  <c r="BS44" i="24" s="1"/>
  <c r="BP12" i="24"/>
  <c r="BS12" i="24" s="1"/>
  <c r="BP35" i="24"/>
  <c r="BP26" i="24"/>
  <c r="BS26" i="24" s="1"/>
  <c r="BP19" i="24"/>
  <c r="BS19" i="24" s="1"/>
  <c r="BP15" i="24"/>
  <c r="BP45" i="24"/>
  <c r="BP40" i="24"/>
  <c r="BS40" i="24" s="1"/>
  <c r="BP8" i="24"/>
  <c r="BS8" i="24" s="1"/>
  <c r="BP31" i="24"/>
  <c r="BS31" i="24" s="1"/>
  <c r="BP22" i="24"/>
  <c r="BP24" i="24"/>
  <c r="BS24" i="24" s="1"/>
  <c r="BP33" i="24"/>
  <c r="BS33" i="24" s="1"/>
  <c r="BP36" i="24"/>
  <c r="BP27" i="24"/>
  <c r="BP18" i="24"/>
  <c r="BS18" i="24" s="1"/>
  <c r="Q283" i="24"/>
  <c r="Q243" i="24"/>
  <c r="CG85" i="24"/>
  <c r="CG49" i="24"/>
  <c r="CG25" i="24"/>
  <c r="CG9" i="24"/>
  <c r="CG92" i="24"/>
  <c r="CG44" i="24"/>
  <c r="CG28" i="24"/>
  <c r="CG99" i="24"/>
  <c r="CG83" i="24"/>
  <c r="CG35" i="24"/>
  <c r="CG19" i="24"/>
  <c r="CG41" i="24"/>
  <c r="CG90" i="24"/>
  <c r="CG58" i="24"/>
  <c r="CG42" i="24"/>
  <c r="CG26" i="24"/>
  <c r="CG10" i="24"/>
  <c r="CG72" i="24"/>
  <c r="CG40" i="24"/>
  <c r="CG8" i="24"/>
  <c r="CG95" i="24"/>
  <c r="CG31" i="24"/>
  <c r="CG86" i="24"/>
  <c r="CG22" i="24"/>
  <c r="CG65" i="24"/>
  <c r="CG33" i="24"/>
  <c r="CG17" i="24"/>
  <c r="CG52" i="24"/>
  <c r="CG36" i="24"/>
  <c r="CG101" i="24"/>
  <c r="CG75" i="24"/>
  <c r="CG43" i="24"/>
  <c r="CG27" i="24"/>
  <c r="CG11" i="24"/>
  <c r="CG69" i="24"/>
  <c r="CG82" i="24"/>
  <c r="CG66" i="24"/>
  <c r="CG34" i="24"/>
  <c r="CG18" i="24"/>
  <c r="CG56" i="24"/>
  <c r="CG24" i="24"/>
  <c r="CG79" i="24"/>
  <c r="CG15" i="24"/>
  <c r="CG102" i="24"/>
  <c r="CG38" i="24"/>
  <c r="CG96" i="24"/>
  <c r="CG80" i="24"/>
  <c r="CG64" i="24"/>
  <c r="CG32" i="24"/>
  <c r="CG16" i="24"/>
  <c r="CG103" i="24"/>
  <c r="CG71" i="24"/>
  <c r="CG55" i="24"/>
  <c r="CG39" i="24"/>
  <c r="CG23" i="24"/>
  <c r="CG7" i="24"/>
  <c r="CG53" i="24"/>
  <c r="CG78" i="24"/>
  <c r="CG46" i="24"/>
  <c r="CG30" i="24"/>
  <c r="CF5" i="24"/>
  <c r="CG5" i="24"/>
  <c r="S45" i="24"/>
  <c r="S21" i="24"/>
  <c r="T21" i="24" s="1"/>
  <c r="O21" i="24" s="1"/>
  <c r="S88" i="24"/>
  <c r="S56" i="24"/>
  <c r="T56" i="24" s="1"/>
  <c r="O56" i="24" s="1"/>
  <c r="S24" i="24"/>
  <c r="S61" i="24"/>
  <c r="S63" i="24"/>
  <c r="T63" i="24" s="1"/>
  <c r="O63" i="24" s="1"/>
  <c r="S31" i="24"/>
  <c r="T31" i="24" s="1"/>
  <c r="O31" i="24" s="1"/>
  <c r="S81" i="24"/>
  <c r="S86" i="24"/>
  <c r="T86" i="24" s="1"/>
  <c r="O86" i="24" s="1"/>
  <c r="S54" i="24"/>
  <c r="T54" i="24" s="1"/>
  <c r="O54" i="24" s="1"/>
  <c r="S22" i="24"/>
  <c r="BP113" i="24"/>
  <c r="BS113" i="24" s="1"/>
  <c r="BP163" i="24"/>
  <c r="BS163" i="24" s="1"/>
  <c r="BP174" i="24"/>
  <c r="BS174" i="24" s="1"/>
  <c r="BP183" i="24"/>
  <c r="BS183" i="24" s="1"/>
  <c r="BP197" i="24"/>
  <c r="BS197" i="24" s="1"/>
  <c r="BP137" i="24"/>
  <c r="BS137" i="24" s="1"/>
  <c r="BP135" i="24"/>
  <c r="BS135" i="24" s="1"/>
  <c r="BP194" i="24"/>
  <c r="BS194" i="24" s="1"/>
  <c r="BP189" i="24"/>
  <c r="BS189" i="24" s="1"/>
  <c r="BP122" i="24"/>
  <c r="BS122" i="24" s="1"/>
  <c r="BP188" i="24"/>
  <c r="BS188" i="24" s="1"/>
  <c r="BP172" i="24"/>
  <c r="BS172" i="24" s="1"/>
  <c r="CE129" i="25"/>
  <c r="BO129" i="25"/>
  <c r="BS129" i="25" s="1"/>
  <c r="BO145" i="25"/>
  <c r="BS145" i="25" s="1"/>
  <c r="CE145" i="25"/>
  <c r="BO161" i="25"/>
  <c r="BS161" i="25" s="1"/>
  <c r="CE161" i="25"/>
  <c r="BO177" i="25"/>
  <c r="BS177" i="25" s="1"/>
  <c r="CE177" i="25"/>
  <c r="CE193" i="25"/>
  <c r="BO193" i="25"/>
  <c r="BS193" i="25" s="1"/>
  <c r="BO150" i="25"/>
  <c r="BS150" i="25" s="1"/>
  <c r="CE150" i="25"/>
  <c r="BO182" i="25"/>
  <c r="BS182" i="25" s="1"/>
  <c r="CE182" i="25"/>
  <c r="BO131" i="25"/>
  <c r="BS131" i="25" s="1"/>
  <c r="CE131" i="25"/>
  <c r="BO163" i="25"/>
  <c r="BS163" i="25" s="1"/>
  <c r="CE163" i="25"/>
  <c r="CE195" i="25"/>
  <c r="BO195" i="25"/>
  <c r="BS195" i="25" s="1"/>
  <c r="S65" i="24"/>
  <c r="S17" i="24"/>
  <c r="S84" i="24"/>
  <c r="S52" i="24"/>
  <c r="S20" i="24"/>
  <c r="S37" i="24"/>
  <c r="S75" i="24"/>
  <c r="S43" i="24"/>
  <c r="S11" i="24"/>
  <c r="S69" i="24"/>
  <c r="T69" i="24" s="1"/>
  <c r="O69" i="24" s="1"/>
  <c r="S98" i="24"/>
  <c r="S66" i="24"/>
  <c r="S34" i="24"/>
  <c r="BP195" i="24"/>
  <c r="BS195" i="24" s="1"/>
  <c r="BP147" i="24"/>
  <c r="BS147" i="24" s="1"/>
  <c r="BP154" i="24"/>
  <c r="BS154" i="24" s="1"/>
  <c r="BP167" i="24"/>
  <c r="BS167" i="24" s="1"/>
  <c r="BP185" i="24"/>
  <c r="BS185" i="24" s="1"/>
  <c r="BP133" i="24"/>
  <c r="BS133" i="24" s="1"/>
  <c r="BP112" i="24"/>
  <c r="BS112" i="24" s="1"/>
  <c r="BP181" i="24"/>
  <c r="BS181" i="24" s="1"/>
  <c r="BP157" i="24"/>
  <c r="BS157" i="24" s="1"/>
  <c r="BP200" i="24"/>
  <c r="BS200" i="24" s="1"/>
  <c r="BP168" i="24"/>
  <c r="BS168" i="24" s="1"/>
  <c r="BO113" i="25"/>
  <c r="BS113" i="25" s="1"/>
  <c r="CE113" i="25"/>
  <c r="CE122" i="25"/>
  <c r="BO122" i="25"/>
  <c r="BS122" i="25" s="1"/>
  <c r="BO123" i="25"/>
  <c r="BS123" i="25" s="1"/>
  <c r="CE123" i="25"/>
  <c r="BO140" i="25"/>
  <c r="BS140" i="25" s="1"/>
  <c r="CE140" i="25"/>
  <c r="BO156" i="25"/>
  <c r="BS156" i="25" s="1"/>
  <c r="CE156" i="25"/>
  <c r="BO172" i="25"/>
  <c r="BS172" i="25" s="1"/>
  <c r="CE172" i="25"/>
  <c r="CE188" i="25"/>
  <c r="BO188" i="25"/>
  <c r="BS188" i="25" s="1"/>
  <c r="BO138" i="25"/>
  <c r="BS138" i="25" s="1"/>
  <c r="CE138" i="25"/>
  <c r="BO170" i="25"/>
  <c r="BS170" i="25" s="1"/>
  <c r="CE170" i="25"/>
  <c r="BO135" i="25"/>
  <c r="BS135" i="25" s="1"/>
  <c r="CE135" i="25"/>
  <c r="CE167" i="25"/>
  <c r="BO167" i="25"/>
  <c r="BS167" i="25" s="1"/>
  <c r="CE199" i="25"/>
  <c r="BO199" i="25"/>
  <c r="BS199" i="25" s="1"/>
  <c r="S97" i="24"/>
  <c r="T97" i="24" s="1"/>
  <c r="O97" i="24" s="1"/>
  <c r="S57" i="24"/>
  <c r="S29" i="24"/>
  <c r="T29" i="24" s="1"/>
  <c r="O29" i="24" s="1"/>
  <c r="S13" i="24"/>
  <c r="S96" i="24"/>
  <c r="T96" i="24" s="1"/>
  <c r="O96" i="24" s="1"/>
  <c r="S80" i="24"/>
  <c r="S64" i="24"/>
  <c r="T64" i="24" s="1"/>
  <c r="O64" i="24" s="1"/>
  <c r="S48" i="24"/>
  <c r="S32" i="24"/>
  <c r="T32" i="24" s="1"/>
  <c r="O32" i="24" s="1"/>
  <c r="S16" i="24"/>
  <c r="S89" i="24"/>
  <c r="T89" i="24" s="1"/>
  <c r="O89" i="24" s="1"/>
  <c r="S103" i="24"/>
  <c r="S87" i="24"/>
  <c r="T87" i="24" s="1"/>
  <c r="O87" i="24" s="1"/>
  <c r="S71" i="24"/>
  <c r="S55" i="24"/>
  <c r="T55" i="24" s="1"/>
  <c r="O55" i="24" s="1"/>
  <c r="S39" i="24"/>
  <c r="S23" i="24"/>
  <c r="T23" i="24" s="1"/>
  <c r="O23" i="24" s="1"/>
  <c r="S7" i="24"/>
  <c r="S53" i="24"/>
  <c r="T53" i="24" s="1"/>
  <c r="O53" i="24" s="1"/>
  <c r="S94" i="24"/>
  <c r="S78" i="24"/>
  <c r="T78" i="24" s="1"/>
  <c r="O78" i="24" s="1"/>
  <c r="S62" i="24"/>
  <c r="S46" i="24"/>
  <c r="T46" i="24" s="1"/>
  <c r="O46" i="24" s="1"/>
  <c r="S30" i="24"/>
  <c r="S14" i="24"/>
  <c r="T14" i="24" s="1"/>
  <c r="O14" i="24" s="1"/>
  <c r="BP199" i="24"/>
  <c r="BS199" i="24" s="1"/>
  <c r="BP121" i="24"/>
  <c r="BS121" i="24" s="1"/>
  <c r="BP191" i="24"/>
  <c r="BS191" i="24" s="1"/>
  <c r="BP131" i="24"/>
  <c r="BS131" i="24" s="1"/>
  <c r="BP111" i="24"/>
  <c r="BS111" i="24" s="1"/>
  <c r="BP182" i="24"/>
  <c r="BS182" i="24" s="1"/>
  <c r="BP166" i="24"/>
  <c r="BS166" i="24" s="1"/>
  <c r="BP150" i="24"/>
  <c r="BS150" i="24" s="1"/>
  <c r="BP134" i="24"/>
  <c r="BS134" i="24" s="1"/>
  <c r="BP155" i="24"/>
  <c r="BS155" i="24" s="1"/>
  <c r="BP123" i="24"/>
  <c r="BS123" i="24" s="1"/>
  <c r="BP173" i="24"/>
  <c r="BS173" i="24" s="1"/>
  <c r="BP145" i="24"/>
  <c r="BS145" i="24" s="1"/>
  <c r="BP151" i="24"/>
  <c r="BS151" i="24" s="1"/>
  <c r="BP210" i="24"/>
  <c r="BS210" i="24" s="1"/>
  <c r="BP127" i="24"/>
  <c r="BS127" i="24" s="1"/>
  <c r="BP201" i="24"/>
  <c r="BS201" i="24" s="1"/>
  <c r="BP177" i="24"/>
  <c r="BS177" i="24" s="1"/>
  <c r="BP130" i="24"/>
  <c r="BS130" i="24" s="1"/>
  <c r="BP114" i="24"/>
  <c r="BS114" i="24" s="1"/>
  <c r="BP196" i="24"/>
  <c r="BS196" i="24" s="1"/>
  <c r="BP180" i="24"/>
  <c r="BS180" i="24" s="1"/>
  <c r="BP164" i="24"/>
  <c r="BS164" i="24" s="1"/>
  <c r="BP148" i="24"/>
  <c r="BS148" i="24" s="1"/>
  <c r="BP132" i="24"/>
  <c r="BS132" i="24" s="1"/>
  <c r="BO116" i="25"/>
  <c r="BS116" i="25" s="1"/>
  <c r="CE116" i="25"/>
  <c r="CE117" i="25"/>
  <c r="BO117" i="25"/>
  <c r="BS117" i="25" s="1"/>
  <c r="BO126" i="25"/>
  <c r="BS126" i="25" s="1"/>
  <c r="CE126" i="25"/>
  <c r="BO111" i="25"/>
  <c r="BS111" i="25" s="1"/>
  <c r="CE111" i="25"/>
  <c r="CE127" i="25"/>
  <c r="BO127" i="25"/>
  <c r="BS127" i="25" s="1"/>
  <c r="BO133" i="25"/>
  <c r="BS133" i="25" s="1"/>
  <c r="CE133" i="25"/>
  <c r="CE141" i="25"/>
  <c r="BO141" i="25"/>
  <c r="BS141" i="25" s="1"/>
  <c r="CE149" i="25"/>
  <c r="BO149" i="25"/>
  <c r="BS149" i="25" s="1"/>
  <c r="CE157" i="25"/>
  <c r="BO157" i="25"/>
  <c r="BS157" i="25" s="1"/>
  <c r="CE165" i="25"/>
  <c r="BO165" i="25"/>
  <c r="BS165" i="25" s="1"/>
  <c r="CE173" i="25"/>
  <c r="BO173" i="25"/>
  <c r="BS173" i="25" s="1"/>
  <c r="CE181" i="25"/>
  <c r="BO181" i="25"/>
  <c r="BS181" i="25" s="1"/>
  <c r="CE189" i="25"/>
  <c r="BO189" i="25"/>
  <c r="BS189" i="25" s="1"/>
  <c r="CE197" i="25"/>
  <c r="BO197" i="25"/>
  <c r="BS197" i="25" s="1"/>
  <c r="BO142" i="25"/>
  <c r="BS142" i="25" s="1"/>
  <c r="CE142" i="25"/>
  <c r="BO158" i="25"/>
  <c r="BS158" i="25" s="1"/>
  <c r="CE158" i="25"/>
  <c r="BO174" i="25"/>
  <c r="BS174" i="25" s="1"/>
  <c r="CE174" i="25"/>
  <c r="BO190" i="25"/>
  <c r="BS190" i="25" s="1"/>
  <c r="CE190" i="25"/>
  <c r="CE139" i="25"/>
  <c r="BO139" i="25"/>
  <c r="BS139" i="25" s="1"/>
  <c r="BO155" i="25"/>
  <c r="BS155" i="25" s="1"/>
  <c r="CE155" i="25"/>
  <c r="CE171" i="25"/>
  <c r="BO171" i="25"/>
  <c r="BS171" i="25" s="1"/>
  <c r="BO187" i="25"/>
  <c r="BS187" i="25" s="1"/>
  <c r="CE187" i="25"/>
  <c r="CE201" i="25"/>
  <c r="BO201" i="25"/>
  <c r="BS201" i="25" s="1"/>
  <c r="CE209" i="25"/>
  <c r="BO209" i="25"/>
  <c r="BS209" i="25" s="1"/>
  <c r="CE203" i="25"/>
  <c r="BO203" i="25"/>
  <c r="BS203" i="25" s="1"/>
  <c r="CE208" i="25"/>
  <c r="BO208" i="25"/>
  <c r="BS208" i="25" s="1"/>
  <c r="S77" i="24"/>
  <c r="S104" i="24"/>
  <c r="T104" i="24" s="1"/>
  <c r="O104" i="24" s="1"/>
  <c r="S72" i="24"/>
  <c r="T72" i="24" s="1"/>
  <c r="O72" i="24" s="1"/>
  <c r="S40" i="24"/>
  <c r="T40" i="24" s="1"/>
  <c r="O40" i="24" s="1"/>
  <c r="S8" i="24"/>
  <c r="S95" i="24"/>
  <c r="T95" i="24" s="1"/>
  <c r="O95" i="24" s="1"/>
  <c r="S79" i="24"/>
  <c r="T79" i="24" s="1"/>
  <c r="O79" i="24" s="1"/>
  <c r="S47" i="24"/>
  <c r="S15" i="24"/>
  <c r="S102" i="24"/>
  <c r="S70" i="24"/>
  <c r="T70" i="24" s="1"/>
  <c r="O70" i="24" s="1"/>
  <c r="S38" i="24"/>
  <c r="S6" i="24"/>
  <c r="BP187" i="24"/>
  <c r="BS187" i="24" s="1"/>
  <c r="BP125" i="24"/>
  <c r="BS125" i="24" s="1"/>
  <c r="BP202" i="24"/>
  <c r="BS202" i="24" s="1"/>
  <c r="BP158" i="24"/>
  <c r="BS158" i="24" s="1"/>
  <c r="BP142" i="24"/>
  <c r="BS142" i="24" s="1"/>
  <c r="BP198" i="24"/>
  <c r="BS198" i="24" s="1"/>
  <c r="BP153" i="24"/>
  <c r="BS153" i="24" s="1"/>
  <c r="BP171" i="24"/>
  <c r="BS171" i="24" s="1"/>
  <c r="BP128" i="24"/>
  <c r="BS128" i="24" s="1"/>
  <c r="BP115" i="24"/>
  <c r="BS115" i="24" s="1"/>
  <c r="BP161" i="24"/>
  <c r="BS161" i="24" s="1"/>
  <c r="BP204" i="24"/>
  <c r="BS204" i="24" s="1"/>
  <c r="BP156" i="24"/>
  <c r="BS156" i="24" s="1"/>
  <c r="BP140" i="24"/>
  <c r="BS140" i="24" s="1"/>
  <c r="BO121" i="25"/>
  <c r="BS121" i="25" s="1"/>
  <c r="CE121" i="25"/>
  <c r="BO124" i="25"/>
  <c r="BS124" i="25" s="1"/>
  <c r="CE124" i="25"/>
  <c r="BO118" i="25"/>
  <c r="BS118" i="25" s="1"/>
  <c r="CE118" i="25"/>
  <c r="CE119" i="25"/>
  <c r="BO119" i="25"/>
  <c r="BS119" i="25" s="1"/>
  <c r="CE137" i="25"/>
  <c r="BO137" i="25"/>
  <c r="BS137" i="25" s="1"/>
  <c r="BO153" i="25"/>
  <c r="BS153" i="25" s="1"/>
  <c r="CE153" i="25"/>
  <c r="BO169" i="25"/>
  <c r="BS169" i="25" s="1"/>
  <c r="CE169" i="25"/>
  <c r="BO185" i="25"/>
  <c r="BS185" i="25" s="1"/>
  <c r="CE185" i="25"/>
  <c r="CE134" i="25"/>
  <c r="BO134" i="25"/>
  <c r="BS134" i="25" s="1"/>
  <c r="BO166" i="25"/>
  <c r="BS166" i="25" s="1"/>
  <c r="CE166" i="25"/>
  <c r="CE198" i="25"/>
  <c r="BO198" i="25"/>
  <c r="BS198" i="25" s="1"/>
  <c r="BO147" i="25"/>
  <c r="BS147" i="25" s="1"/>
  <c r="CE147" i="25"/>
  <c r="BO179" i="25"/>
  <c r="BS179" i="25" s="1"/>
  <c r="CE179" i="25"/>
  <c r="CE205" i="25"/>
  <c r="BO205" i="25"/>
  <c r="BS205" i="25" s="1"/>
  <c r="CE200" i="25"/>
  <c r="BO200" i="25"/>
  <c r="BS200" i="25" s="1"/>
  <c r="S105" i="24"/>
  <c r="T105" i="24" s="1"/>
  <c r="O105" i="24" s="1"/>
  <c r="S33" i="24"/>
  <c r="T33" i="24" s="1"/>
  <c r="O33" i="24" s="1"/>
  <c r="S100" i="24"/>
  <c r="T100" i="24" s="1"/>
  <c r="O100" i="24" s="1"/>
  <c r="S68" i="24"/>
  <c r="T68" i="24" s="1"/>
  <c r="O68" i="24" s="1"/>
  <c r="S36" i="24"/>
  <c r="T36" i="24" s="1"/>
  <c r="O36" i="24" s="1"/>
  <c r="S101" i="24"/>
  <c r="T101" i="24" s="1"/>
  <c r="O101" i="24" s="1"/>
  <c r="S91" i="24"/>
  <c r="T91" i="24" s="1"/>
  <c r="O91" i="24" s="1"/>
  <c r="S59" i="24"/>
  <c r="T59" i="24" s="1"/>
  <c r="O59" i="24" s="1"/>
  <c r="S27" i="24"/>
  <c r="T27" i="24" s="1"/>
  <c r="O27" i="24" s="1"/>
  <c r="S82" i="24"/>
  <c r="T82" i="24" s="1"/>
  <c r="O82" i="24" s="1"/>
  <c r="S50" i="24"/>
  <c r="T50" i="24" s="1"/>
  <c r="O50" i="24" s="1"/>
  <c r="S18" i="24"/>
  <c r="T18" i="24" s="1"/>
  <c r="O18" i="24" s="1"/>
  <c r="BP117" i="24"/>
  <c r="BS117" i="24" s="1"/>
  <c r="BP207" i="24"/>
  <c r="BS207" i="24" s="1"/>
  <c r="BP186" i="24"/>
  <c r="BS186" i="24" s="1"/>
  <c r="BP170" i="24"/>
  <c r="BS170" i="24" s="1"/>
  <c r="BP138" i="24"/>
  <c r="BS138" i="24" s="1"/>
  <c r="BP190" i="24"/>
  <c r="BS190" i="24" s="1"/>
  <c r="BP149" i="24"/>
  <c r="BS149" i="24" s="1"/>
  <c r="BP159" i="24"/>
  <c r="BS159" i="24" s="1"/>
  <c r="BP124" i="24"/>
  <c r="BS124" i="24" s="1"/>
  <c r="BP205" i="24"/>
  <c r="BS205" i="24" s="1"/>
  <c r="BP118" i="24"/>
  <c r="BS118" i="24" s="1"/>
  <c r="BP152" i="24"/>
  <c r="BS152" i="24" s="1"/>
  <c r="BP136" i="24"/>
  <c r="BS136" i="24" s="1"/>
  <c r="CE112" i="25"/>
  <c r="BO112" i="25"/>
  <c r="BS112" i="25" s="1"/>
  <c r="CE132" i="25"/>
  <c r="BO132" i="25"/>
  <c r="BS132" i="25" s="1"/>
  <c r="BO148" i="25"/>
  <c r="BS148" i="25" s="1"/>
  <c r="CE148" i="25"/>
  <c r="BO164" i="25"/>
  <c r="BS164" i="25" s="1"/>
  <c r="CE164" i="25"/>
  <c r="BO180" i="25"/>
  <c r="BS180" i="25" s="1"/>
  <c r="CE180" i="25"/>
  <c r="CE196" i="25"/>
  <c r="BO196" i="25"/>
  <c r="BS196" i="25" s="1"/>
  <c r="CE154" i="25"/>
  <c r="BO154" i="25"/>
  <c r="BS154" i="25" s="1"/>
  <c r="CE186" i="25"/>
  <c r="BO186" i="25"/>
  <c r="BS186" i="25" s="1"/>
  <c r="BO151" i="25"/>
  <c r="BS151" i="25" s="1"/>
  <c r="CE151" i="25"/>
  <c r="BO183" i="25"/>
  <c r="BS183" i="25" s="1"/>
  <c r="CE183" i="25"/>
  <c r="CE206" i="25"/>
  <c r="BO206" i="25"/>
  <c r="BS206" i="25" s="1"/>
  <c r="CE204" i="25"/>
  <c r="BO204" i="25"/>
  <c r="BS204" i="25" s="1"/>
  <c r="S85" i="24"/>
  <c r="T85" i="24" s="1"/>
  <c r="O85" i="24" s="1"/>
  <c r="S49" i="24"/>
  <c r="S25" i="24"/>
  <c r="T25" i="24" s="1"/>
  <c r="O25" i="24" s="1"/>
  <c r="S9" i="24"/>
  <c r="S92" i="24"/>
  <c r="T92" i="24" s="1"/>
  <c r="O92" i="24" s="1"/>
  <c r="S76" i="24"/>
  <c r="S60" i="24"/>
  <c r="T60" i="24" s="1"/>
  <c r="O60" i="24" s="1"/>
  <c r="S44" i="24"/>
  <c r="S28" i="24"/>
  <c r="T28" i="24" s="1"/>
  <c r="O28" i="24" s="1"/>
  <c r="S12" i="24"/>
  <c r="S73" i="24"/>
  <c r="T73" i="24" s="1"/>
  <c r="O73" i="24" s="1"/>
  <c r="S99" i="24"/>
  <c r="S83" i="24"/>
  <c r="T83" i="24" s="1"/>
  <c r="O83" i="24" s="1"/>
  <c r="S67" i="24"/>
  <c r="S51" i="24"/>
  <c r="T51" i="24" s="1"/>
  <c r="O51" i="24" s="1"/>
  <c r="S35" i="24"/>
  <c r="S19" i="24"/>
  <c r="T19" i="24" s="1"/>
  <c r="O19" i="24" s="1"/>
  <c r="S93" i="24"/>
  <c r="S41" i="24"/>
  <c r="T41" i="24" s="1"/>
  <c r="O41" i="24" s="1"/>
  <c r="S90" i="24"/>
  <c r="S74" i="24"/>
  <c r="T74" i="24" s="1"/>
  <c r="O74" i="24" s="1"/>
  <c r="S58" i="24"/>
  <c r="S42" i="24"/>
  <c r="T42" i="24" s="1"/>
  <c r="O42" i="24" s="1"/>
  <c r="S26" i="24"/>
  <c r="S10" i="24"/>
  <c r="T10" i="24" s="1"/>
  <c r="O10" i="24" s="1"/>
  <c r="BP203" i="24"/>
  <c r="BS203" i="24" s="1"/>
  <c r="BP129" i="24"/>
  <c r="BS129" i="24" s="1"/>
  <c r="BP179" i="24"/>
  <c r="BS179" i="24" s="1"/>
  <c r="BP120" i="24"/>
  <c r="BS120" i="24" s="1"/>
  <c r="BP178" i="24"/>
  <c r="BS178" i="24" s="1"/>
  <c r="BP162" i="24"/>
  <c r="BS162" i="24" s="1"/>
  <c r="BP146" i="24"/>
  <c r="BS146" i="24" s="1"/>
  <c r="BP139" i="24"/>
  <c r="BS139" i="24" s="1"/>
  <c r="BP116" i="24"/>
  <c r="BS116" i="24" s="1"/>
  <c r="BP209" i="24"/>
  <c r="BS209" i="24" s="1"/>
  <c r="BP165" i="24"/>
  <c r="BS165" i="24" s="1"/>
  <c r="BP175" i="24"/>
  <c r="BS175" i="24" s="1"/>
  <c r="BP143" i="24"/>
  <c r="BS143" i="24" s="1"/>
  <c r="BP206" i="24"/>
  <c r="BS206" i="24" s="1"/>
  <c r="BP119" i="24"/>
  <c r="BS119" i="24" s="1"/>
  <c r="BP193" i="24"/>
  <c r="BS193" i="24" s="1"/>
  <c r="BP169" i="24"/>
  <c r="BS169" i="24" s="1"/>
  <c r="BP126" i="24"/>
  <c r="BS126" i="24" s="1"/>
  <c r="BP208" i="24"/>
  <c r="BS208" i="24" s="1"/>
  <c r="BP192" i="24"/>
  <c r="BS192" i="24" s="1"/>
  <c r="BP176" i="24"/>
  <c r="BS176" i="24" s="1"/>
  <c r="BP160" i="24"/>
  <c r="BS160" i="24" s="1"/>
  <c r="BP144" i="24"/>
  <c r="BS144" i="24" s="1"/>
  <c r="BO120" i="25"/>
  <c r="BS120" i="25" s="1"/>
  <c r="CE120" i="25"/>
  <c r="CE125" i="25"/>
  <c r="BO125" i="25"/>
  <c r="BS125" i="25" s="1"/>
  <c r="CE114" i="25"/>
  <c r="BO114" i="25"/>
  <c r="BS114" i="25" s="1"/>
  <c r="CE115" i="25"/>
  <c r="BO115" i="25"/>
  <c r="BS115" i="25" s="1"/>
  <c r="BO128" i="25"/>
  <c r="BS128" i="25" s="1"/>
  <c r="CE128" i="25"/>
  <c r="BO136" i="25"/>
  <c r="BS136" i="25" s="1"/>
  <c r="CE136" i="25"/>
  <c r="BO144" i="25"/>
  <c r="BS144" i="25" s="1"/>
  <c r="CE144" i="25"/>
  <c r="CE152" i="25"/>
  <c r="BO152" i="25"/>
  <c r="BS152" i="25" s="1"/>
  <c r="CE160" i="25"/>
  <c r="BO160" i="25"/>
  <c r="BS160" i="25" s="1"/>
  <c r="BO168" i="25"/>
  <c r="BS168" i="25" s="1"/>
  <c r="CE168" i="25"/>
  <c r="CE176" i="25"/>
  <c r="BO176" i="25"/>
  <c r="BS176" i="25" s="1"/>
  <c r="CE184" i="25"/>
  <c r="BO184" i="25"/>
  <c r="BS184" i="25" s="1"/>
  <c r="CE192" i="25"/>
  <c r="BO192" i="25"/>
  <c r="BS192" i="25" s="1"/>
  <c r="BO130" i="25"/>
  <c r="BS130" i="25" s="1"/>
  <c r="CE130" i="25"/>
  <c r="CE146" i="25"/>
  <c r="BO146" i="25"/>
  <c r="BS146" i="25" s="1"/>
  <c r="CE162" i="25"/>
  <c r="BO162" i="25"/>
  <c r="BS162" i="25" s="1"/>
  <c r="CE178" i="25"/>
  <c r="BO178" i="25"/>
  <c r="BS178" i="25" s="1"/>
  <c r="CE194" i="25"/>
  <c r="BO194" i="25"/>
  <c r="BS194" i="25" s="1"/>
  <c r="CE143" i="25"/>
  <c r="BO143" i="25"/>
  <c r="BS143" i="25" s="1"/>
  <c r="BO159" i="25"/>
  <c r="BS159" i="25" s="1"/>
  <c r="CE159" i="25"/>
  <c r="CE175" i="25"/>
  <c r="BO175" i="25"/>
  <c r="BS175" i="25" s="1"/>
  <c r="BO191" i="25"/>
  <c r="BS191" i="25" s="1"/>
  <c r="CE191" i="25"/>
  <c r="CE202" i="25"/>
  <c r="BO202" i="25"/>
  <c r="BS202" i="25" s="1"/>
  <c r="CE210" i="25"/>
  <c r="BO210" i="25"/>
  <c r="BS210" i="25" s="1"/>
  <c r="BO207" i="25"/>
  <c r="BS207" i="25" s="1"/>
  <c r="CE207" i="25"/>
  <c r="U110" i="24"/>
  <c r="V110" i="24" s="1"/>
  <c r="N110" i="24"/>
  <c r="N210" i="24"/>
  <c r="P210" i="24" s="1"/>
  <c r="S141" i="24"/>
  <c r="T141" i="24" s="1"/>
  <c r="BP141" i="24"/>
  <c r="BS141" i="24" s="1"/>
  <c r="S184" i="24"/>
  <c r="T184" i="24" s="1"/>
  <c r="BP184" i="24"/>
  <c r="BS184" i="24" s="1"/>
  <c r="Q226" i="24"/>
  <c r="Q290" i="24"/>
  <c r="Q233" i="24"/>
  <c r="Q282" i="24"/>
  <c r="Q277" i="24"/>
  <c r="Q292" i="24"/>
  <c r="Q254" i="24"/>
  <c r="Q284" i="24"/>
  <c r="Q230" i="24"/>
  <c r="Q257" i="24"/>
  <c r="Q248" i="24"/>
  <c r="Q222" i="24"/>
  <c r="Q312" i="24"/>
  <c r="O216" i="24"/>
  <c r="J216" i="24"/>
  <c r="J110" i="24"/>
  <c r="O110" i="24"/>
  <c r="CA110" i="24" s="1"/>
  <c r="S121" i="24"/>
  <c r="T121" i="24" s="1"/>
  <c r="J121" i="24" s="1"/>
  <c r="S262" i="24"/>
  <c r="T262" i="24" s="1"/>
  <c r="O262" i="24" s="1"/>
  <c r="Q150" i="24"/>
  <c r="S150" i="24"/>
  <c r="T150" i="24" s="1"/>
  <c r="S305" i="24"/>
  <c r="T305" i="24" s="1"/>
  <c r="O305" i="24" s="1"/>
  <c r="S257" i="24"/>
  <c r="T257" i="24" s="1"/>
  <c r="O257" i="24" s="1"/>
  <c r="Q155" i="24"/>
  <c r="S155" i="24"/>
  <c r="T155" i="24" s="1"/>
  <c r="S230" i="24"/>
  <c r="T230" i="24" s="1"/>
  <c r="J230" i="24" s="1"/>
  <c r="Q145" i="24"/>
  <c r="S145" i="24"/>
  <c r="T145" i="24" s="1"/>
  <c r="S284" i="24"/>
  <c r="T284" i="24" s="1"/>
  <c r="O284" i="24" s="1"/>
  <c r="S236" i="24"/>
  <c r="T236" i="24" s="1"/>
  <c r="J236" i="24" s="1"/>
  <c r="S314" i="24"/>
  <c r="T314" i="24" s="1"/>
  <c r="J314" i="24" s="1"/>
  <c r="S210" i="24"/>
  <c r="T210" i="24" s="1"/>
  <c r="S130" i="24"/>
  <c r="T130" i="24" s="1"/>
  <c r="O130" i="24" s="1"/>
  <c r="S180" i="24"/>
  <c r="T180" i="24" s="1"/>
  <c r="J180" i="24" s="1"/>
  <c r="AI180" i="24" s="1"/>
  <c r="S132" i="24"/>
  <c r="T132" i="24" s="1"/>
  <c r="O132" i="24" s="1"/>
  <c r="S271" i="24"/>
  <c r="T271" i="24" s="1"/>
  <c r="J271" i="24" s="1"/>
  <c r="S223" i="24"/>
  <c r="T223" i="24" s="1"/>
  <c r="J223" i="24" s="1"/>
  <c r="Q187" i="24"/>
  <c r="S187" i="24"/>
  <c r="T187" i="24" s="1"/>
  <c r="S113" i="24"/>
  <c r="T113" i="24" s="1"/>
  <c r="O113" i="24" s="1"/>
  <c r="Q125" i="24"/>
  <c r="S125" i="24"/>
  <c r="T125" i="24" s="1"/>
  <c r="Q163" i="24"/>
  <c r="S163" i="24"/>
  <c r="T163" i="24" s="1"/>
  <c r="S294" i="24"/>
  <c r="T294" i="24" s="1"/>
  <c r="J294" i="24" s="1"/>
  <c r="S242" i="24"/>
  <c r="T242" i="24" s="1"/>
  <c r="O242" i="24" s="1"/>
  <c r="S202" i="24"/>
  <c r="T202" i="24" s="1"/>
  <c r="J202" i="24" s="1"/>
  <c r="AI202" i="24" s="1"/>
  <c r="S174" i="24"/>
  <c r="T174" i="24" s="1"/>
  <c r="O174" i="24" s="1"/>
  <c r="S158" i="24"/>
  <c r="T158" i="24" s="1"/>
  <c r="O158" i="24" s="1"/>
  <c r="Q142" i="24"/>
  <c r="S142" i="24"/>
  <c r="T142" i="24" s="1"/>
  <c r="S313" i="24"/>
  <c r="T313" i="24" s="1"/>
  <c r="O313" i="24" s="1"/>
  <c r="S297" i="24"/>
  <c r="T297" i="24" s="1"/>
  <c r="J297" i="24" s="1"/>
  <c r="S281" i="24"/>
  <c r="T281" i="24" s="1"/>
  <c r="O281" i="24" s="1"/>
  <c r="S265" i="24"/>
  <c r="T265" i="24" s="1"/>
  <c r="O265" i="24" s="1"/>
  <c r="S249" i="24"/>
  <c r="T249" i="24" s="1"/>
  <c r="O249" i="24" s="1"/>
  <c r="S233" i="24"/>
  <c r="T233" i="24" s="1"/>
  <c r="J233" i="24" s="1"/>
  <c r="Q183" i="24"/>
  <c r="S183" i="24"/>
  <c r="T183" i="24" s="1"/>
  <c r="S306" i="24"/>
  <c r="T306" i="24" s="1"/>
  <c r="O306" i="24" s="1"/>
  <c r="S254" i="24"/>
  <c r="T254" i="24" s="1"/>
  <c r="J254" i="24" s="1"/>
  <c r="S198" i="24"/>
  <c r="T198" i="24" s="1"/>
  <c r="O198" i="24" s="1"/>
  <c r="S197" i="24"/>
  <c r="T197" i="24" s="1"/>
  <c r="J197" i="24" s="1"/>
  <c r="S153" i="24"/>
  <c r="T153" i="24" s="1"/>
  <c r="O153" i="24" s="1"/>
  <c r="Q137" i="24"/>
  <c r="S137" i="24"/>
  <c r="T137" i="24" s="1"/>
  <c r="S308" i="24"/>
  <c r="T308" i="24" s="1"/>
  <c r="O308" i="24" s="1"/>
  <c r="S292" i="24"/>
  <c r="T292" i="24" s="1"/>
  <c r="J292" i="24" s="1"/>
  <c r="S276" i="24"/>
  <c r="T276" i="24" s="1"/>
  <c r="O276" i="24" s="1"/>
  <c r="S260" i="24"/>
  <c r="T260" i="24" s="1"/>
  <c r="O260" i="24" s="1"/>
  <c r="S244" i="24"/>
  <c r="T244" i="24" s="1"/>
  <c r="O244" i="24" s="1"/>
  <c r="S228" i="24"/>
  <c r="T228" i="24" s="1"/>
  <c r="J228" i="24" s="1"/>
  <c r="S171" i="24"/>
  <c r="T171" i="24" s="1"/>
  <c r="O171" i="24" s="1"/>
  <c r="S135" i="24"/>
  <c r="T135" i="24" s="1"/>
  <c r="J135" i="24" s="1"/>
  <c r="AI135" i="24" s="1"/>
  <c r="S298" i="24"/>
  <c r="T298" i="24" s="1"/>
  <c r="O298" i="24" s="1"/>
  <c r="S258" i="24"/>
  <c r="T258" i="24" s="1"/>
  <c r="J258" i="24" s="1"/>
  <c r="Q128" i="24"/>
  <c r="S128" i="24"/>
  <c r="T128" i="24" s="1"/>
  <c r="Q194" i="24"/>
  <c r="S194" i="24"/>
  <c r="T194" i="24" s="1"/>
  <c r="Q115" i="24"/>
  <c r="S115" i="24"/>
  <c r="T115" i="24" s="1"/>
  <c r="S189" i="24"/>
  <c r="T189" i="24" s="1"/>
  <c r="O189" i="24" s="1"/>
  <c r="Q161" i="24"/>
  <c r="S161" i="24"/>
  <c r="T161" i="24" s="1"/>
  <c r="S122" i="24"/>
  <c r="T122" i="24" s="1"/>
  <c r="S204" i="24"/>
  <c r="T204" i="24" s="1"/>
  <c r="O204" i="24" s="1"/>
  <c r="Q188" i="24"/>
  <c r="S188" i="24"/>
  <c r="T188" i="24" s="1"/>
  <c r="Q172" i="24"/>
  <c r="S172" i="24"/>
  <c r="T172" i="24" s="1"/>
  <c r="S156" i="24"/>
  <c r="T156" i="24" s="1"/>
  <c r="O156" i="24" s="1"/>
  <c r="S140" i="24"/>
  <c r="T140" i="24" s="1"/>
  <c r="J140" i="24" s="1"/>
  <c r="AI140" i="24" s="1"/>
  <c r="S311" i="24"/>
  <c r="T311" i="24" s="1"/>
  <c r="O311" i="24" s="1"/>
  <c r="S295" i="24"/>
  <c r="T295" i="24" s="1"/>
  <c r="O295" i="24" s="1"/>
  <c r="S279" i="24"/>
  <c r="T279" i="24" s="1"/>
  <c r="J279" i="24" s="1"/>
  <c r="S263" i="24"/>
  <c r="T263" i="24" s="1"/>
  <c r="O263" i="24" s="1"/>
  <c r="S247" i="24"/>
  <c r="T247" i="24" s="1"/>
  <c r="J247" i="24" s="1"/>
  <c r="S231" i="24"/>
  <c r="T231" i="24" s="1"/>
  <c r="O231" i="24" s="1"/>
  <c r="S199" i="24"/>
  <c r="T199" i="24" s="1"/>
  <c r="Q131" i="24"/>
  <c r="S131" i="24"/>
  <c r="T131" i="24" s="1"/>
  <c r="Q182" i="24"/>
  <c r="S182" i="24"/>
  <c r="T182" i="24" s="1"/>
  <c r="S289" i="24"/>
  <c r="T289" i="24" s="1"/>
  <c r="O289" i="24" s="1"/>
  <c r="S225" i="24"/>
  <c r="T225" i="24" s="1"/>
  <c r="O225" i="24" s="1"/>
  <c r="Q123" i="24"/>
  <c r="S123" i="24"/>
  <c r="T123" i="24" s="1"/>
  <c r="S316" i="24"/>
  <c r="T316" i="24" s="1"/>
  <c r="J316" i="24" s="1"/>
  <c r="S252" i="24"/>
  <c r="T252" i="24" s="1"/>
  <c r="O252" i="24" s="1"/>
  <c r="S151" i="24"/>
  <c r="T151" i="24" s="1"/>
  <c r="O151" i="24" s="1"/>
  <c r="S234" i="24"/>
  <c r="T234" i="24" s="1"/>
  <c r="J234" i="24" s="1"/>
  <c r="Q201" i="24"/>
  <c r="S201" i="24"/>
  <c r="T201" i="24" s="1"/>
  <c r="S114" i="24"/>
  <c r="T114" i="24" s="1"/>
  <c r="O114" i="24" s="1"/>
  <c r="S164" i="24"/>
  <c r="T164" i="24" s="1"/>
  <c r="J164" i="24" s="1"/>
  <c r="AI164" i="24" s="1"/>
  <c r="S303" i="24"/>
  <c r="T303" i="24" s="1"/>
  <c r="J303" i="24" s="1"/>
  <c r="S255" i="24"/>
  <c r="T255" i="24" s="1"/>
  <c r="O255" i="24" s="1"/>
  <c r="S117" i="24"/>
  <c r="T117" i="24" s="1"/>
  <c r="O117" i="24" s="1"/>
  <c r="S195" i="24"/>
  <c r="T195" i="24" s="1"/>
  <c r="O195" i="24" s="1"/>
  <c r="Q207" i="24"/>
  <c r="S207" i="24"/>
  <c r="T207" i="24" s="1"/>
  <c r="S147" i="24"/>
  <c r="T147" i="24" s="1"/>
  <c r="O147" i="24" s="1"/>
  <c r="S282" i="24"/>
  <c r="T282" i="24" s="1"/>
  <c r="O282" i="24" s="1"/>
  <c r="S226" i="24"/>
  <c r="T226" i="24" s="1"/>
  <c r="O226" i="24" s="1"/>
  <c r="S186" i="24"/>
  <c r="T186" i="24" s="1"/>
  <c r="Q170" i="24"/>
  <c r="S170" i="24"/>
  <c r="T170" i="24" s="1"/>
  <c r="Q154" i="24"/>
  <c r="S154" i="24"/>
  <c r="T154" i="24" s="1"/>
  <c r="S138" i="24"/>
  <c r="T138" i="24" s="1"/>
  <c r="J138" i="24" s="1"/>
  <c r="AI138" i="24" s="1"/>
  <c r="S309" i="24"/>
  <c r="T309" i="24" s="1"/>
  <c r="J309" i="24" s="1"/>
  <c r="S293" i="24"/>
  <c r="T293" i="24" s="1"/>
  <c r="J293" i="24" s="1"/>
  <c r="S277" i="24"/>
  <c r="T277" i="24" s="1"/>
  <c r="O277" i="24" s="1"/>
  <c r="S261" i="24"/>
  <c r="T261" i="24" s="1"/>
  <c r="O261" i="24" s="1"/>
  <c r="S245" i="24"/>
  <c r="T245" i="24" s="1"/>
  <c r="J245" i="24" s="1"/>
  <c r="S229" i="24"/>
  <c r="T229" i="24" s="1"/>
  <c r="J229" i="24" s="1"/>
  <c r="Q167" i="24"/>
  <c r="S167" i="24"/>
  <c r="T167" i="24" s="1"/>
  <c r="S290" i="24"/>
  <c r="T290" i="24" s="1"/>
  <c r="O290" i="24" s="1"/>
  <c r="S238" i="24"/>
  <c r="T238" i="24" s="1"/>
  <c r="O238" i="24" s="1"/>
  <c r="S190" i="24"/>
  <c r="T190" i="24" s="1"/>
  <c r="O190" i="24" s="1"/>
  <c r="S185" i="24"/>
  <c r="T185" i="24" s="1"/>
  <c r="O185" i="24" s="1"/>
  <c r="S149" i="24"/>
  <c r="T149" i="24" s="1"/>
  <c r="S133" i="24"/>
  <c r="T133" i="24" s="1"/>
  <c r="O133" i="24" s="1"/>
  <c r="S304" i="24"/>
  <c r="T304" i="24" s="1"/>
  <c r="J304" i="24" s="1"/>
  <c r="S288" i="24"/>
  <c r="T288" i="24" s="1"/>
  <c r="J288" i="24" s="1"/>
  <c r="S272" i="24"/>
  <c r="T272" i="24" s="1"/>
  <c r="J272" i="24" s="1"/>
  <c r="S256" i="24"/>
  <c r="T256" i="24" s="1"/>
  <c r="J256" i="24" s="1"/>
  <c r="S240" i="24"/>
  <c r="T240" i="24" s="1"/>
  <c r="J240" i="24" s="1"/>
  <c r="S224" i="24"/>
  <c r="T224" i="24" s="1"/>
  <c r="J224" i="24" s="1"/>
  <c r="S159" i="24"/>
  <c r="T159" i="24" s="1"/>
  <c r="S217" i="24"/>
  <c r="T217" i="24" s="1"/>
  <c r="O217" i="24" s="1"/>
  <c r="S286" i="24"/>
  <c r="T286" i="24" s="1"/>
  <c r="J286" i="24" s="1"/>
  <c r="S246" i="24"/>
  <c r="T246" i="24" s="1"/>
  <c r="O246" i="24" s="1"/>
  <c r="S124" i="24"/>
  <c r="T124" i="24" s="1"/>
  <c r="J124" i="24" s="1"/>
  <c r="AI124" i="24" s="1"/>
  <c r="S112" i="24"/>
  <c r="T112" i="24" s="1"/>
  <c r="Q205" i="24"/>
  <c r="S205" i="24"/>
  <c r="T205" i="24" s="1"/>
  <c r="S181" i="24"/>
  <c r="T181" i="24" s="1"/>
  <c r="Q157" i="24"/>
  <c r="S157" i="24"/>
  <c r="T157" i="24" s="1"/>
  <c r="S118" i="24"/>
  <c r="T118" i="24" s="1"/>
  <c r="J118" i="24" s="1"/>
  <c r="AI118" i="24" s="1"/>
  <c r="S200" i="24"/>
  <c r="T200" i="24" s="1"/>
  <c r="J200" i="24" s="1"/>
  <c r="AI200" i="24" s="1"/>
  <c r="S168" i="24"/>
  <c r="T168" i="24" s="1"/>
  <c r="O168" i="24" s="1"/>
  <c r="Q152" i="24"/>
  <c r="S152" i="24"/>
  <c r="T152" i="24" s="1"/>
  <c r="Q136" i="24"/>
  <c r="S136" i="24"/>
  <c r="T136" i="24" s="1"/>
  <c r="S307" i="24"/>
  <c r="T307" i="24" s="1"/>
  <c r="J307" i="24" s="1"/>
  <c r="S291" i="24"/>
  <c r="T291" i="24" s="1"/>
  <c r="O291" i="24" s="1"/>
  <c r="S275" i="24"/>
  <c r="T275" i="24" s="1"/>
  <c r="J275" i="24" s="1"/>
  <c r="S259" i="24"/>
  <c r="T259" i="24" s="1"/>
  <c r="J259" i="24" s="1"/>
  <c r="S243" i="24"/>
  <c r="T243" i="24" s="1"/>
  <c r="J243" i="24" s="1"/>
  <c r="S227" i="24"/>
  <c r="T227" i="24" s="1"/>
  <c r="J227" i="24" s="1"/>
  <c r="S191" i="24"/>
  <c r="T191" i="24" s="1"/>
  <c r="O191" i="24" s="1"/>
  <c r="S111" i="24"/>
  <c r="T111" i="24" s="1"/>
  <c r="J111" i="24" s="1"/>
  <c r="S166" i="24"/>
  <c r="T166" i="24" s="1"/>
  <c r="O166" i="24" s="1"/>
  <c r="Q134" i="24"/>
  <c r="S134" i="24"/>
  <c r="T134" i="24" s="1"/>
  <c r="S273" i="24"/>
  <c r="T273" i="24" s="1"/>
  <c r="J273" i="24" s="1"/>
  <c r="S241" i="24"/>
  <c r="T241" i="24" s="1"/>
  <c r="J241" i="24" s="1"/>
  <c r="S278" i="24"/>
  <c r="T278" i="24" s="1"/>
  <c r="O278" i="24" s="1"/>
  <c r="S173" i="24"/>
  <c r="T173" i="24" s="1"/>
  <c r="J173" i="24" s="1"/>
  <c r="AI173" i="24" s="1"/>
  <c r="S300" i="24"/>
  <c r="T300" i="24" s="1"/>
  <c r="J300" i="24" s="1"/>
  <c r="S268" i="24"/>
  <c r="T268" i="24" s="1"/>
  <c r="J268" i="24" s="1"/>
  <c r="S220" i="24"/>
  <c r="T220" i="24" s="1"/>
  <c r="J220" i="24" s="1"/>
  <c r="S274" i="24"/>
  <c r="T274" i="24" s="1"/>
  <c r="J274" i="24" s="1"/>
  <c r="S127" i="24"/>
  <c r="T127" i="24" s="1"/>
  <c r="J127" i="24" s="1"/>
  <c r="Q177" i="24"/>
  <c r="S177" i="24"/>
  <c r="T177" i="24" s="1"/>
  <c r="Q196" i="24"/>
  <c r="S196" i="24"/>
  <c r="T196" i="24" s="1"/>
  <c r="Q148" i="24"/>
  <c r="S148" i="24"/>
  <c r="T148" i="24" s="1"/>
  <c r="S287" i="24"/>
  <c r="T287" i="24" s="1"/>
  <c r="J287" i="24" s="1"/>
  <c r="S239" i="24"/>
  <c r="T239" i="24" s="1"/>
  <c r="J239" i="24" s="1"/>
  <c r="Q203" i="24"/>
  <c r="S203" i="24"/>
  <c r="T203" i="24" s="1"/>
  <c r="S129" i="24"/>
  <c r="T129" i="24" s="1"/>
  <c r="J129" i="24" s="1"/>
  <c r="AI129" i="24" s="1"/>
  <c r="Q179" i="24"/>
  <c r="S179" i="24"/>
  <c r="T179" i="24" s="1"/>
  <c r="S310" i="24"/>
  <c r="T310" i="24" s="1"/>
  <c r="J310" i="24" s="1"/>
  <c r="S250" i="24"/>
  <c r="T250" i="24" s="1"/>
  <c r="J250" i="24" s="1"/>
  <c r="S120" i="24"/>
  <c r="T120" i="24" s="1"/>
  <c r="O120" i="24" s="1"/>
  <c r="S178" i="24"/>
  <c r="T178" i="24" s="1"/>
  <c r="J178" i="24" s="1"/>
  <c r="AI178" i="24" s="1"/>
  <c r="Q162" i="24"/>
  <c r="S162" i="24"/>
  <c r="T162" i="24" s="1"/>
  <c r="S146" i="24"/>
  <c r="T146" i="24" s="1"/>
  <c r="O146" i="24" s="1"/>
  <c r="S218" i="24"/>
  <c r="T218" i="24" s="1"/>
  <c r="J218" i="24" s="1"/>
  <c r="S301" i="24"/>
  <c r="T301" i="24" s="1"/>
  <c r="J301" i="24" s="1"/>
  <c r="S285" i="24"/>
  <c r="T285" i="24" s="1"/>
  <c r="J285" i="24" s="1"/>
  <c r="S269" i="24"/>
  <c r="T269" i="24" s="1"/>
  <c r="O269" i="24" s="1"/>
  <c r="S253" i="24"/>
  <c r="T253" i="24" s="1"/>
  <c r="O253" i="24" s="1"/>
  <c r="S237" i="24"/>
  <c r="T237" i="24" s="1"/>
  <c r="O237" i="24" s="1"/>
  <c r="S221" i="24"/>
  <c r="T221" i="24" s="1"/>
  <c r="J221" i="24" s="1"/>
  <c r="S139" i="24"/>
  <c r="T139" i="24" s="1"/>
  <c r="O139" i="24" s="1"/>
  <c r="S266" i="24"/>
  <c r="T266" i="24" s="1"/>
  <c r="J266" i="24" s="1"/>
  <c r="S116" i="24"/>
  <c r="T116" i="24" s="1"/>
  <c r="S209" i="24"/>
  <c r="T209" i="24" s="1"/>
  <c r="O209" i="24" s="1"/>
  <c r="Q165" i="24"/>
  <c r="S165" i="24"/>
  <c r="T165" i="24" s="1"/>
  <c r="S312" i="24"/>
  <c r="T312" i="24" s="1"/>
  <c r="O312" i="24" s="1"/>
  <c r="S296" i="24"/>
  <c r="T296" i="24" s="1"/>
  <c r="O296" i="24" s="1"/>
  <c r="S280" i="24"/>
  <c r="T280" i="24" s="1"/>
  <c r="O280" i="24" s="1"/>
  <c r="S264" i="24"/>
  <c r="T264" i="24" s="1"/>
  <c r="J264" i="24" s="1"/>
  <c r="S248" i="24"/>
  <c r="T248" i="24" s="1"/>
  <c r="O248" i="24" s="1"/>
  <c r="S232" i="24"/>
  <c r="T232" i="24" s="1"/>
  <c r="O232" i="24" s="1"/>
  <c r="S175" i="24"/>
  <c r="T175" i="24" s="1"/>
  <c r="J175" i="24" s="1"/>
  <c r="AI175" i="24" s="1"/>
  <c r="S143" i="24"/>
  <c r="T143" i="24" s="1"/>
  <c r="O143" i="24" s="1"/>
  <c r="S302" i="24"/>
  <c r="T302" i="24" s="1"/>
  <c r="J302" i="24" s="1"/>
  <c r="S270" i="24"/>
  <c r="T270" i="24" s="1"/>
  <c r="O270" i="24" s="1"/>
  <c r="S222" i="24"/>
  <c r="T222" i="24" s="1"/>
  <c r="J222" i="24" s="1"/>
  <c r="S206" i="24"/>
  <c r="T206" i="24" s="1"/>
  <c r="Q119" i="24"/>
  <c r="S119" i="24"/>
  <c r="T119" i="24" s="1"/>
  <c r="S193" i="24"/>
  <c r="T193" i="24" s="1"/>
  <c r="O193" i="24" s="1"/>
  <c r="Q169" i="24"/>
  <c r="S169" i="24"/>
  <c r="T169" i="24" s="1"/>
  <c r="S126" i="24"/>
  <c r="T126" i="24" s="1"/>
  <c r="J126" i="24" s="1"/>
  <c r="AI126" i="24" s="1"/>
  <c r="S208" i="24"/>
  <c r="T208" i="24" s="1"/>
  <c r="Q192" i="24"/>
  <c r="S192" i="24"/>
  <c r="T192" i="24" s="1"/>
  <c r="S176" i="24"/>
  <c r="T176" i="24" s="1"/>
  <c r="O176" i="24" s="1"/>
  <c r="S160" i="24"/>
  <c r="T160" i="24" s="1"/>
  <c r="J160" i="24" s="1"/>
  <c r="AI160" i="24" s="1"/>
  <c r="S144" i="24"/>
  <c r="T144" i="24" s="1"/>
  <c r="O144" i="24" s="1"/>
  <c r="S315" i="24"/>
  <c r="T315" i="24" s="1"/>
  <c r="J315" i="24" s="1"/>
  <c r="S299" i="24"/>
  <c r="T299" i="24" s="1"/>
  <c r="O299" i="24" s="1"/>
  <c r="S283" i="24"/>
  <c r="T283" i="24" s="1"/>
  <c r="O283" i="24" s="1"/>
  <c r="S267" i="24"/>
  <c r="T267" i="24" s="1"/>
  <c r="O267" i="24" s="1"/>
  <c r="S251" i="24"/>
  <c r="T251" i="24" s="1"/>
  <c r="J251" i="24" s="1"/>
  <c r="S235" i="24"/>
  <c r="T235" i="24" s="1"/>
  <c r="J235" i="24" s="1"/>
  <c r="S219" i="24"/>
  <c r="T219" i="24" s="1"/>
  <c r="J219" i="24" s="1"/>
  <c r="CF72" i="24"/>
  <c r="CF56" i="24"/>
  <c r="CF40" i="24"/>
  <c r="CF24" i="24"/>
  <c r="CF8" i="24"/>
  <c r="CF31" i="24"/>
  <c r="CF15" i="24"/>
  <c r="CF102" i="24"/>
  <c r="CF86" i="24"/>
  <c r="CF38" i="24"/>
  <c r="CF22" i="24"/>
  <c r="CF85" i="24"/>
  <c r="CF25" i="24"/>
  <c r="CF9" i="24"/>
  <c r="CF44" i="24"/>
  <c r="CF28" i="24"/>
  <c r="CF99" i="24"/>
  <c r="CF83" i="24"/>
  <c r="CF35" i="24"/>
  <c r="CF19" i="24"/>
  <c r="CF41" i="24"/>
  <c r="CF26" i="24"/>
  <c r="CF10" i="24"/>
  <c r="Q285" i="24"/>
  <c r="Q299" i="24"/>
  <c r="Q264" i="24"/>
  <c r="CF65" i="24"/>
  <c r="CF33" i="24"/>
  <c r="CF17" i="24"/>
  <c r="CF52" i="24"/>
  <c r="CF101" i="24"/>
  <c r="CF75" i="24"/>
  <c r="CF43" i="24"/>
  <c r="CF27" i="24"/>
  <c r="CF11" i="24"/>
  <c r="CF69" i="24"/>
  <c r="CF66" i="24"/>
  <c r="CF34" i="24"/>
  <c r="CF18" i="24"/>
  <c r="Q237" i="24"/>
  <c r="Q269" i="24"/>
  <c r="Q251" i="24"/>
  <c r="Q219" i="24"/>
  <c r="Q296" i="24"/>
  <c r="Q302" i="24"/>
  <c r="Q221" i="24"/>
  <c r="Q253" i="24"/>
  <c r="Q266" i="24"/>
  <c r="CF96" i="24"/>
  <c r="CF80" i="24"/>
  <c r="CF64" i="24"/>
  <c r="CF32" i="24"/>
  <c r="CF16" i="24"/>
  <c r="CF103" i="24"/>
  <c r="CF71" i="24"/>
  <c r="CF55" i="24"/>
  <c r="CF39" i="24"/>
  <c r="CF23" i="24"/>
  <c r="CF7" i="24"/>
  <c r="CF53" i="24"/>
  <c r="CF46" i="24"/>
  <c r="CF30" i="24"/>
  <c r="Q267" i="24"/>
  <c r="Q232" i="24"/>
  <c r="Q270" i="24"/>
  <c r="Q315" i="24"/>
  <c r="Q303" i="24"/>
  <c r="Q316" i="24"/>
  <c r="Q278" i="24"/>
  <c r="Q241" i="24"/>
  <c r="Q239" i="24"/>
  <c r="Q223" i="24"/>
  <c r="Q287" i="24"/>
  <c r="Q252" i="24"/>
  <c r="Q262" i="24"/>
  <c r="Q314" i="24"/>
  <c r="Q271" i="24"/>
  <c r="Q236" i="24"/>
  <c r="Q301" i="24"/>
  <c r="Q250" i="24"/>
  <c r="Q280" i="24"/>
  <c r="Q218" i="24"/>
  <c r="Q306" i="24"/>
  <c r="Q295" i="24"/>
  <c r="Q249" i="24"/>
  <c r="Q313" i="24"/>
  <c r="Q260" i="24"/>
  <c r="Q281" i="24"/>
  <c r="Q242" i="24"/>
  <c r="Q220" i="24"/>
  <c r="Q308" i="24"/>
  <c r="Q273" i="24"/>
  <c r="Q305" i="24"/>
  <c r="Q234" i="24"/>
  <c r="Q298" i="24"/>
  <c r="Q268" i="24"/>
  <c r="Q244" i="24"/>
  <c r="Q297" i="24"/>
  <c r="Q258" i="24"/>
  <c r="Q311" i="24"/>
  <c r="Q294" i="24"/>
  <c r="Q231" i="24"/>
  <c r="Q247" i="24"/>
  <c r="Q276" i="24"/>
  <c r="P189" i="24"/>
  <c r="Q189" i="24"/>
  <c r="P124" i="24"/>
  <c r="Q124" i="24"/>
  <c r="P156" i="24"/>
  <c r="Q156" i="24"/>
  <c r="Q217" i="24"/>
  <c r="Q275" i="24"/>
  <c r="Q240" i="24"/>
  <c r="Q304" i="24"/>
  <c r="Q245" i="24"/>
  <c r="Q238" i="24"/>
  <c r="P160" i="24"/>
  <c r="Q160" i="24"/>
  <c r="P138" i="24"/>
  <c r="Q138" i="24"/>
  <c r="P140" i="24"/>
  <c r="Q140" i="24"/>
  <c r="P164" i="24"/>
  <c r="Q164" i="24"/>
  <c r="P121" i="24"/>
  <c r="Q121" i="24"/>
  <c r="P117" i="24"/>
  <c r="Q117" i="24"/>
  <c r="P114" i="24"/>
  <c r="Q114" i="24"/>
  <c r="P132" i="24"/>
  <c r="Q132" i="24"/>
  <c r="P120" i="24"/>
  <c r="Q120" i="24"/>
  <c r="P209" i="24"/>
  <c r="Q209" i="24"/>
  <c r="P191" i="24"/>
  <c r="Q191" i="24"/>
  <c r="P204" i="24"/>
  <c r="Q204" i="24"/>
  <c r="P147" i="24"/>
  <c r="P178" i="24"/>
  <c r="Q178" i="24"/>
  <c r="P151" i="24"/>
  <c r="Q151" i="24"/>
  <c r="Q246" i="24"/>
  <c r="Q224" i="24"/>
  <c r="Q293" i="24"/>
  <c r="Q286" i="24"/>
  <c r="P141" i="24"/>
  <c r="Q141" i="24"/>
  <c r="P174" i="24"/>
  <c r="Q174" i="24"/>
  <c r="P133" i="24"/>
  <c r="Q133" i="24"/>
  <c r="P171" i="24"/>
  <c r="Q171" i="24"/>
  <c r="P111" i="24"/>
  <c r="Q111" i="24"/>
  <c r="P173" i="24"/>
  <c r="Q173" i="24"/>
  <c r="P127" i="24"/>
  <c r="Q127" i="24"/>
  <c r="P198" i="24"/>
  <c r="Q198" i="24"/>
  <c r="P153" i="24"/>
  <c r="Q153" i="24"/>
  <c r="P166" i="24"/>
  <c r="Q166" i="24"/>
  <c r="P129" i="24"/>
  <c r="Q129" i="24"/>
  <c r="P113" i="24"/>
  <c r="Q113" i="24"/>
  <c r="P184" i="24"/>
  <c r="Q184" i="24"/>
  <c r="P130" i="24"/>
  <c r="Q130" i="24"/>
  <c r="Q227" i="24"/>
  <c r="Q259" i="24"/>
  <c r="Q288" i="24"/>
  <c r="Q307" i="24"/>
  <c r="Q229" i="24"/>
  <c r="Q261" i="24"/>
  <c r="P195" i="24"/>
  <c r="Q195" i="24"/>
  <c r="P139" i="24"/>
  <c r="Q139" i="24"/>
  <c r="P190" i="24"/>
  <c r="Q190" i="24"/>
  <c r="P197" i="24"/>
  <c r="Q197" i="24"/>
  <c r="P135" i="24"/>
  <c r="Q135" i="24"/>
  <c r="P158" i="24"/>
  <c r="Q158" i="24"/>
  <c r="P126" i="24"/>
  <c r="Q126" i="24"/>
  <c r="P200" i="24"/>
  <c r="Q200" i="24"/>
  <c r="U203" i="24"/>
  <c r="U179" i="24"/>
  <c r="U162" i="24"/>
  <c r="U116" i="24"/>
  <c r="U165" i="24"/>
  <c r="U141" i="24"/>
  <c r="U206" i="24"/>
  <c r="V206" i="24" s="1"/>
  <c r="U119" i="24"/>
  <c r="V119" i="24" s="1"/>
  <c r="U169" i="24"/>
  <c r="U208" i="24"/>
  <c r="U192" i="24"/>
  <c r="U187" i="24"/>
  <c r="U125" i="24"/>
  <c r="U163" i="24"/>
  <c r="U142" i="24"/>
  <c r="V142" i="24" s="1"/>
  <c r="U183" i="24"/>
  <c r="U137" i="24"/>
  <c r="V137" i="24" s="1"/>
  <c r="U128" i="24"/>
  <c r="U194" i="24"/>
  <c r="U115" i="24"/>
  <c r="U161" i="24"/>
  <c r="V161" i="24" s="1"/>
  <c r="U122" i="24"/>
  <c r="V122" i="24" s="1"/>
  <c r="U188" i="24"/>
  <c r="V188" i="24" s="1"/>
  <c r="U172" i="24"/>
  <c r="U207" i="24"/>
  <c r="U186" i="24"/>
  <c r="U170" i="24"/>
  <c r="V170" i="24" s="1"/>
  <c r="U154" i="24"/>
  <c r="U167" i="24"/>
  <c r="U149" i="24"/>
  <c r="V149" i="24" s="1"/>
  <c r="U159" i="24"/>
  <c r="U112" i="24"/>
  <c r="U205" i="24"/>
  <c r="U181" i="24"/>
  <c r="V181" i="24" s="1"/>
  <c r="U157" i="24"/>
  <c r="V157" i="24" s="1"/>
  <c r="U184" i="24"/>
  <c r="V184" i="24" s="1"/>
  <c r="U152" i="24"/>
  <c r="U136" i="24"/>
  <c r="V136" i="24" s="1"/>
  <c r="U199" i="24"/>
  <c r="U131" i="24"/>
  <c r="U182" i="24"/>
  <c r="V182" i="24" s="1"/>
  <c r="U150" i="24"/>
  <c r="V150" i="24" s="1"/>
  <c r="U134" i="24"/>
  <c r="V134" i="24" s="1"/>
  <c r="U155" i="24"/>
  <c r="V155" i="24" s="1"/>
  <c r="U123" i="24"/>
  <c r="U145" i="24"/>
  <c r="V145" i="24" s="1"/>
  <c r="U210" i="24"/>
  <c r="V210" i="24" s="1"/>
  <c r="U201" i="24"/>
  <c r="U177" i="24"/>
  <c r="V177" i="24" s="1"/>
  <c r="U196" i="24"/>
  <c r="V196" i="24" s="1"/>
  <c r="U148" i="24"/>
  <c r="V148" i="24" s="1"/>
  <c r="T117" i="25"/>
  <c r="T126" i="25"/>
  <c r="T127" i="25"/>
  <c r="T133" i="25"/>
  <c r="T141" i="25"/>
  <c r="T149" i="25"/>
  <c r="T157" i="25"/>
  <c r="T165" i="25"/>
  <c r="T173" i="25"/>
  <c r="T181" i="25"/>
  <c r="T189" i="25"/>
  <c r="T197" i="25"/>
  <c r="T142" i="25"/>
  <c r="T158" i="25"/>
  <c r="T190" i="25"/>
  <c r="T278" i="25"/>
  <c r="T139" i="25"/>
  <c r="T155" i="25"/>
  <c r="T171" i="25"/>
  <c r="T187" i="25"/>
  <c r="T209" i="25"/>
  <c r="T203" i="25"/>
  <c r="T258" i="25"/>
  <c r="T208" i="25"/>
  <c r="T245" i="25"/>
  <c r="T316" i="25"/>
  <c r="T281" i="25"/>
  <c r="T288" i="25"/>
  <c r="T306" i="25"/>
  <c r="T125" i="25"/>
  <c r="T128" i="25"/>
  <c r="T176" i="25"/>
  <c r="T146" i="25"/>
  <c r="T260" i="25"/>
  <c r="T271" i="25"/>
  <c r="T310" i="25"/>
  <c r="T121" i="25"/>
  <c r="T124" i="25"/>
  <c r="T118" i="25"/>
  <c r="T273" i="25"/>
  <c r="T145" i="25"/>
  <c r="T169" i="25"/>
  <c r="T177" i="25"/>
  <c r="T150" i="25"/>
  <c r="T198" i="25"/>
  <c r="T229" i="25"/>
  <c r="T131" i="25"/>
  <c r="T147" i="25"/>
  <c r="T163" i="25"/>
  <c r="T195" i="25"/>
  <c r="T205" i="25"/>
  <c r="T234" i="25"/>
  <c r="T266" i="25"/>
  <c r="T200" i="25"/>
  <c r="T280" i="25"/>
  <c r="T275" i="25"/>
  <c r="T314" i="25"/>
  <c r="T152" i="25"/>
  <c r="T184" i="25"/>
  <c r="T162" i="25"/>
  <c r="T202" i="25"/>
  <c r="T207" i="25"/>
  <c r="T292" i="25"/>
  <c r="T113" i="25"/>
  <c r="T122" i="25"/>
  <c r="T277" i="25"/>
  <c r="T132" i="25"/>
  <c r="T148" i="25"/>
  <c r="T156" i="25"/>
  <c r="T172" i="25"/>
  <c r="T180" i="25"/>
  <c r="T188" i="25"/>
  <c r="T138" i="25"/>
  <c r="T170" i="25"/>
  <c r="T256" i="25"/>
  <c r="T151" i="25"/>
  <c r="T183" i="25"/>
  <c r="T204" i="25"/>
  <c r="T309" i="25"/>
  <c r="T279" i="25"/>
  <c r="T120" i="25"/>
  <c r="T114" i="25"/>
  <c r="T168" i="25"/>
  <c r="T192" i="25"/>
  <c r="U204" i="24"/>
  <c r="V204" i="24" s="1"/>
  <c r="U120" i="24"/>
  <c r="V120" i="24" s="1"/>
  <c r="U209" i="24"/>
  <c r="V209" i="24" s="1"/>
  <c r="U175" i="24"/>
  <c r="U113" i="24"/>
  <c r="U202" i="24"/>
  <c r="V202" i="24" s="1"/>
  <c r="U198" i="24"/>
  <c r="U153" i="24"/>
  <c r="V153" i="24" s="1"/>
  <c r="U176" i="24"/>
  <c r="T111" i="25"/>
  <c r="T123" i="25"/>
  <c r="T140" i="25"/>
  <c r="T167" i="25"/>
  <c r="T206" i="25"/>
  <c r="T274" i="25"/>
  <c r="T136" i="25"/>
  <c r="T144" i="25"/>
  <c r="U191" i="24"/>
  <c r="U166" i="24"/>
  <c r="V166" i="24" s="1"/>
  <c r="U173" i="24"/>
  <c r="U127" i="24"/>
  <c r="V127" i="24" s="1"/>
  <c r="U114" i="24"/>
  <c r="V114" i="24" s="1"/>
  <c r="U132" i="24"/>
  <c r="T112" i="25"/>
  <c r="T196" i="25"/>
  <c r="T186" i="25"/>
  <c r="T135" i="25"/>
  <c r="T199" i="25"/>
  <c r="T143" i="25"/>
  <c r="T210" i="25"/>
  <c r="U117" i="24"/>
  <c r="V117" i="24" s="1"/>
  <c r="U185" i="24"/>
  <c r="T129" i="25"/>
  <c r="T153" i="25"/>
  <c r="T166" i="25"/>
  <c r="T179" i="25"/>
  <c r="T222" i="25"/>
  <c r="T230" i="25"/>
  <c r="T217" i="25"/>
  <c r="T232" i="25"/>
  <c r="T240" i="25"/>
  <c r="T264" i="25"/>
  <c r="T224" i="25"/>
  <c r="T308" i="25"/>
  <c r="T238" i="25"/>
  <c r="T257" i="25"/>
  <c r="T294" i="25"/>
  <c r="T284" i="25"/>
  <c r="T300" i="25"/>
  <c r="T304" i="25"/>
  <c r="T225" i="25"/>
  <c r="T252" i="25"/>
  <c r="T246" i="25"/>
  <c r="T299" i="25"/>
  <c r="T276" i="25"/>
  <c r="T227" i="25"/>
  <c r="T270" i="25"/>
  <c r="T220" i="25"/>
  <c r="T298" i="25"/>
  <c r="T250" i="25"/>
  <c r="T286" i="25"/>
  <c r="T289" i="25"/>
  <c r="T311" i="25"/>
  <c r="T295" i="25"/>
  <c r="T243" i="25"/>
  <c r="T251" i="25"/>
  <c r="T228" i="25"/>
  <c r="T305" i="25"/>
  <c r="T219" i="25"/>
  <c r="T239" i="25"/>
  <c r="T263" i="25"/>
  <c r="T253" i="25"/>
  <c r="T303" i="25"/>
  <c r="U129" i="24"/>
  <c r="V129" i="24" s="1"/>
  <c r="U146" i="24"/>
  <c r="V146" i="24" s="1"/>
  <c r="U190" i="24"/>
  <c r="V190" i="24" s="1"/>
  <c r="U250" i="24"/>
  <c r="V250" i="24" s="1"/>
  <c r="U218" i="24"/>
  <c r="U301" i="24"/>
  <c r="V301" i="24" s="1"/>
  <c r="U285" i="24"/>
  <c r="V285" i="24" s="1"/>
  <c r="U269" i="24"/>
  <c r="V269" i="24" s="1"/>
  <c r="U253" i="24"/>
  <c r="V253" i="24" s="1"/>
  <c r="U237" i="24"/>
  <c r="U221" i="24"/>
  <c r="V221" i="24" s="1"/>
  <c r="U266" i="24"/>
  <c r="V266" i="24" s="1"/>
  <c r="U296" i="24"/>
  <c r="U280" i="24"/>
  <c r="V280" i="24" s="1"/>
  <c r="U264" i="24"/>
  <c r="U232" i="24"/>
  <c r="U143" i="24"/>
  <c r="U302" i="24"/>
  <c r="U270" i="24"/>
  <c r="U126" i="24"/>
  <c r="U144" i="24"/>
  <c r="V144" i="24" s="1"/>
  <c r="U315" i="24"/>
  <c r="V315" i="24" s="1"/>
  <c r="U299" i="24"/>
  <c r="U267" i="24"/>
  <c r="U251" i="24"/>
  <c r="V251" i="24" s="1"/>
  <c r="U219" i="24"/>
  <c r="V219" i="24" s="1"/>
  <c r="T164" i="25"/>
  <c r="T154" i="25"/>
  <c r="T248" i="25"/>
  <c r="T254" i="25"/>
  <c r="T283" i="25"/>
  <c r="T241" i="25"/>
  <c r="T293" i="25"/>
  <c r="T315" i="25"/>
  <c r="U158" i="24"/>
  <c r="U197" i="24"/>
  <c r="U135" i="24"/>
  <c r="V135" i="24" s="1"/>
  <c r="U189" i="24"/>
  <c r="T231" i="25"/>
  <c r="T290" i="25"/>
  <c r="T221" i="25"/>
  <c r="T242" i="25"/>
  <c r="T261" i="25"/>
  <c r="T272" i="25"/>
  <c r="T297" i="25"/>
  <c r="U147" i="24"/>
  <c r="U138" i="24"/>
  <c r="V138" i="24" s="1"/>
  <c r="U118" i="24"/>
  <c r="V118" i="24" s="1"/>
  <c r="U200" i="24"/>
  <c r="T236" i="25"/>
  <c r="T268" i="25"/>
  <c r="T282" i="25"/>
  <c r="T262" i="25"/>
  <c r="T233" i="25"/>
  <c r="T249" i="25"/>
  <c r="T265" i="25"/>
  <c r="T285" i="25"/>
  <c r="T312" i="25"/>
  <c r="T307" i="25"/>
  <c r="T302" i="25"/>
  <c r="N216" i="24"/>
  <c r="Q216" i="24" s="1"/>
  <c r="U216" i="24"/>
  <c r="V216" i="24" s="1"/>
  <c r="U312" i="24"/>
  <c r="U235" i="24"/>
  <c r="J77" i="23"/>
  <c r="L77" i="23" s="1"/>
  <c r="U294" i="24"/>
  <c r="U242" i="24"/>
  <c r="V242" i="24" s="1"/>
  <c r="U174" i="24"/>
  <c r="V174" i="24" s="1"/>
  <c r="U313" i="24"/>
  <c r="V313" i="24" s="1"/>
  <c r="U297" i="24"/>
  <c r="V297" i="24" s="1"/>
  <c r="U281" i="24"/>
  <c r="V281" i="24" s="1"/>
  <c r="U265" i="24"/>
  <c r="V265" i="24" s="1"/>
  <c r="U249" i="24"/>
  <c r="V249" i="24" s="1"/>
  <c r="U233" i="24"/>
  <c r="V233" i="24" s="1"/>
  <c r="U306" i="24"/>
  <c r="U254" i="24"/>
  <c r="U308" i="24"/>
  <c r="U292" i="24"/>
  <c r="V292" i="24" s="1"/>
  <c r="U276" i="24"/>
  <c r="U260" i="24"/>
  <c r="V260" i="24" s="1"/>
  <c r="U244" i="24"/>
  <c r="U228" i="24"/>
  <c r="V228" i="24" s="1"/>
  <c r="U171" i="24"/>
  <c r="V171" i="24" s="1"/>
  <c r="U298" i="24"/>
  <c r="V298" i="24" s="1"/>
  <c r="U258" i="24"/>
  <c r="V258" i="24" s="1"/>
  <c r="U156" i="24"/>
  <c r="U140" i="24"/>
  <c r="U311" i="24"/>
  <c r="V311" i="24" s="1"/>
  <c r="U295" i="24"/>
  <c r="V295" i="24" s="1"/>
  <c r="U279" i="24"/>
  <c r="U263" i="24"/>
  <c r="V263" i="24" s="1"/>
  <c r="U247" i="24"/>
  <c r="U231" i="24"/>
  <c r="T223" i="25"/>
  <c r="T235" i="25"/>
  <c r="T259" i="25"/>
  <c r="T267" i="25"/>
  <c r="T291" i="25"/>
  <c r="T301" i="25"/>
  <c r="O216" i="25"/>
  <c r="S216" i="25" s="1"/>
  <c r="K216" i="25" s="1"/>
  <c r="T216" i="25"/>
  <c r="U216" i="25" s="1"/>
  <c r="U283" i="24"/>
  <c r="V283" i="24" s="1"/>
  <c r="U282" i="24"/>
  <c r="V282" i="24" s="1"/>
  <c r="U226" i="24"/>
  <c r="V226" i="24" s="1"/>
  <c r="U309" i="24"/>
  <c r="U293" i="24"/>
  <c r="V293" i="24" s="1"/>
  <c r="U277" i="24"/>
  <c r="V277" i="24" s="1"/>
  <c r="U261" i="24"/>
  <c r="U245" i="24"/>
  <c r="U229" i="24"/>
  <c r="V229" i="24" s="1"/>
  <c r="U290" i="24"/>
  <c r="V290" i="24" s="1"/>
  <c r="U238" i="24"/>
  <c r="V238" i="24" s="1"/>
  <c r="U133" i="24"/>
  <c r="U304" i="24"/>
  <c r="U288" i="24"/>
  <c r="V288" i="24" s="1"/>
  <c r="U272" i="24"/>
  <c r="V272" i="24" s="1"/>
  <c r="U256" i="24"/>
  <c r="U240" i="24"/>
  <c r="V240" i="24" s="1"/>
  <c r="U224" i="24"/>
  <c r="V224" i="24" s="1"/>
  <c r="U217" i="24"/>
  <c r="V217" i="24" s="1"/>
  <c r="U286" i="24"/>
  <c r="U246" i="24"/>
  <c r="U307" i="24"/>
  <c r="V307" i="24" s="1"/>
  <c r="U291" i="24"/>
  <c r="V291" i="24" s="1"/>
  <c r="U275" i="24"/>
  <c r="V275" i="24" s="1"/>
  <c r="U259" i="24"/>
  <c r="V259" i="24" s="1"/>
  <c r="U243" i="24"/>
  <c r="U227" i="24"/>
  <c r="T218" i="25"/>
  <c r="T226" i="25"/>
  <c r="T269" i="25"/>
  <c r="T115" i="25"/>
  <c r="T194" i="25"/>
  <c r="T244" i="25"/>
  <c r="T287" i="25"/>
  <c r="T175" i="25"/>
  <c r="T191" i="25"/>
  <c r="U310" i="24"/>
  <c r="U248" i="24"/>
  <c r="V248" i="24" s="1"/>
  <c r="U222" i="24"/>
  <c r="U262" i="24"/>
  <c r="U111" i="24"/>
  <c r="U305" i="24"/>
  <c r="V305" i="24" s="1"/>
  <c r="U289" i="24"/>
  <c r="V289" i="24" s="1"/>
  <c r="U273" i="24"/>
  <c r="V273" i="24" s="1"/>
  <c r="U257" i="24"/>
  <c r="V257" i="24" s="1"/>
  <c r="U241" i="24"/>
  <c r="V241" i="24" s="1"/>
  <c r="U225" i="24"/>
  <c r="V225" i="24" s="1"/>
  <c r="U278" i="24"/>
  <c r="V278" i="24" s="1"/>
  <c r="U230" i="24"/>
  <c r="V230" i="24" s="1"/>
  <c r="U316" i="24"/>
  <c r="U300" i="24"/>
  <c r="U284" i="24"/>
  <c r="U268" i="24"/>
  <c r="V268" i="24" s="1"/>
  <c r="U252" i="24"/>
  <c r="V252" i="24" s="1"/>
  <c r="U236" i="24"/>
  <c r="V236" i="24" s="1"/>
  <c r="U220" i="24"/>
  <c r="V220" i="24" s="1"/>
  <c r="U314" i="24"/>
  <c r="U274" i="24"/>
  <c r="U234" i="24"/>
  <c r="V234" i="24" s="1"/>
  <c r="U303" i="24"/>
  <c r="V303" i="24" s="1"/>
  <c r="U287" i="24"/>
  <c r="V287" i="24" s="1"/>
  <c r="U271" i="24"/>
  <c r="V271" i="24" s="1"/>
  <c r="U255" i="24"/>
  <c r="U239" i="24"/>
  <c r="V239" i="24" s="1"/>
  <c r="U223" i="24"/>
  <c r="T119" i="25"/>
  <c r="T137" i="25"/>
  <c r="T193" i="25"/>
  <c r="T134" i="25"/>
  <c r="T247" i="25"/>
  <c r="T255" i="25"/>
  <c r="T237" i="25"/>
  <c r="T313" i="25"/>
  <c r="T296" i="25"/>
  <c r="BS65" i="24"/>
  <c r="U65" i="24"/>
  <c r="V65" i="24" s="1"/>
  <c r="U17" i="24"/>
  <c r="V17" i="24" s="1"/>
  <c r="BS68" i="24"/>
  <c r="U68" i="24"/>
  <c r="BS20" i="24"/>
  <c r="U20" i="24"/>
  <c r="BS91" i="24"/>
  <c r="U91" i="24"/>
  <c r="U43" i="24"/>
  <c r="BS69" i="24"/>
  <c r="U69" i="24"/>
  <c r="V69" i="24" s="1"/>
  <c r="BS66" i="24"/>
  <c r="U66" i="24"/>
  <c r="BS50" i="24"/>
  <c r="U50" i="24"/>
  <c r="U18" i="24"/>
  <c r="BS97" i="24"/>
  <c r="U97" i="24"/>
  <c r="V97" i="24" s="1"/>
  <c r="BS57" i="24"/>
  <c r="U57" i="24"/>
  <c r="BS29" i="24"/>
  <c r="U29" i="24"/>
  <c r="U13" i="24"/>
  <c r="BS96" i="24"/>
  <c r="U96" i="24"/>
  <c r="BS80" i="24"/>
  <c r="U80" i="24"/>
  <c r="V80" i="24" s="1"/>
  <c r="BS64" i="24"/>
  <c r="U64" i="24"/>
  <c r="BS48" i="24"/>
  <c r="U48" i="24"/>
  <c r="U32" i="24"/>
  <c r="V32" i="24" s="1"/>
  <c r="BS16" i="24"/>
  <c r="U16" i="24"/>
  <c r="BS89" i="24"/>
  <c r="U89" i="24"/>
  <c r="V89" i="24" s="1"/>
  <c r="BS103" i="24"/>
  <c r="U103" i="24"/>
  <c r="BS87" i="24"/>
  <c r="U87" i="24"/>
  <c r="BS71" i="24"/>
  <c r="U71" i="24"/>
  <c r="BS55" i="24"/>
  <c r="U55" i="24"/>
  <c r="V55" i="24" s="1"/>
  <c r="U39" i="24"/>
  <c r="U23" i="24"/>
  <c r="U7" i="24"/>
  <c r="BS53" i="24"/>
  <c r="U53" i="24"/>
  <c r="BS94" i="24"/>
  <c r="U94" i="24"/>
  <c r="BS78" i="24"/>
  <c r="U78" i="24"/>
  <c r="BS62" i="24"/>
  <c r="U62" i="24"/>
  <c r="BS46" i="24"/>
  <c r="U46" i="24"/>
  <c r="BS30" i="24"/>
  <c r="U30" i="24"/>
  <c r="BS14" i="24"/>
  <c r="U14" i="24"/>
  <c r="BS105" i="24"/>
  <c r="U105" i="24"/>
  <c r="BS100" i="24"/>
  <c r="U100" i="24"/>
  <c r="BS52" i="24"/>
  <c r="U52" i="24"/>
  <c r="BS101" i="24"/>
  <c r="U101" i="24"/>
  <c r="V101" i="24" s="1"/>
  <c r="BS59" i="24"/>
  <c r="U59" i="24"/>
  <c r="V59" i="24" s="1"/>
  <c r="BS11" i="24"/>
  <c r="U11" i="24"/>
  <c r="V11" i="24" s="1"/>
  <c r="BS82" i="24"/>
  <c r="U82" i="24"/>
  <c r="BS34" i="24"/>
  <c r="U34" i="24"/>
  <c r="BS85" i="24"/>
  <c r="U85" i="24"/>
  <c r="BS49" i="24"/>
  <c r="U49" i="24"/>
  <c r="BS25" i="24"/>
  <c r="U25" i="24"/>
  <c r="U9" i="24"/>
  <c r="BS92" i="24"/>
  <c r="U92" i="24"/>
  <c r="BS76" i="24"/>
  <c r="U76" i="24"/>
  <c r="BS60" i="24"/>
  <c r="U60" i="24"/>
  <c r="U44" i="24"/>
  <c r="V44" i="24" s="1"/>
  <c r="BS28" i="24"/>
  <c r="U28" i="24"/>
  <c r="U12" i="24"/>
  <c r="BS73" i="24"/>
  <c r="U73" i="24"/>
  <c r="BS99" i="24"/>
  <c r="U99" i="24"/>
  <c r="BS83" i="24"/>
  <c r="U83" i="24"/>
  <c r="BS67" i="24"/>
  <c r="U67" i="24"/>
  <c r="BS51" i="24"/>
  <c r="U51" i="24"/>
  <c r="V51" i="24" s="1"/>
  <c r="BS35" i="24"/>
  <c r="U35" i="24"/>
  <c r="U19" i="24"/>
  <c r="BS93" i="24"/>
  <c r="U93" i="24"/>
  <c r="U41" i="24"/>
  <c r="BS90" i="24"/>
  <c r="U90" i="24"/>
  <c r="BS74" i="24"/>
  <c r="U74" i="24"/>
  <c r="BS58" i="24"/>
  <c r="U58" i="24"/>
  <c r="U42" i="24"/>
  <c r="U26" i="24"/>
  <c r="U10" i="24"/>
  <c r="U33" i="24"/>
  <c r="BS84" i="24"/>
  <c r="U84" i="24"/>
  <c r="BS36" i="24"/>
  <c r="U36" i="24"/>
  <c r="V36" i="24" s="1"/>
  <c r="U37" i="24"/>
  <c r="BS75" i="24"/>
  <c r="U75" i="24"/>
  <c r="BS27" i="24"/>
  <c r="U27" i="24"/>
  <c r="BS98" i="24"/>
  <c r="U98" i="24"/>
  <c r="V98" i="24" s="1"/>
  <c r="BS77" i="24"/>
  <c r="U77" i="24"/>
  <c r="BS45" i="24"/>
  <c r="U45" i="24"/>
  <c r="U21" i="24"/>
  <c r="BS104" i="24"/>
  <c r="U104" i="24"/>
  <c r="BS88" i="24"/>
  <c r="U88" i="24"/>
  <c r="BS72" i="24"/>
  <c r="U72" i="24"/>
  <c r="BS56" i="24"/>
  <c r="U56" i="24"/>
  <c r="V56" i="24" s="1"/>
  <c r="U40" i="24"/>
  <c r="U24" i="24"/>
  <c r="U8" i="24"/>
  <c r="BS61" i="24"/>
  <c r="U61" i="24"/>
  <c r="BS95" i="24"/>
  <c r="U95" i="24"/>
  <c r="BS79" i="24"/>
  <c r="U79" i="24"/>
  <c r="BS63" i="24"/>
  <c r="U63" i="24"/>
  <c r="BS47" i="24"/>
  <c r="U47" i="24"/>
  <c r="U31" i="24"/>
  <c r="BS15" i="24"/>
  <c r="U15" i="24"/>
  <c r="BS81" i="24"/>
  <c r="U81" i="24"/>
  <c r="BS102" i="24"/>
  <c r="U102" i="24"/>
  <c r="V102" i="24" s="1"/>
  <c r="BS86" i="24"/>
  <c r="U86" i="24"/>
  <c r="BS70" i="24"/>
  <c r="U70" i="24"/>
  <c r="V70" i="24" s="1"/>
  <c r="BS54" i="24"/>
  <c r="U54" i="24"/>
  <c r="U38" i="24"/>
  <c r="BS22" i="24"/>
  <c r="U22" i="24"/>
  <c r="V22" i="24" s="1"/>
  <c r="U6" i="24"/>
  <c r="BS26" i="25"/>
  <c r="T26" i="25"/>
  <c r="BS36" i="25"/>
  <c r="T36" i="25"/>
  <c r="BS46" i="25"/>
  <c r="T46" i="25"/>
  <c r="BS41" i="25"/>
  <c r="T41" i="25"/>
  <c r="BS81" i="25"/>
  <c r="T81" i="25"/>
  <c r="BS16" i="25"/>
  <c r="T16" i="25"/>
  <c r="BS32" i="25"/>
  <c r="T32" i="25"/>
  <c r="BS52" i="25"/>
  <c r="T52" i="25"/>
  <c r="BS68" i="25"/>
  <c r="T68" i="25"/>
  <c r="BS84" i="25"/>
  <c r="T84" i="25"/>
  <c r="BS66" i="25"/>
  <c r="T66" i="25"/>
  <c r="BS82" i="25"/>
  <c r="T82" i="25"/>
  <c r="BS9" i="25"/>
  <c r="T9" i="25"/>
  <c r="BS17" i="25"/>
  <c r="T17" i="25"/>
  <c r="BS49" i="25"/>
  <c r="T49" i="25"/>
  <c r="BS73" i="25"/>
  <c r="T73" i="25"/>
  <c r="BS23" i="25"/>
  <c r="T23" i="25"/>
  <c r="BS43" i="25"/>
  <c r="T43" i="25"/>
  <c r="BS59" i="25"/>
  <c r="T59" i="25"/>
  <c r="BS75" i="25"/>
  <c r="T75" i="25"/>
  <c r="BS94" i="25"/>
  <c r="T94" i="25"/>
  <c r="BS98" i="25"/>
  <c r="T98" i="25"/>
  <c r="BS102" i="25"/>
  <c r="T102" i="25"/>
  <c r="BS14" i="25"/>
  <c r="T14" i="25"/>
  <c r="BS30" i="25"/>
  <c r="T30" i="25"/>
  <c r="BS37" i="25"/>
  <c r="T37" i="25"/>
  <c r="BS50" i="25"/>
  <c r="T50" i="25"/>
  <c r="BS45" i="25"/>
  <c r="T45" i="25"/>
  <c r="BS89" i="25"/>
  <c r="T89" i="25"/>
  <c r="BS20" i="25"/>
  <c r="T20" i="25"/>
  <c r="BS40" i="25"/>
  <c r="T40" i="25"/>
  <c r="BS56" i="25"/>
  <c r="T56" i="25"/>
  <c r="BS72" i="25"/>
  <c r="T72" i="25"/>
  <c r="BS88" i="25"/>
  <c r="T88" i="25"/>
  <c r="BS70" i="25"/>
  <c r="T70" i="25"/>
  <c r="BS86" i="25"/>
  <c r="T86" i="25"/>
  <c r="BS10" i="25"/>
  <c r="T10" i="25"/>
  <c r="BS25" i="25"/>
  <c r="T25" i="25"/>
  <c r="BS57" i="25"/>
  <c r="T57" i="25"/>
  <c r="BS77" i="25"/>
  <c r="T77" i="25"/>
  <c r="BS27" i="25"/>
  <c r="T27" i="25"/>
  <c r="BS47" i="25"/>
  <c r="T47" i="25"/>
  <c r="BS63" i="25"/>
  <c r="T63" i="25"/>
  <c r="BS79" i="25"/>
  <c r="T79" i="25"/>
  <c r="BS91" i="25"/>
  <c r="T91" i="25"/>
  <c r="BS95" i="25"/>
  <c r="T95" i="25"/>
  <c r="BS99" i="25"/>
  <c r="T99" i="25"/>
  <c r="BS103" i="25"/>
  <c r="T103" i="25"/>
  <c r="BS18" i="25"/>
  <c r="T18" i="25"/>
  <c r="BS38" i="25"/>
  <c r="T38" i="25"/>
  <c r="BS58" i="25"/>
  <c r="T58" i="25"/>
  <c r="BS53" i="25"/>
  <c r="T53" i="25"/>
  <c r="BS24" i="25"/>
  <c r="T24" i="25"/>
  <c r="BS60" i="25"/>
  <c r="T60" i="25"/>
  <c r="BS76" i="25"/>
  <c r="T76" i="25"/>
  <c r="BS54" i="25"/>
  <c r="T54" i="25"/>
  <c r="BS74" i="25"/>
  <c r="T74" i="25"/>
  <c r="BS90" i="25"/>
  <c r="T90" i="25"/>
  <c r="BS11" i="25"/>
  <c r="T11" i="25"/>
  <c r="BS29" i="25"/>
  <c r="T29" i="25"/>
  <c r="BS61" i="25"/>
  <c r="T61" i="25"/>
  <c r="BS15" i="25"/>
  <c r="T15" i="25"/>
  <c r="BS31" i="25"/>
  <c r="T31" i="25"/>
  <c r="BS51" i="25"/>
  <c r="T51" i="25"/>
  <c r="BS67" i="25"/>
  <c r="T67" i="25"/>
  <c r="BS83" i="25"/>
  <c r="T83" i="25"/>
  <c r="BS92" i="25"/>
  <c r="T92" i="25"/>
  <c r="BS96" i="25"/>
  <c r="T96" i="25"/>
  <c r="BS100" i="25"/>
  <c r="T100" i="25"/>
  <c r="BS104" i="25"/>
  <c r="T104" i="25"/>
  <c r="BS34" i="25"/>
  <c r="T34" i="25"/>
  <c r="BS44" i="25"/>
  <c r="T44" i="25"/>
  <c r="BS85" i="25"/>
  <c r="T85" i="25"/>
  <c r="BS22" i="25"/>
  <c r="T22" i="25"/>
  <c r="BS35" i="25"/>
  <c r="T35" i="25"/>
  <c r="BS42" i="25"/>
  <c r="T42" i="25"/>
  <c r="BS21" i="25"/>
  <c r="T21" i="25"/>
  <c r="BS69" i="25"/>
  <c r="T69" i="25"/>
  <c r="BS12" i="25"/>
  <c r="T12" i="25"/>
  <c r="BS28" i="25"/>
  <c r="T28" i="25"/>
  <c r="BS48" i="25"/>
  <c r="T48" i="25"/>
  <c r="BS64" i="25"/>
  <c r="T64" i="25"/>
  <c r="BS80" i="25"/>
  <c r="T80" i="25"/>
  <c r="BS62" i="25"/>
  <c r="T62" i="25"/>
  <c r="BS78" i="25"/>
  <c r="T78" i="25"/>
  <c r="BS8" i="25"/>
  <c r="T8" i="25"/>
  <c r="BS13" i="25"/>
  <c r="T13" i="25"/>
  <c r="BS33" i="25"/>
  <c r="T33" i="25"/>
  <c r="BS65" i="25"/>
  <c r="T65" i="25"/>
  <c r="BS19" i="25"/>
  <c r="T19" i="25"/>
  <c r="BS39" i="25"/>
  <c r="T39" i="25"/>
  <c r="BS55" i="25"/>
  <c r="T55" i="25"/>
  <c r="BS71" i="25"/>
  <c r="T71" i="25"/>
  <c r="BS87" i="25"/>
  <c r="T87" i="25"/>
  <c r="BS93" i="25"/>
  <c r="T93" i="25"/>
  <c r="BS97" i="25"/>
  <c r="T97" i="25"/>
  <c r="BS101" i="25"/>
  <c r="T101" i="25"/>
  <c r="BS105" i="25"/>
  <c r="T105" i="25"/>
  <c r="U195" i="24"/>
  <c r="U124" i="24"/>
  <c r="U168" i="24"/>
  <c r="V168" i="24" s="1"/>
  <c r="T116" i="25"/>
  <c r="T174" i="25"/>
  <c r="T201" i="25"/>
  <c r="O110" i="25"/>
  <c r="Q110" i="25" s="1"/>
  <c r="U121" i="24"/>
  <c r="V121" i="24" s="1"/>
  <c r="U151" i="24"/>
  <c r="V151" i="24" s="1"/>
  <c r="U130" i="24"/>
  <c r="V130" i="24" s="1"/>
  <c r="U180" i="24"/>
  <c r="U164" i="24"/>
  <c r="V164" i="24" s="1"/>
  <c r="T160" i="25"/>
  <c r="T130" i="25"/>
  <c r="T178" i="25"/>
  <c r="T159" i="25"/>
  <c r="U178" i="24"/>
  <c r="V178" i="24" s="1"/>
  <c r="U139" i="24"/>
  <c r="V139" i="24" s="1"/>
  <c r="U193" i="24"/>
  <c r="U160" i="24"/>
  <c r="T161" i="25"/>
  <c r="T185" i="25"/>
  <c r="T182" i="25"/>
  <c r="W44" i="2"/>
  <c r="D45" i="16" s="1"/>
  <c r="R10" i="25"/>
  <c r="R80" i="25"/>
  <c r="Q9" i="25"/>
  <c r="Q53" i="25"/>
  <c r="Q18" i="25"/>
  <c r="R146" i="25"/>
  <c r="Q57" i="25"/>
  <c r="R55" i="25"/>
  <c r="R113" i="25"/>
  <c r="Q94" i="25"/>
  <c r="R52" i="25"/>
  <c r="R93" i="25"/>
  <c r="Q12" i="25"/>
  <c r="Q118" i="25"/>
  <c r="R32" i="25"/>
  <c r="R59" i="25"/>
  <c r="R150" i="25"/>
  <c r="R104" i="25"/>
  <c r="Q111" i="25"/>
  <c r="Q89" i="25"/>
  <c r="Q165" i="25"/>
  <c r="R155" i="25"/>
  <c r="R65" i="25"/>
  <c r="Q13" i="25"/>
  <c r="R31" i="25"/>
  <c r="Q172" i="25"/>
  <c r="Q176" i="25"/>
  <c r="B25" i="2"/>
  <c r="Q66" i="25"/>
  <c r="R210" i="25"/>
  <c r="Q35" i="25"/>
  <c r="R69" i="25"/>
  <c r="R76" i="25"/>
  <c r="Q37" i="25"/>
  <c r="R51" i="25"/>
  <c r="R84" i="25"/>
  <c r="R105" i="25"/>
  <c r="Q120" i="25"/>
  <c r="Q99" i="25"/>
  <c r="Q29" i="25"/>
  <c r="Q98" i="25"/>
  <c r="R131" i="25"/>
  <c r="R54" i="25"/>
  <c r="Q137" i="25"/>
  <c r="Q34" i="25"/>
  <c r="R103" i="25"/>
  <c r="Q20" i="25"/>
  <c r="Q63" i="25"/>
  <c r="R33" i="25"/>
  <c r="R91" i="25"/>
  <c r="R119" i="25"/>
  <c r="R58" i="25"/>
  <c r="R6" i="25"/>
  <c r="R90" i="25"/>
  <c r="Q16" i="25"/>
  <c r="R41" i="25"/>
  <c r="Q81" i="25"/>
  <c r="R82" i="25"/>
  <c r="R44" i="25"/>
  <c r="R130" i="25"/>
  <c r="Q115" i="25"/>
  <c r="R209" i="25"/>
  <c r="Q50" i="25"/>
  <c r="Q64" i="25"/>
  <c r="R132" i="25"/>
  <c r="Q61" i="25"/>
  <c r="Q157" i="25"/>
  <c r="Q122" i="25"/>
  <c r="R127" i="25"/>
  <c r="Q182" i="25"/>
  <c r="R152" i="25"/>
  <c r="Q126" i="25"/>
  <c r="R144" i="25"/>
  <c r="R128" i="25"/>
  <c r="Q139" i="25"/>
  <c r="R161" i="25"/>
  <c r="Q133" i="25"/>
  <c r="Q158" i="25"/>
  <c r="Q167" i="25"/>
  <c r="R206" i="25"/>
  <c r="Q177" i="25"/>
  <c r="Q198" i="25"/>
  <c r="R185" i="25"/>
  <c r="R129" i="25"/>
  <c r="Q123" i="25"/>
  <c r="R123" i="25"/>
  <c r="R169" i="25"/>
  <c r="Q175" i="25"/>
  <c r="R124" i="25"/>
  <c r="Q204" i="25"/>
  <c r="R200" i="25"/>
  <c r="R162" i="25"/>
  <c r="R134" i="25"/>
  <c r="Q171" i="25"/>
  <c r="R148" i="25"/>
  <c r="R72" i="25"/>
  <c r="Q170" i="25"/>
  <c r="R142" i="25"/>
  <c r="Q71" i="25"/>
  <c r="R114" i="25"/>
  <c r="R203" i="25"/>
  <c r="Q62" i="25"/>
  <c r="Q159" i="25"/>
  <c r="R85" i="25"/>
  <c r="R87" i="25"/>
  <c r="Q156" i="25"/>
  <c r="R178" i="25"/>
  <c r="R163" i="25"/>
  <c r="Q192" i="25"/>
  <c r="R36" i="25"/>
  <c r="R100" i="25"/>
  <c r="R96" i="25"/>
  <c r="R183" i="25"/>
  <c r="R8" i="25"/>
  <c r="R38" i="25"/>
  <c r="Q7" i="25"/>
  <c r="R208" i="25"/>
  <c r="Q46" i="25"/>
  <c r="Q140" i="25"/>
  <c r="Q141" i="25"/>
  <c r="R207" i="25"/>
  <c r="R168" i="25"/>
  <c r="Q17" i="25"/>
  <c r="R153" i="25"/>
  <c r="Q39" i="25"/>
  <c r="Q73" i="25"/>
  <c r="R116" i="25"/>
  <c r="R86" i="25"/>
  <c r="R125" i="25"/>
  <c r="Q189" i="25"/>
  <c r="R75" i="25"/>
  <c r="R166" i="25"/>
  <c r="R188" i="25"/>
  <c r="R196" i="25"/>
  <c r="R22" i="25"/>
  <c r="R47" i="25"/>
  <c r="R70" i="25"/>
  <c r="R14" i="25"/>
  <c r="Q42" i="25"/>
  <c r="R143" i="25"/>
  <c r="R197" i="25"/>
  <c r="R195" i="25"/>
  <c r="R187" i="25"/>
  <c r="Q30" i="25"/>
  <c r="Q67" i="25"/>
  <c r="Q160" i="25"/>
  <c r="R74" i="25"/>
  <c r="R56" i="25"/>
  <c r="R83" i="25"/>
  <c r="Q101" i="25"/>
  <c r="Q79" i="25"/>
  <c r="Q194" i="25"/>
  <c r="R43" i="25"/>
  <c r="Q138" i="25"/>
  <c r="Q49" i="25"/>
  <c r="Q68" i="25"/>
  <c r="R45" i="25"/>
  <c r="R88" i="25"/>
  <c r="Q25" i="25"/>
  <c r="Q136" i="25"/>
  <c r="R190" i="25"/>
  <c r="R26" i="25"/>
  <c r="Q151" i="25"/>
  <c r="R179" i="25"/>
  <c r="Q24" i="25"/>
  <c r="Q173" i="25"/>
  <c r="Q112" i="25"/>
  <c r="Q48" i="25"/>
  <c r="Q147" i="25"/>
  <c r="R121" i="25"/>
  <c r="Q202" i="25"/>
  <c r="R40" i="25"/>
  <c r="Q191" i="25"/>
  <c r="Q149" i="25"/>
  <c r="R193" i="25"/>
  <c r="Q201" i="25"/>
  <c r="R205" i="25"/>
  <c r="R174" i="25"/>
  <c r="R181" i="25"/>
  <c r="R21" i="25"/>
  <c r="R15" i="25"/>
  <c r="Q60" i="25"/>
  <c r="Q180" i="25"/>
  <c r="R23" i="25"/>
  <c r="R164" i="25"/>
  <c r="R78" i="25"/>
  <c r="Q27" i="25"/>
  <c r="R117" i="25"/>
  <c r="R77" i="25"/>
  <c r="Q102" i="25"/>
  <c r="R92" i="25"/>
  <c r="Q199" i="25"/>
  <c r="R28" i="25"/>
  <c r="R184" i="25"/>
  <c r="R11" i="25"/>
  <c r="Q95" i="25"/>
  <c r="Q145" i="25"/>
  <c r="Q19" i="25"/>
  <c r="R97" i="25"/>
  <c r="Q135" i="25"/>
  <c r="R154" i="25"/>
  <c r="R186" i="25"/>
  <c r="P9" i="25"/>
  <c r="P13" i="25"/>
  <c r="P17" i="25"/>
  <c r="P21" i="25"/>
  <c r="P25" i="25"/>
  <c r="P29" i="25"/>
  <c r="P33" i="25"/>
  <c r="P37" i="25"/>
  <c r="P41" i="25"/>
  <c r="P45" i="25"/>
  <c r="P49" i="25"/>
  <c r="P53" i="25"/>
  <c r="P57" i="25"/>
  <c r="P61" i="25"/>
  <c r="P65" i="25"/>
  <c r="P69" i="25"/>
  <c r="P73" i="25"/>
  <c r="P77" i="25"/>
  <c r="P81" i="25"/>
  <c r="P85" i="25"/>
  <c r="P89" i="25"/>
  <c r="P93" i="25"/>
  <c r="P97" i="25"/>
  <c r="P101" i="25"/>
  <c r="P105" i="25"/>
  <c r="P113" i="25"/>
  <c r="P117" i="25"/>
  <c r="P121" i="25"/>
  <c r="P125" i="25"/>
  <c r="P129" i="25"/>
  <c r="P133" i="25"/>
  <c r="P137" i="25"/>
  <c r="P141" i="25"/>
  <c r="P145" i="25"/>
  <c r="P149" i="25"/>
  <c r="P153" i="25"/>
  <c r="P157" i="25"/>
  <c r="P161" i="25"/>
  <c r="P165" i="25"/>
  <c r="P169" i="25"/>
  <c r="P173" i="25"/>
  <c r="P177" i="25"/>
  <c r="P181" i="25"/>
  <c r="P185" i="25"/>
  <c r="P189" i="25"/>
  <c r="P193" i="25"/>
  <c r="P197" i="25"/>
  <c r="P201" i="25"/>
  <c r="P205" i="25"/>
  <c r="P209" i="25"/>
  <c r="P6" i="25"/>
  <c r="P10" i="25"/>
  <c r="P14" i="25"/>
  <c r="P18" i="25"/>
  <c r="P22" i="25"/>
  <c r="P26" i="25"/>
  <c r="P30" i="25"/>
  <c r="P34" i="25"/>
  <c r="P38" i="25"/>
  <c r="P42" i="25"/>
  <c r="P46" i="25"/>
  <c r="P50" i="25"/>
  <c r="P54" i="25"/>
  <c r="P58" i="25"/>
  <c r="P62" i="25"/>
  <c r="P66" i="25"/>
  <c r="P70" i="25"/>
  <c r="P74" i="25"/>
  <c r="P78" i="25"/>
  <c r="P82" i="25"/>
  <c r="P86" i="25"/>
  <c r="P90" i="25"/>
  <c r="P94" i="25"/>
  <c r="P98" i="25"/>
  <c r="P102" i="25"/>
  <c r="P110" i="25"/>
  <c r="P114" i="25"/>
  <c r="P118" i="25"/>
  <c r="P122" i="25"/>
  <c r="P126" i="25"/>
  <c r="P130" i="25"/>
  <c r="P134" i="25"/>
  <c r="P138" i="25"/>
  <c r="P142" i="25"/>
  <c r="P146" i="25"/>
  <c r="P150" i="25"/>
  <c r="P154" i="25"/>
  <c r="P158" i="25"/>
  <c r="P162" i="25"/>
  <c r="P166" i="25"/>
  <c r="P170" i="25"/>
  <c r="P174" i="25"/>
  <c r="P178" i="25"/>
  <c r="P7" i="25"/>
  <c r="P11" i="25"/>
  <c r="P15" i="25"/>
  <c r="P19" i="25"/>
  <c r="P23" i="25"/>
  <c r="P27" i="25"/>
  <c r="P31" i="25"/>
  <c r="P35" i="25"/>
  <c r="P39" i="25"/>
  <c r="P43" i="25"/>
  <c r="P47" i="25"/>
  <c r="P51" i="25"/>
  <c r="P55" i="25"/>
  <c r="P59" i="25"/>
  <c r="P63" i="25"/>
  <c r="P67" i="25"/>
  <c r="P71" i="25"/>
  <c r="P75" i="25"/>
  <c r="P79" i="25"/>
  <c r="P83" i="25"/>
  <c r="P87" i="25"/>
  <c r="P91" i="25"/>
  <c r="P95" i="25"/>
  <c r="P99" i="25"/>
  <c r="P103" i="25"/>
  <c r="P111" i="25"/>
  <c r="P115" i="25"/>
  <c r="P119" i="25"/>
  <c r="P123" i="25"/>
  <c r="P127" i="25"/>
  <c r="P131" i="25"/>
  <c r="P135" i="25"/>
  <c r="P139" i="25"/>
  <c r="P143" i="25"/>
  <c r="P147" i="25"/>
  <c r="P151" i="25"/>
  <c r="P155" i="25"/>
  <c r="P159" i="25"/>
  <c r="P163" i="25"/>
  <c r="P167" i="25"/>
  <c r="P171" i="25"/>
  <c r="P175" i="25"/>
  <c r="P179" i="25"/>
  <c r="P183" i="25"/>
  <c r="P187" i="25"/>
  <c r="P191" i="25"/>
  <c r="P195" i="25"/>
  <c r="P199" i="25"/>
  <c r="P203" i="25"/>
  <c r="P207" i="25"/>
  <c r="P216" i="25"/>
  <c r="P220" i="25"/>
  <c r="P224" i="25"/>
  <c r="P228" i="25"/>
  <c r="P232" i="25"/>
  <c r="P236" i="25"/>
  <c r="P240" i="25"/>
  <c r="P244" i="25"/>
  <c r="P248" i="25"/>
  <c r="P252" i="25"/>
  <c r="P20" i="25"/>
  <c r="P36" i="25"/>
  <c r="P52" i="25"/>
  <c r="P68" i="25"/>
  <c r="P84" i="25"/>
  <c r="P100" i="25"/>
  <c r="P120" i="25"/>
  <c r="P136" i="25"/>
  <c r="P152" i="25"/>
  <c r="P168" i="25"/>
  <c r="P182" i="25"/>
  <c r="P190" i="25"/>
  <c r="P198" i="25"/>
  <c r="P206" i="25"/>
  <c r="P218" i="25"/>
  <c r="P223" i="25"/>
  <c r="P229" i="25"/>
  <c r="P234" i="25"/>
  <c r="P239" i="25"/>
  <c r="P245" i="25"/>
  <c r="P250" i="25"/>
  <c r="P255" i="25"/>
  <c r="P259" i="25"/>
  <c r="P263" i="25"/>
  <c r="P267" i="25"/>
  <c r="P271" i="25"/>
  <c r="P275" i="25"/>
  <c r="P279" i="25"/>
  <c r="P283" i="25"/>
  <c r="P287" i="25"/>
  <c r="P291" i="25"/>
  <c r="P295" i="25"/>
  <c r="P299" i="25"/>
  <c r="P303" i="25"/>
  <c r="P307" i="25"/>
  <c r="P311" i="25"/>
  <c r="P315" i="25"/>
  <c r="P8" i="25"/>
  <c r="P56" i="25"/>
  <c r="P88" i="25"/>
  <c r="P140" i="25"/>
  <c r="P184" i="25"/>
  <c r="P208" i="25"/>
  <c r="P225" i="25"/>
  <c r="P246" i="25"/>
  <c r="P260" i="25"/>
  <c r="P268" i="25"/>
  <c r="P280" i="25"/>
  <c r="P292" i="25"/>
  <c r="P304" i="25"/>
  <c r="P316" i="25"/>
  <c r="P12" i="25"/>
  <c r="P28" i="25"/>
  <c r="P44" i="25"/>
  <c r="P60" i="25"/>
  <c r="P76" i="25"/>
  <c r="P92" i="25"/>
  <c r="P112" i="25"/>
  <c r="P128" i="25"/>
  <c r="P144" i="25"/>
  <c r="P160" i="25"/>
  <c r="P176" i="25"/>
  <c r="P186" i="25"/>
  <c r="P194" i="25"/>
  <c r="P202" i="25"/>
  <c r="P210" i="25"/>
  <c r="P221" i="25"/>
  <c r="P226" i="25"/>
  <c r="P231" i="25"/>
  <c r="P237" i="25"/>
  <c r="P242" i="25"/>
  <c r="P247" i="25"/>
  <c r="P253" i="25"/>
  <c r="P257" i="25"/>
  <c r="P261" i="25"/>
  <c r="P265" i="25"/>
  <c r="P269" i="25"/>
  <c r="P273" i="25"/>
  <c r="P277" i="25"/>
  <c r="P281" i="25"/>
  <c r="P285" i="25"/>
  <c r="P289" i="25"/>
  <c r="P293" i="25"/>
  <c r="P297" i="25"/>
  <c r="P301" i="25"/>
  <c r="P305" i="25"/>
  <c r="P309" i="25"/>
  <c r="P313" i="25"/>
  <c r="P5" i="25"/>
  <c r="P302" i="25"/>
  <c r="P24" i="25"/>
  <c r="P72" i="25"/>
  <c r="P124" i="25"/>
  <c r="P156" i="25"/>
  <c r="P192" i="25"/>
  <c r="P219" i="25"/>
  <c r="P230" i="25"/>
  <c r="P241" i="25"/>
  <c r="P256" i="25"/>
  <c r="P264" i="25"/>
  <c r="P276" i="25"/>
  <c r="P284" i="25"/>
  <c r="P296" i="25"/>
  <c r="P308" i="25"/>
  <c r="P312" i="25"/>
  <c r="P16" i="25"/>
  <c r="P32" i="25"/>
  <c r="P48" i="25"/>
  <c r="P64" i="25"/>
  <c r="P80" i="25"/>
  <c r="P96" i="25"/>
  <c r="P116" i="25"/>
  <c r="P132" i="25"/>
  <c r="P148" i="25"/>
  <c r="P164" i="25"/>
  <c r="P180" i="25"/>
  <c r="P188" i="25"/>
  <c r="P196" i="25"/>
  <c r="P204" i="25"/>
  <c r="P217" i="25"/>
  <c r="P222" i="25"/>
  <c r="P227" i="25"/>
  <c r="P233" i="25"/>
  <c r="P238" i="25"/>
  <c r="P243" i="25"/>
  <c r="P249" i="25"/>
  <c r="P254" i="25"/>
  <c r="P258" i="25"/>
  <c r="P262" i="25"/>
  <c r="P266" i="25"/>
  <c r="P270" i="25"/>
  <c r="P274" i="25"/>
  <c r="P278" i="25"/>
  <c r="P282" i="25"/>
  <c r="P286" i="25"/>
  <c r="P290" i="25"/>
  <c r="P294" i="25"/>
  <c r="P298" i="25"/>
  <c r="P306" i="25"/>
  <c r="P310" i="25"/>
  <c r="P314" i="25"/>
  <c r="P40" i="25"/>
  <c r="P104" i="25"/>
  <c r="P172" i="25"/>
  <c r="P200" i="25"/>
  <c r="P235" i="25"/>
  <c r="P251" i="25"/>
  <c r="P272" i="25"/>
  <c r="P288" i="25"/>
  <c r="P300" i="25"/>
  <c r="O5" i="25"/>
  <c r="CE18" i="25"/>
  <c r="CE38" i="25"/>
  <c r="CE58" i="25"/>
  <c r="CE53" i="25"/>
  <c r="CE24" i="25"/>
  <c r="CE60" i="25"/>
  <c r="CE76" i="25"/>
  <c r="CE74" i="25"/>
  <c r="CE90" i="25"/>
  <c r="CE11" i="25"/>
  <c r="CE61" i="25"/>
  <c r="CE85" i="25"/>
  <c r="CE31" i="25"/>
  <c r="CE67" i="25"/>
  <c r="CE83" i="25"/>
  <c r="CE92" i="25"/>
  <c r="CE100" i="25"/>
  <c r="CE22" i="25"/>
  <c r="CE42" i="25"/>
  <c r="CE69" i="25"/>
  <c r="CE28" i="25"/>
  <c r="CE64" i="25"/>
  <c r="CE13" i="25"/>
  <c r="CE33" i="25"/>
  <c r="CE65" i="25"/>
  <c r="CE19" i="25"/>
  <c r="CE55" i="25"/>
  <c r="CE71" i="25"/>
  <c r="CE87" i="25"/>
  <c r="CE97" i="25"/>
  <c r="CE105" i="25"/>
  <c r="CE26" i="25"/>
  <c r="CE36" i="25"/>
  <c r="CE46" i="25"/>
  <c r="CE41" i="25"/>
  <c r="CE81" i="25"/>
  <c r="CE16" i="25"/>
  <c r="CE32" i="25"/>
  <c r="CE52" i="25"/>
  <c r="CE68" i="25"/>
  <c r="CE84" i="25"/>
  <c r="CE66" i="25"/>
  <c r="CE82" i="25"/>
  <c r="CE9" i="25"/>
  <c r="CE17" i="25"/>
  <c r="CE49" i="25"/>
  <c r="CE73" i="25"/>
  <c r="CE23" i="25"/>
  <c r="CE43" i="25"/>
  <c r="CE59" i="25"/>
  <c r="CE75" i="25"/>
  <c r="CE94" i="25"/>
  <c r="CE98" i="25"/>
  <c r="CE102" i="25"/>
  <c r="CE34" i="25"/>
  <c r="CE44" i="25"/>
  <c r="CE54" i="25"/>
  <c r="CE29" i="25"/>
  <c r="CE15" i="25"/>
  <c r="CE51" i="25"/>
  <c r="CE96" i="25"/>
  <c r="CE104" i="25"/>
  <c r="CE35" i="25"/>
  <c r="CE21" i="25"/>
  <c r="CE12" i="25"/>
  <c r="CE48" i="25"/>
  <c r="CE80" i="25"/>
  <c r="CE62" i="25"/>
  <c r="CE78" i="25"/>
  <c r="CE8" i="25"/>
  <c r="CE39" i="25"/>
  <c r="CE93" i="25"/>
  <c r="CE101" i="25"/>
  <c r="CE14" i="25"/>
  <c r="CE30" i="25"/>
  <c r="CE37" i="25"/>
  <c r="CE50" i="25"/>
  <c r="CE45" i="25"/>
  <c r="CE89" i="25"/>
  <c r="CE20" i="25"/>
  <c r="CE40" i="25"/>
  <c r="CE56" i="25"/>
  <c r="CE72" i="25"/>
  <c r="CE88" i="25"/>
  <c r="CE70" i="25"/>
  <c r="CE86" i="25"/>
  <c r="CE10" i="25"/>
  <c r="CE25" i="25"/>
  <c r="CE57" i="25"/>
  <c r="CE77" i="25"/>
  <c r="CE27" i="25"/>
  <c r="CE47" i="25"/>
  <c r="CE63" i="25"/>
  <c r="CE79" i="25"/>
  <c r="CE91" i="25"/>
  <c r="CE95" i="25"/>
  <c r="CE99" i="25"/>
  <c r="CE103" i="25"/>
  <c r="AY7" i="19"/>
  <c r="BD7" i="19" s="1"/>
  <c r="BN7" i="19"/>
  <c r="AY8" i="19"/>
  <c r="BC8" i="19" s="1"/>
  <c r="BN8" i="19"/>
  <c r="AY6" i="19"/>
  <c r="BJ6" i="19" s="1"/>
  <c r="BN6" i="19"/>
  <c r="AY9" i="19"/>
  <c r="BN9" i="19"/>
  <c r="BC7" i="19"/>
  <c r="R313" i="25"/>
  <c r="Q313" i="25"/>
  <c r="R256" i="25"/>
  <c r="Q256" i="25"/>
  <c r="R291" i="25"/>
  <c r="Q291" i="25"/>
  <c r="R259" i="25"/>
  <c r="Q259" i="25"/>
  <c r="R218" i="25"/>
  <c r="Q218" i="25"/>
  <c r="R226" i="25"/>
  <c r="Q226" i="25"/>
  <c r="R309" i="25"/>
  <c r="Q309" i="25"/>
  <c r="R277" i="25"/>
  <c r="Q277" i="25"/>
  <c r="R287" i="25"/>
  <c r="Q287" i="25"/>
  <c r="R255" i="25"/>
  <c r="Q255" i="25"/>
  <c r="R223" i="25"/>
  <c r="Q223" i="25"/>
  <c r="R296" i="25"/>
  <c r="Q296" i="25"/>
  <c r="R267" i="25"/>
  <c r="Q267" i="25"/>
  <c r="R235" i="25"/>
  <c r="Q235" i="25"/>
  <c r="R285" i="25"/>
  <c r="Q285" i="25"/>
  <c r="R221" i="25"/>
  <c r="Q221" i="25"/>
  <c r="R231" i="25"/>
  <c r="Q231" i="25"/>
  <c r="R281" i="25"/>
  <c r="Q281" i="25"/>
  <c r="R249" i="25"/>
  <c r="Q249" i="25"/>
  <c r="R217" i="25"/>
  <c r="Q217" i="25"/>
  <c r="R288" i="25"/>
  <c r="Q288" i="25"/>
  <c r="R224" i="25"/>
  <c r="Q224" i="25"/>
  <c r="R227" i="25"/>
  <c r="Q227" i="25"/>
  <c r="R298" i="25"/>
  <c r="Q298" i="25"/>
  <c r="R245" i="25"/>
  <c r="Q245" i="25"/>
  <c r="R316" i="25"/>
  <c r="Q316" i="25"/>
  <c r="R284" i="25"/>
  <c r="Q284" i="25"/>
  <c r="R252" i="25"/>
  <c r="Q252" i="25"/>
  <c r="R220" i="25"/>
  <c r="Q220" i="25"/>
  <c r="R294" i="25"/>
  <c r="Q294" i="25"/>
  <c r="R278" i="25"/>
  <c r="Q278" i="25"/>
  <c r="R270" i="25"/>
  <c r="Q270" i="25"/>
  <c r="R289" i="25"/>
  <c r="Q289" i="25"/>
  <c r="R257" i="25"/>
  <c r="Q257" i="25"/>
  <c r="R225" i="25"/>
  <c r="Q225" i="25"/>
  <c r="R264" i="25"/>
  <c r="Q264" i="25"/>
  <c r="R232" i="25"/>
  <c r="Q232" i="25"/>
  <c r="R299" i="25"/>
  <c r="Q299" i="25"/>
  <c r="R306" i="25"/>
  <c r="Q306" i="25"/>
  <c r="R250" i="25"/>
  <c r="Q250" i="25"/>
  <c r="R258" i="25"/>
  <c r="Q258" i="25"/>
  <c r="R301" i="25"/>
  <c r="Q301" i="25"/>
  <c r="R269" i="25"/>
  <c r="Q269" i="25"/>
  <c r="R237" i="25"/>
  <c r="Q237" i="25"/>
  <c r="R244" i="25"/>
  <c r="Q244" i="25"/>
  <c r="R279" i="25"/>
  <c r="Q279" i="25"/>
  <c r="R247" i="25"/>
  <c r="Q247" i="25"/>
  <c r="R302" i="25"/>
  <c r="Q302" i="25"/>
  <c r="R234" i="25"/>
  <c r="Q234" i="25"/>
  <c r="R242" i="25"/>
  <c r="Q242" i="25"/>
  <c r="R304" i="25"/>
  <c r="Q304" i="25"/>
  <c r="R240" i="25"/>
  <c r="Q240" i="25"/>
  <c r="R243" i="25"/>
  <c r="Q243" i="25"/>
  <c r="R230" i="25"/>
  <c r="Q230" i="25"/>
  <c r="R222" i="25"/>
  <c r="Q222" i="25"/>
  <c r="R300" i="25"/>
  <c r="Q300" i="25"/>
  <c r="R303" i="25"/>
  <c r="Q303" i="25"/>
  <c r="R271" i="25"/>
  <c r="Q271" i="25"/>
  <c r="R239" i="25"/>
  <c r="Q239" i="25"/>
  <c r="R310" i="25"/>
  <c r="Q310" i="25"/>
  <c r="R274" i="25"/>
  <c r="Q274" i="25"/>
  <c r="R305" i="25"/>
  <c r="Q305" i="25"/>
  <c r="R251" i="25"/>
  <c r="Q251" i="25"/>
  <c r="R219" i="25"/>
  <c r="Q219" i="25"/>
  <c r="R308" i="25"/>
  <c r="Q308" i="25"/>
  <c r="R276" i="25"/>
  <c r="Q276" i="25"/>
  <c r="R311" i="25"/>
  <c r="Q311" i="25"/>
  <c r="R297" i="25"/>
  <c r="Q297" i="25"/>
  <c r="R265" i="25"/>
  <c r="Q265" i="25"/>
  <c r="R233" i="25"/>
  <c r="Q233" i="25"/>
  <c r="R272" i="25"/>
  <c r="Q272" i="25"/>
  <c r="R307" i="25"/>
  <c r="Q307" i="25"/>
  <c r="R275" i="25"/>
  <c r="Q275" i="25"/>
  <c r="R314" i="25"/>
  <c r="Q314" i="25"/>
  <c r="R282" i="25"/>
  <c r="Q282" i="25"/>
  <c r="R293" i="25"/>
  <c r="Q293" i="25"/>
  <c r="R261" i="25"/>
  <c r="Q261" i="25"/>
  <c r="R229" i="25"/>
  <c r="Q229" i="25"/>
  <c r="R268" i="25"/>
  <c r="Q268" i="25"/>
  <c r="R236" i="25"/>
  <c r="Q236" i="25"/>
  <c r="R266" i="25"/>
  <c r="Q266" i="25"/>
  <c r="R273" i="25"/>
  <c r="Q273" i="25"/>
  <c r="R241" i="25"/>
  <c r="Q241" i="25"/>
  <c r="R312" i="25"/>
  <c r="Q312" i="25"/>
  <c r="R280" i="25"/>
  <c r="Q280" i="25"/>
  <c r="R248" i="25"/>
  <c r="Q248" i="25"/>
  <c r="R315" i="25"/>
  <c r="Q315" i="25"/>
  <c r="R283" i="25"/>
  <c r="Q283" i="25"/>
  <c r="R290" i="25"/>
  <c r="Q290" i="25"/>
  <c r="R262" i="25"/>
  <c r="Q262" i="25"/>
  <c r="R254" i="25"/>
  <c r="Q254" i="25"/>
  <c r="R253" i="25"/>
  <c r="Q253" i="25"/>
  <c r="R292" i="25"/>
  <c r="Q292" i="25"/>
  <c r="R260" i="25"/>
  <c r="Q260" i="25"/>
  <c r="R228" i="25"/>
  <c r="Q228" i="25"/>
  <c r="R295" i="25"/>
  <c r="Q295" i="25"/>
  <c r="R263" i="25"/>
  <c r="Q263" i="25"/>
  <c r="R286" i="25"/>
  <c r="Q286" i="25"/>
  <c r="R246" i="25"/>
  <c r="Q246" i="25"/>
  <c r="R238" i="25"/>
  <c r="Q238" i="25"/>
  <c r="AL34" i="25"/>
  <c r="H34" i="25"/>
  <c r="AH34" i="25" s="1"/>
  <c r="S34" i="25"/>
  <c r="K34" i="25" s="1"/>
  <c r="AL58" i="25"/>
  <c r="H58" i="25"/>
  <c r="AH58" i="25" s="1"/>
  <c r="S58" i="25"/>
  <c r="K58" i="25" s="1"/>
  <c r="H121" i="25"/>
  <c r="AH121" i="25" s="1"/>
  <c r="AL121" i="25"/>
  <c r="S121" i="25"/>
  <c r="K121" i="25" s="1"/>
  <c r="AL44" i="25"/>
  <c r="H44" i="25"/>
  <c r="AH44" i="25" s="1"/>
  <c r="S44" i="25"/>
  <c r="K44" i="25" s="1"/>
  <c r="AL76" i="25"/>
  <c r="H76" i="25"/>
  <c r="AH76" i="25" s="1"/>
  <c r="S76" i="25"/>
  <c r="K76" i="25" s="1"/>
  <c r="AL74" i="25"/>
  <c r="H74" i="25"/>
  <c r="AH74" i="25" s="1"/>
  <c r="S74" i="25"/>
  <c r="K74" i="25" s="1"/>
  <c r="AL124" i="25"/>
  <c r="H124" i="25"/>
  <c r="AH124" i="25" s="1"/>
  <c r="S124" i="25"/>
  <c r="K124" i="25" s="1"/>
  <c r="AL17" i="25"/>
  <c r="H17" i="25"/>
  <c r="AH17" i="25" s="1"/>
  <c r="S17" i="25"/>
  <c r="K17" i="25" s="1"/>
  <c r="AL73" i="25"/>
  <c r="H73" i="25"/>
  <c r="AH73" i="25" s="1"/>
  <c r="S73" i="25"/>
  <c r="K73" i="25" s="1"/>
  <c r="AL23" i="25"/>
  <c r="H23" i="25"/>
  <c r="AH23" i="25" s="1"/>
  <c r="S23" i="25"/>
  <c r="K23" i="25" s="1"/>
  <c r="AL43" i="25"/>
  <c r="H43" i="25"/>
  <c r="AH43" i="25" s="1"/>
  <c r="S43" i="25"/>
  <c r="K43" i="25" s="1"/>
  <c r="AL75" i="25"/>
  <c r="H75" i="25"/>
  <c r="AH75" i="25" s="1"/>
  <c r="S75" i="25"/>
  <c r="K75" i="25" s="1"/>
  <c r="H223" i="25"/>
  <c r="AH223" i="25" s="1"/>
  <c r="AL223" i="25"/>
  <c r="S223" i="25"/>
  <c r="K223" i="25" s="1"/>
  <c r="H290" i="25"/>
  <c r="AH290" i="25" s="1"/>
  <c r="AL290" i="25"/>
  <c r="S290" i="25"/>
  <c r="K290" i="25" s="1"/>
  <c r="AL98" i="25"/>
  <c r="H98" i="25"/>
  <c r="AH98" i="25" s="1"/>
  <c r="S98" i="25"/>
  <c r="K98" i="25" s="1"/>
  <c r="AL111" i="25"/>
  <c r="H111" i="25"/>
  <c r="AH111" i="25" s="1"/>
  <c r="S111" i="25"/>
  <c r="K111" i="25" s="1"/>
  <c r="H133" i="25"/>
  <c r="AH133" i="25" s="1"/>
  <c r="AL133" i="25"/>
  <c r="S133" i="25"/>
  <c r="K133" i="25" s="1"/>
  <c r="H141" i="25"/>
  <c r="AH141" i="25" s="1"/>
  <c r="AL141" i="25"/>
  <c r="S141" i="25"/>
  <c r="K141" i="25" s="1"/>
  <c r="H157" i="25"/>
  <c r="AH157" i="25" s="1"/>
  <c r="AL157" i="25"/>
  <c r="S157" i="25"/>
  <c r="K157" i="25" s="1"/>
  <c r="H173" i="25"/>
  <c r="AH173" i="25" s="1"/>
  <c r="AL173" i="25"/>
  <c r="S173" i="25"/>
  <c r="K173" i="25" s="1"/>
  <c r="H197" i="25"/>
  <c r="AH197" i="25" s="1"/>
  <c r="AL197" i="25"/>
  <c r="S197" i="25"/>
  <c r="K197" i="25" s="1"/>
  <c r="H158" i="25"/>
  <c r="AH158" i="25" s="1"/>
  <c r="AL158" i="25"/>
  <c r="S158" i="25"/>
  <c r="K158" i="25" s="1"/>
  <c r="H190" i="25"/>
  <c r="AH190" i="25" s="1"/>
  <c r="AL190" i="25"/>
  <c r="S190" i="25"/>
  <c r="K190" i="25" s="1"/>
  <c r="H235" i="25"/>
  <c r="AH235" i="25" s="1"/>
  <c r="AL235" i="25"/>
  <c r="S235" i="25"/>
  <c r="K235" i="25" s="1"/>
  <c r="H251" i="25"/>
  <c r="AH251" i="25" s="1"/>
  <c r="AL251" i="25"/>
  <c r="S251" i="25"/>
  <c r="K251" i="25" s="1"/>
  <c r="H267" i="25"/>
  <c r="AH267" i="25" s="1"/>
  <c r="AL267" i="25"/>
  <c r="S267" i="25"/>
  <c r="K267" i="25" s="1"/>
  <c r="AL155" i="25"/>
  <c r="H155" i="25"/>
  <c r="AH155" i="25" s="1"/>
  <c r="S155" i="25"/>
  <c r="K155" i="25" s="1"/>
  <c r="AL187" i="25"/>
  <c r="H187" i="25"/>
  <c r="AH187" i="25" s="1"/>
  <c r="S187" i="25"/>
  <c r="K187" i="25" s="1"/>
  <c r="AL201" i="25"/>
  <c r="H201" i="25"/>
  <c r="AH201" i="25" s="1"/>
  <c r="S201" i="25"/>
  <c r="K201" i="25" s="1"/>
  <c r="AL316" i="25"/>
  <c r="H316" i="25"/>
  <c r="AH316" i="25" s="1"/>
  <c r="S316" i="25"/>
  <c r="K316" i="25" s="1"/>
  <c r="AL14" i="25"/>
  <c r="H14" i="25"/>
  <c r="AH14" i="25" s="1"/>
  <c r="S14" i="25"/>
  <c r="K14" i="25" s="1"/>
  <c r="AL30" i="25"/>
  <c r="H30" i="25"/>
  <c r="AH30" i="25" s="1"/>
  <c r="S30" i="25"/>
  <c r="K30" i="25" s="1"/>
  <c r="AL37" i="25"/>
  <c r="H37" i="25"/>
  <c r="AH37" i="25" s="1"/>
  <c r="S37" i="25"/>
  <c r="K37" i="25" s="1"/>
  <c r="AL50" i="25"/>
  <c r="H50" i="25"/>
  <c r="AH50" i="25" s="1"/>
  <c r="S50" i="25"/>
  <c r="K50" i="25" s="1"/>
  <c r="AL45" i="25"/>
  <c r="H45" i="25"/>
  <c r="AH45" i="25" s="1"/>
  <c r="S45" i="25"/>
  <c r="K45" i="25" s="1"/>
  <c r="AL89" i="25"/>
  <c r="H89" i="25"/>
  <c r="AH89" i="25" s="1"/>
  <c r="S89" i="25"/>
  <c r="K89" i="25" s="1"/>
  <c r="AL20" i="25"/>
  <c r="H20" i="25"/>
  <c r="AH20" i="25" s="1"/>
  <c r="S20" i="25"/>
  <c r="K20" i="25" s="1"/>
  <c r="AL40" i="25"/>
  <c r="H40" i="25"/>
  <c r="AH40" i="25" s="1"/>
  <c r="S40" i="25"/>
  <c r="K40" i="25" s="1"/>
  <c r="AL56" i="25"/>
  <c r="H56" i="25"/>
  <c r="AH56" i="25" s="1"/>
  <c r="S56" i="25"/>
  <c r="K56" i="25" s="1"/>
  <c r="AL72" i="25"/>
  <c r="H72" i="25"/>
  <c r="AH72" i="25" s="1"/>
  <c r="S72" i="25"/>
  <c r="K72" i="25" s="1"/>
  <c r="AL88" i="25"/>
  <c r="H88" i="25"/>
  <c r="AH88" i="25" s="1"/>
  <c r="S88" i="25"/>
  <c r="K88" i="25" s="1"/>
  <c r="AL70" i="25"/>
  <c r="H70" i="25"/>
  <c r="AH70" i="25" s="1"/>
  <c r="S70" i="25"/>
  <c r="K70" i="25" s="1"/>
  <c r="AL86" i="25"/>
  <c r="H86" i="25"/>
  <c r="AH86" i="25" s="1"/>
  <c r="S86" i="25"/>
  <c r="K86" i="25" s="1"/>
  <c r="AL120" i="25"/>
  <c r="H120" i="25"/>
  <c r="AH120" i="25" s="1"/>
  <c r="S120" i="25"/>
  <c r="K120" i="25" s="1"/>
  <c r="H8" i="25"/>
  <c r="AH8" i="25" s="1"/>
  <c r="AL8" i="25"/>
  <c r="S8" i="25"/>
  <c r="K8" i="25" s="1"/>
  <c r="AL13" i="25"/>
  <c r="H13" i="25"/>
  <c r="AH13" i="25" s="1"/>
  <c r="S13" i="25"/>
  <c r="K13" i="25" s="1"/>
  <c r="AL33" i="25"/>
  <c r="H33" i="25"/>
  <c r="AH33" i="25" s="1"/>
  <c r="S33" i="25"/>
  <c r="K33" i="25" s="1"/>
  <c r="AL65" i="25"/>
  <c r="H65" i="25"/>
  <c r="AH65" i="25" s="1"/>
  <c r="S65" i="25"/>
  <c r="K65" i="25" s="1"/>
  <c r="H113" i="25"/>
  <c r="AH113" i="25" s="1"/>
  <c r="AL113" i="25"/>
  <c r="S113" i="25"/>
  <c r="K113" i="25" s="1"/>
  <c r="AL19" i="25"/>
  <c r="H19" i="25"/>
  <c r="AH19" i="25" s="1"/>
  <c r="S19" i="25"/>
  <c r="K19" i="25" s="1"/>
  <c r="AL39" i="25"/>
  <c r="H39" i="25"/>
  <c r="AH39" i="25" s="1"/>
  <c r="S39" i="25"/>
  <c r="K39" i="25" s="1"/>
  <c r="AL55" i="25"/>
  <c r="H55" i="25"/>
  <c r="AH55" i="25" s="1"/>
  <c r="S55" i="25"/>
  <c r="K55" i="25" s="1"/>
  <c r="AL71" i="25"/>
  <c r="H71" i="25"/>
  <c r="AH71" i="25" s="1"/>
  <c r="S71" i="25"/>
  <c r="K71" i="25" s="1"/>
  <c r="AL87" i="25"/>
  <c r="H87" i="25"/>
  <c r="AH87" i="25" s="1"/>
  <c r="S87" i="25"/>
  <c r="K87" i="25" s="1"/>
  <c r="H122" i="25"/>
  <c r="AH122" i="25" s="1"/>
  <c r="AL122" i="25"/>
  <c r="S122" i="25"/>
  <c r="K122" i="25" s="1"/>
  <c r="H222" i="25"/>
  <c r="AH222" i="25" s="1"/>
  <c r="AL222" i="25"/>
  <c r="S222" i="25"/>
  <c r="K222" i="25" s="1"/>
  <c r="H230" i="25"/>
  <c r="AH230" i="25" s="1"/>
  <c r="AL230" i="25"/>
  <c r="S230" i="25"/>
  <c r="K230" i="25" s="1"/>
  <c r="AL277" i="25"/>
  <c r="H277" i="25"/>
  <c r="AH277" i="25" s="1"/>
  <c r="S277" i="25"/>
  <c r="K277" i="25" s="1"/>
  <c r="AL93" i="25"/>
  <c r="H93" i="25"/>
  <c r="AH93" i="25" s="1"/>
  <c r="S93" i="25"/>
  <c r="K93" i="25" s="1"/>
  <c r="AL97" i="25"/>
  <c r="H97" i="25"/>
  <c r="AH97" i="25" s="1"/>
  <c r="S97" i="25"/>
  <c r="K97" i="25" s="1"/>
  <c r="AL101" i="25"/>
  <c r="H101" i="25"/>
  <c r="AH101" i="25" s="1"/>
  <c r="S101" i="25"/>
  <c r="K101" i="25" s="1"/>
  <c r="AL105" i="25"/>
  <c r="H105" i="25"/>
  <c r="AH105" i="25" s="1"/>
  <c r="S105" i="25"/>
  <c r="K105" i="25" s="1"/>
  <c r="AL123" i="25"/>
  <c r="H123" i="25"/>
  <c r="AH123" i="25" s="1"/>
  <c r="S123" i="25"/>
  <c r="K123" i="25" s="1"/>
  <c r="AL132" i="25"/>
  <c r="H132" i="25"/>
  <c r="AH132" i="25" s="1"/>
  <c r="S132" i="25"/>
  <c r="K132" i="25" s="1"/>
  <c r="AL140" i="25"/>
  <c r="H140" i="25"/>
  <c r="AH140" i="25" s="1"/>
  <c r="S140" i="25"/>
  <c r="K140" i="25" s="1"/>
  <c r="AL148" i="25"/>
  <c r="H148" i="25"/>
  <c r="AH148" i="25" s="1"/>
  <c r="S148" i="25"/>
  <c r="K148" i="25" s="1"/>
  <c r="AL156" i="25"/>
  <c r="H156" i="25"/>
  <c r="AH156" i="25" s="1"/>
  <c r="S156" i="25"/>
  <c r="K156" i="25" s="1"/>
  <c r="AL164" i="25"/>
  <c r="H164" i="25"/>
  <c r="AH164" i="25" s="1"/>
  <c r="S164" i="25"/>
  <c r="K164" i="25" s="1"/>
  <c r="AL172" i="25"/>
  <c r="H172" i="25"/>
  <c r="AH172" i="25" s="1"/>
  <c r="S172" i="25"/>
  <c r="K172" i="25" s="1"/>
  <c r="AL180" i="25"/>
  <c r="H180" i="25"/>
  <c r="AH180" i="25" s="1"/>
  <c r="S180" i="25"/>
  <c r="K180" i="25" s="1"/>
  <c r="AL188" i="25"/>
  <c r="H188" i="25"/>
  <c r="AH188" i="25" s="1"/>
  <c r="S188" i="25"/>
  <c r="K188" i="25" s="1"/>
  <c r="AL196" i="25"/>
  <c r="H196" i="25"/>
  <c r="AH196" i="25" s="1"/>
  <c r="S196" i="25"/>
  <c r="K196" i="25" s="1"/>
  <c r="H138" i="25"/>
  <c r="AH138" i="25" s="1"/>
  <c r="AL138" i="25"/>
  <c r="S138" i="25"/>
  <c r="K138" i="25" s="1"/>
  <c r="H154" i="25"/>
  <c r="AH154" i="25" s="1"/>
  <c r="AL154" i="25"/>
  <c r="S154" i="25"/>
  <c r="K154" i="25" s="1"/>
  <c r="H170" i="25"/>
  <c r="AH170" i="25" s="1"/>
  <c r="AL170" i="25"/>
  <c r="S170" i="25"/>
  <c r="K170" i="25" s="1"/>
  <c r="H186" i="25"/>
  <c r="AH186" i="25" s="1"/>
  <c r="AL186" i="25"/>
  <c r="S186" i="25"/>
  <c r="K186" i="25" s="1"/>
  <c r="H217" i="25"/>
  <c r="AH217" i="25" s="1"/>
  <c r="AL217" i="25"/>
  <c r="S217" i="25"/>
  <c r="K217" i="25" s="1"/>
  <c r="H232" i="25"/>
  <c r="AH232" i="25" s="1"/>
  <c r="AL232" i="25"/>
  <c r="S232" i="25"/>
  <c r="K232" i="25" s="1"/>
  <c r="H240" i="25"/>
  <c r="AH240" i="25" s="1"/>
  <c r="AL240" i="25"/>
  <c r="S240" i="25"/>
  <c r="K240" i="25" s="1"/>
  <c r="H248" i="25"/>
  <c r="AH248" i="25" s="1"/>
  <c r="AL248" i="25"/>
  <c r="S248" i="25"/>
  <c r="K248" i="25" s="1"/>
  <c r="H256" i="25"/>
  <c r="AH256" i="25" s="1"/>
  <c r="AL256" i="25"/>
  <c r="S256" i="25"/>
  <c r="K256" i="25" s="1"/>
  <c r="H264" i="25"/>
  <c r="AH264" i="25" s="1"/>
  <c r="AL264" i="25"/>
  <c r="S264" i="25"/>
  <c r="K264" i="25" s="1"/>
  <c r="AL274" i="25"/>
  <c r="H274" i="25"/>
  <c r="AH274" i="25" s="1"/>
  <c r="S274" i="25"/>
  <c r="K274" i="25" s="1"/>
  <c r="AL135" i="25"/>
  <c r="H135" i="25"/>
  <c r="AH135" i="25" s="1"/>
  <c r="S135" i="25"/>
  <c r="K135" i="25" s="1"/>
  <c r="AL151" i="25"/>
  <c r="H151" i="25"/>
  <c r="AH151" i="25" s="1"/>
  <c r="S151" i="25"/>
  <c r="K151" i="25" s="1"/>
  <c r="AL167" i="25"/>
  <c r="H167" i="25"/>
  <c r="AH167" i="25" s="1"/>
  <c r="S167" i="25"/>
  <c r="K167" i="25" s="1"/>
  <c r="AL183" i="25"/>
  <c r="H183" i="25"/>
  <c r="AH183" i="25" s="1"/>
  <c r="S183" i="25"/>
  <c r="K183" i="25" s="1"/>
  <c r="AL199" i="25"/>
  <c r="H199" i="25"/>
  <c r="AH199" i="25" s="1"/>
  <c r="S199" i="25"/>
  <c r="K199" i="25" s="1"/>
  <c r="H206" i="25"/>
  <c r="AH206" i="25" s="1"/>
  <c r="AL206" i="25"/>
  <c r="S206" i="25"/>
  <c r="K206" i="25" s="1"/>
  <c r="H224" i="25"/>
  <c r="AH224" i="25" s="1"/>
  <c r="AL224" i="25"/>
  <c r="S224" i="25"/>
  <c r="K224" i="25" s="1"/>
  <c r="AL308" i="25"/>
  <c r="H308" i="25"/>
  <c r="AH308" i="25" s="1"/>
  <c r="S308" i="25"/>
  <c r="K308" i="25" s="1"/>
  <c r="H238" i="25"/>
  <c r="AH238" i="25" s="1"/>
  <c r="AL238" i="25"/>
  <c r="S238" i="25"/>
  <c r="K238" i="25" s="1"/>
  <c r="H254" i="25"/>
  <c r="AH254" i="25" s="1"/>
  <c r="AL254" i="25"/>
  <c r="S254" i="25"/>
  <c r="K254" i="25" s="1"/>
  <c r="H283" i="25"/>
  <c r="AH283" i="25" s="1"/>
  <c r="AL283" i="25"/>
  <c r="S283" i="25"/>
  <c r="K283" i="25" s="1"/>
  <c r="AL204" i="25"/>
  <c r="H204" i="25"/>
  <c r="AH204" i="25" s="1"/>
  <c r="S204" i="25"/>
  <c r="K204" i="25" s="1"/>
  <c r="H241" i="25"/>
  <c r="AH241" i="25" s="1"/>
  <c r="AL241" i="25"/>
  <c r="S241" i="25"/>
  <c r="K241" i="25" s="1"/>
  <c r="H257" i="25"/>
  <c r="AH257" i="25" s="1"/>
  <c r="AL257" i="25"/>
  <c r="S257" i="25"/>
  <c r="K257" i="25" s="1"/>
  <c r="H294" i="25"/>
  <c r="AH294" i="25" s="1"/>
  <c r="AL294" i="25"/>
  <c r="S294" i="25"/>
  <c r="K294" i="25" s="1"/>
  <c r="AL309" i="25"/>
  <c r="H309" i="25"/>
  <c r="AH309" i="25" s="1"/>
  <c r="S309" i="25"/>
  <c r="K309" i="25" s="1"/>
  <c r="AL279" i="25"/>
  <c r="H279" i="25"/>
  <c r="AH279" i="25" s="1"/>
  <c r="S279" i="25"/>
  <c r="K279" i="25" s="1"/>
  <c r="H293" i="25"/>
  <c r="AH293" i="25" s="1"/>
  <c r="AL293" i="25"/>
  <c r="S293" i="25"/>
  <c r="K293" i="25" s="1"/>
  <c r="H284" i="25"/>
  <c r="AH284" i="25" s="1"/>
  <c r="AL284" i="25"/>
  <c r="S284" i="25"/>
  <c r="K284" i="25" s="1"/>
  <c r="AL300" i="25"/>
  <c r="H300" i="25"/>
  <c r="AH300" i="25" s="1"/>
  <c r="S300" i="25"/>
  <c r="K300" i="25" s="1"/>
  <c r="AL315" i="25"/>
  <c r="H315" i="25"/>
  <c r="AH315" i="25" s="1"/>
  <c r="S315" i="25"/>
  <c r="K315" i="25" s="1"/>
  <c r="AL304" i="25"/>
  <c r="H304" i="25"/>
  <c r="AH304" i="25" s="1"/>
  <c r="S304" i="25"/>
  <c r="K304" i="25" s="1"/>
  <c r="AL18" i="25"/>
  <c r="H18" i="25"/>
  <c r="AH18" i="25" s="1"/>
  <c r="S18" i="25"/>
  <c r="K18" i="25" s="1"/>
  <c r="AL38" i="25"/>
  <c r="H38" i="25"/>
  <c r="AH38" i="25" s="1"/>
  <c r="S38" i="25"/>
  <c r="K38" i="25" s="1"/>
  <c r="AL53" i="25"/>
  <c r="H53" i="25"/>
  <c r="AH53" i="25" s="1"/>
  <c r="S53" i="25"/>
  <c r="K53" i="25" s="1"/>
  <c r="AL24" i="25"/>
  <c r="H24" i="25"/>
  <c r="AH24" i="25" s="1"/>
  <c r="S24" i="25"/>
  <c r="K24" i="25" s="1"/>
  <c r="AL60" i="25"/>
  <c r="H60" i="25"/>
  <c r="AH60" i="25" s="1"/>
  <c r="S60" i="25"/>
  <c r="K60" i="25" s="1"/>
  <c r="AL54" i="25"/>
  <c r="H54" i="25"/>
  <c r="AH54" i="25" s="1"/>
  <c r="S54" i="25"/>
  <c r="K54" i="25" s="1"/>
  <c r="AL90" i="25"/>
  <c r="H90" i="25"/>
  <c r="AH90" i="25" s="1"/>
  <c r="S90" i="25"/>
  <c r="K90" i="25" s="1"/>
  <c r="AL9" i="25"/>
  <c r="H9" i="25"/>
  <c r="AH9" i="25" s="1"/>
  <c r="S9" i="25"/>
  <c r="K9" i="25" s="1"/>
  <c r="AL49" i="25"/>
  <c r="H49" i="25"/>
  <c r="AH49" i="25" s="1"/>
  <c r="S49" i="25"/>
  <c r="K49" i="25" s="1"/>
  <c r="H117" i="25"/>
  <c r="AH117" i="25" s="1"/>
  <c r="AL117" i="25"/>
  <c r="S117" i="25"/>
  <c r="K117" i="25" s="1"/>
  <c r="AL59" i="25"/>
  <c r="H59" i="25"/>
  <c r="AH59" i="25" s="1"/>
  <c r="S59" i="25"/>
  <c r="K59" i="25" s="1"/>
  <c r="H295" i="25"/>
  <c r="AH295" i="25" s="1"/>
  <c r="AL295" i="25"/>
  <c r="S295" i="25"/>
  <c r="K295" i="25" s="1"/>
  <c r="H126" i="25"/>
  <c r="AH126" i="25" s="1"/>
  <c r="AL126" i="25"/>
  <c r="S126" i="25"/>
  <c r="K126" i="25" s="1"/>
  <c r="H231" i="25"/>
  <c r="AH231" i="25" s="1"/>
  <c r="AL231" i="25"/>
  <c r="S231" i="25"/>
  <c r="K231" i="25" s="1"/>
  <c r="AL94" i="25"/>
  <c r="H94" i="25"/>
  <c r="AH94" i="25" s="1"/>
  <c r="S94" i="25"/>
  <c r="K94" i="25" s="1"/>
  <c r="AL102" i="25"/>
  <c r="H102" i="25"/>
  <c r="AH102" i="25" s="1"/>
  <c r="S102" i="25"/>
  <c r="K102" i="25" s="1"/>
  <c r="AL127" i="25"/>
  <c r="H127" i="25"/>
  <c r="AH127" i="25" s="1"/>
  <c r="S127" i="25"/>
  <c r="K127" i="25" s="1"/>
  <c r="H149" i="25"/>
  <c r="AH149" i="25" s="1"/>
  <c r="AL149" i="25"/>
  <c r="S149" i="25"/>
  <c r="K149" i="25" s="1"/>
  <c r="H165" i="25"/>
  <c r="AH165" i="25" s="1"/>
  <c r="AL165" i="25"/>
  <c r="S165" i="25"/>
  <c r="K165" i="25" s="1"/>
  <c r="H181" i="25"/>
  <c r="AH181" i="25" s="1"/>
  <c r="AL181" i="25"/>
  <c r="S181" i="25"/>
  <c r="K181" i="25" s="1"/>
  <c r="H189" i="25"/>
  <c r="AH189" i="25" s="1"/>
  <c r="AL189" i="25"/>
  <c r="S189" i="25"/>
  <c r="K189" i="25" s="1"/>
  <c r="H142" i="25"/>
  <c r="AH142" i="25" s="1"/>
  <c r="AL142" i="25"/>
  <c r="S142" i="25"/>
  <c r="K142" i="25" s="1"/>
  <c r="H174" i="25"/>
  <c r="AH174" i="25" s="1"/>
  <c r="AL174" i="25"/>
  <c r="S174" i="25"/>
  <c r="K174" i="25" s="1"/>
  <c r="H221" i="25"/>
  <c r="AH221" i="25" s="1"/>
  <c r="AL221" i="25"/>
  <c r="S221" i="25"/>
  <c r="K221" i="25" s="1"/>
  <c r="H243" i="25"/>
  <c r="AH243" i="25" s="1"/>
  <c r="AL243" i="25"/>
  <c r="S243" i="25"/>
  <c r="K243" i="25" s="1"/>
  <c r="H259" i="25"/>
  <c r="AH259" i="25" s="1"/>
  <c r="AL259" i="25"/>
  <c r="S259" i="25"/>
  <c r="K259" i="25" s="1"/>
  <c r="AL278" i="25"/>
  <c r="H278" i="25"/>
  <c r="AH278" i="25" s="1"/>
  <c r="S278" i="25"/>
  <c r="K278" i="25" s="1"/>
  <c r="AL139" i="25"/>
  <c r="H139" i="25"/>
  <c r="AH139" i="25" s="1"/>
  <c r="S139" i="25"/>
  <c r="K139" i="25" s="1"/>
  <c r="AL171" i="25"/>
  <c r="H171" i="25"/>
  <c r="AH171" i="25" s="1"/>
  <c r="S171" i="25"/>
  <c r="K171" i="25" s="1"/>
  <c r="AL209" i="25"/>
  <c r="H209" i="25"/>
  <c r="AH209" i="25" s="1"/>
  <c r="S209" i="25"/>
  <c r="K209" i="25" s="1"/>
  <c r="H228" i="25"/>
  <c r="AH228" i="25" s="1"/>
  <c r="AL228" i="25"/>
  <c r="S228" i="25"/>
  <c r="K228" i="25" s="1"/>
  <c r="H203" i="25"/>
  <c r="AH203" i="25" s="1"/>
  <c r="AL203" i="25"/>
  <c r="S203" i="25"/>
  <c r="K203" i="25" s="1"/>
  <c r="H242" i="25"/>
  <c r="AH242" i="25" s="1"/>
  <c r="AL242" i="25"/>
  <c r="S242" i="25"/>
  <c r="K242" i="25" s="1"/>
  <c r="H258" i="25"/>
  <c r="AH258" i="25" s="1"/>
  <c r="AL258" i="25"/>
  <c r="S258" i="25"/>
  <c r="K258" i="25" s="1"/>
  <c r="H291" i="25"/>
  <c r="AH291" i="25" s="1"/>
  <c r="AL291" i="25"/>
  <c r="S291" i="25"/>
  <c r="K291" i="25" s="1"/>
  <c r="AL208" i="25"/>
  <c r="H208" i="25"/>
  <c r="AH208" i="25" s="1"/>
  <c r="S208" i="25"/>
  <c r="K208" i="25" s="1"/>
  <c r="H245" i="25"/>
  <c r="AH245" i="25" s="1"/>
  <c r="AL245" i="25"/>
  <c r="S245" i="25"/>
  <c r="K245" i="25" s="1"/>
  <c r="H261" i="25"/>
  <c r="AH261" i="25" s="1"/>
  <c r="AL261" i="25"/>
  <c r="S261" i="25"/>
  <c r="K261" i="25" s="1"/>
  <c r="AL272" i="25"/>
  <c r="H272" i="25"/>
  <c r="AH272" i="25" s="1"/>
  <c r="S272" i="25"/>
  <c r="K272" i="25" s="1"/>
  <c r="H281" i="25"/>
  <c r="AH281" i="25" s="1"/>
  <c r="AL281" i="25"/>
  <c r="S281" i="25"/>
  <c r="K281" i="25" s="1"/>
  <c r="H297" i="25"/>
  <c r="AH297" i="25" s="1"/>
  <c r="AL297" i="25"/>
  <c r="S297" i="25"/>
  <c r="K297" i="25" s="1"/>
  <c r="H288" i="25"/>
  <c r="AH288" i="25" s="1"/>
  <c r="AL288" i="25"/>
  <c r="S288" i="25"/>
  <c r="K288" i="25" s="1"/>
  <c r="AL305" i="25"/>
  <c r="H305" i="25"/>
  <c r="AH305" i="25" s="1"/>
  <c r="S305" i="25"/>
  <c r="K305" i="25" s="1"/>
  <c r="AL301" i="25"/>
  <c r="H301" i="25"/>
  <c r="AH301" i="25" s="1"/>
  <c r="S301" i="25"/>
  <c r="K301" i="25" s="1"/>
  <c r="AL306" i="25"/>
  <c r="H306" i="25"/>
  <c r="AH306" i="25" s="1"/>
  <c r="S306" i="25"/>
  <c r="K306" i="25" s="1"/>
  <c r="AL22" i="25"/>
  <c r="H22" i="25"/>
  <c r="AH22" i="25" s="1"/>
  <c r="S22" i="25"/>
  <c r="K22" i="25" s="1"/>
  <c r="AL35" i="25"/>
  <c r="H35" i="25"/>
  <c r="AH35" i="25" s="1"/>
  <c r="S35" i="25"/>
  <c r="K35" i="25" s="1"/>
  <c r="AL42" i="25"/>
  <c r="H42" i="25"/>
  <c r="AH42" i="25" s="1"/>
  <c r="S42" i="25"/>
  <c r="K42" i="25" s="1"/>
  <c r="AL21" i="25"/>
  <c r="H21" i="25"/>
  <c r="AH21" i="25" s="1"/>
  <c r="S21" i="25"/>
  <c r="K21" i="25" s="1"/>
  <c r="AL69" i="25"/>
  <c r="H69" i="25"/>
  <c r="AH69" i="25" s="1"/>
  <c r="S69" i="25"/>
  <c r="K69" i="25" s="1"/>
  <c r="AL12" i="25"/>
  <c r="H12" i="25"/>
  <c r="AH12" i="25" s="1"/>
  <c r="S12" i="25"/>
  <c r="K12" i="25" s="1"/>
  <c r="AL28" i="25"/>
  <c r="H28" i="25"/>
  <c r="AH28" i="25" s="1"/>
  <c r="S28" i="25"/>
  <c r="K28" i="25" s="1"/>
  <c r="AL48" i="25"/>
  <c r="H48" i="25"/>
  <c r="AH48" i="25" s="1"/>
  <c r="S48" i="25"/>
  <c r="K48" i="25" s="1"/>
  <c r="AL64" i="25"/>
  <c r="H64" i="25"/>
  <c r="AH64" i="25" s="1"/>
  <c r="S64" i="25"/>
  <c r="K64" i="25" s="1"/>
  <c r="AL80" i="25"/>
  <c r="H80" i="25"/>
  <c r="AH80" i="25" s="1"/>
  <c r="S80" i="25"/>
  <c r="K80" i="25" s="1"/>
  <c r="AL62" i="25"/>
  <c r="H62" i="25"/>
  <c r="AH62" i="25" s="1"/>
  <c r="S62" i="25"/>
  <c r="K62" i="25" s="1"/>
  <c r="AL78" i="25"/>
  <c r="H78" i="25"/>
  <c r="AH78" i="25" s="1"/>
  <c r="S78" i="25"/>
  <c r="K78" i="25" s="1"/>
  <c r="AL112" i="25"/>
  <c r="H112" i="25"/>
  <c r="AH112" i="25" s="1"/>
  <c r="S112" i="25"/>
  <c r="K112" i="25" s="1"/>
  <c r="AL6" i="25"/>
  <c r="BS6" i="25"/>
  <c r="H6" i="25"/>
  <c r="AH6" i="25" s="1"/>
  <c r="S6" i="25"/>
  <c r="K6" i="25" s="1"/>
  <c r="H10" i="25"/>
  <c r="AH10" i="25" s="1"/>
  <c r="AL10" i="25"/>
  <c r="S10" i="25"/>
  <c r="K10" i="25" s="1"/>
  <c r="AL25" i="25"/>
  <c r="H25" i="25"/>
  <c r="AH25" i="25" s="1"/>
  <c r="S25" i="25"/>
  <c r="K25" i="25" s="1"/>
  <c r="AL57" i="25"/>
  <c r="H57" i="25"/>
  <c r="AH57" i="25" s="1"/>
  <c r="S57" i="25"/>
  <c r="K57" i="25" s="1"/>
  <c r="AL77" i="25"/>
  <c r="H77" i="25"/>
  <c r="AH77" i="25" s="1"/>
  <c r="S77" i="25"/>
  <c r="K77" i="25" s="1"/>
  <c r="H125" i="25"/>
  <c r="AH125" i="25" s="1"/>
  <c r="AL125" i="25"/>
  <c r="S125" i="25"/>
  <c r="K125" i="25" s="1"/>
  <c r="AL27" i="25"/>
  <c r="H27" i="25"/>
  <c r="AH27" i="25" s="1"/>
  <c r="S27" i="25"/>
  <c r="K27" i="25" s="1"/>
  <c r="AL47" i="25"/>
  <c r="H47" i="25"/>
  <c r="AH47" i="25" s="1"/>
  <c r="S47" i="25"/>
  <c r="K47" i="25" s="1"/>
  <c r="AL63" i="25"/>
  <c r="H63" i="25"/>
  <c r="AH63" i="25" s="1"/>
  <c r="S63" i="25"/>
  <c r="K63" i="25" s="1"/>
  <c r="AL79" i="25"/>
  <c r="H79" i="25"/>
  <c r="AH79" i="25" s="1"/>
  <c r="S79" i="25"/>
  <c r="K79" i="25" s="1"/>
  <c r="H114" i="25"/>
  <c r="AH114" i="25" s="1"/>
  <c r="AL114" i="25"/>
  <c r="S114" i="25"/>
  <c r="K114" i="25" s="1"/>
  <c r="H218" i="25"/>
  <c r="AH218" i="25" s="1"/>
  <c r="AL218" i="25"/>
  <c r="S218" i="25"/>
  <c r="K218" i="25" s="1"/>
  <c r="H226" i="25"/>
  <c r="AH226" i="25" s="1"/>
  <c r="AL226" i="25"/>
  <c r="S226" i="25"/>
  <c r="K226" i="25" s="1"/>
  <c r="AL269" i="25"/>
  <c r="H269" i="25"/>
  <c r="AH269" i="25" s="1"/>
  <c r="S269" i="25"/>
  <c r="K269" i="25" s="1"/>
  <c r="AL91" i="25"/>
  <c r="H91" i="25"/>
  <c r="AH91" i="25" s="1"/>
  <c r="S91" i="25"/>
  <c r="K91" i="25" s="1"/>
  <c r="AL95" i="25"/>
  <c r="H95" i="25"/>
  <c r="AH95" i="25" s="1"/>
  <c r="S95" i="25"/>
  <c r="K95" i="25" s="1"/>
  <c r="AL99" i="25"/>
  <c r="H99" i="25"/>
  <c r="AH99" i="25" s="1"/>
  <c r="S99" i="25"/>
  <c r="K99" i="25" s="1"/>
  <c r="AL103" i="25"/>
  <c r="H103" i="25"/>
  <c r="AH103" i="25" s="1"/>
  <c r="S103" i="25"/>
  <c r="K103" i="25" s="1"/>
  <c r="AL115" i="25"/>
  <c r="H115" i="25"/>
  <c r="AH115" i="25" s="1"/>
  <c r="S115" i="25"/>
  <c r="K115" i="25" s="1"/>
  <c r="AL128" i="25"/>
  <c r="H128" i="25"/>
  <c r="AH128" i="25" s="1"/>
  <c r="S128" i="25"/>
  <c r="K128" i="25" s="1"/>
  <c r="AL136" i="25"/>
  <c r="H136" i="25"/>
  <c r="AH136" i="25" s="1"/>
  <c r="S136" i="25"/>
  <c r="K136" i="25" s="1"/>
  <c r="AL144" i="25"/>
  <c r="H144" i="25"/>
  <c r="AH144" i="25" s="1"/>
  <c r="S144" i="25"/>
  <c r="K144" i="25" s="1"/>
  <c r="AL152" i="25"/>
  <c r="H152" i="25"/>
  <c r="AH152" i="25" s="1"/>
  <c r="S152" i="25"/>
  <c r="K152" i="25" s="1"/>
  <c r="AL160" i="25"/>
  <c r="H160" i="25"/>
  <c r="AH160" i="25" s="1"/>
  <c r="S160" i="25"/>
  <c r="K160" i="25" s="1"/>
  <c r="AL168" i="25"/>
  <c r="H168" i="25"/>
  <c r="AH168" i="25" s="1"/>
  <c r="S168" i="25"/>
  <c r="K168" i="25" s="1"/>
  <c r="AL176" i="25"/>
  <c r="H176" i="25"/>
  <c r="AH176" i="25" s="1"/>
  <c r="S176" i="25"/>
  <c r="K176" i="25" s="1"/>
  <c r="AL184" i="25"/>
  <c r="H184" i="25"/>
  <c r="AH184" i="25" s="1"/>
  <c r="S184" i="25"/>
  <c r="K184" i="25" s="1"/>
  <c r="AL192" i="25"/>
  <c r="H192" i="25"/>
  <c r="AH192" i="25" s="1"/>
  <c r="S192" i="25"/>
  <c r="K192" i="25" s="1"/>
  <c r="H130" i="25"/>
  <c r="AH130" i="25" s="1"/>
  <c r="AL130" i="25"/>
  <c r="S130" i="25"/>
  <c r="K130" i="25" s="1"/>
  <c r="H146" i="25"/>
  <c r="AH146" i="25" s="1"/>
  <c r="AL146" i="25"/>
  <c r="S146" i="25"/>
  <c r="K146" i="25" s="1"/>
  <c r="H162" i="25"/>
  <c r="AH162" i="25" s="1"/>
  <c r="AL162" i="25"/>
  <c r="S162" i="25"/>
  <c r="K162" i="25" s="1"/>
  <c r="H178" i="25"/>
  <c r="AH178" i="25" s="1"/>
  <c r="AL178" i="25"/>
  <c r="S178" i="25"/>
  <c r="K178" i="25" s="1"/>
  <c r="H194" i="25"/>
  <c r="AH194" i="25" s="1"/>
  <c r="AL194" i="25"/>
  <c r="S194" i="25"/>
  <c r="K194" i="25" s="1"/>
  <c r="H225" i="25"/>
  <c r="AH225" i="25" s="1"/>
  <c r="AL225" i="25"/>
  <c r="S225" i="25"/>
  <c r="K225" i="25" s="1"/>
  <c r="H236" i="25"/>
  <c r="AH236" i="25" s="1"/>
  <c r="AL236" i="25"/>
  <c r="S236" i="25"/>
  <c r="K236" i="25" s="1"/>
  <c r="H244" i="25"/>
  <c r="AH244" i="25" s="1"/>
  <c r="AL244" i="25"/>
  <c r="S244" i="25"/>
  <c r="K244" i="25" s="1"/>
  <c r="H252" i="25"/>
  <c r="AH252" i="25" s="1"/>
  <c r="AL252" i="25"/>
  <c r="S252" i="25"/>
  <c r="K252" i="25" s="1"/>
  <c r="H260" i="25"/>
  <c r="AH260" i="25" s="1"/>
  <c r="AL260" i="25"/>
  <c r="S260" i="25"/>
  <c r="K260" i="25" s="1"/>
  <c r="AL268" i="25"/>
  <c r="H268" i="25"/>
  <c r="AH268" i="25" s="1"/>
  <c r="S268" i="25"/>
  <c r="K268" i="25" s="1"/>
  <c r="H287" i="25"/>
  <c r="AH287" i="25" s="1"/>
  <c r="AL287" i="25"/>
  <c r="S287" i="25"/>
  <c r="K287" i="25" s="1"/>
  <c r="AL143" i="25"/>
  <c r="H143" i="25"/>
  <c r="AH143" i="25" s="1"/>
  <c r="S143" i="25"/>
  <c r="K143" i="25" s="1"/>
  <c r="AL159" i="25"/>
  <c r="H159" i="25"/>
  <c r="AH159" i="25" s="1"/>
  <c r="S159" i="25"/>
  <c r="K159" i="25" s="1"/>
  <c r="AL175" i="25"/>
  <c r="H175" i="25"/>
  <c r="AH175" i="25" s="1"/>
  <c r="S175" i="25"/>
  <c r="K175" i="25" s="1"/>
  <c r="AL191" i="25"/>
  <c r="H191" i="25"/>
  <c r="AH191" i="25" s="1"/>
  <c r="S191" i="25"/>
  <c r="K191" i="25" s="1"/>
  <c r="H202" i="25"/>
  <c r="AH202" i="25" s="1"/>
  <c r="AL202" i="25"/>
  <c r="S202" i="25"/>
  <c r="K202" i="25" s="1"/>
  <c r="H210" i="25"/>
  <c r="AH210" i="25" s="1"/>
  <c r="AL210" i="25"/>
  <c r="S210" i="25"/>
  <c r="K210" i="25" s="1"/>
  <c r="H282" i="25"/>
  <c r="AH282" i="25" s="1"/>
  <c r="AL282" i="25"/>
  <c r="S282" i="25"/>
  <c r="K282" i="25" s="1"/>
  <c r="H207" i="25"/>
  <c r="AH207" i="25" s="1"/>
  <c r="AL207" i="25"/>
  <c r="S207" i="25"/>
  <c r="K207" i="25" s="1"/>
  <c r="H246" i="25"/>
  <c r="AH246" i="25" s="1"/>
  <c r="AL246" i="25"/>
  <c r="S246" i="25"/>
  <c r="K246" i="25" s="1"/>
  <c r="H262" i="25"/>
  <c r="AH262" i="25" s="1"/>
  <c r="AL262" i="25"/>
  <c r="S262" i="25"/>
  <c r="K262" i="25" s="1"/>
  <c r="AL299" i="25"/>
  <c r="H299" i="25"/>
  <c r="AH299" i="25" s="1"/>
  <c r="S299" i="25"/>
  <c r="K299" i="25" s="1"/>
  <c r="H233" i="25"/>
  <c r="AH233" i="25" s="1"/>
  <c r="AL233" i="25"/>
  <c r="S233" i="25"/>
  <c r="K233" i="25" s="1"/>
  <c r="H249" i="25"/>
  <c r="AH249" i="25" s="1"/>
  <c r="AL249" i="25"/>
  <c r="S249" i="25"/>
  <c r="K249" i="25" s="1"/>
  <c r="H265" i="25"/>
  <c r="AH265" i="25" s="1"/>
  <c r="AL265" i="25"/>
  <c r="S265" i="25"/>
  <c r="K265" i="25" s="1"/>
  <c r="AL276" i="25"/>
  <c r="H276" i="25"/>
  <c r="AH276" i="25" s="1"/>
  <c r="S276" i="25"/>
  <c r="K276" i="25" s="1"/>
  <c r="AL271" i="25"/>
  <c r="H271" i="25"/>
  <c r="AH271" i="25" s="1"/>
  <c r="S271" i="25"/>
  <c r="K271" i="25" s="1"/>
  <c r="H285" i="25"/>
  <c r="AH285" i="25" s="1"/>
  <c r="AL285" i="25"/>
  <c r="S285" i="25"/>
  <c r="K285" i="25" s="1"/>
  <c r="AL312" i="25"/>
  <c r="H312" i="25"/>
  <c r="AH312" i="25" s="1"/>
  <c r="S312" i="25"/>
  <c r="K312" i="25" s="1"/>
  <c r="H292" i="25"/>
  <c r="AH292" i="25" s="1"/>
  <c r="AL292" i="25"/>
  <c r="S292" i="25"/>
  <c r="K292" i="25" s="1"/>
  <c r="AL307" i="25"/>
  <c r="H307" i="25"/>
  <c r="AH307" i="25" s="1"/>
  <c r="S307" i="25"/>
  <c r="K307" i="25" s="1"/>
  <c r="AL302" i="25"/>
  <c r="H302" i="25"/>
  <c r="AH302" i="25" s="1"/>
  <c r="S302" i="25"/>
  <c r="K302" i="25" s="1"/>
  <c r="AL310" i="25"/>
  <c r="H310" i="25"/>
  <c r="AH310" i="25" s="1"/>
  <c r="S310" i="25"/>
  <c r="K310" i="25" s="1"/>
  <c r="AL26" i="25"/>
  <c r="H26" i="25"/>
  <c r="AH26" i="25" s="1"/>
  <c r="S26" i="25"/>
  <c r="K26" i="25" s="1"/>
  <c r="AL36" i="25"/>
  <c r="H36" i="25"/>
  <c r="AH36" i="25" s="1"/>
  <c r="S36" i="25"/>
  <c r="K36" i="25" s="1"/>
  <c r="AL46" i="25"/>
  <c r="H46" i="25"/>
  <c r="AH46" i="25" s="1"/>
  <c r="S46" i="25"/>
  <c r="K46" i="25" s="1"/>
  <c r="AL41" i="25"/>
  <c r="H41" i="25"/>
  <c r="AH41" i="25" s="1"/>
  <c r="S41" i="25"/>
  <c r="K41" i="25" s="1"/>
  <c r="AL81" i="25"/>
  <c r="H81" i="25"/>
  <c r="AH81" i="25" s="1"/>
  <c r="S81" i="25"/>
  <c r="K81" i="25" s="1"/>
  <c r="AL16" i="25"/>
  <c r="H16" i="25"/>
  <c r="AH16" i="25" s="1"/>
  <c r="S16" i="25"/>
  <c r="K16" i="25" s="1"/>
  <c r="AL32" i="25"/>
  <c r="H32" i="25"/>
  <c r="AH32" i="25" s="1"/>
  <c r="S32" i="25"/>
  <c r="K32" i="25" s="1"/>
  <c r="AL52" i="25"/>
  <c r="H52" i="25"/>
  <c r="AH52" i="25" s="1"/>
  <c r="S52" i="25"/>
  <c r="K52" i="25" s="1"/>
  <c r="AL68" i="25"/>
  <c r="H68" i="25"/>
  <c r="AH68" i="25" s="1"/>
  <c r="S68" i="25"/>
  <c r="K68" i="25" s="1"/>
  <c r="AL84" i="25"/>
  <c r="H84" i="25"/>
  <c r="AH84" i="25" s="1"/>
  <c r="S84" i="25"/>
  <c r="K84" i="25" s="1"/>
  <c r="AL66" i="25"/>
  <c r="H66" i="25"/>
  <c r="AH66" i="25" s="1"/>
  <c r="S66" i="25"/>
  <c r="K66" i="25" s="1"/>
  <c r="AL82" i="25"/>
  <c r="H82" i="25"/>
  <c r="AH82" i="25" s="1"/>
  <c r="S82" i="25"/>
  <c r="K82" i="25" s="1"/>
  <c r="AL116" i="25"/>
  <c r="H116" i="25"/>
  <c r="AH116" i="25" s="1"/>
  <c r="S116" i="25"/>
  <c r="K116" i="25" s="1"/>
  <c r="BS7" i="25"/>
  <c r="H7" i="25"/>
  <c r="AH7" i="25" s="1"/>
  <c r="AL7" i="25"/>
  <c r="S7" i="25"/>
  <c r="K7" i="25" s="1"/>
  <c r="H11" i="25"/>
  <c r="AH11" i="25" s="1"/>
  <c r="AL11" i="25"/>
  <c r="S11" i="25"/>
  <c r="K11" i="25" s="1"/>
  <c r="AL29" i="25"/>
  <c r="H29" i="25"/>
  <c r="AH29" i="25" s="1"/>
  <c r="S29" i="25"/>
  <c r="K29" i="25" s="1"/>
  <c r="AL61" i="25"/>
  <c r="H61" i="25"/>
  <c r="AH61" i="25" s="1"/>
  <c r="S61" i="25"/>
  <c r="K61" i="25" s="1"/>
  <c r="AL85" i="25"/>
  <c r="H85" i="25"/>
  <c r="AH85" i="25" s="1"/>
  <c r="S85" i="25"/>
  <c r="K85" i="25" s="1"/>
  <c r="AL15" i="25"/>
  <c r="H15" i="25"/>
  <c r="AH15" i="25" s="1"/>
  <c r="S15" i="25"/>
  <c r="K15" i="25" s="1"/>
  <c r="AL31" i="25"/>
  <c r="H31" i="25"/>
  <c r="AH31" i="25" s="1"/>
  <c r="S31" i="25"/>
  <c r="K31" i="25" s="1"/>
  <c r="AL51" i="25"/>
  <c r="H51" i="25"/>
  <c r="AH51" i="25" s="1"/>
  <c r="S51" i="25"/>
  <c r="K51" i="25" s="1"/>
  <c r="AL67" i="25"/>
  <c r="H67" i="25"/>
  <c r="AH67" i="25" s="1"/>
  <c r="S67" i="25"/>
  <c r="K67" i="25" s="1"/>
  <c r="AL83" i="25"/>
  <c r="H83" i="25"/>
  <c r="AH83" i="25" s="1"/>
  <c r="S83" i="25"/>
  <c r="K83" i="25" s="1"/>
  <c r="H118" i="25"/>
  <c r="AH118" i="25" s="1"/>
  <c r="AL118" i="25"/>
  <c r="S118" i="25"/>
  <c r="K118" i="25" s="1"/>
  <c r="H219" i="25"/>
  <c r="AH219" i="25" s="1"/>
  <c r="AL219" i="25"/>
  <c r="S219" i="25"/>
  <c r="K219" i="25" s="1"/>
  <c r="H227" i="25"/>
  <c r="AH227" i="25" s="1"/>
  <c r="AL227" i="25"/>
  <c r="S227" i="25"/>
  <c r="K227" i="25" s="1"/>
  <c r="AL273" i="25"/>
  <c r="H273" i="25"/>
  <c r="AH273" i="25" s="1"/>
  <c r="S273" i="25"/>
  <c r="K273" i="25" s="1"/>
  <c r="AL92" i="25"/>
  <c r="H92" i="25"/>
  <c r="AH92" i="25" s="1"/>
  <c r="S92" i="25"/>
  <c r="K92" i="25" s="1"/>
  <c r="AL96" i="25"/>
  <c r="H96" i="25"/>
  <c r="AH96" i="25" s="1"/>
  <c r="S96" i="25"/>
  <c r="K96" i="25" s="1"/>
  <c r="AL100" i="25"/>
  <c r="H100" i="25"/>
  <c r="AH100" i="25" s="1"/>
  <c r="S100" i="25"/>
  <c r="K100" i="25" s="1"/>
  <c r="AL104" i="25"/>
  <c r="H104" i="25"/>
  <c r="AH104" i="25" s="1"/>
  <c r="S104" i="25"/>
  <c r="K104" i="25" s="1"/>
  <c r="AL119" i="25"/>
  <c r="H119" i="25"/>
  <c r="AH119" i="25" s="1"/>
  <c r="S119" i="25"/>
  <c r="K119" i="25" s="1"/>
  <c r="H129" i="25"/>
  <c r="AH129" i="25" s="1"/>
  <c r="AL129" i="25"/>
  <c r="S129" i="25"/>
  <c r="K129" i="25" s="1"/>
  <c r="H137" i="25"/>
  <c r="AH137" i="25" s="1"/>
  <c r="AL137" i="25"/>
  <c r="S137" i="25"/>
  <c r="K137" i="25" s="1"/>
  <c r="H145" i="25"/>
  <c r="AH145" i="25" s="1"/>
  <c r="AL145" i="25"/>
  <c r="S145" i="25"/>
  <c r="K145" i="25" s="1"/>
  <c r="H153" i="25"/>
  <c r="AH153" i="25" s="1"/>
  <c r="AL153" i="25"/>
  <c r="S153" i="25"/>
  <c r="K153" i="25" s="1"/>
  <c r="H161" i="25"/>
  <c r="AH161" i="25" s="1"/>
  <c r="AL161" i="25"/>
  <c r="S161" i="25"/>
  <c r="K161" i="25" s="1"/>
  <c r="H169" i="25"/>
  <c r="AH169" i="25" s="1"/>
  <c r="AL169" i="25"/>
  <c r="S169" i="25"/>
  <c r="K169" i="25" s="1"/>
  <c r="H177" i="25"/>
  <c r="AH177" i="25" s="1"/>
  <c r="AL177" i="25"/>
  <c r="S177" i="25"/>
  <c r="K177" i="25" s="1"/>
  <c r="H185" i="25"/>
  <c r="AH185" i="25" s="1"/>
  <c r="AL185" i="25"/>
  <c r="S185" i="25"/>
  <c r="K185" i="25" s="1"/>
  <c r="H193" i="25"/>
  <c r="AH193" i="25" s="1"/>
  <c r="AL193" i="25"/>
  <c r="S193" i="25"/>
  <c r="K193" i="25" s="1"/>
  <c r="H134" i="25"/>
  <c r="AH134" i="25" s="1"/>
  <c r="AL134" i="25"/>
  <c r="S134" i="25"/>
  <c r="K134" i="25" s="1"/>
  <c r="H150" i="25"/>
  <c r="AH150" i="25" s="1"/>
  <c r="AL150" i="25"/>
  <c r="S150" i="25"/>
  <c r="K150" i="25" s="1"/>
  <c r="H166" i="25"/>
  <c r="AH166" i="25" s="1"/>
  <c r="AL166" i="25"/>
  <c r="S166" i="25"/>
  <c r="K166" i="25" s="1"/>
  <c r="H182" i="25"/>
  <c r="AH182" i="25" s="1"/>
  <c r="AL182" i="25"/>
  <c r="S182" i="25"/>
  <c r="K182" i="25" s="1"/>
  <c r="H198" i="25"/>
  <c r="AH198" i="25" s="1"/>
  <c r="AL198" i="25"/>
  <c r="S198" i="25"/>
  <c r="K198" i="25" s="1"/>
  <c r="H229" i="25"/>
  <c r="AH229" i="25" s="1"/>
  <c r="AL229" i="25"/>
  <c r="S229" i="25"/>
  <c r="K229" i="25" s="1"/>
  <c r="H239" i="25"/>
  <c r="AH239" i="25" s="1"/>
  <c r="AL239" i="25"/>
  <c r="S239" i="25"/>
  <c r="K239" i="25" s="1"/>
  <c r="H247" i="25"/>
  <c r="AH247" i="25" s="1"/>
  <c r="AL247" i="25"/>
  <c r="S247" i="25"/>
  <c r="K247" i="25" s="1"/>
  <c r="H255" i="25"/>
  <c r="AH255" i="25" s="1"/>
  <c r="AL255" i="25"/>
  <c r="S255" i="25"/>
  <c r="K255" i="25" s="1"/>
  <c r="H263" i="25"/>
  <c r="AH263" i="25" s="1"/>
  <c r="AL263" i="25"/>
  <c r="S263" i="25"/>
  <c r="K263" i="25" s="1"/>
  <c r="AL270" i="25"/>
  <c r="H270" i="25"/>
  <c r="AH270" i="25" s="1"/>
  <c r="S270" i="25"/>
  <c r="K270" i="25" s="1"/>
  <c r="AL131" i="25"/>
  <c r="H131" i="25"/>
  <c r="AH131" i="25" s="1"/>
  <c r="S131" i="25"/>
  <c r="K131" i="25" s="1"/>
  <c r="AL147" i="25"/>
  <c r="H147" i="25"/>
  <c r="AH147" i="25" s="1"/>
  <c r="S147" i="25"/>
  <c r="K147" i="25" s="1"/>
  <c r="AL163" i="25"/>
  <c r="H163" i="25"/>
  <c r="AH163" i="25" s="1"/>
  <c r="S163" i="25"/>
  <c r="K163" i="25" s="1"/>
  <c r="AL179" i="25"/>
  <c r="H179" i="25"/>
  <c r="AH179" i="25" s="1"/>
  <c r="S179" i="25"/>
  <c r="K179" i="25" s="1"/>
  <c r="AL195" i="25"/>
  <c r="H195" i="25"/>
  <c r="AH195" i="25" s="1"/>
  <c r="S195" i="25"/>
  <c r="K195" i="25" s="1"/>
  <c r="AL205" i="25"/>
  <c r="H205" i="25"/>
  <c r="AH205" i="25" s="1"/>
  <c r="S205" i="25"/>
  <c r="K205" i="25" s="1"/>
  <c r="H220" i="25"/>
  <c r="AH220" i="25" s="1"/>
  <c r="AL220" i="25"/>
  <c r="S220" i="25"/>
  <c r="K220" i="25" s="1"/>
  <c r="H298" i="25"/>
  <c r="AH298" i="25" s="1"/>
  <c r="AL298" i="25"/>
  <c r="S298" i="25"/>
  <c r="K298" i="25" s="1"/>
  <c r="H234" i="25"/>
  <c r="AH234" i="25" s="1"/>
  <c r="AL234" i="25"/>
  <c r="S234" i="25"/>
  <c r="K234" i="25" s="1"/>
  <c r="H250" i="25"/>
  <c r="AH250" i="25" s="1"/>
  <c r="AL250" i="25"/>
  <c r="S250" i="25"/>
  <c r="K250" i="25" s="1"/>
  <c r="H266" i="25"/>
  <c r="AH266" i="25" s="1"/>
  <c r="AL266" i="25"/>
  <c r="S266" i="25"/>
  <c r="K266" i="25" s="1"/>
  <c r="AL200" i="25"/>
  <c r="H200" i="25"/>
  <c r="AH200" i="25" s="1"/>
  <c r="S200" i="25"/>
  <c r="K200" i="25" s="1"/>
  <c r="H237" i="25"/>
  <c r="AH237" i="25" s="1"/>
  <c r="AL237" i="25"/>
  <c r="S237" i="25"/>
  <c r="K237" i="25" s="1"/>
  <c r="H253" i="25"/>
  <c r="AH253" i="25" s="1"/>
  <c r="AL253" i="25"/>
  <c r="S253" i="25"/>
  <c r="K253" i="25" s="1"/>
  <c r="H286" i="25"/>
  <c r="AH286" i="25" s="1"/>
  <c r="AL286" i="25"/>
  <c r="S286" i="25"/>
  <c r="K286" i="25" s="1"/>
  <c r="AL280" i="25"/>
  <c r="H280" i="25"/>
  <c r="AH280" i="25" s="1"/>
  <c r="S280" i="25"/>
  <c r="K280" i="25" s="1"/>
  <c r="AL275" i="25"/>
  <c r="H275" i="25"/>
  <c r="AH275" i="25" s="1"/>
  <c r="S275" i="25"/>
  <c r="K275" i="25" s="1"/>
  <c r="H289" i="25"/>
  <c r="AH289" i="25" s="1"/>
  <c r="AL289" i="25"/>
  <c r="S289" i="25"/>
  <c r="K289" i="25" s="1"/>
  <c r="AL313" i="25"/>
  <c r="H313" i="25"/>
  <c r="AH313" i="25" s="1"/>
  <c r="S313" i="25"/>
  <c r="K313" i="25" s="1"/>
  <c r="H296" i="25"/>
  <c r="AH296" i="25" s="1"/>
  <c r="AL296" i="25"/>
  <c r="S296" i="25"/>
  <c r="K296" i="25" s="1"/>
  <c r="AL311" i="25"/>
  <c r="H311" i="25"/>
  <c r="AH311" i="25" s="1"/>
  <c r="S311" i="25"/>
  <c r="K311" i="25" s="1"/>
  <c r="AL303" i="25"/>
  <c r="H303" i="25"/>
  <c r="AH303" i="25" s="1"/>
  <c r="S303" i="25"/>
  <c r="K303" i="25" s="1"/>
  <c r="AL314" i="25"/>
  <c r="H314" i="25"/>
  <c r="AH314" i="25" s="1"/>
  <c r="S314" i="25"/>
  <c r="K314" i="25" s="1"/>
  <c r="B37" i="2"/>
  <c r="B35" i="2"/>
  <c r="J67" i="23"/>
  <c r="L67" i="23" s="1"/>
  <c r="G71" i="23"/>
  <c r="H71" i="23" s="1"/>
  <c r="G17" i="23"/>
  <c r="H17" i="23" s="1"/>
  <c r="G32" i="23"/>
  <c r="H32" i="23" s="1"/>
  <c r="G54" i="23"/>
  <c r="H54" i="23" s="1"/>
  <c r="G101" i="23"/>
  <c r="H101" i="23" s="1"/>
  <c r="G30" i="23"/>
  <c r="H30" i="23" s="1"/>
  <c r="G51" i="23"/>
  <c r="H51" i="23" s="1"/>
  <c r="J103" i="23"/>
  <c r="K103" i="23" s="1"/>
  <c r="G25" i="23"/>
  <c r="H25" i="23" s="1"/>
  <c r="G80" i="23"/>
  <c r="H80" i="23" s="1"/>
  <c r="G21" i="23"/>
  <c r="H21" i="23" s="1"/>
  <c r="G105" i="23"/>
  <c r="H105" i="23" s="1"/>
  <c r="J63" i="23"/>
  <c r="L63" i="23" s="1"/>
  <c r="J88" i="23"/>
  <c r="K88" i="23" s="1"/>
  <c r="J49" i="23"/>
  <c r="K49" i="23" s="1"/>
  <c r="G92" i="23"/>
  <c r="H92" i="23" s="1"/>
  <c r="G22" i="23"/>
  <c r="H22" i="23" s="1"/>
  <c r="J20" i="23"/>
  <c r="L20" i="23" s="1"/>
  <c r="G53" i="23"/>
  <c r="H53" i="23" s="1"/>
  <c r="G73" i="23"/>
  <c r="H73" i="23" s="1"/>
  <c r="G46" i="23"/>
  <c r="H46" i="23" s="1"/>
  <c r="G6" i="23"/>
  <c r="H6" i="23" s="1"/>
  <c r="G94" i="23"/>
  <c r="H94" i="23" s="1"/>
  <c r="G90" i="23"/>
  <c r="H90" i="23" s="1"/>
  <c r="G14" i="23"/>
  <c r="H14" i="23" s="1"/>
  <c r="J60" i="23"/>
  <c r="K60" i="23" s="1"/>
  <c r="J10" i="8"/>
  <c r="B163" i="2" s="1"/>
  <c r="B227" i="2" s="1"/>
  <c r="J84" i="23"/>
  <c r="L84" i="23" s="1"/>
  <c r="G81" i="23"/>
  <c r="H81" i="23" s="1"/>
  <c r="H187" i="24"/>
  <c r="AM187" i="24"/>
  <c r="H125" i="24"/>
  <c r="AM125" i="24"/>
  <c r="H294" i="24"/>
  <c r="AM294" i="24"/>
  <c r="AM242" i="24"/>
  <c r="H242" i="24"/>
  <c r="AM174" i="24"/>
  <c r="H174" i="24"/>
  <c r="H142" i="24"/>
  <c r="AM142" i="24"/>
  <c r="H297" i="24"/>
  <c r="AM297" i="24"/>
  <c r="H265" i="24"/>
  <c r="AM265" i="24"/>
  <c r="H183" i="24"/>
  <c r="AM183" i="24"/>
  <c r="H254" i="24"/>
  <c r="AM254" i="24"/>
  <c r="AM197" i="24"/>
  <c r="H197" i="24"/>
  <c r="AM137" i="24"/>
  <c r="H137" i="24"/>
  <c r="H292" i="24"/>
  <c r="AM292" i="24"/>
  <c r="H260" i="24"/>
  <c r="AM260" i="24"/>
  <c r="H228" i="24"/>
  <c r="AM228" i="24"/>
  <c r="H298" i="24"/>
  <c r="AM298" i="24"/>
  <c r="H128" i="24"/>
  <c r="AM128" i="24"/>
  <c r="H115" i="24"/>
  <c r="AM115" i="24"/>
  <c r="AM161" i="24"/>
  <c r="H161" i="24"/>
  <c r="AM204" i="24"/>
  <c r="H204" i="24"/>
  <c r="AM188" i="24"/>
  <c r="H188" i="24"/>
  <c r="AM156" i="24"/>
  <c r="H156" i="24"/>
  <c r="H295" i="24"/>
  <c r="AM295" i="24"/>
  <c r="H263" i="24"/>
  <c r="AM263" i="24"/>
  <c r="H247" i="24"/>
  <c r="AM247" i="24"/>
  <c r="H117" i="24"/>
  <c r="AM117" i="24"/>
  <c r="H195" i="24"/>
  <c r="AM195" i="24"/>
  <c r="H207" i="24"/>
  <c r="AM207" i="24"/>
  <c r="H147" i="24"/>
  <c r="AM147" i="24"/>
  <c r="H282" i="24"/>
  <c r="AM282" i="24"/>
  <c r="AM226" i="24"/>
  <c r="H226" i="24"/>
  <c r="H186" i="24"/>
  <c r="AM186" i="24"/>
  <c r="AM170" i="24"/>
  <c r="H170" i="24"/>
  <c r="H154" i="24"/>
  <c r="AM154" i="24"/>
  <c r="AM138" i="24"/>
  <c r="H138" i="24"/>
  <c r="AM309" i="24"/>
  <c r="H309" i="24"/>
  <c r="AM293" i="24"/>
  <c r="H293" i="24"/>
  <c r="H277" i="24"/>
  <c r="AM277" i="24"/>
  <c r="AM261" i="24"/>
  <c r="H261" i="24"/>
  <c r="H245" i="24"/>
  <c r="AM245" i="24"/>
  <c r="AM229" i="24"/>
  <c r="H229" i="24"/>
  <c r="AM167" i="24"/>
  <c r="H167" i="24"/>
  <c r="AM290" i="24"/>
  <c r="H290" i="24"/>
  <c r="AM238" i="24"/>
  <c r="H238" i="24"/>
  <c r="AM190" i="24"/>
  <c r="H190" i="24"/>
  <c r="AM185" i="24"/>
  <c r="H185" i="24"/>
  <c r="AM149" i="24"/>
  <c r="H149" i="24"/>
  <c r="H133" i="24"/>
  <c r="AM133" i="24"/>
  <c r="AM304" i="24"/>
  <c r="H304" i="24"/>
  <c r="AM288" i="24"/>
  <c r="H288" i="24"/>
  <c r="H272" i="24"/>
  <c r="AM272" i="24"/>
  <c r="AM256" i="24"/>
  <c r="H256" i="24"/>
  <c r="AM240" i="24"/>
  <c r="H240" i="24"/>
  <c r="AM224" i="24"/>
  <c r="H224" i="24"/>
  <c r="AM159" i="24"/>
  <c r="H159" i="24"/>
  <c r="AM217" i="24"/>
  <c r="H217" i="24"/>
  <c r="AM286" i="24"/>
  <c r="H286" i="24"/>
  <c r="H246" i="24"/>
  <c r="AM246" i="24"/>
  <c r="AM124" i="24"/>
  <c r="H124" i="24"/>
  <c r="H112" i="24"/>
  <c r="AM112" i="24"/>
  <c r="AM205" i="24"/>
  <c r="H205" i="24"/>
  <c r="AM181" i="24"/>
  <c r="H181" i="24"/>
  <c r="H157" i="24"/>
  <c r="AM157" i="24"/>
  <c r="AM118" i="24"/>
  <c r="H118" i="24"/>
  <c r="AM200" i="24"/>
  <c r="H200" i="24"/>
  <c r="AM184" i="24"/>
  <c r="H184" i="24"/>
  <c r="H168" i="24"/>
  <c r="AM168" i="24"/>
  <c r="H152" i="24"/>
  <c r="AM152" i="24"/>
  <c r="AM136" i="24"/>
  <c r="H136" i="24"/>
  <c r="AM307" i="24"/>
  <c r="H307" i="24"/>
  <c r="AM291" i="24"/>
  <c r="H291" i="24"/>
  <c r="AM275" i="24"/>
  <c r="H275" i="24"/>
  <c r="AM259" i="24"/>
  <c r="H259" i="24"/>
  <c r="AM243" i="24"/>
  <c r="H243" i="24"/>
  <c r="H227" i="24"/>
  <c r="AM227" i="24"/>
  <c r="AM113" i="24"/>
  <c r="H113" i="24"/>
  <c r="AM163" i="24"/>
  <c r="H163" i="24"/>
  <c r="H202" i="24"/>
  <c r="AM202" i="24"/>
  <c r="AM158" i="24"/>
  <c r="H158" i="24"/>
  <c r="AM313" i="24"/>
  <c r="H313" i="24"/>
  <c r="H281" i="24"/>
  <c r="AM281" i="24"/>
  <c r="AM249" i="24"/>
  <c r="H249" i="24"/>
  <c r="H233" i="24"/>
  <c r="AM233" i="24"/>
  <c r="H306" i="24"/>
  <c r="AM306" i="24"/>
  <c r="AM198" i="24"/>
  <c r="H198" i="24"/>
  <c r="H153" i="24"/>
  <c r="AM153" i="24"/>
  <c r="H308" i="24"/>
  <c r="AM308" i="24"/>
  <c r="AM276" i="24"/>
  <c r="H276" i="24"/>
  <c r="AM244" i="24"/>
  <c r="H244" i="24"/>
  <c r="AM171" i="24"/>
  <c r="H171" i="24"/>
  <c r="H135" i="24"/>
  <c r="AM135" i="24"/>
  <c r="H258" i="24"/>
  <c r="AM258" i="24"/>
  <c r="H194" i="24"/>
  <c r="AM194" i="24"/>
  <c r="H189" i="24"/>
  <c r="AM189" i="24"/>
  <c r="AM122" i="24"/>
  <c r="H122" i="24"/>
  <c r="H172" i="24"/>
  <c r="AM172" i="24"/>
  <c r="H140" i="24"/>
  <c r="AM140" i="24"/>
  <c r="AM311" i="24"/>
  <c r="H311" i="24"/>
  <c r="AM279" i="24"/>
  <c r="H279" i="24"/>
  <c r="AM231" i="24"/>
  <c r="H231" i="24"/>
  <c r="H199" i="24"/>
  <c r="AM199" i="24"/>
  <c r="AM121" i="24"/>
  <c r="H121" i="24"/>
  <c r="H191" i="24"/>
  <c r="AM191" i="24"/>
  <c r="H131" i="24"/>
  <c r="AM131" i="24"/>
  <c r="AM262" i="24"/>
  <c r="H262" i="24"/>
  <c r="AM111" i="24"/>
  <c r="H111" i="24"/>
  <c r="AM182" i="24"/>
  <c r="H182" i="24"/>
  <c r="H166" i="24"/>
  <c r="AM166" i="24"/>
  <c r="AM150" i="24"/>
  <c r="H150" i="24"/>
  <c r="H134" i="24"/>
  <c r="AM134" i="24"/>
  <c r="AM305" i="24"/>
  <c r="H305" i="24"/>
  <c r="H289" i="24"/>
  <c r="AM289" i="24"/>
  <c r="H273" i="24"/>
  <c r="AM273" i="24"/>
  <c r="H257" i="24"/>
  <c r="AM257" i="24"/>
  <c r="H241" i="24"/>
  <c r="AM241" i="24"/>
  <c r="AM225" i="24"/>
  <c r="H225" i="24"/>
  <c r="AM155" i="24"/>
  <c r="H155" i="24"/>
  <c r="H278" i="24"/>
  <c r="AM278" i="24"/>
  <c r="AM230" i="24"/>
  <c r="H230" i="24"/>
  <c r="AM123" i="24"/>
  <c r="H123" i="24"/>
  <c r="AM173" i="24"/>
  <c r="H173" i="24"/>
  <c r="AM145" i="24"/>
  <c r="H145" i="24"/>
  <c r="AM316" i="24"/>
  <c r="H316" i="24"/>
  <c r="H300" i="24"/>
  <c r="AM300" i="24"/>
  <c r="AM284" i="24"/>
  <c r="H284" i="24"/>
  <c r="AM268" i="24"/>
  <c r="H268" i="24"/>
  <c r="AM252" i="24"/>
  <c r="H252" i="24"/>
  <c r="AM236" i="24"/>
  <c r="H236" i="24"/>
  <c r="AM220" i="24"/>
  <c r="H220" i="24"/>
  <c r="H151" i="24"/>
  <c r="AM151" i="24"/>
  <c r="H314" i="24"/>
  <c r="AM314" i="24"/>
  <c r="H274" i="24"/>
  <c r="AM274" i="24"/>
  <c r="H234" i="24"/>
  <c r="AM234" i="24"/>
  <c r="H210" i="24"/>
  <c r="AM210" i="24"/>
  <c r="H127" i="24"/>
  <c r="AM127" i="24"/>
  <c r="AM201" i="24"/>
  <c r="H201" i="24"/>
  <c r="AM177" i="24"/>
  <c r="H177" i="24"/>
  <c r="H130" i="24"/>
  <c r="AM130" i="24"/>
  <c r="H114" i="24"/>
  <c r="AM114" i="24"/>
  <c r="AM196" i="24"/>
  <c r="H196" i="24"/>
  <c r="AM180" i="24"/>
  <c r="H180" i="24"/>
  <c r="H164" i="24"/>
  <c r="AM164" i="24"/>
  <c r="AM148" i="24"/>
  <c r="H148" i="24"/>
  <c r="H132" i="24"/>
  <c r="AM132" i="24"/>
  <c r="H303" i="24"/>
  <c r="AM303" i="24"/>
  <c r="H287" i="24"/>
  <c r="AM287" i="24"/>
  <c r="AM271" i="24"/>
  <c r="H271" i="24"/>
  <c r="AM255" i="24"/>
  <c r="H255" i="24"/>
  <c r="H239" i="24"/>
  <c r="AM239" i="24"/>
  <c r="H223" i="24"/>
  <c r="AM223" i="24"/>
  <c r="H203" i="24"/>
  <c r="AM203" i="24"/>
  <c r="AM129" i="24"/>
  <c r="H129" i="24"/>
  <c r="H179" i="24"/>
  <c r="AM179" i="24"/>
  <c r="H310" i="24"/>
  <c r="AM310" i="24"/>
  <c r="H250" i="24"/>
  <c r="AM250" i="24"/>
  <c r="H120" i="24"/>
  <c r="AM120" i="24"/>
  <c r="H178" i="24"/>
  <c r="AM178" i="24"/>
  <c r="AM162" i="24"/>
  <c r="H162" i="24"/>
  <c r="H146" i="24"/>
  <c r="AM146" i="24"/>
  <c r="AM218" i="24"/>
  <c r="H218" i="24"/>
  <c r="H301" i="24"/>
  <c r="AM301" i="24"/>
  <c r="AM285" i="24"/>
  <c r="H285" i="24"/>
  <c r="H269" i="24"/>
  <c r="AM269" i="24"/>
  <c r="H253" i="24"/>
  <c r="AM253" i="24"/>
  <c r="AM237" i="24"/>
  <c r="H237" i="24"/>
  <c r="H221" i="24"/>
  <c r="AM221" i="24"/>
  <c r="AM139" i="24"/>
  <c r="H139" i="24"/>
  <c r="AM266" i="24"/>
  <c r="H266" i="24"/>
  <c r="AM116" i="24"/>
  <c r="H116" i="24"/>
  <c r="AM209" i="24"/>
  <c r="H209" i="24"/>
  <c r="AM165" i="24"/>
  <c r="H165" i="24"/>
  <c r="H141" i="24"/>
  <c r="AM141" i="24"/>
  <c r="H312" i="24"/>
  <c r="AM312" i="24"/>
  <c r="AM296" i="24"/>
  <c r="H296" i="24"/>
  <c r="H280" i="24"/>
  <c r="AM280" i="24"/>
  <c r="AM264" i="24"/>
  <c r="H264" i="24"/>
  <c r="AM248" i="24"/>
  <c r="H248" i="24"/>
  <c r="H232" i="24"/>
  <c r="AM232" i="24"/>
  <c r="H175" i="24"/>
  <c r="AM175" i="24"/>
  <c r="H143" i="24"/>
  <c r="AM143" i="24"/>
  <c r="H302" i="24"/>
  <c r="AM302" i="24"/>
  <c r="H270" i="24"/>
  <c r="AM270" i="24"/>
  <c r="AM222" i="24"/>
  <c r="H222" i="24"/>
  <c r="AM206" i="24"/>
  <c r="H206" i="24"/>
  <c r="H119" i="24"/>
  <c r="AM119" i="24"/>
  <c r="H193" i="24"/>
  <c r="AM193" i="24"/>
  <c r="AM169" i="24"/>
  <c r="H169" i="24"/>
  <c r="H126" i="24"/>
  <c r="AM126" i="24"/>
  <c r="AM208" i="24"/>
  <c r="H208" i="24"/>
  <c r="AM192" i="24"/>
  <c r="H192" i="24"/>
  <c r="AM176" i="24"/>
  <c r="H176" i="24"/>
  <c r="H160" i="24"/>
  <c r="AM160" i="24"/>
  <c r="H144" i="24"/>
  <c r="AM144" i="24"/>
  <c r="AM315" i="24"/>
  <c r="H315" i="24"/>
  <c r="AM299" i="24"/>
  <c r="H299" i="24"/>
  <c r="H283" i="24"/>
  <c r="AM283" i="24"/>
  <c r="H267" i="24"/>
  <c r="AM267" i="24"/>
  <c r="H251" i="24"/>
  <c r="AM251" i="24"/>
  <c r="H235" i="24"/>
  <c r="AM235" i="24"/>
  <c r="AM219" i="24"/>
  <c r="H219" i="24"/>
  <c r="G52" i="23"/>
  <c r="H52" i="23" s="1"/>
  <c r="G87" i="23"/>
  <c r="H87" i="23" s="1"/>
  <c r="G47" i="23"/>
  <c r="H47" i="23" s="1"/>
  <c r="G15" i="23"/>
  <c r="H15" i="23" s="1"/>
  <c r="P300" i="24"/>
  <c r="P274" i="24"/>
  <c r="P306" i="24"/>
  <c r="P227" i="24"/>
  <c r="P255" i="24"/>
  <c r="P284" i="24"/>
  <c r="P316" i="24"/>
  <c r="P237" i="24"/>
  <c r="P308" i="24"/>
  <c r="P246" i="24"/>
  <c r="P262" i="24"/>
  <c r="P294" i="24"/>
  <c r="P310" i="24"/>
  <c r="P231" i="24"/>
  <c r="P295" i="24"/>
  <c r="P292" i="24"/>
  <c r="P225" i="24"/>
  <c r="P241" i="24"/>
  <c r="P257" i="24"/>
  <c r="P289" i="24"/>
  <c r="P259" i="24"/>
  <c r="P288" i="24"/>
  <c r="P218" i="24"/>
  <c r="P266" i="24"/>
  <c r="P239" i="24"/>
  <c r="P304" i="24"/>
  <c r="P229" i="24"/>
  <c r="G34" i="23"/>
  <c r="H34" i="23" s="1"/>
  <c r="P217" i="24"/>
  <c r="P233" i="24"/>
  <c r="P249" i="24"/>
  <c r="P265" i="24"/>
  <c r="P313" i="24"/>
  <c r="P275" i="24"/>
  <c r="P303" i="24"/>
  <c r="P240" i="24"/>
  <c r="P226" i="24"/>
  <c r="P242" i="24"/>
  <c r="P258" i="24"/>
  <c r="P290" i="24"/>
  <c r="P287" i="24"/>
  <c r="P220" i="24"/>
  <c r="P252" i="24"/>
  <c r="P269" i="24"/>
  <c r="P301" i="24"/>
  <c r="P251" i="24"/>
  <c r="P283" i="24"/>
  <c r="P311" i="24"/>
  <c r="P248" i="24"/>
  <c r="P230" i="24"/>
  <c r="P278" i="24"/>
  <c r="P263" i="24"/>
  <c r="P228" i="24"/>
  <c r="P260" i="24"/>
  <c r="P293" i="24"/>
  <c r="P281" i="24"/>
  <c r="P297" i="24"/>
  <c r="P243" i="24"/>
  <c r="P272" i="24"/>
  <c r="P221" i="24"/>
  <c r="P253" i="24"/>
  <c r="P285" i="24"/>
  <c r="P280" i="24"/>
  <c r="P256" i="24"/>
  <c r="P277" i="24"/>
  <c r="P309" i="24"/>
  <c r="P235" i="24"/>
  <c r="P296" i="24"/>
  <c r="P222" i="24"/>
  <c r="P286" i="24"/>
  <c r="P302" i="24"/>
  <c r="P247" i="24"/>
  <c r="P244" i="24"/>
  <c r="P276" i="24"/>
  <c r="P312" i="24"/>
  <c r="P273" i="24"/>
  <c r="P305" i="24"/>
  <c r="P219" i="24"/>
  <c r="P291" i="24"/>
  <c r="P224" i="24"/>
  <c r="P234" i="24"/>
  <c r="P250" i="24"/>
  <c r="P282" i="24"/>
  <c r="P298" i="24"/>
  <c r="P314" i="24"/>
  <c r="P271" i="24"/>
  <c r="P307" i="24"/>
  <c r="P236" i="24"/>
  <c r="P268" i="24"/>
  <c r="P245" i="24"/>
  <c r="P261" i="24"/>
  <c r="P267" i="24"/>
  <c r="P299" i="24"/>
  <c r="P232" i="24"/>
  <c r="P264" i="24"/>
  <c r="P238" i="24"/>
  <c r="P254" i="24"/>
  <c r="P270" i="24"/>
  <c r="P223" i="24"/>
  <c r="P279" i="24"/>
  <c r="P315" i="24"/>
  <c r="AM104" i="24"/>
  <c r="AM40" i="24"/>
  <c r="AM95" i="24"/>
  <c r="AM31" i="24"/>
  <c r="AM81" i="24"/>
  <c r="AM58" i="24"/>
  <c r="AM10" i="24"/>
  <c r="AM65" i="24"/>
  <c r="AM100" i="24"/>
  <c r="AM36" i="24"/>
  <c r="AM37" i="24"/>
  <c r="AM43" i="24"/>
  <c r="AM69" i="24"/>
  <c r="AM54" i="24"/>
  <c r="AM22" i="24"/>
  <c r="AM85" i="24"/>
  <c r="AM49" i="24"/>
  <c r="AM25" i="24"/>
  <c r="AM9" i="24"/>
  <c r="AM92" i="24"/>
  <c r="AM76" i="24"/>
  <c r="AM60" i="24"/>
  <c r="AM44" i="24"/>
  <c r="AM28" i="24"/>
  <c r="AM12" i="24"/>
  <c r="AM73" i="24"/>
  <c r="AM99" i="24"/>
  <c r="AM83" i="24"/>
  <c r="AM67" i="24"/>
  <c r="AM51" i="24"/>
  <c r="AM35" i="24"/>
  <c r="AM19" i="24"/>
  <c r="AM93" i="24"/>
  <c r="AM41" i="24"/>
  <c r="AM94" i="24"/>
  <c r="AM78" i="24"/>
  <c r="AM62" i="24"/>
  <c r="AM46" i="24"/>
  <c r="AM30" i="24"/>
  <c r="AM14" i="24"/>
  <c r="AM77" i="24"/>
  <c r="AM88" i="24"/>
  <c r="AM56" i="24"/>
  <c r="AM61" i="24"/>
  <c r="AM63" i="24"/>
  <c r="AM42" i="24"/>
  <c r="AM17" i="24"/>
  <c r="AM68" i="24"/>
  <c r="AM101" i="24"/>
  <c r="AM75" i="24"/>
  <c r="AM11" i="24"/>
  <c r="AM70" i="24"/>
  <c r="AM45" i="24"/>
  <c r="AM21" i="24"/>
  <c r="AM72" i="24"/>
  <c r="AM24" i="24"/>
  <c r="AM8" i="24"/>
  <c r="AM79" i="24"/>
  <c r="AM47" i="24"/>
  <c r="AM15" i="24"/>
  <c r="AM90" i="24"/>
  <c r="AM74" i="24"/>
  <c r="AM26" i="24"/>
  <c r="AM105" i="24"/>
  <c r="AM33" i="24"/>
  <c r="AM84" i="24"/>
  <c r="AM52" i="24"/>
  <c r="AM20" i="24"/>
  <c r="AM91" i="24"/>
  <c r="AM59" i="24"/>
  <c r="AM27" i="24"/>
  <c r="AM102" i="24"/>
  <c r="AM86" i="24"/>
  <c r="AM38" i="24"/>
  <c r="AM6" i="24"/>
  <c r="AM97" i="24"/>
  <c r="AM57" i="24"/>
  <c r="AM29" i="24"/>
  <c r="AM13" i="24"/>
  <c r="AM96" i="24"/>
  <c r="AM80" i="24"/>
  <c r="AM64" i="24"/>
  <c r="AM48" i="24"/>
  <c r="AM32" i="24"/>
  <c r="AM16" i="24"/>
  <c r="AM89" i="24"/>
  <c r="AM103" i="24"/>
  <c r="AM87" i="24"/>
  <c r="AM71" i="24"/>
  <c r="AM55" i="24"/>
  <c r="AM39" i="24"/>
  <c r="AM23" i="24"/>
  <c r="AM7" i="24"/>
  <c r="AM53" i="24"/>
  <c r="AM98" i="24"/>
  <c r="AM82" i="24"/>
  <c r="AM66" i="24"/>
  <c r="AM50" i="24"/>
  <c r="AM34" i="24"/>
  <c r="AM18" i="24"/>
  <c r="Q34" i="23"/>
  <c r="Q44" i="23"/>
  <c r="Q106" i="23"/>
  <c r="Q14" i="23"/>
  <c r="Q81" i="23"/>
  <c r="Q91" i="23"/>
  <c r="Q6" i="23"/>
  <c r="Q48" i="23"/>
  <c r="Q82" i="23"/>
  <c r="Q93" i="23"/>
  <c r="Q22" i="23"/>
  <c r="Q99" i="23"/>
  <c r="Q42" i="23"/>
  <c r="Q35" i="23"/>
  <c r="H49" i="24"/>
  <c r="H92" i="24"/>
  <c r="H28" i="24"/>
  <c r="H67" i="24"/>
  <c r="H19" i="24"/>
  <c r="H94" i="24"/>
  <c r="H46" i="24"/>
  <c r="H30" i="24"/>
  <c r="Q9" i="23"/>
  <c r="Q78" i="23"/>
  <c r="Q75" i="23"/>
  <c r="Q88" i="23"/>
  <c r="Q63" i="23"/>
  <c r="Q101" i="23"/>
  <c r="Q29" i="23"/>
  <c r="Q98" i="23"/>
  <c r="Q19" i="23"/>
  <c r="Q12" i="23"/>
  <c r="Q89" i="23"/>
  <c r="Q33" i="23"/>
  <c r="Q38" i="23"/>
  <c r="Q102" i="23"/>
  <c r="Q27" i="23"/>
  <c r="Q95" i="23"/>
  <c r="Q37" i="23"/>
  <c r="Q58" i="23"/>
  <c r="Q7" i="23"/>
  <c r="Q28" i="23"/>
  <c r="Q47" i="23"/>
  <c r="J24" i="23"/>
  <c r="K24" i="23" s="1"/>
  <c r="J97" i="23"/>
  <c r="K97" i="23" s="1"/>
  <c r="H77" i="24"/>
  <c r="H45" i="24"/>
  <c r="H21" i="24"/>
  <c r="H104" i="24"/>
  <c r="H88" i="24"/>
  <c r="H72" i="24"/>
  <c r="H56" i="24"/>
  <c r="H40" i="24"/>
  <c r="H24" i="24"/>
  <c r="H8" i="24"/>
  <c r="H61" i="24"/>
  <c r="H95" i="24"/>
  <c r="H79" i="24"/>
  <c r="H63" i="24"/>
  <c r="H47" i="24"/>
  <c r="H31" i="24"/>
  <c r="H15" i="24"/>
  <c r="H81" i="24"/>
  <c r="H5" i="24"/>
  <c r="CA5" i="24" s="1"/>
  <c r="H90" i="24"/>
  <c r="H74" i="24"/>
  <c r="H58" i="24"/>
  <c r="H42" i="24"/>
  <c r="H26" i="24"/>
  <c r="H10" i="24"/>
  <c r="Q23" i="23"/>
  <c r="Q59" i="23"/>
  <c r="Q13" i="23"/>
  <c r="Q76" i="23"/>
  <c r="Q17" i="23"/>
  <c r="Q96" i="23"/>
  <c r="Q21" i="23"/>
  <c r="Q87" i="23"/>
  <c r="H25" i="24"/>
  <c r="H76" i="24"/>
  <c r="H12" i="24"/>
  <c r="H99" i="24"/>
  <c r="H35" i="24"/>
  <c r="H41" i="24"/>
  <c r="H62" i="24"/>
  <c r="H14" i="24"/>
  <c r="Q94" i="23"/>
  <c r="Q71" i="23"/>
  <c r="Q84" i="23"/>
  <c r="Q24" i="23"/>
  <c r="Q97" i="23"/>
  <c r="Q54" i="23"/>
  <c r="Q103" i="23"/>
  <c r="Q20" i="23"/>
  <c r="Q31" i="23"/>
  <c r="Q10" i="23"/>
  <c r="Q40" i="23"/>
  <c r="Q64" i="23"/>
  <c r="Q61" i="23"/>
  <c r="Q57" i="23"/>
  <c r="H105" i="24"/>
  <c r="H65" i="24"/>
  <c r="H33" i="24"/>
  <c r="H17" i="24"/>
  <c r="H100" i="24"/>
  <c r="H84" i="24"/>
  <c r="H68" i="24"/>
  <c r="H52" i="24"/>
  <c r="H36" i="24"/>
  <c r="H20" i="24"/>
  <c r="H101" i="24"/>
  <c r="H37" i="24"/>
  <c r="H91" i="24"/>
  <c r="H75" i="24"/>
  <c r="H59" i="24"/>
  <c r="H43" i="24"/>
  <c r="H27" i="24"/>
  <c r="H11" i="24"/>
  <c r="H69" i="24"/>
  <c r="H102" i="24"/>
  <c r="H86" i="24"/>
  <c r="H70" i="24"/>
  <c r="H54" i="24"/>
  <c r="H38" i="24"/>
  <c r="H22" i="24"/>
  <c r="H6" i="24"/>
  <c r="Q62" i="23"/>
  <c r="Q67" i="23"/>
  <c r="Q36" i="23"/>
  <c r="Q85" i="23"/>
  <c r="Q68" i="23"/>
  <c r="Q86" i="23"/>
  <c r="Q73" i="23"/>
  <c r="Q104" i="23"/>
  <c r="Q100" i="23"/>
  <c r="H85" i="24"/>
  <c r="H9" i="24"/>
  <c r="H60" i="24"/>
  <c r="H44" i="24"/>
  <c r="H73" i="24"/>
  <c r="H83" i="24"/>
  <c r="H51" i="24"/>
  <c r="H93" i="24"/>
  <c r="H78" i="24"/>
  <c r="Q25" i="23"/>
  <c r="Q30" i="23"/>
  <c r="Q11" i="23"/>
  <c r="Q45" i="23"/>
  <c r="Q50" i="23"/>
  <c r="Q51" i="23"/>
  <c r="Q15" i="23"/>
  <c r="Q49" i="23"/>
  <c r="Q32" i="23"/>
  <c r="Q56" i="23"/>
  <c r="Q74" i="23"/>
  <c r="G82" i="23"/>
  <c r="H82" i="23" s="1"/>
  <c r="G102" i="23"/>
  <c r="H102" i="23" s="1"/>
  <c r="G13" i="23"/>
  <c r="H13" i="23" s="1"/>
  <c r="G104" i="23"/>
  <c r="H104" i="23" s="1"/>
  <c r="Q41" i="23"/>
  <c r="Q46" i="23"/>
  <c r="Q16" i="23"/>
  <c r="Q92" i="23"/>
  <c r="Q43" i="23"/>
  <c r="Q105" i="23"/>
  <c r="Q18" i="23"/>
  <c r="Q66" i="23"/>
  <c r="Q55" i="23"/>
  <c r="Q39" i="23"/>
  <c r="Q72" i="23"/>
  <c r="Q69" i="23"/>
  <c r="Q70" i="23"/>
  <c r="Q60" i="23"/>
  <c r="Q53" i="23"/>
  <c r="Q77" i="23"/>
  <c r="Q52" i="23"/>
  <c r="Q80" i="23"/>
  <c r="Q26" i="23"/>
  <c r="Q90" i="23"/>
  <c r="Q65" i="23"/>
  <c r="Q8" i="23"/>
  <c r="Q83" i="23"/>
  <c r="Q79" i="23"/>
  <c r="H97" i="24"/>
  <c r="H57" i="24"/>
  <c r="H29" i="24"/>
  <c r="H13" i="24"/>
  <c r="H96" i="24"/>
  <c r="H80" i="24"/>
  <c r="H64" i="24"/>
  <c r="H48" i="24"/>
  <c r="H32" i="24"/>
  <c r="H16" i="24"/>
  <c r="H89" i="24"/>
  <c r="H103" i="24"/>
  <c r="H87" i="24"/>
  <c r="H71" i="24"/>
  <c r="H55" i="24"/>
  <c r="H39" i="24"/>
  <c r="H23" i="24"/>
  <c r="H7" i="24"/>
  <c r="H53" i="24"/>
  <c r="H98" i="24"/>
  <c r="H82" i="24"/>
  <c r="H66" i="24"/>
  <c r="H50" i="24"/>
  <c r="H34" i="24"/>
  <c r="H18" i="24"/>
  <c r="G85" i="23"/>
  <c r="H85" i="23" s="1"/>
  <c r="J83" i="23"/>
  <c r="L83" i="23" s="1"/>
  <c r="G12" i="23"/>
  <c r="H12" i="23" s="1"/>
  <c r="J65" i="23"/>
  <c r="L65" i="23" s="1"/>
  <c r="G61" i="23"/>
  <c r="H61" i="23" s="1"/>
  <c r="J58" i="23"/>
  <c r="L58" i="23" s="1"/>
  <c r="J100" i="23"/>
  <c r="K100" i="23" s="1"/>
  <c r="G26" i="23"/>
  <c r="H26" i="23" s="1"/>
  <c r="G91" i="23"/>
  <c r="H91" i="23" s="1"/>
  <c r="G40" i="23"/>
  <c r="H40" i="23" s="1"/>
  <c r="G55" i="23"/>
  <c r="H55" i="23" s="1"/>
  <c r="J74" i="23"/>
  <c r="L74" i="23" s="1"/>
  <c r="G35" i="23"/>
  <c r="H35" i="23" s="1"/>
  <c r="G68" i="23"/>
  <c r="H68" i="23" s="1"/>
  <c r="G29" i="23"/>
  <c r="H29" i="23" s="1"/>
  <c r="J72" i="23"/>
  <c r="K72" i="23" s="1"/>
  <c r="G45" i="23"/>
  <c r="H45" i="23" s="1"/>
  <c r="J66" i="23"/>
  <c r="L66" i="23" s="1"/>
  <c r="J95" i="23"/>
  <c r="K95" i="23" s="1"/>
  <c r="J93" i="23"/>
  <c r="L93" i="23" s="1"/>
  <c r="J42" i="23"/>
  <c r="L42" i="23" s="1"/>
  <c r="J57" i="23"/>
  <c r="K57" i="23" s="1"/>
  <c r="G37" i="23"/>
  <c r="H37" i="23" s="1"/>
  <c r="G50" i="23"/>
  <c r="H50" i="23" s="1"/>
  <c r="G64" i="23"/>
  <c r="H64" i="23" s="1"/>
  <c r="G18" i="23"/>
  <c r="H18" i="23" s="1"/>
  <c r="G10" i="23"/>
  <c r="H10" i="23" s="1"/>
  <c r="G28" i="23"/>
  <c r="H28" i="23" s="1"/>
  <c r="G8" i="23"/>
  <c r="H8" i="23" s="1"/>
  <c r="G19" i="23"/>
  <c r="H19" i="23" s="1"/>
  <c r="K26" i="23"/>
  <c r="L26" i="23"/>
  <c r="K44" i="23"/>
  <c r="L44" i="23"/>
  <c r="K102" i="23"/>
  <c r="L102" i="23"/>
  <c r="L56" i="23"/>
  <c r="K56" i="23"/>
  <c r="L35" i="23"/>
  <c r="K35" i="23"/>
  <c r="K13" i="23"/>
  <c r="L13" i="23"/>
  <c r="K30" i="23"/>
  <c r="L30" i="23"/>
  <c r="K73" i="23"/>
  <c r="L73" i="23"/>
  <c r="L16" i="23"/>
  <c r="K16" i="23"/>
  <c r="L43" i="23"/>
  <c r="K43" i="23"/>
  <c r="K33" i="23"/>
  <c r="L33" i="23"/>
  <c r="K92" i="23"/>
  <c r="L92" i="23"/>
  <c r="L59" i="23"/>
  <c r="K59" i="23"/>
  <c r="L104" i="23"/>
  <c r="K104" i="23"/>
  <c r="L47" i="23"/>
  <c r="K47" i="23"/>
  <c r="K45" i="23"/>
  <c r="L45" i="23"/>
  <c r="K101" i="23"/>
  <c r="L101" i="23"/>
  <c r="K37" i="23"/>
  <c r="L37" i="23"/>
  <c r="L79" i="23"/>
  <c r="K79" i="23"/>
  <c r="K22" i="23"/>
  <c r="L22" i="23"/>
  <c r="L12" i="23"/>
  <c r="K12" i="23"/>
  <c r="L39" i="23"/>
  <c r="K39" i="23"/>
  <c r="K21" i="23"/>
  <c r="L21" i="23"/>
  <c r="L75" i="23"/>
  <c r="K75" i="23"/>
  <c r="K17" i="23"/>
  <c r="L17" i="23"/>
  <c r="L71" i="23"/>
  <c r="K71" i="23"/>
  <c r="K69" i="23"/>
  <c r="L69" i="23"/>
  <c r="K9" i="23"/>
  <c r="L9" i="23"/>
  <c r="K29" i="23"/>
  <c r="L29" i="23"/>
  <c r="K14" i="23"/>
  <c r="L14" i="23"/>
  <c r="K53" i="23"/>
  <c r="L53" i="23"/>
  <c r="L55" i="23"/>
  <c r="K55" i="23"/>
  <c r="L51" i="23"/>
  <c r="K51" i="23"/>
  <c r="K41" i="23"/>
  <c r="L41" i="23"/>
  <c r="L96" i="23"/>
  <c r="K96" i="23"/>
  <c r="K82" i="23"/>
  <c r="L82" i="23"/>
  <c r="K50" i="23"/>
  <c r="L50" i="23"/>
  <c r="L6" i="23"/>
  <c r="K6" i="23"/>
  <c r="K61" i="23"/>
  <c r="L61" i="23"/>
  <c r="L7" i="23"/>
  <c r="K7" i="23"/>
  <c r="L87" i="23"/>
  <c r="K87" i="23"/>
  <c r="K85" i="23"/>
  <c r="L85" i="23"/>
  <c r="K25" i="23"/>
  <c r="L25" i="23"/>
  <c r="L91" i="23"/>
  <c r="K91" i="23"/>
  <c r="K38" i="23"/>
  <c r="L38" i="23"/>
  <c r="K81" i="23"/>
  <c r="L81" i="23"/>
  <c r="L31" i="23"/>
  <c r="K31" i="23"/>
  <c r="K106" i="23"/>
  <c r="L106" i="23"/>
  <c r="L80" i="23"/>
  <c r="K80" i="23"/>
  <c r="L8" i="23"/>
  <c r="K8" i="23"/>
  <c r="K54" i="23"/>
  <c r="L54" i="23"/>
  <c r="K28" i="23"/>
  <c r="L28" i="23"/>
  <c r="K70" i="23"/>
  <c r="L70" i="23"/>
  <c r="L40" i="23"/>
  <c r="K40" i="23"/>
  <c r="L19" i="23"/>
  <c r="K19" i="23"/>
  <c r="K78" i="23"/>
  <c r="L78" i="23"/>
  <c r="K68" i="23"/>
  <c r="L68" i="23"/>
  <c r="L15" i="23"/>
  <c r="K15" i="23"/>
  <c r="L64" i="23"/>
  <c r="K64" i="23"/>
  <c r="L27" i="23"/>
  <c r="K27" i="23"/>
  <c r="K76" i="23"/>
  <c r="L76" i="23"/>
  <c r="L99" i="23"/>
  <c r="K99" i="23"/>
  <c r="K46" i="23"/>
  <c r="L46" i="23"/>
  <c r="K89" i="23"/>
  <c r="L89" i="23"/>
  <c r="K94" i="23"/>
  <c r="L94" i="23"/>
  <c r="K52" i="23"/>
  <c r="L52" i="23"/>
  <c r="L48" i="23"/>
  <c r="K48" i="23"/>
  <c r="L11" i="23"/>
  <c r="K11" i="23"/>
  <c r="K62" i="23"/>
  <c r="L62" i="23"/>
  <c r="L23" i="23"/>
  <c r="K23" i="23"/>
  <c r="K86" i="23"/>
  <c r="L86" i="23"/>
  <c r="K10" i="23"/>
  <c r="L10" i="23"/>
  <c r="K36" i="23"/>
  <c r="L36" i="23"/>
  <c r="K105" i="23"/>
  <c r="L105" i="23"/>
  <c r="L32" i="23"/>
  <c r="K32" i="23"/>
  <c r="K18" i="23"/>
  <c r="L18" i="23"/>
  <c r="K98" i="23"/>
  <c r="L98" i="23"/>
  <c r="K90" i="23"/>
  <c r="L90" i="23"/>
  <c r="K34" i="23"/>
  <c r="L34" i="23"/>
  <c r="C237" i="2"/>
  <c r="B237" i="2"/>
  <c r="B153" i="2"/>
  <c r="A196" i="2"/>
  <c r="F237" i="2"/>
  <c r="B238" i="2"/>
  <c r="H238" i="2"/>
  <c r="C43" i="16" s="1"/>
  <c r="F150" i="2"/>
  <c r="E38" i="1" s="1"/>
  <c r="A197" i="2" s="1"/>
  <c r="G150" i="2"/>
  <c r="G238" i="2"/>
  <c r="C238" i="2"/>
  <c r="A238" i="2" s="1"/>
  <c r="B152" i="2"/>
  <c r="AO2" i="19"/>
  <c r="H241" i="2"/>
  <c r="F241" i="2"/>
  <c r="K48" i="16"/>
  <c r="M48" i="16" s="1"/>
  <c r="B203" i="2"/>
  <c r="A203" i="2"/>
  <c r="E30" i="1"/>
  <c r="A2" i="21"/>
  <c r="K48" i="2"/>
  <c r="G89" i="19"/>
  <c r="G64" i="19"/>
  <c r="G65" i="19"/>
  <c r="G90" i="19"/>
  <c r="G91" i="19"/>
  <c r="AY106" i="19"/>
  <c r="G66" i="19"/>
  <c r="BN106" i="19"/>
  <c r="Q159" i="24" l="1"/>
  <c r="P144" i="24"/>
  <c r="P175" i="24"/>
  <c r="Q199" i="24"/>
  <c r="Q118" i="24"/>
  <c r="Q146" i="24"/>
  <c r="Q202" i="24"/>
  <c r="Q185" i="24"/>
  <c r="Q180" i="24"/>
  <c r="Q176" i="24"/>
  <c r="Q149" i="24"/>
  <c r="Q208" i="24"/>
  <c r="Q206" i="24"/>
  <c r="Q116" i="24"/>
  <c r="Q112" i="24"/>
  <c r="Q168" i="24"/>
  <c r="Q143" i="24"/>
  <c r="Q186" i="24"/>
  <c r="Q193" i="24"/>
  <c r="Q181" i="24"/>
  <c r="Q122" i="24"/>
  <c r="B38" i="2"/>
  <c r="D38" i="2" s="1"/>
  <c r="CH130" i="25"/>
  <c r="CH125" i="25"/>
  <c r="CH201" i="25"/>
  <c r="CH204" i="25"/>
  <c r="CH123" i="25"/>
  <c r="CH132" i="25"/>
  <c r="CH112" i="25"/>
  <c r="CH208" i="25"/>
  <c r="CH190" i="25"/>
  <c r="CH169" i="25"/>
  <c r="CH196" i="25"/>
  <c r="CH122" i="25"/>
  <c r="CH126" i="25"/>
  <c r="CH207" i="25"/>
  <c r="CH120" i="25"/>
  <c r="CH205" i="25"/>
  <c r="CH210" i="25"/>
  <c r="CH115" i="25"/>
  <c r="CH111" i="25"/>
  <c r="CH118" i="25"/>
  <c r="CH113" i="25"/>
  <c r="CA195" i="24"/>
  <c r="CB200" i="25"/>
  <c r="CB188" i="25"/>
  <c r="CB124" i="25"/>
  <c r="CB160" i="25"/>
  <c r="CB198" i="25"/>
  <c r="CB203" i="25"/>
  <c r="CB171" i="25"/>
  <c r="CB155" i="25"/>
  <c r="CB123" i="25"/>
  <c r="CB150" i="25"/>
  <c r="CB134" i="25"/>
  <c r="CB209" i="25"/>
  <c r="CB177" i="25"/>
  <c r="CB145" i="25"/>
  <c r="CB113" i="25"/>
  <c r="CA171" i="24"/>
  <c r="CA185" i="24"/>
  <c r="CA156" i="24"/>
  <c r="CB180" i="25"/>
  <c r="CB194" i="25"/>
  <c r="CB144" i="25"/>
  <c r="CB190" i="25"/>
  <c r="CB136" i="25"/>
  <c r="CB199" i="25"/>
  <c r="CB183" i="25"/>
  <c r="CB167" i="25"/>
  <c r="CB135" i="25"/>
  <c r="CB119" i="25"/>
  <c r="CB178" i="25"/>
  <c r="CB162" i="25"/>
  <c r="CB130" i="25"/>
  <c r="CB114" i="25"/>
  <c r="CB189" i="25"/>
  <c r="CB157" i="25"/>
  <c r="CB141" i="25"/>
  <c r="CB172" i="25"/>
  <c r="CB116" i="25"/>
  <c r="CB151" i="25"/>
  <c r="CB146" i="25"/>
  <c r="CB205" i="25"/>
  <c r="CB173" i="25"/>
  <c r="CB125" i="25"/>
  <c r="CB132" i="25"/>
  <c r="CB202" i="25"/>
  <c r="CB140" i="25"/>
  <c r="CB152" i="25"/>
  <c r="CB187" i="25"/>
  <c r="CB139" i="25"/>
  <c r="CB166" i="25"/>
  <c r="CB118" i="25"/>
  <c r="CB193" i="25"/>
  <c r="CB161" i="25"/>
  <c r="CB129" i="25"/>
  <c r="CB204" i="25"/>
  <c r="CB164" i="25"/>
  <c r="CB192" i="25"/>
  <c r="CB186" i="25"/>
  <c r="CB128" i="25"/>
  <c r="CB208" i="25"/>
  <c r="CB182" i="25"/>
  <c r="CB120" i="25"/>
  <c r="CB195" i="25"/>
  <c r="CB179" i="25"/>
  <c r="CB163" i="25"/>
  <c r="CB147" i="25"/>
  <c r="CB131" i="25"/>
  <c r="CB115" i="25"/>
  <c r="CB174" i="25"/>
  <c r="CB158" i="25"/>
  <c r="CB142" i="25"/>
  <c r="CB126" i="25"/>
  <c r="CB201" i="25"/>
  <c r="CB185" i="25"/>
  <c r="CB169" i="25"/>
  <c r="CB153" i="25"/>
  <c r="CB137" i="25"/>
  <c r="CB121" i="25"/>
  <c r="Q210" i="24"/>
  <c r="CB196" i="25"/>
  <c r="CB148" i="25"/>
  <c r="CB156" i="25"/>
  <c r="CB210" i="25"/>
  <c r="CB176" i="25"/>
  <c r="CB112" i="25"/>
  <c r="CB184" i="25"/>
  <c r="CB206" i="25"/>
  <c r="CB168" i="25"/>
  <c r="CB207" i="25"/>
  <c r="CB191" i="25"/>
  <c r="CB175" i="25"/>
  <c r="CB159" i="25"/>
  <c r="CB143" i="25"/>
  <c r="CB127" i="25"/>
  <c r="CB111" i="25"/>
  <c r="CB170" i="25"/>
  <c r="CB154" i="25"/>
  <c r="CB138" i="25"/>
  <c r="CB122" i="25"/>
  <c r="CB197" i="25"/>
  <c r="CB181" i="25"/>
  <c r="CB165" i="25"/>
  <c r="CB149" i="25"/>
  <c r="CB133" i="25"/>
  <c r="CB117" i="25"/>
  <c r="CB110" i="25"/>
  <c r="CA130" i="24"/>
  <c r="CA133" i="24"/>
  <c r="CA139" i="24"/>
  <c r="CA158" i="24"/>
  <c r="CA190" i="24"/>
  <c r="CA174" i="24"/>
  <c r="CA151" i="24"/>
  <c r="CA166" i="24"/>
  <c r="CA117" i="24"/>
  <c r="CA114" i="24"/>
  <c r="CA147" i="24"/>
  <c r="CA146" i="24"/>
  <c r="CA120" i="24"/>
  <c r="CA153" i="24"/>
  <c r="CA144" i="24"/>
  <c r="CA168" i="24"/>
  <c r="CA209" i="24"/>
  <c r="CA113" i="24"/>
  <c r="CA204" i="24"/>
  <c r="CA193" i="24"/>
  <c r="CA143" i="24"/>
  <c r="CA132" i="24"/>
  <c r="CA189" i="24"/>
  <c r="CA176" i="24"/>
  <c r="CA198" i="24"/>
  <c r="CA191" i="24"/>
  <c r="J253" i="24"/>
  <c r="X253" i="24" s="1"/>
  <c r="AA253" i="24" s="1"/>
  <c r="AB253" i="24" s="1"/>
  <c r="AC253" i="24" s="1"/>
  <c r="J190" i="24"/>
  <c r="AI190" i="24" s="1"/>
  <c r="O254" i="24"/>
  <c r="J305" i="24"/>
  <c r="X305" i="24" s="1"/>
  <c r="AA305" i="24" s="1"/>
  <c r="AB305" i="24" s="1"/>
  <c r="AC305" i="24" s="1"/>
  <c r="O223" i="24"/>
  <c r="J277" i="24"/>
  <c r="AE277" i="24" s="1"/>
  <c r="O243" i="24"/>
  <c r="O285" i="24"/>
  <c r="O251" i="24"/>
  <c r="O218" i="24"/>
  <c r="O279" i="24"/>
  <c r="J130" i="24"/>
  <c r="AI130" i="24" s="1"/>
  <c r="J282" i="24"/>
  <c r="AE282" i="24" s="1"/>
  <c r="J280" i="24"/>
  <c r="AE280" i="24" s="1"/>
  <c r="O307" i="24"/>
  <c r="J260" i="24"/>
  <c r="W260" i="24" s="1"/>
  <c r="Y260" i="24" s="1"/>
  <c r="O236" i="24"/>
  <c r="J171" i="24"/>
  <c r="AI171" i="24" s="1"/>
  <c r="J193" i="24"/>
  <c r="AI193" i="24" s="1"/>
  <c r="J147" i="24"/>
  <c r="AI147" i="24" s="1"/>
  <c r="J158" i="24"/>
  <c r="AI158" i="24" s="1"/>
  <c r="O219" i="24"/>
  <c r="O200" i="24"/>
  <c r="CA200" i="24" s="1"/>
  <c r="J265" i="24"/>
  <c r="AI265" i="24" s="1"/>
  <c r="J191" i="24"/>
  <c r="AI191" i="24" s="1"/>
  <c r="O173" i="24"/>
  <c r="CA173" i="24" s="1"/>
  <c r="O309" i="24"/>
  <c r="O287" i="24"/>
  <c r="J311" i="24"/>
  <c r="X311" i="24" s="1"/>
  <c r="AA311" i="24" s="1"/>
  <c r="AB311" i="24" s="1"/>
  <c r="AC311" i="24" s="1"/>
  <c r="J283" i="24"/>
  <c r="AE283" i="24" s="1"/>
  <c r="J248" i="24"/>
  <c r="AE248" i="24" s="1"/>
  <c r="O288" i="24"/>
  <c r="O247" i="24"/>
  <c r="J132" i="24"/>
  <c r="AI132" i="24" s="1"/>
  <c r="O302" i="24"/>
  <c r="J312" i="24"/>
  <c r="W312" i="24" s="1"/>
  <c r="J290" i="24"/>
  <c r="AI290" i="24" s="1"/>
  <c r="J226" i="24"/>
  <c r="AI226" i="24" s="1"/>
  <c r="O274" i="24"/>
  <c r="O221" i="24"/>
  <c r="O224" i="24"/>
  <c r="O245" i="24"/>
  <c r="O197" i="24"/>
  <c r="CA197" i="24" s="1"/>
  <c r="O202" i="24"/>
  <c r="CA202" i="24" s="1"/>
  <c r="J289" i="24"/>
  <c r="W289" i="24" s="1"/>
  <c r="Y289" i="24" s="1"/>
  <c r="O275" i="24"/>
  <c r="J244" i="24"/>
  <c r="W244" i="24" s="1"/>
  <c r="O227" i="24"/>
  <c r="J257" i="24"/>
  <c r="W257" i="24" s="1"/>
  <c r="Y257" i="24" s="1"/>
  <c r="O240" i="24"/>
  <c r="J299" i="24"/>
  <c r="AI299" i="24" s="1"/>
  <c r="J143" i="24"/>
  <c r="AI143" i="24" s="1"/>
  <c r="J185" i="24"/>
  <c r="AI185" i="24" s="1"/>
  <c r="O235" i="24"/>
  <c r="J176" i="24"/>
  <c r="AI176" i="24" s="1"/>
  <c r="J139" i="24"/>
  <c r="AI139" i="24" s="1"/>
  <c r="O310" i="24"/>
  <c r="O135" i="24"/>
  <c r="CA135" i="24" s="1"/>
  <c r="O180" i="24"/>
  <c r="CA180" i="24" s="1"/>
  <c r="O314" i="24"/>
  <c r="J278" i="24"/>
  <c r="X278" i="24" s="1"/>
  <c r="AA278" i="24" s="1"/>
  <c r="AB278" i="24" s="1"/>
  <c r="AC278" i="24" s="1"/>
  <c r="J262" i="24"/>
  <c r="AE262" i="24" s="1"/>
  <c r="J291" i="24"/>
  <c r="AI291" i="24" s="1"/>
  <c r="O138" i="24"/>
  <c r="CA138" i="24" s="1"/>
  <c r="J237" i="24"/>
  <c r="X237" i="24" s="1"/>
  <c r="AA237" i="24" s="1"/>
  <c r="AB237" i="24" s="1"/>
  <c r="AC237" i="24" s="1"/>
  <c r="O301" i="24"/>
  <c r="O304" i="24"/>
  <c r="J195" i="24"/>
  <c r="AE195" i="24" s="1"/>
  <c r="J198" i="24"/>
  <c r="AI198" i="24" s="1"/>
  <c r="J217" i="24"/>
  <c r="X217" i="24" s="1"/>
  <c r="AA217" i="24" s="1"/>
  <c r="AB217" i="24" s="1"/>
  <c r="AC217" i="24" s="1"/>
  <c r="O140" i="24"/>
  <c r="CA140" i="24" s="1"/>
  <c r="J261" i="24"/>
  <c r="AE261" i="24" s="1"/>
  <c r="O264" i="24"/>
  <c r="O164" i="24"/>
  <c r="CA164" i="24" s="1"/>
  <c r="O234" i="24"/>
  <c r="O220" i="24"/>
  <c r="O118" i="24"/>
  <c r="CA118" i="24" s="1"/>
  <c r="J281" i="24"/>
  <c r="X281" i="24" s="1"/>
  <c r="AA281" i="24" s="1"/>
  <c r="AB281" i="24" s="1"/>
  <c r="AC281" i="24" s="1"/>
  <c r="O315" i="24"/>
  <c r="O126" i="24"/>
  <c r="CA126" i="24" s="1"/>
  <c r="O222" i="24"/>
  <c r="O297" i="24"/>
  <c r="O124" i="24"/>
  <c r="CA124" i="24" s="1"/>
  <c r="O175" i="24"/>
  <c r="CA175" i="24" s="1"/>
  <c r="O266" i="24"/>
  <c r="O178" i="24"/>
  <c r="CA178" i="24" s="1"/>
  <c r="O256" i="24"/>
  <c r="J133" i="24"/>
  <c r="AI133" i="24" s="1"/>
  <c r="J117" i="24"/>
  <c r="AI117" i="24" s="1"/>
  <c r="O233" i="24"/>
  <c r="O294" i="24"/>
  <c r="J114" i="24"/>
  <c r="AI114" i="24" s="1"/>
  <c r="J151" i="24"/>
  <c r="AI151" i="24" s="1"/>
  <c r="O268" i="24"/>
  <c r="O230" i="24"/>
  <c r="O241" i="24"/>
  <c r="J166" i="24"/>
  <c r="AI166" i="24" s="1"/>
  <c r="O121" i="24"/>
  <c r="CA121" i="24" s="1"/>
  <c r="J276" i="24"/>
  <c r="AE276" i="24" s="1"/>
  <c r="J270" i="24"/>
  <c r="AE270" i="24" s="1"/>
  <c r="J204" i="24"/>
  <c r="AI204" i="24" s="1"/>
  <c r="J156" i="24"/>
  <c r="AI156" i="24" s="1"/>
  <c r="J144" i="24"/>
  <c r="AI144" i="24" s="1"/>
  <c r="J209" i="24"/>
  <c r="AI209" i="24" s="1"/>
  <c r="J120" i="24"/>
  <c r="AI120" i="24" s="1"/>
  <c r="J295" i="24"/>
  <c r="X295" i="24" s="1"/>
  <c r="AA295" i="24" s="1"/>
  <c r="AB295" i="24" s="1"/>
  <c r="AC295" i="24" s="1"/>
  <c r="J284" i="24"/>
  <c r="AI284" i="24" s="1"/>
  <c r="J168" i="24"/>
  <c r="AI168" i="24" s="1"/>
  <c r="J267" i="24"/>
  <c r="AI267" i="24" s="1"/>
  <c r="O160" i="24"/>
  <c r="CA160" i="24" s="1"/>
  <c r="J296" i="24"/>
  <c r="AI296" i="24" s="1"/>
  <c r="J146" i="24"/>
  <c r="AI146" i="24" s="1"/>
  <c r="O250" i="24"/>
  <c r="O129" i="24"/>
  <c r="CA129" i="24" s="1"/>
  <c r="J246" i="24"/>
  <c r="X246" i="24" s="1"/>
  <c r="AA246" i="24" s="1"/>
  <c r="AB246" i="24" s="1"/>
  <c r="AC246" i="24" s="1"/>
  <c r="O303" i="24"/>
  <c r="J252" i="24"/>
  <c r="AI252" i="24" s="1"/>
  <c r="O316" i="24"/>
  <c r="J225" i="24"/>
  <c r="W225" i="24" s="1"/>
  <c r="Y225" i="24" s="1"/>
  <c r="O286" i="24"/>
  <c r="J238" i="24"/>
  <c r="X238" i="24" s="1"/>
  <c r="AA238" i="24" s="1"/>
  <c r="AB238" i="24" s="1"/>
  <c r="AC238" i="24" s="1"/>
  <c r="J189" i="24"/>
  <c r="AI189" i="24" s="1"/>
  <c r="J313" i="24"/>
  <c r="X313" i="24" s="1"/>
  <c r="AA313" i="24" s="1"/>
  <c r="AB313" i="24" s="1"/>
  <c r="AC313" i="24" s="1"/>
  <c r="J232" i="24"/>
  <c r="AI232" i="24" s="1"/>
  <c r="J269" i="24"/>
  <c r="AI269" i="24" s="1"/>
  <c r="J255" i="24"/>
  <c r="AI255" i="24" s="1"/>
  <c r="J263" i="24"/>
  <c r="AI263" i="24" s="1"/>
  <c r="J298" i="24"/>
  <c r="AE298" i="24" s="1"/>
  <c r="J308" i="24"/>
  <c r="X308" i="24" s="1"/>
  <c r="AA308" i="24" s="1"/>
  <c r="AB308" i="24" s="1"/>
  <c r="AC308" i="24" s="1"/>
  <c r="J242" i="24"/>
  <c r="AI242" i="24" s="1"/>
  <c r="O259" i="24"/>
  <c r="O258" i="24"/>
  <c r="O228" i="24"/>
  <c r="O292" i="24"/>
  <c r="O239" i="24"/>
  <c r="O271" i="24"/>
  <c r="O127" i="24"/>
  <c r="CA127" i="24" s="1"/>
  <c r="O300" i="24"/>
  <c r="O273" i="24"/>
  <c r="O111" i="24"/>
  <c r="CA111" i="24" s="1"/>
  <c r="O272" i="24"/>
  <c r="O229" i="24"/>
  <c r="O293" i="24"/>
  <c r="J231" i="24"/>
  <c r="AI231" i="24" s="1"/>
  <c r="J306" i="24"/>
  <c r="AE306" i="24" s="1"/>
  <c r="J174" i="24"/>
  <c r="AI174" i="24" s="1"/>
  <c r="J249" i="24"/>
  <c r="X249" i="24" s="1"/>
  <c r="AA249" i="24" s="1"/>
  <c r="AB249" i="24" s="1"/>
  <c r="AC249" i="24" s="1"/>
  <c r="J153" i="24"/>
  <c r="AE153" i="24" s="1"/>
  <c r="J113" i="24"/>
  <c r="AI113" i="24" s="1"/>
  <c r="CA86" i="24"/>
  <c r="CA46" i="24"/>
  <c r="CA73" i="24"/>
  <c r="CA41" i="24"/>
  <c r="CA42" i="24"/>
  <c r="CA56" i="24"/>
  <c r="CA21" i="24"/>
  <c r="CA50" i="24"/>
  <c r="CA53" i="24"/>
  <c r="CA89" i="24"/>
  <c r="CA64" i="24"/>
  <c r="CA29" i="24"/>
  <c r="CA60" i="24"/>
  <c r="CA70" i="24"/>
  <c r="CA54" i="24"/>
  <c r="CA69" i="24"/>
  <c r="CA101" i="24"/>
  <c r="CA68" i="24"/>
  <c r="CA33" i="24"/>
  <c r="CA25" i="24"/>
  <c r="CA72" i="24"/>
  <c r="CA18" i="24"/>
  <c r="CA82" i="24"/>
  <c r="CA32" i="24"/>
  <c r="CA96" i="24"/>
  <c r="CA97" i="24"/>
  <c r="CA78" i="24"/>
  <c r="CA85" i="24"/>
  <c r="CA92" i="24"/>
  <c r="CA36" i="24"/>
  <c r="CA100" i="24"/>
  <c r="CA105" i="24"/>
  <c r="CA40" i="24"/>
  <c r="CA28" i="24"/>
  <c r="CA104" i="24"/>
  <c r="CA63" i="24"/>
  <c r="CA19" i="24"/>
  <c r="CA79" i="24"/>
  <c r="J196" i="24"/>
  <c r="AI196" i="24" s="1"/>
  <c r="O196" i="24"/>
  <c r="CA196" i="24" s="1"/>
  <c r="J145" i="24"/>
  <c r="X145" i="24" s="1"/>
  <c r="AA145" i="24" s="1"/>
  <c r="AB145" i="24" s="1"/>
  <c r="AC145" i="24" s="1"/>
  <c r="O145" i="24"/>
  <c r="CA145" i="24" s="1"/>
  <c r="J150" i="24"/>
  <c r="X150" i="24" s="1"/>
  <c r="AA150" i="24" s="1"/>
  <c r="AB150" i="24" s="1"/>
  <c r="AC150" i="24" s="1"/>
  <c r="O150" i="24"/>
  <c r="CA150" i="24" s="1"/>
  <c r="J136" i="24"/>
  <c r="AE136" i="24" s="1"/>
  <c r="O136" i="24"/>
  <c r="CA136" i="24" s="1"/>
  <c r="J181" i="24"/>
  <c r="AE181" i="24" s="1"/>
  <c r="O181" i="24"/>
  <c r="CA181" i="24" s="1"/>
  <c r="J149" i="24"/>
  <c r="AI149" i="24" s="1"/>
  <c r="O149" i="24"/>
  <c r="CA149" i="24" s="1"/>
  <c r="J186" i="24"/>
  <c r="AI186" i="24" s="1"/>
  <c r="O186" i="24"/>
  <c r="CA186" i="24" s="1"/>
  <c r="J122" i="24"/>
  <c r="W122" i="24" s="1"/>
  <c r="Y122" i="24" s="1"/>
  <c r="O122" i="24"/>
  <c r="CA122" i="24" s="1"/>
  <c r="J128" i="24"/>
  <c r="X128" i="24" s="1"/>
  <c r="AA128" i="24" s="1"/>
  <c r="AB128" i="24" s="1"/>
  <c r="AC128" i="24" s="1"/>
  <c r="O128" i="24"/>
  <c r="CA128" i="24" s="1"/>
  <c r="J163" i="24"/>
  <c r="AI163" i="24" s="1"/>
  <c r="O163" i="24"/>
  <c r="CA163" i="24" s="1"/>
  <c r="J208" i="24"/>
  <c r="AE208" i="24" s="1"/>
  <c r="O208" i="24"/>
  <c r="CA208" i="24" s="1"/>
  <c r="J141" i="24"/>
  <c r="X141" i="24" s="1"/>
  <c r="AA141" i="24" s="1"/>
  <c r="AB141" i="24" s="1"/>
  <c r="AC141" i="24" s="1"/>
  <c r="O141" i="24"/>
  <c r="CA141" i="24" s="1"/>
  <c r="J179" i="24"/>
  <c r="X179" i="24" s="1"/>
  <c r="AA179" i="24" s="1"/>
  <c r="AB179" i="24" s="1"/>
  <c r="AC179" i="24" s="1"/>
  <c r="O179" i="24"/>
  <c r="CA179" i="24" s="1"/>
  <c r="CA23" i="24"/>
  <c r="CA91" i="24"/>
  <c r="J201" i="24"/>
  <c r="W201" i="24" s="1"/>
  <c r="O201" i="24"/>
  <c r="CA201" i="24" s="1"/>
  <c r="J155" i="24"/>
  <c r="AE155" i="24" s="1"/>
  <c r="O155" i="24"/>
  <c r="CA155" i="24" s="1"/>
  <c r="J131" i="24"/>
  <c r="AI131" i="24" s="1"/>
  <c r="O131" i="24"/>
  <c r="CA131" i="24" s="1"/>
  <c r="J184" i="24"/>
  <c r="X184" i="24" s="1"/>
  <c r="AA184" i="24" s="1"/>
  <c r="AB184" i="24" s="1"/>
  <c r="AC184" i="24" s="1"/>
  <c r="O184" i="24"/>
  <c r="CA184" i="24" s="1"/>
  <c r="J112" i="24"/>
  <c r="W112" i="24" s="1"/>
  <c r="O112" i="24"/>
  <c r="CA112" i="24" s="1"/>
  <c r="J154" i="24"/>
  <c r="X154" i="24" s="1"/>
  <c r="AA154" i="24" s="1"/>
  <c r="AB154" i="24" s="1"/>
  <c r="AC154" i="24" s="1"/>
  <c r="O154" i="24"/>
  <c r="CA154" i="24" s="1"/>
  <c r="J172" i="24"/>
  <c r="W172" i="24" s="1"/>
  <c r="O172" i="24"/>
  <c r="CA172" i="24" s="1"/>
  <c r="J115" i="24"/>
  <c r="AE115" i="24" s="1"/>
  <c r="O115" i="24"/>
  <c r="CA115" i="24" s="1"/>
  <c r="J183" i="24"/>
  <c r="X183" i="24" s="1"/>
  <c r="AA183" i="24" s="1"/>
  <c r="AB183" i="24" s="1"/>
  <c r="AC183" i="24" s="1"/>
  <c r="O183" i="24"/>
  <c r="CA183" i="24" s="1"/>
  <c r="J187" i="24"/>
  <c r="AE187" i="24" s="1"/>
  <c r="O187" i="24"/>
  <c r="CA187" i="24" s="1"/>
  <c r="J119" i="24"/>
  <c r="AI119" i="24" s="1"/>
  <c r="O119" i="24"/>
  <c r="CA119" i="24" s="1"/>
  <c r="J116" i="24"/>
  <c r="AE116" i="24" s="1"/>
  <c r="O116" i="24"/>
  <c r="CA116" i="24" s="1"/>
  <c r="CA87" i="24"/>
  <c r="CA31" i="24"/>
  <c r="CA27" i="24"/>
  <c r="CA83" i="24"/>
  <c r="CA14" i="24"/>
  <c r="CA10" i="24"/>
  <c r="CA74" i="24"/>
  <c r="J148" i="24"/>
  <c r="W148" i="24" s="1"/>
  <c r="Y148" i="24" s="1"/>
  <c r="O148" i="24"/>
  <c r="CA148" i="24" s="1"/>
  <c r="J177" i="24"/>
  <c r="AI177" i="24" s="1"/>
  <c r="O177" i="24"/>
  <c r="CA177" i="24" s="1"/>
  <c r="J210" i="24"/>
  <c r="W210" i="24" s="1"/>
  <c r="Y210" i="24" s="1"/>
  <c r="O210" i="24"/>
  <c r="CA210" i="24" s="1"/>
  <c r="J123" i="24"/>
  <c r="W123" i="24" s="1"/>
  <c r="O123" i="24"/>
  <c r="CA123" i="24" s="1"/>
  <c r="J134" i="24"/>
  <c r="AI134" i="24" s="1"/>
  <c r="O134" i="24"/>
  <c r="CA134" i="24" s="1"/>
  <c r="J182" i="24"/>
  <c r="X182" i="24" s="1"/>
  <c r="AA182" i="24" s="1"/>
  <c r="AB182" i="24" s="1"/>
  <c r="AC182" i="24" s="1"/>
  <c r="O182" i="24"/>
  <c r="CA182" i="24" s="1"/>
  <c r="J199" i="24"/>
  <c r="AI199" i="24" s="1"/>
  <c r="O199" i="24"/>
  <c r="CA199" i="24" s="1"/>
  <c r="J152" i="24"/>
  <c r="AI152" i="24" s="1"/>
  <c r="O152" i="24"/>
  <c r="CA152" i="24" s="1"/>
  <c r="J157" i="24"/>
  <c r="AE157" i="24" s="1"/>
  <c r="O157" i="24"/>
  <c r="CA157" i="24" s="1"/>
  <c r="J205" i="24"/>
  <c r="X205" i="24" s="1"/>
  <c r="AA205" i="24" s="1"/>
  <c r="AB205" i="24" s="1"/>
  <c r="AC205" i="24" s="1"/>
  <c r="O205" i="24"/>
  <c r="CA205" i="24" s="1"/>
  <c r="J159" i="24"/>
  <c r="AI159" i="24" s="1"/>
  <c r="O159" i="24"/>
  <c r="CA159" i="24" s="1"/>
  <c r="J167" i="24"/>
  <c r="AI167" i="24" s="1"/>
  <c r="O167" i="24"/>
  <c r="CA167" i="24" s="1"/>
  <c r="J170" i="24"/>
  <c r="X170" i="24" s="1"/>
  <c r="AA170" i="24" s="1"/>
  <c r="AB170" i="24" s="1"/>
  <c r="AC170" i="24" s="1"/>
  <c r="O170" i="24"/>
  <c r="CA170" i="24" s="1"/>
  <c r="J207" i="24"/>
  <c r="AE207" i="24" s="1"/>
  <c r="O207" i="24"/>
  <c r="CA207" i="24" s="1"/>
  <c r="J188" i="24"/>
  <c r="AI188" i="24" s="1"/>
  <c r="O188" i="24"/>
  <c r="CA188" i="24" s="1"/>
  <c r="J161" i="24"/>
  <c r="AI161" i="24" s="1"/>
  <c r="O161" i="24"/>
  <c r="CA161" i="24" s="1"/>
  <c r="J194" i="24"/>
  <c r="AI194" i="24" s="1"/>
  <c r="O194" i="24"/>
  <c r="CA194" i="24" s="1"/>
  <c r="J137" i="24"/>
  <c r="X137" i="24" s="1"/>
  <c r="AA137" i="24" s="1"/>
  <c r="AB137" i="24" s="1"/>
  <c r="AC137" i="24" s="1"/>
  <c r="O137" i="24"/>
  <c r="CA137" i="24" s="1"/>
  <c r="J142" i="24"/>
  <c r="X142" i="24" s="1"/>
  <c r="AA142" i="24" s="1"/>
  <c r="AB142" i="24" s="1"/>
  <c r="AC142" i="24" s="1"/>
  <c r="O142" i="24"/>
  <c r="CA142" i="24" s="1"/>
  <c r="J125" i="24"/>
  <c r="AI125" i="24" s="1"/>
  <c r="O125" i="24"/>
  <c r="CA125" i="24" s="1"/>
  <c r="J192" i="24"/>
  <c r="AI192" i="24" s="1"/>
  <c r="O192" i="24"/>
  <c r="CA192" i="24" s="1"/>
  <c r="J169" i="24"/>
  <c r="AE169" i="24" s="1"/>
  <c r="O169" i="24"/>
  <c r="CA169" i="24" s="1"/>
  <c r="J206" i="24"/>
  <c r="AI206" i="24" s="1"/>
  <c r="O206" i="24"/>
  <c r="CA206" i="24" s="1"/>
  <c r="J165" i="24"/>
  <c r="X165" i="24" s="1"/>
  <c r="AA165" i="24" s="1"/>
  <c r="AB165" i="24" s="1"/>
  <c r="AC165" i="24" s="1"/>
  <c r="O165" i="24"/>
  <c r="CA165" i="24" s="1"/>
  <c r="J162" i="24"/>
  <c r="AI162" i="24" s="1"/>
  <c r="O162" i="24"/>
  <c r="CA162" i="24" s="1"/>
  <c r="J203" i="24"/>
  <c r="AE203" i="24" s="1"/>
  <c r="O203" i="24"/>
  <c r="CA203" i="24" s="1"/>
  <c r="CA55" i="24"/>
  <c r="CA95" i="24"/>
  <c r="CA59" i="24"/>
  <c r="CA51" i="24"/>
  <c r="J46" i="24"/>
  <c r="AE46" i="24" s="1"/>
  <c r="J64" i="24"/>
  <c r="AE64" i="24" s="1"/>
  <c r="AF64" i="24" s="1"/>
  <c r="J95" i="24"/>
  <c r="AI95" i="24" s="1"/>
  <c r="J59" i="24"/>
  <c r="AE59" i="24" s="1"/>
  <c r="J54" i="24"/>
  <c r="AE54" i="24" s="1"/>
  <c r="J73" i="24"/>
  <c r="X73" i="24" s="1"/>
  <c r="AA73" i="24" s="1"/>
  <c r="AB73" i="24" s="1"/>
  <c r="AC73" i="24" s="1"/>
  <c r="J56" i="24"/>
  <c r="X56" i="24" s="1"/>
  <c r="AA56" i="24" s="1"/>
  <c r="AB56" i="24" s="1"/>
  <c r="AC56" i="24" s="1"/>
  <c r="J14" i="24"/>
  <c r="X14" i="24" s="1"/>
  <c r="AA14" i="24" s="1"/>
  <c r="AB14" i="24" s="1"/>
  <c r="AC14" i="24" s="1"/>
  <c r="J78" i="24"/>
  <c r="X78" i="24" s="1"/>
  <c r="AA78" i="24" s="1"/>
  <c r="AB78" i="24" s="1"/>
  <c r="AC78" i="24" s="1"/>
  <c r="J23" i="24"/>
  <c r="AI23" i="24" s="1"/>
  <c r="J87" i="24"/>
  <c r="AE87" i="24" s="1"/>
  <c r="J32" i="24"/>
  <c r="AI32" i="24" s="1"/>
  <c r="J96" i="24"/>
  <c r="W96" i="24" s="1"/>
  <c r="J97" i="24"/>
  <c r="W97" i="24" s="1"/>
  <c r="Y97" i="24" s="1"/>
  <c r="J31" i="24"/>
  <c r="AE31" i="24" s="1"/>
  <c r="J40" i="24"/>
  <c r="AE40" i="24" s="1"/>
  <c r="J18" i="24"/>
  <c r="AE18" i="24" s="1"/>
  <c r="J82" i="24"/>
  <c r="AE82" i="24" s="1"/>
  <c r="J27" i="24"/>
  <c r="AI27" i="24" s="1"/>
  <c r="J91" i="24"/>
  <c r="X91" i="24" s="1"/>
  <c r="AA91" i="24" s="1"/>
  <c r="AB91" i="24" s="1"/>
  <c r="AC91" i="24" s="1"/>
  <c r="J36" i="24"/>
  <c r="AI36" i="24" s="1"/>
  <c r="J100" i="24"/>
  <c r="AI100" i="24" s="1"/>
  <c r="J105" i="24"/>
  <c r="AI105" i="24" s="1"/>
  <c r="J63" i="24"/>
  <c r="AE63" i="24" s="1"/>
  <c r="J10" i="24"/>
  <c r="AI10" i="24" s="1"/>
  <c r="J74" i="24"/>
  <c r="X74" i="24" s="1"/>
  <c r="AA74" i="24" s="1"/>
  <c r="AB74" i="24" s="1"/>
  <c r="AC74" i="24" s="1"/>
  <c r="J19" i="24"/>
  <c r="AE19" i="24" s="1"/>
  <c r="J83" i="24"/>
  <c r="X83" i="24" s="1"/>
  <c r="AA83" i="24" s="1"/>
  <c r="AB83" i="24" s="1"/>
  <c r="AC83" i="24" s="1"/>
  <c r="J28" i="24"/>
  <c r="AE28" i="24" s="1"/>
  <c r="J92" i="24"/>
  <c r="AE92" i="24" s="1"/>
  <c r="J85" i="24"/>
  <c r="X85" i="24" s="1"/>
  <c r="AA85" i="24" s="1"/>
  <c r="AB85" i="24" s="1"/>
  <c r="AC85" i="24" s="1"/>
  <c r="J79" i="24"/>
  <c r="AE79" i="24" s="1"/>
  <c r="J53" i="24"/>
  <c r="X53" i="24" s="1"/>
  <c r="AA53" i="24" s="1"/>
  <c r="AB53" i="24" s="1"/>
  <c r="AC53" i="24" s="1"/>
  <c r="J89" i="24"/>
  <c r="AE89" i="24" s="1"/>
  <c r="J70" i="24"/>
  <c r="AI70" i="24" s="1"/>
  <c r="J21" i="24"/>
  <c r="W21" i="24" s="1"/>
  <c r="J69" i="24"/>
  <c r="AI69" i="24" s="1"/>
  <c r="J101" i="24"/>
  <c r="X101" i="24" s="1"/>
  <c r="AA101" i="24" s="1"/>
  <c r="AB101" i="24" s="1"/>
  <c r="AC101" i="24" s="1"/>
  <c r="J33" i="24"/>
  <c r="W33" i="24" s="1"/>
  <c r="J42" i="24"/>
  <c r="AI42" i="24" s="1"/>
  <c r="J41" i="24"/>
  <c r="AE41" i="24" s="1"/>
  <c r="J60" i="24"/>
  <c r="AI60" i="24" s="1"/>
  <c r="J86" i="24"/>
  <c r="X86" i="24" s="1"/>
  <c r="AA86" i="24" s="1"/>
  <c r="AB86" i="24" s="1"/>
  <c r="AC86" i="24" s="1"/>
  <c r="J55" i="24"/>
  <c r="W55" i="24" s="1"/>
  <c r="Y55" i="24" s="1"/>
  <c r="J29" i="24"/>
  <c r="AE29" i="24" s="1"/>
  <c r="J50" i="24"/>
  <c r="AI50" i="24" s="1"/>
  <c r="J68" i="24"/>
  <c r="AE68" i="24" s="1"/>
  <c r="J72" i="24"/>
  <c r="AE72" i="24" s="1"/>
  <c r="J51" i="24"/>
  <c r="AE51" i="24" s="1"/>
  <c r="J25" i="24"/>
  <c r="AI25" i="24" s="1"/>
  <c r="J104" i="24"/>
  <c r="AI104" i="24" s="1"/>
  <c r="P110" i="24"/>
  <c r="F212" i="24" s="1"/>
  <c r="Q110" i="24"/>
  <c r="Q27" i="24"/>
  <c r="R27" i="24" s="1"/>
  <c r="Q70" i="24"/>
  <c r="R70" i="24" s="1"/>
  <c r="Q79" i="24"/>
  <c r="R79" i="24" s="1"/>
  <c r="Q53" i="24"/>
  <c r="R53" i="24" s="1"/>
  <c r="Q23" i="24"/>
  <c r="R23" i="24" s="1"/>
  <c r="Q32" i="24"/>
  <c r="R32" i="24" s="1"/>
  <c r="Q97" i="24"/>
  <c r="Q59" i="24"/>
  <c r="Q86" i="24"/>
  <c r="Q95" i="24"/>
  <c r="R95" i="24" s="1"/>
  <c r="Q104" i="24"/>
  <c r="R104" i="24" s="1"/>
  <c r="Q33" i="24"/>
  <c r="Q41" i="24"/>
  <c r="R41" i="24" s="1"/>
  <c r="Q51" i="24"/>
  <c r="Q73" i="24"/>
  <c r="R73" i="24" s="1"/>
  <c r="Q25" i="24"/>
  <c r="R25" i="24" s="1"/>
  <c r="Q78" i="24"/>
  <c r="R78" i="24" s="1"/>
  <c r="Q101" i="24"/>
  <c r="R101" i="24" s="1"/>
  <c r="Q21" i="24"/>
  <c r="R21" i="24" s="1"/>
  <c r="Q100" i="24"/>
  <c r="R100" i="24" s="1"/>
  <c r="Q55" i="24"/>
  <c r="Q64" i="24"/>
  <c r="R64" i="24" s="1"/>
  <c r="Q68" i="24"/>
  <c r="R68" i="24" s="1"/>
  <c r="Q54" i="24"/>
  <c r="Q63" i="24"/>
  <c r="R63" i="24" s="1"/>
  <c r="Q69" i="24"/>
  <c r="R69" i="24" s="1"/>
  <c r="Q10" i="24"/>
  <c r="R10" i="24" s="1"/>
  <c r="Q19" i="24"/>
  <c r="Q28" i="24"/>
  <c r="R28" i="24" s="1"/>
  <c r="Q85" i="24"/>
  <c r="R85" i="24" s="1"/>
  <c r="Q105" i="24"/>
  <c r="P41" i="24"/>
  <c r="P27" i="24"/>
  <c r="T30" i="24"/>
  <c r="O30" i="24" s="1"/>
  <c r="CA30" i="24" s="1"/>
  <c r="P78" i="24"/>
  <c r="T39" i="24"/>
  <c r="O39" i="24" s="1"/>
  <c r="CA39" i="24" s="1"/>
  <c r="T48" i="24"/>
  <c r="O48" i="24" s="1"/>
  <c r="CA48" i="24" s="1"/>
  <c r="T38" i="24"/>
  <c r="O38" i="24" s="1"/>
  <c r="CA38" i="24" s="1"/>
  <c r="T88" i="24"/>
  <c r="O88" i="24" s="1"/>
  <c r="CA88" i="24" s="1"/>
  <c r="T98" i="24"/>
  <c r="O98" i="24" s="1"/>
  <c r="CA98" i="24" s="1"/>
  <c r="T37" i="24"/>
  <c r="O37" i="24" s="1"/>
  <c r="CA37" i="24" s="1"/>
  <c r="T17" i="24"/>
  <c r="O17" i="24" s="1"/>
  <c r="CA17" i="24" s="1"/>
  <c r="T61" i="24"/>
  <c r="O61" i="24" s="1"/>
  <c r="CA61" i="24" s="1"/>
  <c r="T90" i="24"/>
  <c r="O90" i="24" s="1"/>
  <c r="CA90" i="24" s="1"/>
  <c r="T99" i="24"/>
  <c r="O99" i="24" s="1"/>
  <c r="CA99" i="24" s="1"/>
  <c r="T9" i="24"/>
  <c r="O9" i="24" s="1"/>
  <c r="CA9" i="24" s="1"/>
  <c r="T8" i="24"/>
  <c r="O8" i="24" s="1"/>
  <c r="CA8" i="24" s="1"/>
  <c r="T7" i="24"/>
  <c r="O7" i="24" s="1"/>
  <c r="CA7" i="24" s="1"/>
  <c r="T16" i="24"/>
  <c r="O16" i="24" s="1"/>
  <c r="CA16" i="24" s="1"/>
  <c r="T57" i="24"/>
  <c r="O57" i="24" s="1"/>
  <c r="CA57" i="24" s="1"/>
  <c r="T24" i="24"/>
  <c r="O24" i="24" s="1"/>
  <c r="CA24" i="24" s="1"/>
  <c r="T66" i="24"/>
  <c r="O66" i="24" s="1"/>
  <c r="CA66" i="24" s="1"/>
  <c r="T75" i="24"/>
  <c r="O75" i="24" s="1"/>
  <c r="CA75" i="24" s="1"/>
  <c r="T84" i="24"/>
  <c r="O84" i="24" s="1"/>
  <c r="CA84" i="24" s="1"/>
  <c r="T81" i="24"/>
  <c r="O81" i="24" s="1"/>
  <c r="CA81" i="24" s="1"/>
  <c r="T58" i="24"/>
  <c r="O58" i="24" s="1"/>
  <c r="CA58" i="24" s="1"/>
  <c r="T67" i="24"/>
  <c r="O67" i="24" s="1"/>
  <c r="CA67" i="24" s="1"/>
  <c r="T76" i="24"/>
  <c r="O76" i="24" s="1"/>
  <c r="CA76" i="24" s="1"/>
  <c r="T15" i="24"/>
  <c r="O15" i="24" s="1"/>
  <c r="CA15" i="24" s="1"/>
  <c r="T94" i="24"/>
  <c r="O94" i="24" s="1"/>
  <c r="CA94" i="24" s="1"/>
  <c r="T103" i="24"/>
  <c r="O103" i="24" s="1"/>
  <c r="CA103" i="24" s="1"/>
  <c r="T13" i="24"/>
  <c r="O13" i="24" s="1"/>
  <c r="CA13" i="24" s="1"/>
  <c r="T47" i="24"/>
  <c r="O47" i="24" s="1"/>
  <c r="CA47" i="24" s="1"/>
  <c r="T34" i="24"/>
  <c r="O34" i="24" s="1"/>
  <c r="CA34" i="24" s="1"/>
  <c r="T43" i="24"/>
  <c r="O43" i="24" s="1"/>
  <c r="CA43" i="24" s="1"/>
  <c r="T52" i="24"/>
  <c r="O52" i="24" s="1"/>
  <c r="CA52" i="24" s="1"/>
  <c r="T6" i="24"/>
  <c r="O6" i="24" s="1"/>
  <c r="CA6" i="24" s="1"/>
  <c r="T26" i="24"/>
  <c r="O26" i="24" s="1"/>
  <c r="CA26" i="24" s="1"/>
  <c r="T35" i="24"/>
  <c r="O35" i="24" s="1"/>
  <c r="CA35" i="24" s="1"/>
  <c r="T44" i="24"/>
  <c r="O44" i="24" s="1"/>
  <c r="CA44" i="24" s="1"/>
  <c r="T22" i="24"/>
  <c r="O22" i="24" s="1"/>
  <c r="CA22" i="24" s="1"/>
  <c r="P79" i="24"/>
  <c r="P28" i="24"/>
  <c r="T62" i="24"/>
  <c r="O62" i="24" s="1"/>
  <c r="CA62" i="24" s="1"/>
  <c r="AP53" i="24"/>
  <c r="T71" i="24"/>
  <c r="O71" i="24" s="1"/>
  <c r="CA71" i="24" s="1"/>
  <c r="T80" i="24"/>
  <c r="O80" i="24" s="1"/>
  <c r="CA80" i="24" s="1"/>
  <c r="T102" i="24"/>
  <c r="O102" i="24" s="1"/>
  <c r="CA102" i="24" s="1"/>
  <c r="T77" i="24"/>
  <c r="O77" i="24" s="1"/>
  <c r="CA77" i="24" s="1"/>
  <c r="T11" i="24"/>
  <c r="O11" i="24" s="1"/>
  <c r="CA11" i="24" s="1"/>
  <c r="T20" i="24"/>
  <c r="O20" i="24" s="1"/>
  <c r="CA20" i="24" s="1"/>
  <c r="T65" i="24"/>
  <c r="O65" i="24" s="1"/>
  <c r="CA65" i="24" s="1"/>
  <c r="T45" i="24"/>
  <c r="O45" i="24" s="1"/>
  <c r="CA45" i="24" s="1"/>
  <c r="T93" i="24"/>
  <c r="O93" i="24" s="1"/>
  <c r="CA93" i="24" s="1"/>
  <c r="T12" i="24"/>
  <c r="O12" i="24" s="1"/>
  <c r="CA12" i="24" s="1"/>
  <c r="T49" i="24"/>
  <c r="O49" i="24" s="1"/>
  <c r="CA49" i="24" s="1"/>
  <c r="P53" i="24"/>
  <c r="P64" i="24"/>
  <c r="P68" i="24"/>
  <c r="P63" i="24"/>
  <c r="P10" i="24"/>
  <c r="AI5" i="24"/>
  <c r="R5" i="24"/>
  <c r="X110" i="24"/>
  <c r="AA110" i="24" s="1"/>
  <c r="AB110" i="24" s="1"/>
  <c r="AC110" i="24" s="1"/>
  <c r="AP110" i="24"/>
  <c r="AE5" i="24"/>
  <c r="AF5" i="24" s="1"/>
  <c r="R110" i="25"/>
  <c r="AO216" i="25"/>
  <c r="AP216" i="24"/>
  <c r="Q216" i="25"/>
  <c r="CG216" i="25" s="1"/>
  <c r="R216" i="25"/>
  <c r="K77" i="23"/>
  <c r="M77" i="23" s="1"/>
  <c r="CG113" i="25"/>
  <c r="X5" i="24"/>
  <c r="AA5" i="24" s="1"/>
  <c r="AB5" i="24" s="1"/>
  <c r="AC5" i="24" s="1"/>
  <c r="CG120" i="25"/>
  <c r="CG112" i="25"/>
  <c r="CG122" i="25"/>
  <c r="AO110" i="25"/>
  <c r="CG118" i="25"/>
  <c r="S110" i="25"/>
  <c r="K110" i="25" s="1"/>
  <c r="AD110" i="25" s="1"/>
  <c r="AE110" i="25" s="1"/>
  <c r="P216" i="24"/>
  <c r="CF216" i="24" s="1"/>
  <c r="B201" i="2"/>
  <c r="CB103" i="25"/>
  <c r="CB91" i="25"/>
  <c r="CB102" i="25"/>
  <c r="CB49" i="25"/>
  <c r="CB90" i="25"/>
  <c r="CB105" i="25"/>
  <c r="CB101" i="25"/>
  <c r="CB97" i="25"/>
  <c r="CB93" i="25"/>
  <c r="CB5" i="25"/>
  <c r="R5" i="25"/>
  <c r="CB104" i="25"/>
  <c r="CB96" i="25"/>
  <c r="CB63" i="25"/>
  <c r="CB47" i="25"/>
  <c r="CB27" i="25"/>
  <c r="CB77" i="25"/>
  <c r="CB57" i="25"/>
  <c r="CB25" i="25"/>
  <c r="CB6" i="25"/>
  <c r="CB69" i="25"/>
  <c r="CB21" i="25"/>
  <c r="CB35" i="25"/>
  <c r="CB22" i="25"/>
  <c r="CB60" i="25"/>
  <c r="CB24" i="25"/>
  <c r="CB38" i="25"/>
  <c r="CB18" i="25"/>
  <c r="CB71" i="25"/>
  <c r="CB39" i="25"/>
  <c r="CB65" i="25"/>
  <c r="CB33" i="25"/>
  <c r="CB43" i="25"/>
  <c r="CB73" i="25"/>
  <c r="CB17" i="25"/>
  <c r="CB74" i="25"/>
  <c r="CB34" i="25"/>
  <c r="S5" i="25"/>
  <c r="K5" i="25" s="1"/>
  <c r="AD5" i="25" s="1"/>
  <c r="AE5" i="25" s="1"/>
  <c r="CB95" i="25"/>
  <c r="CB94" i="25"/>
  <c r="CB59" i="25"/>
  <c r="CB9" i="25"/>
  <c r="CB54" i="25"/>
  <c r="CB100" i="25"/>
  <c r="CB92" i="25"/>
  <c r="CB83" i="25"/>
  <c r="CB67" i="25"/>
  <c r="CB51" i="25"/>
  <c r="CB31" i="25"/>
  <c r="CB15" i="25"/>
  <c r="CB85" i="25"/>
  <c r="CB61" i="25"/>
  <c r="CB29" i="25"/>
  <c r="CB82" i="25"/>
  <c r="CB81" i="25"/>
  <c r="CB41" i="25"/>
  <c r="CB36" i="25"/>
  <c r="CB26" i="25"/>
  <c r="CB79" i="25"/>
  <c r="CB10" i="25"/>
  <c r="CB78" i="25"/>
  <c r="CB62" i="25"/>
  <c r="CB80" i="25"/>
  <c r="CB64" i="25"/>
  <c r="CB48" i="25"/>
  <c r="CB28" i="25"/>
  <c r="CB12" i="25"/>
  <c r="CB42" i="25"/>
  <c r="CB87" i="25"/>
  <c r="CB55" i="25"/>
  <c r="CB19" i="25"/>
  <c r="CB13" i="25"/>
  <c r="CB89" i="25"/>
  <c r="CB45" i="25"/>
  <c r="CB37" i="25"/>
  <c r="CB75" i="25"/>
  <c r="CB23" i="25"/>
  <c r="CB76" i="25"/>
  <c r="CB44" i="25"/>
  <c r="CB58" i="25"/>
  <c r="Q5" i="25"/>
  <c r="CB99" i="25"/>
  <c r="CB53" i="25"/>
  <c r="CB11" i="25"/>
  <c r="CB7" i="25"/>
  <c r="CB66" i="25"/>
  <c r="CB84" i="25"/>
  <c r="CB68" i="25"/>
  <c r="CB52" i="25"/>
  <c r="CB32" i="25"/>
  <c r="CB16" i="25"/>
  <c r="CB46" i="25"/>
  <c r="CB8" i="25"/>
  <c r="CB86" i="25"/>
  <c r="CB70" i="25"/>
  <c r="CB88" i="25"/>
  <c r="CB72" i="25"/>
  <c r="CB56" i="25"/>
  <c r="CB40" i="25"/>
  <c r="CB20" i="25"/>
  <c r="CB50" i="25"/>
  <c r="CB30" i="25"/>
  <c r="CB14" i="25"/>
  <c r="CB98" i="25"/>
  <c r="AO5" i="25"/>
  <c r="BK6" i="19"/>
  <c r="BB6" i="19"/>
  <c r="BH7" i="19"/>
  <c r="BF6" i="19"/>
  <c r="BK7" i="19"/>
  <c r="BS7" i="19"/>
  <c r="BF9" i="19"/>
  <c r="BH9" i="19"/>
  <c r="BD9" i="19"/>
  <c r="BA6" i="19"/>
  <c r="BI6" i="19"/>
  <c r="BD6" i="19"/>
  <c r="AZ7" i="19"/>
  <c r="BL7" i="19" s="1"/>
  <c r="BM7" i="19" s="1"/>
  <c r="BZ7" i="19" s="1"/>
  <c r="BG7" i="19"/>
  <c r="BJ7" i="19"/>
  <c r="BS6" i="19"/>
  <c r="AZ6" i="19"/>
  <c r="BL6" i="19" s="1"/>
  <c r="BM6" i="19" s="1"/>
  <c r="BZ6" i="19" s="1"/>
  <c r="BG6" i="19"/>
  <c r="BB7" i="19"/>
  <c r="BF7" i="19"/>
  <c r="BA7" i="19"/>
  <c r="BC6" i="19"/>
  <c r="BH6" i="19"/>
  <c r="BE6" i="19"/>
  <c r="BE7" i="19"/>
  <c r="BI7" i="19"/>
  <c r="BB9" i="19"/>
  <c r="BI9" i="19"/>
  <c r="BB8" i="19"/>
  <c r="BS8" i="19"/>
  <c r="BJ9" i="19"/>
  <c r="BS9" i="19"/>
  <c r="BK8" i="19"/>
  <c r="AZ9" i="19"/>
  <c r="BL9" i="19" s="1"/>
  <c r="BM9" i="19" s="1"/>
  <c r="BZ9" i="19" s="1"/>
  <c r="BD8" i="19"/>
  <c r="BE8" i="19"/>
  <c r="BG8" i="19"/>
  <c r="BE9" i="19"/>
  <c r="BA9" i="19"/>
  <c r="BG9" i="19"/>
  <c r="BH8" i="19"/>
  <c r="BI8" i="19"/>
  <c r="BF8" i="19"/>
  <c r="AZ8" i="19"/>
  <c r="BL8" i="19" s="1"/>
  <c r="BM8" i="19" s="1"/>
  <c r="BZ8" i="19" s="1"/>
  <c r="BK9" i="19"/>
  <c r="BC9" i="19"/>
  <c r="BA8" i="19"/>
  <c r="BJ8" i="19"/>
  <c r="AD216" i="25"/>
  <c r="AE216" i="25" s="1"/>
  <c r="W216" i="25"/>
  <c r="Z216" i="25" s="1"/>
  <c r="AA216" i="25" s="1"/>
  <c r="AB216" i="25" s="1"/>
  <c r="V216" i="25"/>
  <c r="X216" i="25" s="1"/>
  <c r="AD289" i="25"/>
  <c r="AE289" i="25" s="1"/>
  <c r="W289" i="25"/>
  <c r="Z289" i="25" s="1"/>
  <c r="AA289" i="25" s="1"/>
  <c r="AB289" i="25" s="1"/>
  <c r="AD253" i="25"/>
  <c r="AE253" i="25" s="1"/>
  <c r="W253" i="25"/>
  <c r="Z253" i="25" s="1"/>
  <c r="AA253" i="25" s="1"/>
  <c r="AB253" i="25" s="1"/>
  <c r="AO266" i="25"/>
  <c r="V205" i="25"/>
  <c r="U205" i="25"/>
  <c r="AD247" i="25"/>
  <c r="AE247" i="25" s="1"/>
  <c r="W247" i="25"/>
  <c r="Z247" i="25" s="1"/>
  <c r="AA247" i="25" s="1"/>
  <c r="AB247" i="25" s="1"/>
  <c r="AO182" i="25"/>
  <c r="AO185" i="25"/>
  <c r="AO153" i="25"/>
  <c r="AO273" i="25"/>
  <c r="U219" i="25"/>
  <c r="V219" i="25"/>
  <c r="AO83" i="25"/>
  <c r="AO85" i="25"/>
  <c r="AO29" i="25"/>
  <c r="W66" i="25"/>
  <c r="Z66" i="25" s="1"/>
  <c r="AA66" i="25" s="1"/>
  <c r="AB66" i="25" s="1"/>
  <c r="AD66" i="25"/>
  <c r="AE66" i="25" s="1"/>
  <c r="W68" i="25"/>
  <c r="Z68" i="25" s="1"/>
  <c r="AA68" i="25" s="1"/>
  <c r="AB68" i="25" s="1"/>
  <c r="AD68" i="25"/>
  <c r="AE68" i="25" s="1"/>
  <c r="AD16" i="25"/>
  <c r="AE16" i="25" s="1"/>
  <c r="W16" i="25"/>
  <c r="Z16" i="25" s="1"/>
  <c r="AA16" i="25" s="1"/>
  <c r="AB16" i="25" s="1"/>
  <c r="W36" i="25"/>
  <c r="Z36" i="25" s="1"/>
  <c r="AA36" i="25" s="1"/>
  <c r="AB36" i="25" s="1"/>
  <c r="AD36" i="25"/>
  <c r="AE36" i="25" s="1"/>
  <c r="AO36" i="25"/>
  <c r="U292" i="25"/>
  <c r="V292" i="25"/>
  <c r="AO265" i="25"/>
  <c r="V299" i="25"/>
  <c r="U299" i="25"/>
  <c r="AD282" i="25"/>
  <c r="AE282" i="25" s="1"/>
  <c r="W282" i="25"/>
  <c r="Z282" i="25" s="1"/>
  <c r="AA282" i="25" s="1"/>
  <c r="AB282" i="25" s="1"/>
  <c r="AO143" i="25"/>
  <c r="AO268" i="25"/>
  <c r="U260" i="25"/>
  <c r="V260" i="25"/>
  <c r="AO252" i="25"/>
  <c r="AD194" i="25"/>
  <c r="AE194" i="25" s="1"/>
  <c r="W194" i="25"/>
  <c r="Z194" i="25" s="1"/>
  <c r="AA194" i="25" s="1"/>
  <c r="AB194" i="25" s="1"/>
  <c r="AD162" i="25"/>
  <c r="AE162" i="25" s="1"/>
  <c r="W162" i="25"/>
  <c r="Z162" i="25" s="1"/>
  <c r="AA162" i="25" s="1"/>
  <c r="AB162" i="25" s="1"/>
  <c r="V192" i="25"/>
  <c r="U192" i="25"/>
  <c r="W168" i="25"/>
  <c r="Z168" i="25" s="1"/>
  <c r="AA168" i="25" s="1"/>
  <c r="AB168" i="25" s="1"/>
  <c r="AD168" i="25"/>
  <c r="AE168" i="25" s="1"/>
  <c r="V144" i="25"/>
  <c r="U144" i="25"/>
  <c r="AD95" i="25"/>
  <c r="AE95" i="25" s="1"/>
  <c r="W95" i="25"/>
  <c r="Z95" i="25" s="1"/>
  <c r="AA95" i="25" s="1"/>
  <c r="AB95" i="25" s="1"/>
  <c r="V62" i="25"/>
  <c r="U62" i="25"/>
  <c r="AD261" i="25"/>
  <c r="AE261" i="25" s="1"/>
  <c r="W261" i="25"/>
  <c r="Z261" i="25" s="1"/>
  <c r="AA261" i="25" s="1"/>
  <c r="AB261" i="25" s="1"/>
  <c r="AD127" i="25"/>
  <c r="AE127" i="25" s="1"/>
  <c r="W127" i="25"/>
  <c r="Z127" i="25" s="1"/>
  <c r="AA127" i="25" s="1"/>
  <c r="AB127" i="25" s="1"/>
  <c r="W90" i="25"/>
  <c r="Z90" i="25" s="1"/>
  <c r="AA90" i="25" s="1"/>
  <c r="AB90" i="25" s="1"/>
  <c r="AD90" i="25"/>
  <c r="AE90" i="25" s="1"/>
  <c r="W314" i="25"/>
  <c r="Z314" i="25" s="1"/>
  <c r="AA314" i="25" s="1"/>
  <c r="AB314" i="25" s="1"/>
  <c r="AD314" i="25"/>
  <c r="AE314" i="25" s="1"/>
  <c r="V311" i="25"/>
  <c r="U311" i="25"/>
  <c r="U296" i="25"/>
  <c r="V296" i="25"/>
  <c r="W313" i="25"/>
  <c r="Z313" i="25" s="1"/>
  <c r="AA313" i="25" s="1"/>
  <c r="AD313" i="25"/>
  <c r="AE313" i="25" s="1"/>
  <c r="V313" i="25"/>
  <c r="U313" i="25"/>
  <c r="V280" i="25"/>
  <c r="U280" i="25"/>
  <c r="AD286" i="25"/>
  <c r="AE286" i="25" s="1"/>
  <c r="W286" i="25"/>
  <c r="Z286" i="25" s="1"/>
  <c r="AA286" i="25" s="1"/>
  <c r="AB286" i="25" s="1"/>
  <c r="AO286" i="25"/>
  <c r="AO200" i="25"/>
  <c r="U234" i="25"/>
  <c r="V234" i="25"/>
  <c r="AD298" i="25"/>
  <c r="AE298" i="25" s="1"/>
  <c r="W298" i="25"/>
  <c r="Z298" i="25" s="1"/>
  <c r="AA298" i="25" s="1"/>
  <c r="AB298" i="25" s="1"/>
  <c r="AO298" i="25"/>
  <c r="AD195" i="25"/>
  <c r="AE195" i="25" s="1"/>
  <c r="W195" i="25"/>
  <c r="Z195" i="25" s="1"/>
  <c r="AA195" i="25" s="1"/>
  <c r="AO179" i="25"/>
  <c r="AD163" i="25"/>
  <c r="AE163" i="25" s="1"/>
  <c r="W163" i="25"/>
  <c r="Z163" i="25" s="1"/>
  <c r="AA163" i="25" s="1"/>
  <c r="AO147" i="25"/>
  <c r="AD131" i="25"/>
  <c r="AE131" i="25" s="1"/>
  <c r="W131" i="25"/>
  <c r="Z131" i="25" s="1"/>
  <c r="AA131" i="25" s="1"/>
  <c r="U263" i="25"/>
  <c r="V263" i="25"/>
  <c r="AD255" i="25"/>
  <c r="AE255" i="25" s="1"/>
  <c r="W255" i="25"/>
  <c r="Z255" i="25" s="1"/>
  <c r="AA255" i="25" s="1"/>
  <c r="AB255" i="25" s="1"/>
  <c r="AO255" i="25"/>
  <c r="U229" i="25"/>
  <c r="V229" i="25"/>
  <c r="AD198" i="25"/>
  <c r="AE198" i="25" s="1"/>
  <c r="W198" i="25"/>
  <c r="Z198" i="25" s="1"/>
  <c r="AA198" i="25" s="1"/>
  <c r="AB198" i="25" s="1"/>
  <c r="U198" i="25"/>
  <c r="V198" i="25"/>
  <c r="AD166" i="25"/>
  <c r="AE166" i="25" s="1"/>
  <c r="W166" i="25"/>
  <c r="Z166" i="25" s="1"/>
  <c r="AA166" i="25" s="1"/>
  <c r="AB166" i="25" s="1"/>
  <c r="U166" i="25"/>
  <c r="V166" i="25"/>
  <c r="AD134" i="25"/>
  <c r="AE134" i="25" s="1"/>
  <c r="W134" i="25"/>
  <c r="Z134" i="25" s="1"/>
  <c r="AA134" i="25" s="1"/>
  <c r="AB134" i="25" s="1"/>
  <c r="U134" i="25"/>
  <c r="V134" i="25"/>
  <c r="U193" i="25"/>
  <c r="V193" i="25"/>
  <c r="AD185" i="25"/>
  <c r="AE185" i="25" s="1"/>
  <c r="W185" i="25"/>
  <c r="Z185" i="25" s="1"/>
  <c r="AA185" i="25" s="1"/>
  <c r="AB185" i="25" s="1"/>
  <c r="U177" i="25"/>
  <c r="V177" i="25"/>
  <c r="AD169" i="25"/>
  <c r="AE169" i="25" s="1"/>
  <c r="W169" i="25"/>
  <c r="Z169" i="25" s="1"/>
  <c r="AA169" i="25" s="1"/>
  <c r="AB169" i="25" s="1"/>
  <c r="U161" i="25"/>
  <c r="V161" i="25"/>
  <c r="AD153" i="25"/>
  <c r="AE153" i="25" s="1"/>
  <c r="W153" i="25"/>
  <c r="Z153" i="25" s="1"/>
  <c r="AA153" i="25" s="1"/>
  <c r="AB153" i="25" s="1"/>
  <c r="U145" i="25"/>
  <c r="V145" i="25"/>
  <c r="AD137" i="25"/>
  <c r="AE137" i="25" s="1"/>
  <c r="W137" i="25"/>
  <c r="Z137" i="25" s="1"/>
  <c r="AA137" i="25" s="1"/>
  <c r="AB137" i="25" s="1"/>
  <c r="U129" i="25"/>
  <c r="V129" i="25"/>
  <c r="AD119" i="25"/>
  <c r="AE119" i="25" s="1"/>
  <c r="W119" i="25"/>
  <c r="Z119" i="25" s="1"/>
  <c r="AA119" i="25" s="1"/>
  <c r="AO119" i="25"/>
  <c r="V104" i="25"/>
  <c r="U104" i="25"/>
  <c r="V100" i="25"/>
  <c r="U100" i="25"/>
  <c r="V96" i="25"/>
  <c r="U96" i="25"/>
  <c r="V92" i="25"/>
  <c r="U92" i="25"/>
  <c r="U227" i="25"/>
  <c r="V227" i="25"/>
  <c r="AD219" i="25"/>
  <c r="AE219" i="25" s="1"/>
  <c r="W219" i="25"/>
  <c r="Z219" i="25" s="1"/>
  <c r="AA219" i="25" s="1"/>
  <c r="AO219" i="25"/>
  <c r="AO118" i="25"/>
  <c r="AO67" i="25"/>
  <c r="AO51" i="25"/>
  <c r="AO31" i="25"/>
  <c r="V31" i="25"/>
  <c r="U31" i="25"/>
  <c r="AO15" i="25"/>
  <c r="V85" i="25"/>
  <c r="U85" i="25"/>
  <c r="V61" i="25"/>
  <c r="U61" i="25"/>
  <c r="V29" i="25"/>
  <c r="U29" i="25"/>
  <c r="V302" i="25"/>
  <c r="U302" i="25"/>
  <c r="AD292" i="25"/>
  <c r="AE292" i="25" s="1"/>
  <c r="W292" i="25"/>
  <c r="Z292" i="25" s="1"/>
  <c r="AA292" i="25" s="1"/>
  <c r="AB292" i="25" s="1"/>
  <c r="AO292" i="25"/>
  <c r="AO312" i="25"/>
  <c r="V271" i="25"/>
  <c r="U271" i="25"/>
  <c r="AD276" i="25"/>
  <c r="AE276" i="25" s="1"/>
  <c r="W276" i="25"/>
  <c r="Z276" i="25" s="1"/>
  <c r="AA276" i="25" s="1"/>
  <c r="AB276" i="25" s="1"/>
  <c r="AO276" i="25"/>
  <c r="U233" i="25"/>
  <c r="V233" i="25"/>
  <c r="AD299" i="25"/>
  <c r="AE299" i="25" s="1"/>
  <c r="W299" i="25"/>
  <c r="Z299" i="25" s="1"/>
  <c r="AA299" i="25" s="1"/>
  <c r="U210" i="25"/>
  <c r="V210" i="25"/>
  <c r="AD202" i="25"/>
  <c r="AE202" i="25" s="1"/>
  <c r="W202" i="25"/>
  <c r="Z202" i="25" s="1"/>
  <c r="AA202" i="25" s="1"/>
  <c r="AB202" i="25" s="1"/>
  <c r="V191" i="25"/>
  <c r="U191" i="25"/>
  <c r="AD175" i="25"/>
  <c r="AE175" i="25" s="1"/>
  <c r="W175" i="25"/>
  <c r="Z175" i="25" s="1"/>
  <c r="AA175" i="25" s="1"/>
  <c r="V159" i="25"/>
  <c r="U159" i="25"/>
  <c r="AD143" i="25"/>
  <c r="AE143" i="25" s="1"/>
  <c r="W143" i="25"/>
  <c r="Z143" i="25" s="1"/>
  <c r="AA143" i="25" s="1"/>
  <c r="AD260" i="25"/>
  <c r="AE260" i="25" s="1"/>
  <c r="W260" i="25"/>
  <c r="Z260" i="25" s="1"/>
  <c r="AA260" i="25" s="1"/>
  <c r="AO260" i="25"/>
  <c r="U236" i="25"/>
  <c r="V236" i="25"/>
  <c r="AD225" i="25"/>
  <c r="AE225" i="25" s="1"/>
  <c r="W225" i="25"/>
  <c r="Z225" i="25" s="1"/>
  <c r="AA225" i="25" s="1"/>
  <c r="AO225" i="25"/>
  <c r="AO194" i="25"/>
  <c r="AO162" i="25"/>
  <c r="AD130" i="25"/>
  <c r="AE130" i="25" s="1"/>
  <c r="W130" i="25"/>
  <c r="Z130" i="25" s="1"/>
  <c r="AA130" i="25" s="1"/>
  <c r="AO192" i="25"/>
  <c r="AO160" i="25"/>
  <c r="AD99" i="25"/>
  <c r="AE99" i="25" s="1"/>
  <c r="W99" i="25"/>
  <c r="Z99" i="25" s="1"/>
  <c r="AA99" i="25" s="1"/>
  <c r="AB99" i="25" s="1"/>
  <c r="AD91" i="25"/>
  <c r="AE91" i="25" s="1"/>
  <c r="W91" i="25"/>
  <c r="Z91" i="25" s="1"/>
  <c r="AA91" i="25" s="1"/>
  <c r="AB91" i="25" s="1"/>
  <c r="V57" i="25"/>
  <c r="U57" i="25"/>
  <c r="V64" i="25"/>
  <c r="U64" i="25"/>
  <c r="AO291" i="25"/>
  <c r="AD171" i="25"/>
  <c r="AE171" i="25" s="1"/>
  <c r="W171" i="25"/>
  <c r="Z171" i="25" s="1"/>
  <c r="AA171" i="25" s="1"/>
  <c r="AB171" i="25" s="1"/>
  <c r="W278" i="25"/>
  <c r="Z278" i="25" s="1"/>
  <c r="AA278" i="25" s="1"/>
  <c r="AB278" i="25" s="1"/>
  <c r="AD278" i="25"/>
  <c r="AE278" i="25" s="1"/>
  <c r="U181" i="25"/>
  <c r="V181" i="25"/>
  <c r="U149" i="25"/>
  <c r="V149" i="25"/>
  <c r="U117" i="25"/>
  <c r="V117" i="25"/>
  <c r="AD60" i="25"/>
  <c r="AE60" i="25" s="1"/>
  <c r="W60" i="25"/>
  <c r="Z60" i="25" s="1"/>
  <c r="AA60" i="25" s="1"/>
  <c r="AB60" i="25" s="1"/>
  <c r="W24" i="25"/>
  <c r="Z24" i="25" s="1"/>
  <c r="AA24" i="25" s="1"/>
  <c r="AB24" i="25" s="1"/>
  <c r="AD24" i="25"/>
  <c r="AE24" i="25" s="1"/>
  <c r="AO283" i="25"/>
  <c r="V188" i="25"/>
  <c r="U188" i="25"/>
  <c r="AD75" i="25"/>
  <c r="AE75" i="25" s="1"/>
  <c r="W75" i="25"/>
  <c r="Z75" i="25" s="1"/>
  <c r="AA75" i="25" s="1"/>
  <c r="AB75" i="25" s="1"/>
  <c r="AD303" i="25"/>
  <c r="AE303" i="25" s="1"/>
  <c r="W303" i="25"/>
  <c r="Z303" i="25" s="1"/>
  <c r="AA303" i="25" s="1"/>
  <c r="AO313" i="25"/>
  <c r="U286" i="25"/>
  <c r="V286" i="25"/>
  <c r="AO253" i="25"/>
  <c r="AD220" i="25"/>
  <c r="AE220" i="25" s="1"/>
  <c r="W220" i="25"/>
  <c r="Z220" i="25" s="1"/>
  <c r="AA220" i="25" s="1"/>
  <c r="AB220" i="25" s="1"/>
  <c r="V195" i="25"/>
  <c r="U195" i="25"/>
  <c r="V163" i="25"/>
  <c r="U163" i="25"/>
  <c r="V131" i="25"/>
  <c r="U131" i="25"/>
  <c r="AO270" i="25"/>
  <c r="U255" i="25"/>
  <c r="V255" i="25"/>
  <c r="AO137" i="25"/>
  <c r="AD118" i="25"/>
  <c r="AE118" i="25" s="1"/>
  <c r="W118" i="25"/>
  <c r="Z118" i="25" s="1"/>
  <c r="AA118" i="25" s="1"/>
  <c r="V15" i="25"/>
  <c r="U15" i="25"/>
  <c r="W82" i="25"/>
  <c r="Z82" i="25" s="1"/>
  <c r="AA82" i="25" s="1"/>
  <c r="AB82" i="25" s="1"/>
  <c r="AD82" i="25"/>
  <c r="AE82" i="25" s="1"/>
  <c r="AO66" i="25"/>
  <c r="W52" i="25"/>
  <c r="Z52" i="25" s="1"/>
  <c r="AA52" i="25" s="1"/>
  <c r="AB52" i="25" s="1"/>
  <c r="AD52" i="25"/>
  <c r="AE52" i="25" s="1"/>
  <c r="AD81" i="25"/>
  <c r="AE81" i="25" s="1"/>
  <c r="W81" i="25"/>
  <c r="Z81" i="25" s="1"/>
  <c r="AA81" i="25" s="1"/>
  <c r="AB81" i="25" s="1"/>
  <c r="AD41" i="25"/>
  <c r="AE41" i="25" s="1"/>
  <c r="W41" i="25"/>
  <c r="Z41" i="25" s="1"/>
  <c r="AA41" i="25" s="1"/>
  <c r="AB41" i="25" s="1"/>
  <c r="W310" i="25"/>
  <c r="Z310" i="25" s="1"/>
  <c r="AA310" i="25" s="1"/>
  <c r="AB310" i="25" s="1"/>
  <c r="AD310" i="25"/>
  <c r="AE310" i="25" s="1"/>
  <c r="AO302" i="25"/>
  <c r="AD312" i="25"/>
  <c r="AE312" i="25" s="1"/>
  <c r="W312" i="25"/>
  <c r="Z312" i="25" s="1"/>
  <c r="AA312" i="25" s="1"/>
  <c r="AB312" i="25" s="1"/>
  <c r="AD265" i="25"/>
  <c r="AE265" i="25" s="1"/>
  <c r="W265" i="25"/>
  <c r="Z265" i="25" s="1"/>
  <c r="AA265" i="25" s="1"/>
  <c r="AB265" i="25" s="1"/>
  <c r="AO299" i="25"/>
  <c r="AO262" i="25"/>
  <c r="AO282" i="25"/>
  <c r="AO202" i="25"/>
  <c r="AO175" i="25"/>
  <c r="AD252" i="25"/>
  <c r="AE252" i="25" s="1"/>
  <c r="W252" i="25"/>
  <c r="Z252" i="25" s="1"/>
  <c r="AA252" i="25" s="1"/>
  <c r="U194" i="25"/>
  <c r="V194" i="25"/>
  <c r="AO130" i="25"/>
  <c r="W176" i="25"/>
  <c r="Z176" i="25" s="1"/>
  <c r="AA176" i="25" s="1"/>
  <c r="AD176" i="25"/>
  <c r="AE176" i="25" s="1"/>
  <c r="V160" i="25"/>
  <c r="U160" i="25"/>
  <c r="V128" i="25"/>
  <c r="U128" i="25"/>
  <c r="V103" i="25"/>
  <c r="U103" i="25"/>
  <c r="AO63" i="25"/>
  <c r="V77" i="25"/>
  <c r="U77" i="25"/>
  <c r="AO288" i="25"/>
  <c r="U221" i="25"/>
  <c r="V221" i="25"/>
  <c r="AD165" i="25"/>
  <c r="AE165" i="25" s="1"/>
  <c r="W165" i="25"/>
  <c r="Z165" i="25" s="1"/>
  <c r="AA165" i="25" s="1"/>
  <c r="AB165" i="25" s="1"/>
  <c r="V94" i="25"/>
  <c r="U94" i="25"/>
  <c r="W9" i="25"/>
  <c r="Z9" i="25" s="1"/>
  <c r="AA9" i="25" s="1"/>
  <c r="AB9" i="25" s="1"/>
  <c r="AD9" i="25"/>
  <c r="AE9" i="25" s="1"/>
  <c r="V314" i="25"/>
  <c r="U314" i="25"/>
  <c r="V303" i="25"/>
  <c r="U303" i="25"/>
  <c r="W311" i="25"/>
  <c r="Z311" i="25" s="1"/>
  <c r="AA311" i="25" s="1"/>
  <c r="AD311" i="25"/>
  <c r="AE311" i="25" s="1"/>
  <c r="AO311" i="25"/>
  <c r="U289" i="25"/>
  <c r="V289" i="25"/>
  <c r="W275" i="25"/>
  <c r="Z275" i="25" s="1"/>
  <c r="AA275" i="25" s="1"/>
  <c r="AB275" i="25" s="1"/>
  <c r="AD275" i="25"/>
  <c r="AE275" i="25" s="1"/>
  <c r="U253" i="25"/>
  <c r="V253" i="25"/>
  <c r="AD237" i="25"/>
  <c r="AE237" i="25" s="1"/>
  <c r="W237" i="25"/>
  <c r="Z237" i="25" s="1"/>
  <c r="AA237" i="25" s="1"/>
  <c r="AO237" i="25"/>
  <c r="V200" i="25"/>
  <c r="U200" i="25"/>
  <c r="U266" i="25"/>
  <c r="V266" i="25"/>
  <c r="AD250" i="25"/>
  <c r="AE250" i="25" s="1"/>
  <c r="W250" i="25"/>
  <c r="Z250" i="25" s="1"/>
  <c r="AA250" i="25" s="1"/>
  <c r="AO250" i="25"/>
  <c r="U220" i="25"/>
  <c r="V220" i="25"/>
  <c r="W205" i="25"/>
  <c r="Z205" i="25" s="1"/>
  <c r="AA205" i="25" s="1"/>
  <c r="AB205" i="25" s="1"/>
  <c r="AD205" i="25"/>
  <c r="AE205" i="25" s="1"/>
  <c r="AO195" i="25"/>
  <c r="AD179" i="25"/>
  <c r="AE179" i="25" s="1"/>
  <c r="W179" i="25"/>
  <c r="Z179" i="25" s="1"/>
  <c r="AA179" i="25" s="1"/>
  <c r="AO163" i="25"/>
  <c r="AD147" i="25"/>
  <c r="AE147" i="25" s="1"/>
  <c r="W147" i="25"/>
  <c r="Z147" i="25" s="1"/>
  <c r="AA147" i="25" s="1"/>
  <c r="AO131" i="25"/>
  <c r="W270" i="25"/>
  <c r="Z270" i="25" s="1"/>
  <c r="AA270" i="25" s="1"/>
  <c r="AD270" i="25"/>
  <c r="AE270" i="25" s="1"/>
  <c r="V270" i="25"/>
  <c r="U270" i="25"/>
  <c r="U247" i="25"/>
  <c r="V247" i="25"/>
  <c r="AD239" i="25"/>
  <c r="AE239" i="25" s="1"/>
  <c r="W239" i="25"/>
  <c r="Z239" i="25" s="1"/>
  <c r="AA239" i="25" s="1"/>
  <c r="AO239" i="25"/>
  <c r="AD182" i="25"/>
  <c r="AE182" i="25" s="1"/>
  <c r="W182" i="25"/>
  <c r="Z182" i="25" s="1"/>
  <c r="AA182" i="25" s="1"/>
  <c r="AB182" i="25" s="1"/>
  <c r="U182" i="25"/>
  <c r="V182" i="25"/>
  <c r="AD150" i="25"/>
  <c r="AE150" i="25" s="1"/>
  <c r="W150" i="25"/>
  <c r="Z150" i="25" s="1"/>
  <c r="AA150" i="25" s="1"/>
  <c r="AB150" i="25" s="1"/>
  <c r="U150" i="25"/>
  <c r="V150" i="25"/>
  <c r="AD193" i="25"/>
  <c r="AE193" i="25" s="1"/>
  <c r="W193" i="25"/>
  <c r="Z193" i="25" s="1"/>
  <c r="AA193" i="25" s="1"/>
  <c r="U185" i="25"/>
  <c r="V185" i="25"/>
  <c r="AD177" i="25"/>
  <c r="AE177" i="25" s="1"/>
  <c r="W177" i="25"/>
  <c r="Z177" i="25" s="1"/>
  <c r="AA177" i="25" s="1"/>
  <c r="U169" i="25"/>
  <c r="V169" i="25"/>
  <c r="AD161" i="25"/>
  <c r="AE161" i="25" s="1"/>
  <c r="W161" i="25"/>
  <c r="Z161" i="25" s="1"/>
  <c r="AA161" i="25" s="1"/>
  <c r="U153" i="25"/>
  <c r="V153" i="25"/>
  <c r="AD145" i="25"/>
  <c r="AE145" i="25" s="1"/>
  <c r="W145" i="25"/>
  <c r="Z145" i="25" s="1"/>
  <c r="AA145" i="25" s="1"/>
  <c r="U137" i="25"/>
  <c r="V137" i="25"/>
  <c r="AD129" i="25"/>
  <c r="AE129" i="25" s="1"/>
  <c r="W129" i="25"/>
  <c r="Z129" i="25" s="1"/>
  <c r="AA129" i="25" s="1"/>
  <c r="AD104" i="25"/>
  <c r="AE104" i="25" s="1"/>
  <c r="W104" i="25"/>
  <c r="Z104" i="25" s="1"/>
  <c r="AA104" i="25" s="1"/>
  <c r="AB104" i="25" s="1"/>
  <c r="AD100" i="25"/>
  <c r="AE100" i="25" s="1"/>
  <c r="W100" i="25"/>
  <c r="Z100" i="25" s="1"/>
  <c r="AA100" i="25" s="1"/>
  <c r="AB100" i="25" s="1"/>
  <c r="AO100" i="25"/>
  <c r="AD96" i="25"/>
  <c r="AE96" i="25" s="1"/>
  <c r="W96" i="25"/>
  <c r="Z96" i="25" s="1"/>
  <c r="AA96" i="25" s="1"/>
  <c r="AB96" i="25" s="1"/>
  <c r="AD92" i="25"/>
  <c r="AE92" i="25" s="1"/>
  <c r="W92" i="25"/>
  <c r="Z92" i="25" s="1"/>
  <c r="AA92" i="25" s="1"/>
  <c r="AB92" i="25" s="1"/>
  <c r="AO92" i="25"/>
  <c r="AD273" i="25"/>
  <c r="AE273" i="25" s="1"/>
  <c r="W273" i="25"/>
  <c r="Z273" i="25" s="1"/>
  <c r="AA273" i="25" s="1"/>
  <c r="V67" i="25"/>
  <c r="U67" i="25"/>
  <c r="AO61" i="25"/>
  <c r="AO11" i="25"/>
  <c r="AO7" i="25"/>
  <c r="AO82" i="25"/>
  <c r="AO84" i="25"/>
  <c r="AO68" i="25"/>
  <c r="AO52" i="25"/>
  <c r="V32" i="25"/>
  <c r="U32" i="25"/>
  <c r="AO32" i="25"/>
  <c r="V16" i="25"/>
  <c r="U16" i="25"/>
  <c r="AO16" i="25"/>
  <c r="AO81" i="25"/>
  <c r="V81" i="25"/>
  <c r="U81" i="25"/>
  <c r="AO41" i="25"/>
  <c r="V41" i="25"/>
  <c r="U41" i="25"/>
  <c r="AO46" i="25"/>
  <c r="AO26" i="25"/>
  <c r="V310" i="25"/>
  <c r="U310" i="25"/>
  <c r="AD302" i="25"/>
  <c r="AE302" i="25" s="1"/>
  <c r="W302" i="25"/>
  <c r="Z302" i="25" s="1"/>
  <c r="AA302" i="25" s="1"/>
  <c r="V312" i="25"/>
  <c r="U312" i="25"/>
  <c r="AD285" i="25"/>
  <c r="AE285" i="25" s="1"/>
  <c r="W285" i="25"/>
  <c r="Z285" i="25" s="1"/>
  <c r="AA285" i="25" s="1"/>
  <c r="AO285" i="25"/>
  <c r="AO271" i="25"/>
  <c r="U265" i="25"/>
  <c r="V265" i="25"/>
  <c r="AD249" i="25"/>
  <c r="AE249" i="25" s="1"/>
  <c r="W249" i="25"/>
  <c r="Z249" i="25" s="1"/>
  <c r="AA249" i="25" s="1"/>
  <c r="AO249" i="25"/>
  <c r="U262" i="25"/>
  <c r="V262" i="25"/>
  <c r="AD246" i="25"/>
  <c r="AE246" i="25" s="1"/>
  <c r="W246" i="25"/>
  <c r="Z246" i="25" s="1"/>
  <c r="AA246" i="25" s="1"/>
  <c r="AO246" i="25"/>
  <c r="AO207" i="25"/>
  <c r="U282" i="25"/>
  <c r="V282" i="25"/>
  <c r="AD210" i="25"/>
  <c r="AE210" i="25" s="1"/>
  <c r="W210" i="25"/>
  <c r="Z210" i="25" s="1"/>
  <c r="AA210" i="25" s="1"/>
  <c r="U202" i="25"/>
  <c r="V202" i="25"/>
  <c r="AD191" i="25"/>
  <c r="AE191" i="25" s="1"/>
  <c r="W191" i="25"/>
  <c r="Z191" i="25" s="1"/>
  <c r="AA191" i="25" s="1"/>
  <c r="V175" i="25"/>
  <c r="U175" i="25"/>
  <c r="AD159" i="25"/>
  <c r="AE159" i="25" s="1"/>
  <c r="W159" i="25"/>
  <c r="Z159" i="25" s="1"/>
  <c r="AA159" i="25" s="1"/>
  <c r="V143" i="25"/>
  <c r="U143" i="25"/>
  <c r="AD287" i="25"/>
  <c r="AE287" i="25" s="1"/>
  <c r="W287" i="25"/>
  <c r="Z287" i="25" s="1"/>
  <c r="AA287" i="25" s="1"/>
  <c r="AO287" i="25"/>
  <c r="U268" i="25"/>
  <c r="V268" i="25"/>
  <c r="U252" i="25"/>
  <c r="V252" i="25"/>
  <c r="AD244" i="25"/>
  <c r="AE244" i="25" s="1"/>
  <c r="W244" i="25"/>
  <c r="Z244" i="25" s="1"/>
  <c r="AA244" i="25" s="1"/>
  <c r="AO244" i="25"/>
  <c r="AO178" i="25"/>
  <c r="U146" i="25"/>
  <c r="V146" i="25"/>
  <c r="U130" i="25"/>
  <c r="V130" i="25"/>
  <c r="AO176" i="25"/>
  <c r="AD103" i="25"/>
  <c r="AE103" i="25" s="1"/>
  <c r="W103" i="25"/>
  <c r="Z103" i="25" s="1"/>
  <c r="AA103" i="25" s="1"/>
  <c r="AB103" i="25" s="1"/>
  <c r="V91" i="25"/>
  <c r="U91" i="25"/>
  <c r="AD291" i="25"/>
  <c r="AE291" i="25" s="1"/>
  <c r="W291" i="25"/>
  <c r="Z291" i="25" s="1"/>
  <c r="AA291" i="25" s="1"/>
  <c r="AB291" i="25" s="1"/>
  <c r="V278" i="25"/>
  <c r="U278" i="25"/>
  <c r="AD174" i="25"/>
  <c r="AE174" i="25" s="1"/>
  <c r="W174" i="25"/>
  <c r="Z174" i="25" s="1"/>
  <c r="AA174" i="25" s="1"/>
  <c r="V304" i="25"/>
  <c r="U304" i="25"/>
  <c r="AO217" i="25"/>
  <c r="AD55" i="25"/>
  <c r="AE55" i="25" s="1"/>
  <c r="W55" i="25"/>
  <c r="Z55" i="25" s="1"/>
  <c r="AA55" i="25" s="1"/>
  <c r="AB55" i="25" s="1"/>
  <c r="AO314" i="25"/>
  <c r="AO303" i="25"/>
  <c r="AO289" i="25"/>
  <c r="AO275" i="25"/>
  <c r="AD266" i="25"/>
  <c r="AE266" i="25" s="1"/>
  <c r="W266" i="25"/>
  <c r="Z266" i="25" s="1"/>
  <c r="AA266" i="25" s="1"/>
  <c r="U298" i="25"/>
  <c r="V298" i="25"/>
  <c r="AO220" i="25"/>
  <c r="AO247" i="25"/>
  <c r="AO150" i="25"/>
  <c r="AO169" i="25"/>
  <c r="V119" i="25"/>
  <c r="U119" i="25"/>
  <c r="V118" i="25"/>
  <c r="U118" i="25"/>
  <c r="V116" i="25"/>
  <c r="U116" i="25"/>
  <c r="AD84" i="25"/>
  <c r="AE84" i="25" s="1"/>
  <c r="W84" i="25"/>
  <c r="Z84" i="25" s="1"/>
  <c r="AA84" i="25" s="1"/>
  <c r="AB84" i="25" s="1"/>
  <c r="W32" i="25"/>
  <c r="Z32" i="25" s="1"/>
  <c r="AA32" i="25" s="1"/>
  <c r="AB32" i="25" s="1"/>
  <c r="AD32" i="25"/>
  <c r="AE32" i="25" s="1"/>
  <c r="W46" i="25"/>
  <c r="Z46" i="25" s="1"/>
  <c r="AA46" i="25" s="1"/>
  <c r="AB46" i="25" s="1"/>
  <c r="AD46" i="25"/>
  <c r="AE46" i="25" s="1"/>
  <c r="W26" i="25"/>
  <c r="Z26" i="25" s="1"/>
  <c r="AA26" i="25" s="1"/>
  <c r="AB26" i="25" s="1"/>
  <c r="AD26" i="25"/>
  <c r="AE26" i="25" s="1"/>
  <c r="V307" i="25"/>
  <c r="U307" i="25"/>
  <c r="V276" i="25"/>
  <c r="U276" i="25"/>
  <c r="AD262" i="25"/>
  <c r="AE262" i="25" s="1"/>
  <c r="W262" i="25"/>
  <c r="Z262" i="25" s="1"/>
  <c r="AA262" i="25" s="1"/>
  <c r="U225" i="25"/>
  <c r="V225" i="25"/>
  <c r="U162" i="25"/>
  <c r="V162" i="25"/>
  <c r="V184" i="25"/>
  <c r="U184" i="25"/>
  <c r="V152" i="25"/>
  <c r="U152" i="25"/>
  <c r="V136" i="25"/>
  <c r="U136" i="25"/>
  <c r="AO115" i="25"/>
  <c r="V272" i="25"/>
  <c r="U272" i="25"/>
  <c r="AO139" i="25"/>
  <c r="AD189" i="25"/>
  <c r="AE189" i="25" s="1"/>
  <c r="W189" i="25"/>
  <c r="Z189" i="25" s="1"/>
  <c r="AA189" i="25" s="1"/>
  <c r="AB189" i="25" s="1"/>
  <c r="V102" i="25"/>
  <c r="U102" i="25"/>
  <c r="AD49" i="25"/>
  <c r="AE49" i="25" s="1"/>
  <c r="W49" i="25"/>
  <c r="Z49" i="25" s="1"/>
  <c r="AA49" i="25" s="1"/>
  <c r="AB49" i="25" s="1"/>
  <c r="W54" i="25"/>
  <c r="Z54" i="25" s="1"/>
  <c r="AA54" i="25" s="1"/>
  <c r="AB54" i="25" s="1"/>
  <c r="AD54" i="25"/>
  <c r="AE54" i="25" s="1"/>
  <c r="AD296" i="25"/>
  <c r="AE296" i="25" s="1"/>
  <c r="W296" i="25"/>
  <c r="Z296" i="25" s="1"/>
  <c r="AA296" i="25" s="1"/>
  <c r="AO296" i="25"/>
  <c r="V275" i="25"/>
  <c r="U275" i="25"/>
  <c r="AD280" i="25"/>
  <c r="AE280" i="25" s="1"/>
  <c r="W280" i="25"/>
  <c r="Z280" i="25" s="1"/>
  <c r="AA280" i="25" s="1"/>
  <c r="AO280" i="25"/>
  <c r="U237" i="25"/>
  <c r="V237" i="25"/>
  <c r="AD200" i="25"/>
  <c r="AE200" i="25" s="1"/>
  <c r="W200" i="25"/>
  <c r="Z200" i="25" s="1"/>
  <c r="AA200" i="25" s="1"/>
  <c r="U250" i="25"/>
  <c r="V250" i="25"/>
  <c r="AD234" i="25"/>
  <c r="AE234" i="25" s="1"/>
  <c r="W234" i="25"/>
  <c r="Z234" i="25" s="1"/>
  <c r="AA234" i="25" s="1"/>
  <c r="AO234" i="25"/>
  <c r="AO205" i="25"/>
  <c r="V179" i="25"/>
  <c r="U179" i="25"/>
  <c r="V147" i="25"/>
  <c r="U147" i="25"/>
  <c r="AD263" i="25"/>
  <c r="AE263" i="25" s="1"/>
  <c r="W263" i="25"/>
  <c r="Z263" i="25" s="1"/>
  <c r="AA263" i="25" s="1"/>
  <c r="AO263" i="25"/>
  <c r="U239" i="25"/>
  <c r="V239" i="25"/>
  <c r="AD229" i="25"/>
  <c r="AE229" i="25" s="1"/>
  <c r="W229" i="25"/>
  <c r="Z229" i="25" s="1"/>
  <c r="AA229" i="25" s="1"/>
  <c r="AO229" i="25"/>
  <c r="AO198" i="25"/>
  <c r="AO166" i="25"/>
  <c r="AO134" i="25"/>
  <c r="AO193" i="25"/>
  <c r="AO177" i="25"/>
  <c r="AO161" i="25"/>
  <c r="AO145" i="25"/>
  <c r="AO129" i="25"/>
  <c r="AO104" i="25"/>
  <c r="AO96" i="25"/>
  <c r="V273" i="25"/>
  <c r="U273" i="25"/>
  <c r="AD227" i="25"/>
  <c r="AE227" i="25" s="1"/>
  <c r="W227" i="25"/>
  <c r="Z227" i="25" s="1"/>
  <c r="AA227" i="25" s="1"/>
  <c r="AO227" i="25"/>
  <c r="W83" i="25"/>
  <c r="Z83" i="25" s="1"/>
  <c r="AA83" i="25" s="1"/>
  <c r="AB83" i="25" s="1"/>
  <c r="AD83" i="25"/>
  <c r="AE83" i="25" s="1"/>
  <c r="V83" i="25"/>
  <c r="U83" i="25"/>
  <c r="AD67" i="25"/>
  <c r="AE67" i="25" s="1"/>
  <c r="W67" i="25"/>
  <c r="Z67" i="25" s="1"/>
  <c r="AA67" i="25" s="1"/>
  <c r="AB67" i="25" s="1"/>
  <c r="W51" i="25"/>
  <c r="Z51" i="25" s="1"/>
  <c r="AA51" i="25" s="1"/>
  <c r="AB51" i="25" s="1"/>
  <c r="AD51" i="25"/>
  <c r="AE51" i="25" s="1"/>
  <c r="V51" i="25"/>
  <c r="U51" i="25"/>
  <c r="W31" i="25"/>
  <c r="Z31" i="25" s="1"/>
  <c r="AA31" i="25" s="1"/>
  <c r="AB31" i="25" s="1"/>
  <c r="AD31" i="25"/>
  <c r="AE31" i="25" s="1"/>
  <c r="AD15" i="25"/>
  <c r="AE15" i="25" s="1"/>
  <c r="W15" i="25"/>
  <c r="Z15" i="25" s="1"/>
  <c r="AA15" i="25" s="1"/>
  <c r="AB15" i="25" s="1"/>
  <c r="AD85" i="25"/>
  <c r="AE85" i="25" s="1"/>
  <c r="W85" i="25"/>
  <c r="Z85" i="25" s="1"/>
  <c r="AA85" i="25" s="1"/>
  <c r="AB85" i="25" s="1"/>
  <c r="AD61" i="25"/>
  <c r="AE61" i="25" s="1"/>
  <c r="W61" i="25"/>
  <c r="Z61" i="25" s="1"/>
  <c r="AA61" i="25" s="1"/>
  <c r="AB61" i="25" s="1"/>
  <c r="AD29" i="25"/>
  <c r="AE29" i="25" s="1"/>
  <c r="W29" i="25"/>
  <c r="Z29" i="25" s="1"/>
  <c r="AA29" i="25" s="1"/>
  <c r="AB29" i="25" s="1"/>
  <c r="W11" i="25"/>
  <c r="Z11" i="25" s="1"/>
  <c r="AA11" i="25" s="1"/>
  <c r="AB11" i="25" s="1"/>
  <c r="AD11" i="25"/>
  <c r="AE11" i="25" s="1"/>
  <c r="U11" i="25"/>
  <c r="V11" i="25"/>
  <c r="W7" i="25"/>
  <c r="Z7" i="25" s="1"/>
  <c r="AA7" i="25" s="1"/>
  <c r="AB7" i="25" s="1"/>
  <c r="AD7" i="25"/>
  <c r="AE7" i="25" s="1"/>
  <c r="U7" i="25"/>
  <c r="V7" i="25"/>
  <c r="AD116" i="25"/>
  <c r="AE116" i="25" s="1"/>
  <c r="W116" i="25"/>
  <c r="Z116" i="25" s="1"/>
  <c r="AA116" i="25" s="1"/>
  <c r="AO116" i="25"/>
  <c r="V82" i="25"/>
  <c r="U82" i="25"/>
  <c r="V66" i="25"/>
  <c r="U66" i="25"/>
  <c r="V84" i="25"/>
  <c r="U84" i="25"/>
  <c r="V68" i="25"/>
  <c r="U68" i="25"/>
  <c r="V52" i="25"/>
  <c r="U52" i="25"/>
  <c r="V46" i="25"/>
  <c r="U46" i="25"/>
  <c r="V36" i="25"/>
  <c r="U36" i="25"/>
  <c r="V26" i="25"/>
  <c r="U26" i="25"/>
  <c r="AO310" i="25"/>
  <c r="AD307" i="25"/>
  <c r="AE307" i="25" s="1"/>
  <c r="W307" i="25"/>
  <c r="Z307" i="25" s="1"/>
  <c r="AA307" i="25" s="1"/>
  <c r="AO307" i="25"/>
  <c r="U285" i="25"/>
  <c r="V285" i="25"/>
  <c r="W271" i="25"/>
  <c r="Z271" i="25" s="1"/>
  <c r="AA271" i="25" s="1"/>
  <c r="AB271" i="25" s="1"/>
  <c r="AD271" i="25"/>
  <c r="AE271" i="25" s="1"/>
  <c r="U249" i="25"/>
  <c r="V249" i="25"/>
  <c r="AD233" i="25"/>
  <c r="AE233" i="25" s="1"/>
  <c r="W233" i="25"/>
  <c r="Z233" i="25" s="1"/>
  <c r="AA233" i="25" s="1"/>
  <c r="AO233" i="25"/>
  <c r="U246" i="25"/>
  <c r="V246" i="25"/>
  <c r="AD207" i="25"/>
  <c r="AE207" i="25" s="1"/>
  <c r="W207" i="25"/>
  <c r="Z207" i="25" s="1"/>
  <c r="AA207" i="25" s="1"/>
  <c r="AB207" i="25" s="1"/>
  <c r="U207" i="25"/>
  <c r="V207" i="25"/>
  <c r="AO210" i="25"/>
  <c r="AO191" i="25"/>
  <c r="AO159" i="25"/>
  <c r="U287" i="25"/>
  <c r="V287" i="25"/>
  <c r="AD268" i="25"/>
  <c r="AE268" i="25" s="1"/>
  <c r="W268" i="25"/>
  <c r="Z268" i="25" s="1"/>
  <c r="AA268" i="25" s="1"/>
  <c r="U244" i="25"/>
  <c r="V244" i="25"/>
  <c r="AD236" i="25"/>
  <c r="AE236" i="25" s="1"/>
  <c r="W236" i="25"/>
  <c r="Z236" i="25" s="1"/>
  <c r="AA236" i="25" s="1"/>
  <c r="AO236" i="25"/>
  <c r="AD178" i="25"/>
  <c r="AE178" i="25" s="1"/>
  <c r="W178" i="25"/>
  <c r="Z178" i="25" s="1"/>
  <c r="AA178" i="25" s="1"/>
  <c r="AB178" i="25" s="1"/>
  <c r="U178" i="25"/>
  <c r="V178" i="25"/>
  <c r="AD146" i="25"/>
  <c r="AE146" i="25" s="1"/>
  <c r="W146" i="25"/>
  <c r="Z146" i="25" s="1"/>
  <c r="AA146" i="25" s="1"/>
  <c r="W192" i="25"/>
  <c r="Z192" i="25" s="1"/>
  <c r="AA192" i="25" s="1"/>
  <c r="AD192" i="25"/>
  <c r="AE192" i="25" s="1"/>
  <c r="W184" i="25"/>
  <c r="Z184" i="25" s="1"/>
  <c r="AA184" i="25" s="1"/>
  <c r="AB184" i="25" s="1"/>
  <c r="AD184" i="25"/>
  <c r="AE184" i="25" s="1"/>
  <c r="V176" i="25"/>
  <c r="U176" i="25"/>
  <c r="V168" i="25"/>
  <c r="U168" i="25"/>
  <c r="W160" i="25"/>
  <c r="Z160" i="25" s="1"/>
  <c r="AA160" i="25" s="1"/>
  <c r="AD160" i="25"/>
  <c r="AE160" i="25" s="1"/>
  <c r="W152" i="25"/>
  <c r="Z152" i="25" s="1"/>
  <c r="AA152" i="25" s="1"/>
  <c r="AD152" i="25"/>
  <c r="AE152" i="25" s="1"/>
  <c r="W144" i="25"/>
  <c r="Z144" i="25" s="1"/>
  <c r="AA144" i="25" s="1"/>
  <c r="AD144" i="25"/>
  <c r="AE144" i="25" s="1"/>
  <c r="W136" i="25"/>
  <c r="Z136" i="25" s="1"/>
  <c r="AA136" i="25" s="1"/>
  <c r="AD136" i="25"/>
  <c r="AE136" i="25" s="1"/>
  <c r="W128" i="25"/>
  <c r="Z128" i="25" s="1"/>
  <c r="AA128" i="25" s="1"/>
  <c r="AD128" i="25"/>
  <c r="AE128" i="25" s="1"/>
  <c r="AD115" i="25"/>
  <c r="AE115" i="25" s="1"/>
  <c r="W115" i="25"/>
  <c r="Z115" i="25" s="1"/>
  <c r="AA115" i="25" s="1"/>
  <c r="AB115" i="25" s="1"/>
  <c r="V99" i="25"/>
  <c r="U99" i="25"/>
  <c r="V95" i="25"/>
  <c r="U95" i="25"/>
  <c r="AD269" i="25"/>
  <c r="AE269" i="25" s="1"/>
  <c r="W269" i="25"/>
  <c r="Z269" i="25" s="1"/>
  <c r="AA269" i="25" s="1"/>
  <c r="AB269" i="25" s="1"/>
  <c r="V25" i="25"/>
  <c r="U25" i="25"/>
  <c r="AD288" i="25"/>
  <c r="AE288" i="25" s="1"/>
  <c r="W288" i="25"/>
  <c r="Z288" i="25" s="1"/>
  <c r="AA288" i="25" s="1"/>
  <c r="AB288" i="25" s="1"/>
  <c r="AO261" i="25"/>
  <c r="U174" i="25"/>
  <c r="V174" i="25"/>
  <c r="W38" i="25"/>
  <c r="Z38" i="25" s="1"/>
  <c r="AA38" i="25" s="1"/>
  <c r="AB38" i="25" s="1"/>
  <c r="AD38" i="25"/>
  <c r="AE38" i="25" s="1"/>
  <c r="V18" i="25"/>
  <c r="U18" i="25"/>
  <c r="AD224" i="25"/>
  <c r="AE224" i="25" s="1"/>
  <c r="W224" i="25"/>
  <c r="Z224" i="25" s="1"/>
  <c r="AA224" i="25" s="1"/>
  <c r="AB224" i="25" s="1"/>
  <c r="V199" i="25"/>
  <c r="U199" i="25"/>
  <c r="V151" i="25"/>
  <c r="U151" i="25"/>
  <c r="AD73" i="25"/>
  <c r="AE73" i="25" s="1"/>
  <c r="W73" i="25"/>
  <c r="Z73" i="25" s="1"/>
  <c r="AA73" i="25" s="1"/>
  <c r="AB73" i="25" s="1"/>
  <c r="AO146" i="25"/>
  <c r="AO184" i="25"/>
  <c r="AO168" i="25"/>
  <c r="AO152" i="25"/>
  <c r="AO136" i="25"/>
  <c r="V115" i="25"/>
  <c r="U115" i="25"/>
  <c r="AO103" i="25"/>
  <c r="AO99" i="25"/>
  <c r="AO95" i="25"/>
  <c r="AO91" i="25"/>
  <c r="AO269" i="25"/>
  <c r="U218" i="25"/>
  <c r="V218" i="25"/>
  <c r="AD114" i="25"/>
  <c r="AE114" i="25" s="1"/>
  <c r="W114" i="25"/>
  <c r="Z114" i="25" s="1"/>
  <c r="AA114" i="25" s="1"/>
  <c r="AB114" i="25" s="1"/>
  <c r="V114" i="25"/>
  <c r="U114" i="25"/>
  <c r="U125" i="25"/>
  <c r="V125" i="25"/>
  <c r="AD77" i="25"/>
  <c r="AE77" i="25" s="1"/>
  <c r="W77" i="25"/>
  <c r="Z77" i="25" s="1"/>
  <c r="AA77" i="25" s="1"/>
  <c r="AB77" i="25" s="1"/>
  <c r="AD57" i="25"/>
  <c r="AE57" i="25" s="1"/>
  <c r="W57" i="25"/>
  <c r="Z57" i="25" s="1"/>
  <c r="AA57" i="25" s="1"/>
  <c r="AB57" i="25" s="1"/>
  <c r="AD25" i="25"/>
  <c r="AE25" i="25" s="1"/>
  <c r="W25" i="25"/>
  <c r="Z25" i="25" s="1"/>
  <c r="AA25" i="25" s="1"/>
  <c r="AB25" i="25" s="1"/>
  <c r="W10" i="25"/>
  <c r="Z10" i="25" s="1"/>
  <c r="AA10" i="25" s="1"/>
  <c r="AB10" i="25" s="1"/>
  <c r="AD10" i="25"/>
  <c r="AE10" i="25" s="1"/>
  <c r="U10" i="25"/>
  <c r="V10" i="25"/>
  <c r="W6" i="25"/>
  <c r="Z6" i="25" s="1"/>
  <c r="AA6" i="25" s="1"/>
  <c r="AB6" i="25" s="1"/>
  <c r="AD6" i="25"/>
  <c r="AE6" i="25" s="1"/>
  <c r="AD112" i="25"/>
  <c r="AE112" i="25" s="1"/>
  <c r="W112" i="25"/>
  <c r="Z112" i="25" s="1"/>
  <c r="AA112" i="25" s="1"/>
  <c r="AO112" i="25"/>
  <c r="V78" i="25"/>
  <c r="U78" i="25"/>
  <c r="V80" i="25"/>
  <c r="U80" i="25"/>
  <c r="V42" i="25"/>
  <c r="U42" i="25"/>
  <c r="V35" i="25"/>
  <c r="U35" i="25"/>
  <c r="V22" i="25"/>
  <c r="U22" i="25"/>
  <c r="V306" i="25"/>
  <c r="U306" i="25"/>
  <c r="V301" i="25"/>
  <c r="U301" i="25"/>
  <c r="AD305" i="25"/>
  <c r="AE305" i="25" s="1"/>
  <c r="W305" i="25"/>
  <c r="Z305" i="25" s="1"/>
  <c r="AA305" i="25" s="1"/>
  <c r="U281" i="25"/>
  <c r="V281" i="25"/>
  <c r="AD272" i="25"/>
  <c r="AE272" i="25" s="1"/>
  <c r="W272" i="25"/>
  <c r="Z272" i="25" s="1"/>
  <c r="AA272" i="25" s="1"/>
  <c r="AB272" i="25" s="1"/>
  <c r="AO272" i="25"/>
  <c r="AO208" i="25"/>
  <c r="U242" i="25"/>
  <c r="V242" i="25"/>
  <c r="AD203" i="25"/>
  <c r="AE203" i="25" s="1"/>
  <c r="W203" i="25"/>
  <c r="Z203" i="25" s="1"/>
  <c r="AA203" i="25" s="1"/>
  <c r="AB203" i="25" s="1"/>
  <c r="U203" i="25"/>
  <c r="V203" i="25"/>
  <c r="AO209" i="25"/>
  <c r="V139" i="25"/>
  <c r="U139" i="25"/>
  <c r="AO278" i="25"/>
  <c r="U243" i="25"/>
  <c r="V243" i="25"/>
  <c r="AD221" i="25"/>
  <c r="AE221" i="25" s="1"/>
  <c r="W221" i="25"/>
  <c r="Z221" i="25" s="1"/>
  <c r="AA221" i="25" s="1"/>
  <c r="AO221" i="25"/>
  <c r="AO174" i="25"/>
  <c r="AO181" i="25"/>
  <c r="AO149" i="25"/>
  <c r="U231" i="25"/>
  <c r="V231" i="25"/>
  <c r="AD126" i="25"/>
  <c r="AE126" i="25" s="1"/>
  <c r="W126" i="25"/>
  <c r="Z126" i="25" s="1"/>
  <c r="AA126" i="25" s="1"/>
  <c r="AB126" i="25" s="1"/>
  <c r="V126" i="25"/>
  <c r="U126" i="25"/>
  <c r="AO59" i="25"/>
  <c r="AO117" i="25"/>
  <c r="U9" i="25"/>
  <c r="V9" i="25"/>
  <c r="V54" i="25"/>
  <c r="U54" i="25"/>
  <c r="AO53" i="25"/>
  <c r="V315" i="25"/>
  <c r="U315" i="25"/>
  <c r="V300" i="25"/>
  <c r="U300" i="25"/>
  <c r="AD284" i="25"/>
  <c r="AE284" i="25" s="1"/>
  <c r="W284" i="25"/>
  <c r="Z284" i="25" s="1"/>
  <c r="AA284" i="25" s="1"/>
  <c r="AB284" i="25" s="1"/>
  <c r="U284" i="25"/>
  <c r="V284" i="25"/>
  <c r="AD241" i="25"/>
  <c r="AE241" i="25" s="1"/>
  <c r="W241" i="25"/>
  <c r="Z241" i="25" s="1"/>
  <c r="AA241" i="25" s="1"/>
  <c r="AB241" i="25" s="1"/>
  <c r="AD308" i="25"/>
  <c r="AE308" i="25" s="1"/>
  <c r="W308" i="25"/>
  <c r="Z308" i="25" s="1"/>
  <c r="AA308" i="25" s="1"/>
  <c r="AB308" i="25" s="1"/>
  <c r="U224" i="25"/>
  <c r="V224" i="25"/>
  <c r="AD183" i="25"/>
  <c r="AE183" i="25" s="1"/>
  <c r="W183" i="25"/>
  <c r="Z183" i="25" s="1"/>
  <c r="AA183" i="25" s="1"/>
  <c r="AB183" i="25" s="1"/>
  <c r="AD256" i="25"/>
  <c r="AE256" i="25" s="1"/>
  <c r="W256" i="25"/>
  <c r="Z256" i="25" s="1"/>
  <c r="AA256" i="25" s="1"/>
  <c r="AB256" i="25" s="1"/>
  <c r="AO240" i="25"/>
  <c r="U222" i="25"/>
  <c r="V222" i="25"/>
  <c r="AD89" i="25"/>
  <c r="AE89" i="25" s="1"/>
  <c r="W89" i="25"/>
  <c r="Z89" i="25" s="1"/>
  <c r="AA89" i="25" s="1"/>
  <c r="AB89" i="25" s="1"/>
  <c r="AO37" i="25"/>
  <c r="W14" i="25"/>
  <c r="Z14" i="25" s="1"/>
  <c r="AA14" i="25" s="1"/>
  <c r="AB14" i="25" s="1"/>
  <c r="AD14" i="25"/>
  <c r="AE14" i="25" s="1"/>
  <c r="U141" i="25"/>
  <c r="V141" i="25"/>
  <c r="AD98" i="25"/>
  <c r="AE98" i="25" s="1"/>
  <c r="W98" i="25"/>
  <c r="Z98" i="25" s="1"/>
  <c r="AA98" i="25" s="1"/>
  <c r="AB98" i="25" s="1"/>
  <c r="AO124" i="25"/>
  <c r="AO144" i="25"/>
  <c r="AO128" i="25"/>
  <c r="V269" i="25"/>
  <c r="U269" i="25"/>
  <c r="AD226" i="25"/>
  <c r="AE226" i="25" s="1"/>
  <c r="W226" i="25"/>
  <c r="Z226" i="25" s="1"/>
  <c r="AA226" i="25" s="1"/>
  <c r="AO226" i="25"/>
  <c r="AD79" i="25"/>
  <c r="AE79" i="25" s="1"/>
  <c r="W79" i="25"/>
  <c r="Z79" i="25" s="1"/>
  <c r="AA79" i="25" s="1"/>
  <c r="AB79" i="25" s="1"/>
  <c r="AO79" i="25"/>
  <c r="W63" i="25"/>
  <c r="Z63" i="25" s="1"/>
  <c r="AA63" i="25" s="1"/>
  <c r="AB63" i="25" s="1"/>
  <c r="AD63" i="25"/>
  <c r="AE63" i="25" s="1"/>
  <c r="V63" i="25"/>
  <c r="U63" i="25"/>
  <c r="W47" i="25"/>
  <c r="Z47" i="25" s="1"/>
  <c r="AA47" i="25" s="1"/>
  <c r="AB47" i="25" s="1"/>
  <c r="AD47" i="25"/>
  <c r="AE47" i="25" s="1"/>
  <c r="V47" i="25"/>
  <c r="U47" i="25"/>
  <c r="W27" i="25"/>
  <c r="Z27" i="25" s="1"/>
  <c r="AA27" i="25" s="1"/>
  <c r="AB27" i="25" s="1"/>
  <c r="AD27" i="25"/>
  <c r="AE27" i="25" s="1"/>
  <c r="V27" i="25"/>
  <c r="U27" i="25"/>
  <c r="AD125" i="25"/>
  <c r="AE125" i="25" s="1"/>
  <c r="W125" i="25"/>
  <c r="Z125" i="25" s="1"/>
  <c r="AA125" i="25" s="1"/>
  <c r="AO77" i="25"/>
  <c r="AO57" i="25"/>
  <c r="AO25" i="25"/>
  <c r="AO6" i="25"/>
  <c r="V112" i="25"/>
  <c r="U112" i="25"/>
  <c r="W78" i="25"/>
  <c r="Z78" i="25" s="1"/>
  <c r="AA78" i="25" s="1"/>
  <c r="AB78" i="25" s="1"/>
  <c r="AD78" i="25"/>
  <c r="AE78" i="25" s="1"/>
  <c r="W62" i="25"/>
  <c r="Z62" i="25" s="1"/>
  <c r="AA62" i="25" s="1"/>
  <c r="AB62" i="25" s="1"/>
  <c r="AD62" i="25"/>
  <c r="AE62" i="25" s="1"/>
  <c r="W80" i="25"/>
  <c r="Z80" i="25" s="1"/>
  <c r="AA80" i="25" s="1"/>
  <c r="AB80" i="25" s="1"/>
  <c r="AD80" i="25"/>
  <c r="AE80" i="25" s="1"/>
  <c r="W64" i="25"/>
  <c r="Z64" i="25" s="1"/>
  <c r="AA64" i="25" s="1"/>
  <c r="AB64" i="25" s="1"/>
  <c r="AD64" i="25"/>
  <c r="AE64" i="25" s="1"/>
  <c r="W48" i="25"/>
  <c r="Z48" i="25" s="1"/>
  <c r="AA48" i="25" s="1"/>
  <c r="AB48" i="25" s="1"/>
  <c r="AD48" i="25"/>
  <c r="AE48" i="25" s="1"/>
  <c r="V48" i="25"/>
  <c r="U48" i="25"/>
  <c r="AD28" i="25"/>
  <c r="AE28" i="25" s="1"/>
  <c r="W28" i="25"/>
  <c r="Z28" i="25" s="1"/>
  <c r="AA28" i="25" s="1"/>
  <c r="AB28" i="25" s="1"/>
  <c r="W12" i="25"/>
  <c r="Z12" i="25" s="1"/>
  <c r="AA12" i="25" s="1"/>
  <c r="AB12" i="25" s="1"/>
  <c r="AD12" i="25"/>
  <c r="AE12" i="25" s="1"/>
  <c r="AD69" i="25"/>
  <c r="AE69" i="25" s="1"/>
  <c r="W69" i="25"/>
  <c r="Z69" i="25" s="1"/>
  <c r="AA69" i="25" s="1"/>
  <c r="AB69" i="25" s="1"/>
  <c r="AD21" i="25"/>
  <c r="AE21" i="25" s="1"/>
  <c r="W21" i="25"/>
  <c r="Z21" i="25" s="1"/>
  <c r="AA21" i="25" s="1"/>
  <c r="AB21" i="25" s="1"/>
  <c r="W42" i="25"/>
  <c r="Z42" i="25" s="1"/>
  <c r="AA42" i="25" s="1"/>
  <c r="AB42" i="25" s="1"/>
  <c r="AD42" i="25"/>
  <c r="AE42" i="25" s="1"/>
  <c r="W35" i="25"/>
  <c r="Z35" i="25" s="1"/>
  <c r="AA35" i="25" s="1"/>
  <c r="AB35" i="25" s="1"/>
  <c r="AD35" i="25"/>
  <c r="AE35" i="25" s="1"/>
  <c r="AO35" i="25"/>
  <c r="W22" i="25"/>
  <c r="Z22" i="25" s="1"/>
  <c r="AA22" i="25" s="1"/>
  <c r="AB22" i="25" s="1"/>
  <c r="AD22" i="25"/>
  <c r="AE22" i="25" s="1"/>
  <c r="AD306" i="25"/>
  <c r="AE306" i="25" s="1"/>
  <c r="W306" i="25"/>
  <c r="Z306" i="25" s="1"/>
  <c r="AA306" i="25" s="1"/>
  <c r="AB306" i="25" s="1"/>
  <c r="V305" i="25"/>
  <c r="U305" i="25"/>
  <c r="AO305" i="25"/>
  <c r="U288" i="25"/>
  <c r="V288" i="25"/>
  <c r="AD297" i="25"/>
  <c r="AE297" i="25" s="1"/>
  <c r="W297" i="25"/>
  <c r="Z297" i="25" s="1"/>
  <c r="AA297" i="25" s="1"/>
  <c r="AO297" i="25"/>
  <c r="U261" i="25"/>
  <c r="V261" i="25"/>
  <c r="AD245" i="25"/>
  <c r="AE245" i="25" s="1"/>
  <c r="W245" i="25"/>
  <c r="Z245" i="25" s="1"/>
  <c r="AA245" i="25" s="1"/>
  <c r="AO245" i="25"/>
  <c r="V208" i="25"/>
  <c r="U208" i="25"/>
  <c r="U291" i="25"/>
  <c r="V291" i="25"/>
  <c r="AD258" i="25"/>
  <c r="AE258" i="25" s="1"/>
  <c r="W258" i="25"/>
  <c r="Z258" i="25" s="1"/>
  <c r="AA258" i="25" s="1"/>
  <c r="AO258" i="25"/>
  <c r="AD228" i="25"/>
  <c r="AE228" i="25" s="1"/>
  <c r="W228" i="25"/>
  <c r="Z228" i="25" s="1"/>
  <c r="AA228" i="25" s="1"/>
  <c r="AO228" i="25"/>
  <c r="V209" i="25"/>
  <c r="U209" i="25"/>
  <c r="V171" i="25"/>
  <c r="U171" i="25"/>
  <c r="AD259" i="25"/>
  <c r="AE259" i="25" s="1"/>
  <c r="W259" i="25"/>
  <c r="Z259" i="25" s="1"/>
  <c r="AA259" i="25" s="1"/>
  <c r="AO259" i="25"/>
  <c r="AO142" i="25"/>
  <c r="AO189" i="25"/>
  <c r="AO165" i="25"/>
  <c r="AO127" i="25"/>
  <c r="AD295" i="25"/>
  <c r="AE295" i="25" s="1"/>
  <c r="W295" i="25"/>
  <c r="Z295" i="25" s="1"/>
  <c r="AA295" i="25" s="1"/>
  <c r="AO295" i="25"/>
  <c r="V49" i="25"/>
  <c r="U49" i="25"/>
  <c r="AO90" i="25"/>
  <c r="V60" i="25"/>
  <c r="U60" i="25"/>
  <c r="AO60" i="25"/>
  <c r="V24" i="25"/>
  <c r="U24" i="25"/>
  <c r="AO24" i="25"/>
  <c r="AO38" i="25"/>
  <c r="AO304" i="25"/>
  <c r="AO315" i="25"/>
  <c r="AO257" i="25"/>
  <c r="U206" i="25"/>
  <c r="V206" i="25"/>
  <c r="W274" i="25"/>
  <c r="Z274" i="25" s="1"/>
  <c r="AA274" i="25" s="1"/>
  <c r="AB274" i="25" s="1"/>
  <c r="AD274" i="25"/>
  <c r="AE274" i="25" s="1"/>
  <c r="U232" i="25"/>
  <c r="V232" i="25"/>
  <c r="V39" i="25"/>
  <c r="U39" i="25"/>
  <c r="V70" i="25"/>
  <c r="U70" i="25"/>
  <c r="W40" i="25"/>
  <c r="Z40" i="25" s="1"/>
  <c r="AA40" i="25" s="1"/>
  <c r="AB40" i="25" s="1"/>
  <c r="AD40" i="25"/>
  <c r="AE40" i="25" s="1"/>
  <c r="AD158" i="25"/>
  <c r="AE158" i="25" s="1"/>
  <c r="W158" i="25"/>
  <c r="Z158" i="25" s="1"/>
  <c r="AA158" i="25" s="1"/>
  <c r="AB158" i="25" s="1"/>
  <c r="AD157" i="25"/>
  <c r="AE157" i="25" s="1"/>
  <c r="W157" i="25"/>
  <c r="Z157" i="25" s="1"/>
  <c r="AA157" i="25" s="1"/>
  <c r="AB157" i="25" s="1"/>
  <c r="V43" i="25"/>
  <c r="U43" i="25"/>
  <c r="W44" i="25"/>
  <c r="Z44" i="25" s="1"/>
  <c r="AA44" i="25" s="1"/>
  <c r="AB44" i="25" s="1"/>
  <c r="AD44" i="25"/>
  <c r="AE44" i="25" s="1"/>
  <c r="U226" i="25"/>
  <c r="V226" i="25"/>
  <c r="AD218" i="25"/>
  <c r="AE218" i="25" s="1"/>
  <c r="W218" i="25"/>
  <c r="Z218" i="25" s="1"/>
  <c r="AA218" i="25" s="1"/>
  <c r="AO218" i="25"/>
  <c r="AO114" i="25"/>
  <c r="V79" i="25"/>
  <c r="U79" i="25"/>
  <c r="AO47" i="25"/>
  <c r="AO27" i="25"/>
  <c r="AO125" i="25"/>
  <c r="AO10" i="25"/>
  <c r="U6" i="25"/>
  <c r="V6" i="25"/>
  <c r="AO78" i="25"/>
  <c r="AO62" i="25"/>
  <c r="AO80" i="25"/>
  <c r="AO64" i="25"/>
  <c r="AO48" i="25"/>
  <c r="V28" i="25"/>
  <c r="U28" i="25"/>
  <c r="AO28" i="25"/>
  <c r="V12" i="25"/>
  <c r="U12" i="25"/>
  <c r="AO12" i="25"/>
  <c r="AO69" i="25"/>
  <c r="V69" i="25"/>
  <c r="U69" i="25"/>
  <c r="AO21" i="25"/>
  <c r="V21" i="25"/>
  <c r="U21" i="25"/>
  <c r="AO42" i="25"/>
  <c r="AO22" i="25"/>
  <c r="AO306" i="25"/>
  <c r="AD301" i="25"/>
  <c r="AE301" i="25" s="1"/>
  <c r="W301" i="25"/>
  <c r="Z301" i="25" s="1"/>
  <c r="AA301" i="25" s="1"/>
  <c r="AO301" i="25"/>
  <c r="U297" i="25"/>
  <c r="V297" i="25"/>
  <c r="AD281" i="25"/>
  <c r="AE281" i="25" s="1"/>
  <c r="W281" i="25"/>
  <c r="Z281" i="25" s="1"/>
  <c r="AA281" i="25" s="1"/>
  <c r="AO281" i="25"/>
  <c r="U245" i="25"/>
  <c r="V245" i="25"/>
  <c r="AD208" i="25"/>
  <c r="AE208" i="25" s="1"/>
  <c r="W208" i="25"/>
  <c r="Z208" i="25" s="1"/>
  <c r="AA208" i="25" s="1"/>
  <c r="U258" i="25"/>
  <c r="V258" i="25"/>
  <c r="AD242" i="25"/>
  <c r="AE242" i="25" s="1"/>
  <c r="W242" i="25"/>
  <c r="Z242" i="25" s="1"/>
  <c r="AA242" i="25" s="1"/>
  <c r="AO242" i="25"/>
  <c r="AO203" i="25"/>
  <c r="U228" i="25"/>
  <c r="V228" i="25"/>
  <c r="W209" i="25"/>
  <c r="Z209" i="25" s="1"/>
  <c r="AA209" i="25" s="1"/>
  <c r="AB209" i="25" s="1"/>
  <c r="AD209" i="25"/>
  <c r="AE209" i="25" s="1"/>
  <c r="AO171" i="25"/>
  <c r="AD139" i="25"/>
  <c r="AE139" i="25" s="1"/>
  <c r="W139" i="25"/>
  <c r="Z139" i="25" s="1"/>
  <c r="AA139" i="25" s="1"/>
  <c r="U259" i="25"/>
  <c r="V259" i="25"/>
  <c r="AD243" i="25"/>
  <c r="AE243" i="25" s="1"/>
  <c r="W243" i="25"/>
  <c r="Z243" i="25" s="1"/>
  <c r="AA243" i="25" s="1"/>
  <c r="AO243" i="25"/>
  <c r="AD142" i="25"/>
  <c r="AE142" i="25" s="1"/>
  <c r="W142" i="25"/>
  <c r="Z142" i="25" s="1"/>
  <c r="AA142" i="25" s="1"/>
  <c r="AB142" i="25" s="1"/>
  <c r="U142" i="25"/>
  <c r="V142" i="25"/>
  <c r="U189" i="25"/>
  <c r="V189" i="25"/>
  <c r="AD181" i="25"/>
  <c r="AE181" i="25" s="1"/>
  <c r="W181" i="25"/>
  <c r="Z181" i="25" s="1"/>
  <c r="AA181" i="25" s="1"/>
  <c r="U165" i="25"/>
  <c r="V165" i="25"/>
  <c r="AD149" i="25"/>
  <c r="AE149" i="25" s="1"/>
  <c r="W149" i="25"/>
  <c r="Z149" i="25" s="1"/>
  <c r="AA149" i="25" s="1"/>
  <c r="V127" i="25"/>
  <c r="U127" i="25"/>
  <c r="AD102" i="25"/>
  <c r="AE102" i="25" s="1"/>
  <c r="W102" i="25"/>
  <c r="Z102" i="25" s="1"/>
  <c r="AA102" i="25" s="1"/>
  <c r="AB102" i="25" s="1"/>
  <c r="AO102" i="25"/>
  <c r="AD94" i="25"/>
  <c r="AE94" i="25" s="1"/>
  <c r="W94" i="25"/>
  <c r="Z94" i="25" s="1"/>
  <c r="AA94" i="25" s="1"/>
  <c r="AB94" i="25" s="1"/>
  <c r="AO94" i="25"/>
  <c r="AD231" i="25"/>
  <c r="AE231" i="25" s="1"/>
  <c r="W231" i="25"/>
  <c r="Z231" i="25" s="1"/>
  <c r="AA231" i="25" s="1"/>
  <c r="AO231" i="25"/>
  <c r="AO126" i="25"/>
  <c r="U295" i="25"/>
  <c r="V295" i="25"/>
  <c r="W59" i="25"/>
  <c r="Z59" i="25" s="1"/>
  <c r="AA59" i="25" s="1"/>
  <c r="AB59" i="25" s="1"/>
  <c r="AD59" i="25"/>
  <c r="AE59" i="25" s="1"/>
  <c r="V59" i="25"/>
  <c r="U59" i="25"/>
  <c r="AD117" i="25"/>
  <c r="AE117" i="25" s="1"/>
  <c r="W117" i="25"/>
  <c r="Z117" i="25" s="1"/>
  <c r="AA117" i="25" s="1"/>
  <c r="AO49" i="25"/>
  <c r="AO9" i="25"/>
  <c r="V90" i="25"/>
  <c r="U90" i="25"/>
  <c r="AO54" i="25"/>
  <c r="AD53" i="25"/>
  <c r="AE53" i="25" s="1"/>
  <c r="W53" i="25"/>
  <c r="Z53" i="25" s="1"/>
  <c r="AA53" i="25" s="1"/>
  <c r="AB53" i="25" s="1"/>
  <c r="V53" i="25"/>
  <c r="U53" i="25"/>
  <c r="W18" i="25"/>
  <c r="Z18" i="25" s="1"/>
  <c r="AA18" i="25" s="1"/>
  <c r="AB18" i="25" s="1"/>
  <c r="AD18" i="25"/>
  <c r="AE18" i="25" s="1"/>
  <c r="AO18" i="25"/>
  <c r="U293" i="25"/>
  <c r="V293" i="25"/>
  <c r="AO279" i="25"/>
  <c r="AD283" i="25"/>
  <c r="AE283" i="25" s="1"/>
  <c r="W283" i="25"/>
  <c r="Z283" i="25" s="1"/>
  <c r="AA283" i="25" s="1"/>
  <c r="AB283" i="25" s="1"/>
  <c r="AD254" i="25"/>
  <c r="AE254" i="25" s="1"/>
  <c r="W254" i="25"/>
  <c r="Z254" i="25" s="1"/>
  <c r="AA254" i="25" s="1"/>
  <c r="AB254" i="25" s="1"/>
  <c r="AO154" i="25"/>
  <c r="V156" i="25"/>
  <c r="U156" i="25"/>
  <c r="AD87" i="25"/>
  <c r="AE87" i="25" s="1"/>
  <c r="W87" i="25"/>
  <c r="Z87" i="25" s="1"/>
  <c r="AA87" i="25" s="1"/>
  <c r="AB87" i="25" s="1"/>
  <c r="AD19" i="25"/>
  <c r="AE19" i="25" s="1"/>
  <c r="W19" i="25"/>
  <c r="Z19" i="25" s="1"/>
  <c r="AA19" i="25" s="1"/>
  <c r="AB19" i="25" s="1"/>
  <c r="W50" i="25"/>
  <c r="Z50" i="25" s="1"/>
  <c r="AA50" i="25" s="1"/>
  <c r="AB50" i="25" s="1"/>
  <c r="AD50" i="25"/>
  <c r="AE50" i="25" s="1"/>
  <c r="AD251" i="25"/>
  <c r="AE251" i="25" s="1"/>
  <c r="W251" i="25"/>
  <c r="Z251" i="25" s="1"/>
  <c r="AA251" i="25" s="1"/>
  <c r="AB251" i="25" s="1"/>
  <c r="U235" i="25"/>
  <c r="V235" i="25"/>
  <c r="W74" i="25"/>
  <c r="Z74" i="25" s="1"/>
  <c r="AA74" i="25" s="1"/>
  <c r="AB74" i="25" s="1"/>
  <c r="AD74" i="25"/>
  <c r="AE74" i="25" s="1"/>
  <c r="V34" i="25"/>
  <c r="U34" i="25"/>
  <c r="AD304" i="25"/>
  <c r="AE304" i="25" s="1"/>
  <c r="W304" i="25"/>
  <c r="Z304" i="25" s="1"/>
  <c r="AA304" i="25" s="1"/>
  <c r="AD315" i="25"/>
  <c r="AE315" i="25" s="1"/>
  <c r="W315" i="25"/>
  <c r="Z315" i="25" s="1"/>
  <c r="AA315" i="25" s="1"/>
  <c r="AB315" i="25" s="1"/>
  <c r="AO300" i="25"/>
  <c r="AO309" i="25"/>
  <c r="AO241" i="25"/>
  <c r="V204" i="25"/>
  <c r="U204" i="25"/>
  <c r="AO254" i="25"/>
  <c r="AO224" i="25"/>
  <c r="AD206" i="25"/>
  <c r="AE206" i="25" s="1"/>
  <c r="W206" i="25"/>
  <c r="Z206" i="25" s="1"/>
  <c r="AA206" i="25" s="1"/>
  <c r="AD167" i="25"/>
  <c r="AE167" i="25" s="1"/>
  <c r="W167" i="25"/>
  <c r="Z167" i="25" s="1"/>
  <c r="AA167" i="25" s="1"/>
  <c r="AB167" i="25" s="1"/>
  <c r="V135" i="25"/>
  <c r="U135" i="25"/>
  <c r="V274" i="25"/>
  <c r="U274" i="25"/>
  <c r="AO256" i="25"/>
  <c r="U248" i="25"/>
  <c r="V248" i="25"/>
  <c r="AO170" i="25"/>
  <c r="V180" i="25"/>
  <c r="U180" i="25"/>
  <c r="V148" i="25"/>
  <c r="U148" i="25"/>
  <c r="V123" i="25"/>
  <c r="U123" i="25"/>
  <c r="AO230" i="25"/>
  <c r="V122" i="25"/>
  <c r="U122" i="25"/>
  <c r="AO87" i="25"/>
  <c r="U113" i="25"/>
  <c r="V113" i="25"/>
  <c r="AD33" i="25"/>
  <c r="AE33" i="25" s="1"/>
  <c r="W33" i="25"/>
  <c r="Z33" i="25" s="1"/>
  <c r="AA33" i="25" s="1"/>
  <c r="AB33" i="25" s="1"/>
  <c r="AD120" i="25"/>
  <c r="AE120" i="25" s="1"/>
  <c r="W120" i="25"/>
  <c r="Z120" i="25" s="1"/>
  <c r="AA120" i="25" s="1"/>
  <c r="AB120" i="25" s="1"/>
  <c r="W70" i="25"/>
  <c r="Z70" i="25" s="1"/>
  <c r="AA70" i="25" s="1"/>
  <c r="AB70" i="25" s="1"/>
  <c r="AD70" i="25"/>
  <c r="AE70" i="25" s="1"/>
  <c r="AD72" i="25"/>
  <c r="AE72" i="25" s="1"/>
  <c r="W72" i="25"/>
  <c r="Z72" i="25" s="1"/>
  <c r="AA72" i="25" s="1"/>
  <c r="AB72" i="25" s="1"/>
  <c r="V37" i="25"/>
  <c r="U37" i="25"/>
  <c r="V30" i="25"/>
  <c r="U30" i="25"/>
  <c r="AO14" i="25"/>
  <c r="V187" i="25"/>
  <c r="U187" i="25"/>
  <c r="V155" i="25"/>
  <c r="U155" i="25"/>
  <c r="AO251" i="25"/>
  <c r="U190" i="25"/>
  <c r="V190" i="25"/>
  <c r="U197" i="25"/>
  <c r="V197" i="25"/>
  <c r="AD141" i="25"/>
  <c r="AE141" i="25" s="1"/>
  <c r="W141" i="25"/>
  <c r="Z141" i="25" s="1"/>
  <c r="AA141" i="25" s="1"/>
  <c r="U133" i="25"/>
  <c r="V133" i="25"/>
  <c r="AO111" i="25"/>
  <c r="AO75" i="25"/>
  <c r="W23" i="25"/>
  <c r="Z23" i="25" s="1"/>
  <c r="AA23" i="25" s="1"/>
  <c r="AB23" i="25" s="1"/>
  <c r="AD23" i="25"/>
  <c r="AE23" i="25" s="1"/>
  <c r="U121" i="25"/>
  <c r="V121" i="25"/>
  <c r="W34" i="25"/>
  <c r="Z34" i="25" s="1"/>
  <c r="AA34" i="25" s="1"/>
  <c r="AB34" i="25" s="1"/>
  <c r="AD34" i="25"/>
  <c r="AE34" i="25" s="1"/>
  <c r="AO284" i="25"/>
  <c r="AD293" i="25"/>
  <c r="AE293" i="25" s="1"/>
  <c r="W293" i="25"/>
  <c r="Z293" i="25" s="1"/>
  <c r="AA293" i="25" s="1"/>
  <c r="AO293" i="25"/>
  <c r="W279" i="25"/>
  <c r="Z279" i="25" s="1"/>
  <c r="AA279" i="25" s="1"/>
  <c r="AB279" i="25" s="1"/>
  <c r="AD279" i="25"/>
  <c r="AE279" i="25" s="1"/>
  <c r="AO294" i="25"/>
  <c r="AD257" i="25"/>
  <c r="AE257" i="25" s="1"/>
  <c r="W257" i="25"/>
  <c r="Z257" i="25" s="1"/>
  <c r="AA257" i="25" s="1"/>
  <c r="AB257" i="25" s="1"/>
  <c r="U257" i="25"/>
  <c r="V257" i="25"/>
  <c r="AO204" i="25"/>
  <c r="U283" i="25"/>
  <c r="V283" i="25"/>
  <c r="U238" i="25"/>
  <c r="V238" i="25"/>
  <c r="V308" i="25"/>
  <c r="U308" i="25"/>
  <c r="V167" i="25"/>
  <c r="U167" i="25"/>
  <c r="AD135" i="25"/>
  <c r="AE135" i="25" s="1"/>
  <c r="W135" i="25"/>
  <c r="Z135" i="25" s="1"/>
  <c r="AA135" i="25" s="1"/>
  <c r="AB135" i="25" s="1"/>
  <c r="AD240" i="25"/>
  <c r="AE240" i="25" s="1"/>
  <c r="W240" i="25"/>
  <c r="Z240" i="25" s="1"/>
  <c r="AA240" i="25" s="1"/>
  <c r="AB240" i="25" s="1"/>
  <c r="AO138" i="25"/>
  <c r="V196" i="25"/>
  <c r="U196" i="25"/>
  <c r="V164" i="25"/>
  <c r="U164" i="25"/>
  <c r="V132" i="25"/>
  <c r="U132" i="25"/>
  <c r="AO105" i="25"/>
  <c r="AO101" i="25"/>
  <c r="AO97" i="25"/>
  <c r="AO93" i="25"/>
  <c r="AO277" i="25"/>
  <c r="AD230" i="25"/>
  <c r="AE230" i="25" s="1"/>
  <c r="W230" i="25"/>
  <c r="Z230" i="25" s="1"/>
  <c r="AA230" i="25" s="1"/>
  <c r="AB230" i="25" s="1"/>
  <c r="AD71" i="25"/>
  <c r="AE71" i="25" s="1"/>
  <c r="W71" i="25"/>
  <c r="Z71" i="25" s="1"/>
  <c r="AA71" i="25" s="1"/>
  <c r="AB71" i="25" s="1"/>
  <c r="V55" i="25"/>
  <c r="U55" i="25"/>
  <c r="V19" i="25"/>
  <c r="U19" i="25"/>
  <c r="AD65" i="25"/>
  <c r="AE65" i="25" s="1"/>
  <c r="W65" i="25"/>
  <c r="Z65" i="25" s="1"/>
  <c r="AA65" i="25" s="1"/>
  <c r="AB65" i="25" s="1"/>
  <c r="AD13" i="25"/>
  <c r="AE13" i="25" s="1"/>
  <c r="W13" i="25"/>
  <c r="Z13" i="25" s="1"/>
  <c r="AA13" i="25" s="1"/>
  <c r="AB13" i="25" s="1"/>
  <c r="AO120" i="25"/>
  <c r="W86" i="25"/>
  <c r="Z86" i="25" s="1"/>
  <c r="AA86" i="25" s="1"/>
  <c r="AB86" i="25" s="1"/>
  <c r="AD86" i="25"/>
  <c r="AE86" i="25" s="1"/>
  <c r="W88" i="25"/>
  <c r="Z88" i="25" s="1"/>
  <c r="AA88" i="25" s="1"/>
  <c r="AB88" i="25" s="1"/>
  <c r="AD88" i="25"/>
  <c r="AE88" i="25" s="1"/>
  <c r="W56" i="25"/>
  <c r="Z56" i="25" s="1"/>
  <c r="AA56" i="25" s="1"/>
  <c r="AB56" i="25" s="1"/>
  <c r="AD56" i="25"/>
  <c r="AE56" i="25" s="1"/>
  <c r="V50" i="25"/>
  <c r="U50" i="25"/>
  <c r="AD316" i="25"/>
  <c r="AE316" i="25" s="1"/>
  <c r="W316" i="25"/>
  <c r="Z316" i="25" s="1"/>
  <c r="AA316" i="25" s="1"/>
  <c r="AB316" i="25" s="1"/>
  <c r="AO201" i="25"/>
  <c r="U158" i="25"/>
  <c r="V158" i="25"/>
  <c r="AD173" i="25"/>
  <c r="AE173" i="25" s="1"/>
  <c r="W173" i="25"/>
  <c r="Z173" i="25" s="1"/>
  <c r="AA173" i="25" s="1"/>
  <c r="AB173" i="25" s="1"/>
  <c r="U157" i="25"/>
  <c r="V157" i="25"/>
  <c r="AD111" i="25"/>
  <c r="AE111" i="25" s="1"/>
  <c r="W111" i="25"/>
  <c r="Z111" i="25" s="1"/>
  <c r="AA111" i="25" s="1"/>
  <c r="AB111" i="25" s="1"/>
  <c r="AO290" i="25"/>
  <c r="W43" i="25"/>
  <c r="Z43" i="25" s="1"/>
  <c r="AA43" i="25" s="1"/>
  <c r="AB43" i="25" s="1"/>
  <c r="AD43" i="25"/>
  <c r="AE43" i="25" s="1"/>
  <c r="AO23" i="25"/>
  <c r="AO73" i="25"/>
  <c r="AD17" i="25"/>
  <c r="AE17" i="25" s="1"/>
  <c r="W17" i="25"/>
  <c r="Z17" i="25" s="1"/>
  <c r="AA17" i="25" s="1"/>
  <c r="AB17" i="25" s="1"/>
  <c r="V124" i="25"/>
  <c r="U124" i="25"/>
  <c r="V44" i="25"/>
  <c r="U44" i="25"/>
  <c r="W58" i="25"/>
  <c r="Z58" i="25" s="1"/>
  <c r="AA58" i="25" s="1"/>
  <c r="AB58" i="25" s="1"/>
  <c r="AD58" i="25"/>
  <c r="AE58" i="25" s="1"/>
  <c r="AO34" i="25"/>
  <c r="AD294" i="25"/>
  <c r="AE294" i="25" s="1"/>
  <c r="W294" i="25"/>
  <c r="Z294" i="25" s="1"/>
  <c r="AA294" i="25" s="1"/>
  <c r="U294" i="25"/>
  <c r="V294" i="25"/>
  <c r="AD199" i="25"/>
  <c r="AE199" i="25" s="1"/>
  <c r="W199" i="25"/>
  <c r="Z199" i="25" s="1"/>
  <c r="AA199" i="25" s="1"/>
  <c r="AB199" i="25" s="1"/>
  <c r="V183" i="25"/>
  <c r="U183" i="25"/>
  <c r="AD151" i="25"/>
  <c r="AE151" i="25" s="1"/>
  <c r="W151" i="25"/>
  <c r="Z151" i="25" s="1"/>
  <c r="AA151" i="25" s="1"/>
  <c r="AB151" i="25" s="1"/>
  <c r="U264" i="25"/>
  <c r="V264" i="25"/>
  <c r="AD217" i="25"/>
  <c r="AE217" i="25" s="1"/>
  <c r="W217" i="25"/>
  <c r="Z217" i="25" s="1"/>
  <c r="AA217" i="25" s="1"/>
  <c r="AB217" i="25" s="1"/>
  <c r="AO186" i="25"/>
  <c r="V172" i="25"/>
  <c r="U172" i="25"/>
  <c r="V140" i="25"/>
  <c r="U140" i="25"/>
  <c r="V277" i="25"/>
  <c r="U277" i="25"/>
  <c r="AD122" i="25"/>
  <c r="AE122" i="25" s="1"/>
  <c r="W122" i="25"/>
  <c r="Z122" i="25" s="1"/>
  <c r="AA122" i="25" s="1"/>
  <c r="AD39" i="25"/>
  <c r="AE39" i="25" s="1"/>
  <c r="W39" i="25"/>
  <c r="Z39" i="25" s="1"/>
  <c r="AA39" i="25" s="1"/>
  <c r="AB39" i="25" s="1"/>
  <c r="AD113" i="25"/>
  <c r="AE113" i="25" s="1"/>
  <c r="W113" i="25"/>
  <c r="Z113" i="25" s="1"/>
  <c r="AA113" i="25" s="1"/>
  <c r="AB113" i="25" s="1"/>
  <c r="AO13" i="25"/>
  <c r="W8" i="25"/>
  <c r="Z8" i="25" s="1"/>
  <c r="AA8" i="25" s="1"/>
  <c r="AB8" i="25" s="1"/>
  <c r="AD8" i="25"/>
  <c r="AE8" i="25" s="1"/>
  <c r="U8" i="25"/>
  <c r="V8" i="25"/>
  <c r="V120" i="25"/>
  <c r="U120" i="25"/>
  <c r="V86" i="25"/>
  <c r="U86" i="25"/>
  <c r="V88" i="25"/>
  <c r="U88" i="25"/>
  <c r="W20" i="25"/>
  <c r="Z20" i="25" s="1"/>
  <c r="AA20" i="25" s="1"/>
  <c r="AB20" i="25" s="1"/>
  <c r="AD20" i="25"/>
  <c r="AE20" i="25" s="1"/>
  <c r="AD45" i="25"/>
  <c r="AE45" i="25" s="1"/>
  <c r="W45" i="25"/>
  <c r="Z45" i="25" s="1"/>
  <c r="AA45" i="25" s="1"/>
  <c r="AB45" i="25" s="1"/>
  <c r="W37" i="25"/>
  <c r="Z37" i="25" s="1"/>
  <c r="AA37" i="25" s="1"/>
  <c r="AB37" i="25" s="1"/>
  <c r="AD37" i="25"/>
  <c r="AE37" i="25" s="1"/>
  <c r="W30" i="25"/>
  <c r="Z30" i="25" s="1"/>
  <c r="AA30" i="25" s="1"/>
  <c r="AB30" i="25" s="1"/>
  <c r="AD30" i="25"/>
  <c r="AE30" i="25" s="1"/>
  <c r="V201" i="25"/>
  <c r="U201" i="25"/>
  <c r="U267" i="25"/>
  <c r="V267" i="25"/>
  <c r="AD190" i="25"/>
  <c r="AE190" i="25" s="1"/>
  <c r="W190" i="25"/>
  <c r="Z190" i="25" s="1"/>
  <c r="AA190" i="25" s="1"/>
  <c r="AD197" i="25"/>
  <c r="AE197" i="25" s="1"/>
  <c r="W197" i="25"/>
  <c r="Z197" i="25" s="1"/>
  <c r="AA197" i="25" s="1"/>
  <c r="U173" i="25"/>
  <c r="V173" i="25"/>
  <c r="AD133" i="25"/>
  <c r="AE133" i="25" s="1"/>
  <c r="W133" i="25"/>
  <c r="Z133" i="25" s="1"/>
  <c r="AA133" i="25" s="1"/>
  <c r="AD290" i="25"/>
  <c r="AE290" i="25" s="1"/>
  <c r="W290" i="25"/>
  <c r="Z290" i="25" s="1"/>
  <c r="AA290" i="25" s="1"/>
  <c r="U223" i="25"/>
  <c r="V223" i="25"/>
  <c r="AO17" i="25"/>
  <c r="AD124" i="25"/>
  <c r="AE124" i="25" s="1"/>
  <c r="W124" i="25"/>
  <c r="Z124" i="25" s="1"/>
  <c r="AA124" i="25" s="1"/>
  <c r="AB124" i="25" s="1"/>
  <c r="V74" i="25"/>
  <c r="U74" i="25"/>
  <c r="W76" i="25"/>
  <c r="Z76" i="25" s="1"/>
  <c r="AA76" i="25" s="1"/>
  <c r="AB76" i="25" s="1"/>
  <c r="AD76" i="25"/>
  <c r="AE76" i="25" s="1"/>
  <c r="AD121" i="25"/>
  <c r="AE121" i="25" s="1"/>
  <c r="W121" i="25"/>
  <c r="Z121" i="25" s="1"/>
  <c r="AA121" i="25" s="1"/>
  <c r="AB121" i="25" s="1"/>
  <c r="V58" i="25"/>
  <c r="U58" i="25"/>
  <c r="V38" i="25"/>
  <c r="U38" i="25"/>
  <c r="AD300" i="25"/>
  <c r="AE300" i="25" s="1"/>
  <c r="W300" i="25"/>
  <c r="Z300" i="25" s="1"/>
  <c r="AA300" i="25" s="1"/>
  <c r="V279" i="25"/>
  <c r="U279" i="25"/>
  <c r="W309" i="25"/>
  <c r="Z309" i="25" s="1"/>
  <c r="AA309" i="25" s="1"/>
  <c r="AD309" i="25"/>
  <c r="AE309" i="25" s="1"/>
  <c r="V309" i="25"/>
  <c r="U309" i="25"/>
  <c r="U241" i="25"/>
  <c r="V241" i="25"/>
  <c r="AD204" i="25"/>
  <c r="AE204" i="25" s="1"/>
  <c r="W204" i="25"/>
  <c r="Z204" i="25" s="1"/>
  <c r="AA204" i="25" s="1"/>
  <c r="U254" i="25"/>
  <c r="V254" i="25"/>
  <c r="AD238" i="25"/>
  <c r="AE238" i="25" s="1"/>
  <c r="W238" i="25"/>
  <c r="Z238" i="25" s="1"/>
  <c r="AA238" i="25" s="1"/>
  <c r="AO238" i="25"/>
  <c r="AO308" i="25"/>
  <c r="AO206" i="25"/>
  <c r="AO183" i="25"/>
  <c r="AO151" i="25"/>
  <c r="AD264" i="25"/>
  <c r="AE264" i="25" s="1"/>
  <c r="W264" i="25"/>
  <c r="Z264" i="25" s="1"/>
  <c r="AA264" i="25" s="1"/>
  <c r="AO264" i="25"/>
  <c r="U240" i="25"/>
  <c r="V240" i="25"/>
  <c r="AD232" i="25"/>
  <c r="AE232" i="25" s="1"/>
  <c r="W232" i="25"/>
  <c r="Z232" i="25" s="1"/>
  <c r="AA232" i="25" s="1"/>
  <c r="AO232" i="25"/>
  <c r="AD170" i="25"/>
  <c r="AE170" i="25" s="1"/>
  <c r="W170" i="25"/>
  <c r="Z170" i="25" s="1"/>
  <c r="AA170" i="25" s="1"/>
  <c r="AB170" i="25" s="1"/>
  <c r="U170" i="25"/>
  <c r="V170" i="25"/>
  <c r="AD138" i="25"/>
  <c r="AE138" i="25" s="1"/>
  <c r="W138" i="25"/>
  <c r="Z138" i="25" s="1"/>
  <c r="AA138" i="25" s="1"/>
  <c r="AB138" i="25" s="1"/>
  <c r="U138" i="25"/>
  <c r="V138" i="25"/>
  <c r="AO196" i="25"/>
  <c r="W188" i="25"/>
  <c r="Z188" i="25" s="1"/>
  <c r="AA188" i="25" s="1"/>
  <c r="AB188" i="25" s="1"/>
  <c r="AD188" i="25"/>
  <c r="AE188" i="25" s="1"/>
  <c r="AO180" i="25"/>
  <c r="W172" i="25"/>
  <c r="Z172" i="25" s="1"/>
  <c r="AA172" i="25" s="1"/>
  <c r="AB172" i="25" s="1"/>
  <c r="AD172" i="25"/>
  <c r="AE172" i="25" s="1"/>
  <c r="AO164" i="25"/>
  <c r="W156" i="25"/>
  <c r="Z156" i="25" s="1"/>
  <c r="AA156" i="25" s="1"/>
  <c r="AB156" i="25" s="1"/>
  <c r="AD156" i="25"/>
  <c r="AE156" i="25" s="1"/>
  <c r="AO148" i="25"/>
  <c r="W140" i="25"/>
  <c r="Z140" i="25" s="1"/>
  <c r="AA140" i="25" s="1"/>
  <c r="AB140" i="25" s="1"/>
  <c r="AD140" i="25"/>
  <c r="AE140" i="25" s="1"/>
  <c r="AO132" i="25"/>
  <c r="AD123" i="25"/>
  <c r="AE123" i="25" s="1"/>
  <c r="W123" i="25"/>
  <c r="Z123" i="25" s="1"/>
  <c r="AA123" i="25" s="1"/>
  <c r="AO123" i="25"/>
  <c r="U230" i="25"/>
  <c r="V230" i="25"/>
  <c r="AD222" i="25"/>
  <c r="AE222" i="25" s="1"/>
  <c r="W222" i="25"/>
  <c r="Z222" i="25" s="1"/>
  <c r="AA222" i="25" s="1"/>
  <c r="AO222" i="25"/>
  <c r="AO122" i="25"/>
  <c r="V87" i="25"/>
  <c r="U87" i="25"/>
  <c r="V71" i="25"/>
  <c r="U71" i="25"/>
  <c r="AO55" i="25"/>
  <c r="AO39" i="25"/>
  <c r="AO19" i="25"/>
  <c r="AO113" i="25"/>
  <c r="AO65" i="25"/>
  <c r="AO33" i="25"/>
  <c r="AO8" i="25"/>
  <c r="AO86" i="25"/>
  <c r="AO70" i="25"/>
  <c r="AO88" i="25"/>
  <c r="AO72" i="25"/>
  <c r="AO56" i="25"/>
  <c r="V40" i="25"/>
  <c r="U40" i="25"/>
  <c r="AO40" i="25"/>
  <c r="V20" i="25"/>
  <c r="U20" i="25"/>
  <c r="AO20" i="25"/>
  <c r="AO89" i="25"/>
  <c r="V89" i="25"/>
  <c r="U89" i="25"/>
  <c r="AO45" i="25"/>
  <c r="V45" i="25"/>
  <c r="U45" i="25"/>
  <c r="AO50" i="25"/>
  <c r="AO30" i="25"/>
  <c r="V14" i="25"/>
  <c r="U14" i="25"/>
  <c r="V316" i="25"/>
  <c r="U316" i="25"/>
  <c r="W201" i="25"/>
  <c r="Z201" i="25" s="1"/>
  <c r="AA201" i="25" s="1"/>
  <c r="AB201" i="25" s="1"/>
  <c r="AD201" i="25"/>
  <c r="AE201" i="25" s="1"/>
  <c r="AO187" i="25"/>
  <c r="AD155" i="25"/>
  <c r="AE155" i="25" s="1"/>
  <c r="W155" i="25"/>
  <c r="Z155" i="25" s="1"/>
  <c r="AA155" i="25" s="1"/>
  <c r="U251" i="25"/>
  <c r="V251" i="25"/>
  <c r="AD235" i="25"/>
  <c r="AE235" i="25" s="1"/>
  <c r="W235" i="25"/>
  <c r="Z235" i="25" s="1"/>
  <c r="AA235" i="25" s="1"/>
  <c r="AO235" i="25"/>
  <c r="AO190" i="25"/>
  <c r="AO173" i="25"/>
  <c r="AO141" i="25"/>
  <c r="V111" i="25"/>
  <c r="U111" i="25"/>
  <c r="V98" i="25"/>
  <c r="U98" i="25"/>
  <c r="V75" i="25"/>
  <c r="U75" i="25"/>
  <c r="V23" i="25"/>
  <c r="U23" i="25"/>
  <c r="V73" i="25"/>
  <c r="U73" i="25"/>
  <c r="V17" i="25"/>
  <c r="U17" i="25"/>
  <c r="V76" i="25"/>
  <c r="U76" i="25"/>
  <c r="AO58" i="25"/>
  <c r="AO199" i="25"/>
  <c r="AO167" i="25"/>
  <c r="AO135" i="25"/>
  <c r="AO274" i="25"/>
  <c r="U256" i="25"/>
  <c r="V256" i="25"/>
  <c r="AD248" i="25"/>
  <c r="AE248" i="25" s="1"/>
  <c r="W248" i="25"/>
  <c r="Z248" i="25" s="1"/>
  <c r="AA248" i="25" s="1"/>
  <c r="AO248" i="25"/>
  <c r="U217" i="25"/>
  <c r="V217" i="25"/>
  <c r="AD186" i="25"/>
  <c r="AE186" i="25" s="1"/>
  <c r="W186" i="25"/>
  <c r="Z186" i="25" s="1"/>
  <c r="AA186" i="25" s="1"/>
  <c r="AB186" i="25" s="1"/>
  <c r="U186" i="25"/>
  <c r="V186" i="25"/>
  <c r="AD154" i="25"/>
  <c r="AE154" i="25" s="1"/>
  <c r="W154" i="25"/>
  <c r="Z154" i="25" s="1"/>
  <c r="AA154" i="25" s="1"/>
  <c r="AB154" i="25" s="1"/>
  <c r="U154" i="25"/>
  <c r="V154" i="25"/>
  <c r="W196" i="25"/>
  <c r="Z196" i="25" s="1"/>
  <c r="AA196" i="25" s="1"/>
  <c r="AB196" i="25" s="1"/>
  <c r="AD196" i="25"/>
  <c r="AE196" i="25" s="1"/>
  <c r="AO188" i="25"/>
  <c r="W180" i="25"/>
  <c r="Z180" i="25" s="1"/>
  <c r="AA180" i="25" s="1"/>
  <c r="AB180" i="25" s="1"/>
  <c r="AD180" i="25"/>
  <c r="AE180" i="25" s="1"/>
  <c r="AO172" i="25"/>
  <c r="W164" i="25"/>
  <c r="Z164" i="25" s="1"/>
  <c r="AA164" i="25" s="1"/>
  <c r="AB164" i="25" s="1"/>
  <c r="AD164" i="25"/>
  <c r="AE164" i="25" s="1"/>
  <c r="AO156" i="25"/>
  <c r="W148" i="25"/>
  <c r="Z148" i="25" s="1"/>
  <c r="AA148" i="25" s="1"/>
  <c r="AB148" i="25" s="1"/>
  <c r="AD148" i="25"/>
  <c r="AE148" i="25" s="1"/>
  <c r="AO140" i="25"/>
  <c r="W132" i="25"/>
  <c r="Z132" i="25" s="1"/>
  <c r="AA132" i="25" s="1"/>
  <c r="AB132" i="25" s="1"/>
  <c r="AD132" i="25"/>
  <c r="AE132" i="25" s="1"/>
  <c r="AD105" i="25"/>
  <c r="AE105" i="25" s="1"/>
  <c r="W105" i="25"/>
  <c r="Z105" i="25" s="1"/>
  <c r="AA105" i="25" s="1"/>
  <c r="AB105" i="25" s="1"/>
  <c r="V105" i="25"/>
  <c r="U105" i="25"/>
  <c r="AD101" i="25"/>
  <c r="AE101" i="25" s="1"/>
  <c r="W101" i="25"/>
  <c r="Z101" i="25" s="1"/>
  <c r="AA101" i="25" s="1"/>
  <c r="AB101" i="25" s="1"/>
  <c r="V101" i="25"/>
  <c r="U101" i="25"/>
  <c r="AD97" i="25"/>
  <c r="AE97" i="25" s="1"/>
  <c r="W97" i="25"/>
  <c r="Z97" i="25" s="1"/>
  <c r="AA97" i="25" s="1"/>
  <c r="AB97" i="25" s="1"/>
  <c r="V97" i="25"/>
  <c r="U97" i="25"/>
  <c r="AD93" i="25"/>
  <c r="AE93" i="25" s="1"/>
  <c r="W93" i="25"/>
  <c r="Z93" i="25" s="1"/>
  <c r="AA93" i="25" s="1"/>
  <c r="AB93" i="25" s="1"/>
  <c r="V93" i="25"/>
  <c r="U93" i="25"/>
  <c r="AD277" i="25"/>
  <c r="AE277" i="25" s="1"/>
  <c r="W277" i="25"/>
  <c r="Z277" i="25" s="1"/>
  <c r="AA277" i="25" s="1"/>
  <c r="AO71" i="25"/>
  <c r="V65" i="25"/>
  <c r="U65" i="25"/>
  <c r="V33" i="25"/>
  <c r="U33" i="25"/>
  <c r="V13" i="25"/>
  <c r="U13" i="25"/>
  <c r="V72" i="25"/>
  <c r="U72" i="25"/>
  <c r="V56" i="25"/>
  <c r="U56" i="25"/>
  <c r="AO316" i="25"/>
  <c r="AD187" i="25"/>
  <c r="AE187" i="25" s="1"/>
  <c r="W187" i="25"/>
  <c r="Z187" i="25" s="1"/>
  <c r="AA187" i="25" s="1"/>
  <c r="AO155" i="25"/>
  <c r="AD267" i="25"/>
  <c r="AE267" i="25" s="1"/>
  <c r="W267" i="25"/>
  <c r="Z267" i="25" s="1"/>
  <c r="AA267" i="25" s="1"/>
  <c r="AO267" i="25"/>
  <c r="AO158" i="25"/>
  <c r="AO197" i="25"/>
  <c r="AO157" i="25"/>
  <c r="AO133" i="25"/>
  <c r="AO98" i="25"/>
  <c r="U290" i="25"/>
  <c r="V290" i="25"/>
  <c r="AD223" i="25"/>
  <c r="AE223" i="25" s="1"/>
  <c r="W223" i="25"/>
  <c r="Z223" i="25" s="1"/>
  <c r="AA223" i="25" s="1"/>
  <c r="AO223" i="25"/>
  <c r="AO43" i="25"/>
  <c r="AO74" i="25"/>
  <c r="AO76" i="25"/>
  <c r="AO44" i="25"/>
  <c r="AO121" i="25"/>
  <c r="K67" i="23"/>
  <c r="M67" i="23" s="1"/>
  <c r="L103" i="23"/>
  <c r="M103" i="23" s="1"/>
  <c r="L88" i="23"/>
  <c r="M88" i="23" s="1"/>
  <c r="K20" i="23"/>
  <c r="M20" i="23" s="1"/>
  <c r="AP5" i="24"/>
  <c r="W315" i="24"/>
  <c r="Y315" i="24" s="1"/>
  <c r="K63" i="23"/>
  <c r="M63" i="23" s="1"/>
  <c r="L49" i="23"/>
  <c r="M49" i="23" s="1"/>
  <c r="K84" i="23"/>
  <c r="M84" i="23" s="1"/>
  <c r="AP224" i="24"/>
  <c r="L60" i="23"/>
  <c r="M60" i="23" s="1"/>
  <c r="AP228" i="24"/>
  <c r="AP270" i="24"/>
  <c r="W303" i="24"/>
  <c r="Y303" i="24" s="1"/>
  <c r="AP259" i="24"/>
  <c r="AP230" i="24"/>
  <c r="AP274" i="24"/>
  <c r="AP252" i="24"/>
  <c r="AP284" i="24"/>
  <c r="AP241" i="24"/>
  <c r="AP273" i="24"/>
  <c r="AP305" i="24"/>
  <c r="AP286" i="24"/>
  <c r="AP288" i="24"/>
  <c r="AP265" i="24"/>
  <c r="AP266" i="24"/>
  <c r="AP237" i="24"/>
  <c r="AP269" i="24"/>
  <c r="AP250" i="24"/>
  <c r="AP223" i="24"/>
  <c r="AP255" i="24"/>
  <c r="AP287" i="24"/>
  <c r="AP310" i="24"/>
  <c r="AP258" i="24"/>
  <c r="AP235" i="24"/>
  <c r="AP299" i="24"/>
  <c r="W301" i="24"/>
  <c r="Y301" i="24" s="1"/>
  <c r="AP232" i="24"/>
  <c r="AP264" i="24"/>
  <c r="AP296" i="24"/>
  <c r="AP221" i="24"/>
  <c r="AP226" i="24"/>
  <c r="AP263" i="24"/>
  <c r="W234" i="24"/>
  <c r="Y234" i="24" s="1"/>
  <c r="W293" i="24"/>
  <c r="Y293" i="24" s="1"/>
  <c r="AP239" i="24"/>
  <c r="AP271" i="24"/>
  <c r="AP303" i="24"/>
  <c r="AP262" i="24"/>
  <c r="AP175" i="24"/>
  <c r="AP209" i="24"/>
  <c r="AP129" i="24"/>
  <c r="AP177" i="24"/>
  <c r="AP201" i="24"/>
  <c r="AP173" i="24"/>
  <c r="AP172" i="24"/>
  <c r="AP189" i="24"/>
  <c r="AP194" i="24"/>
  <c r="AP198" i="24"/>
  <c r="AP184" i="24"/>
  <c r="AP200" i="24"/>
  <c r="AP118" i="24"/>
  <c r="AP117" i="24"/>
  <c r="W233" i="24"/>
  <c r="Y233" i="24" s="1"/>
  <c r="AP192" i="24"/>
  <c r="AP208" i="24"/>
  <c r="AP179" i="24"/>
  <c r="AP191" i="24"/>
  <c r="AP233" i="24"/>
  <c r="AP168" i="24"/>
  <c r="AP181" i="24"/>
  <c r="AP246" i="24"/>
  <c r="AP190" i="24"/>
  <c r="AP167" i="24"/>
  <c r="AP188" i="24"/>
  <c r="AP204" i="24"/>
  <c r="AP298" i="24"/>
  <c r="AP183" i="24"/>
  <c r="W239" i="24"/>
  <c r="Y239" i="24" s="1"/>
  <c r="AP193" i="24"/>
  <c r="AP203" i="24"/>
  <c r="AP148" i="24"/>
  <c r="AP180" i="24"/>
  <c r="AP182" i="24"/>
  <c r="AP199" i="24"/>
  <c r="AP279" i="24"/>
  <c r="AP171" i="24"/>
  <c r="AP276" i="24"/>
  <c r="AP306" i="24"/>
  <c r="AP249" i="24"/>
  <c r="AP313" i="24"/>
  <c r="AP170" i="24"/>
  <c r="AP247" i="24"/>
  <c r="AP295" i="24"/>
  <c r="AP197" i="24"/>
  <c r="AP242" i="24"/>
  <c r="AP125" i="24"/>
  <c r="AP187" i="24"/>
  <c r="AP165" i="24"/>
  <c r="AP121" i="24"/>
  <c r="AP174" i="24"/>
  <c r="AP176" i="24"/>
  <c r="AP169" i="24"/>
  <c r="AP206" i="24"/>
  <c r="AP141" i="24"/>
  <c r="AP178" i="24"/>
  <c r="AP210" i="24"/>
  <c r="AP244" i="24"/>
  <c r="AP205" i="24"/>
  <c r="AP217" i="24"/>
  <c r="AP185" i="24"/>
  <c r="W271" i="24"/>
  <c r="Y271" i="24" s="1"/>
  <c r="AP196" i="24"/>
  <c r="AP166" i="24"/>
  <c r="AP202" i="24"/>
  <c r="AP229" i="24"/>
  <c r="AP261" i="24"/>
  <c r="AP154" i="24"/>
  <c r="AP186" i="24"/>
  <c r="AP207" i="24"/>
  <c r="AP195" i="24"/>
  <c r="AP292" i="24"/>
  <c r="AP119" i="24"/>
  <c r="AP218" i="24"/>
  <c r="AP130" i="24"/>
  <c r="AP220" i="24"/>
  <c r="AP316" i="24"/>
  <c r="AP227" i="24"/>
  <c r="AP291" i="24"/>
  <c r="AP256" i="24"/>
  <c r="AP133" i="24"/>
  <c r="AP293" i="24"/>
  <c r="AP282" i="24"/>
  <c r="AP267" i="24"/>
  <c r="AP278" i="24"/>
  <c r="AP231" i="24"/>
  <c r="AP311" i="24"/>
  <c r="W287" i="24"/>
  <c r="Y287" i="24" s="1"/>
  <c r="W268" i="24"/>
  <c r="Y268" i="24" s="1"/>
  <c r="W228" i="24"/>
  <c r="Y228" i="24" s="1"/>
  <c r="W229" i="24"/>
  <c r="Y229" i="24" s="1"/>
  <c r="W288" i="24"/>
  <c r="Y288" i="24" s="1"/>
  <c r="AP302" i="24"/>
  <c r="AP301" i="24"/>
  <c r="AP289" i="24"/>
  <c r="AP134" i="24"/>
  <c r="AP111" i="24"/>
  <c r="AP308" i="24"/>
  <c r="AP281" i="24"/>
  <c r="AP113" i="24"/>
  <c r="AP243" i="24"/>
  <c r="AP275" i="24"/>
  <c r="AP307" i="24"/>
  <c r="AP240" i="24"/>
  <c r="AP238" i="24"/>
  <c r="AP245" i="24"/>
  <c r="AP277" i="24"/>
  <c r="AP309" i="24"/>
  <c r="AP156" i="24"/>
  <c r="AP297" i="24"/>
  <c r="W266" i="24"/>
  <c r="Y266" i="24" s="1"/>
  <c r="AP219" i="24"/>
  <c r="AP251" i="24"/>
  <c r="AP283" i="24"/>
  <c r="AP315" i="24"/>
  <c r="AP222" i="24"/>
  <c r="AP116" i="24"/>
  <c r="AP253" i="24"/>
  <c r="AP285" i="24"/>
  <c r="AP162" i="24"/>
  <c r="AP234" i="24"/>
  <c r="AP314" i="24"/>
  <c r="AP236" i="24"/>
  <c r="AP268" i="24"/>
  <c r="AP300" i="24"/>
  <c r="AP225" i="24"/>
  <c r="AP257" i="24"/>
  <c r="AP158" i="24"/>
  <c r="AP136" i="24"/>
  <c r="AP147" i="24"/>
  <c r="AP260" i="24"/>
  <c r="AP254" i="24"/>
  <c r="AP294" i="24"/>
  <c r="AP248" i="24"/>
  <c r="AP280" i="24"/>
  <c r="AP312" i="24"/>
  <c r="AP139" i="24"/>
  <c r="AP114" i="24"/>
  <c r="AP145" i="24"/>
  <c r="AP140" i="24"/>
  <c r="AP163" i="24"/>
  <c r="AP124" i="24"/>
  <c r="AP272" i="24"/>
  <c r="AP304" i="24"/>
  <c r="AP290" i="24"/>
  <c r="AP161" i="24"/>
  <c r="AP137" i="24"/>
  <c r="W127" i="24"/>
  <c r="Y127" i="24" s="1"/>
  <c r="X127" i="24"/>
  <c r="AA127" i="24" s="1"/>
  <c r="AB127" i="24" s="1"/>
  <c r="AC127" i="24" s="1"/>
  <c r="AE127" i="24"/>
  <c r="AI127" i="24"/>
  <c r="V123" i="24"/>
  <c r="V199" i="24"/>
  <c r="V191" i="24"/>
  <c r="W121" i="24"/>
  <c r="Y121" i="24" s="1"/>
  <c r="X121" i="24"/>
  <c r="AA121" i="24" s="1"/>
  <c r="AB121" i="24" s="1"/>
  <c r="AC121" i="24" s="1"/>
  <c r="AE121" i="24"/>
  <c r="AI121" i="24"/>
  <c r="V310" i="24"/>
  <c r="W310" i="24"/>
  <c r="V131" i="24"/>
  <c r="W258" i="24"/>
  <c r="Y258" i="24" s="1"/>
  <c r="V173" i="24"/>
  <c r="W173" i="24"/>
  <c r="AE111" i="24"/>
  <c r="X111" i="24"/>
  <c r="AA111" i="24" s="1"/>
  <c r="AB111" i="24" s="1"/>
  <c r="AC111" i="24" s="1"/>
  <c r="AI111" i="24"/>
  <c r="X197" i="24"/>
  <c r="AA197" i="24" s="1"/>
  <c r="AB197" i="24" s="1"/>
  <c r="AC197" i="24" s="1"/>
  <c r="AE197" i="24"/>
  <c r="L100" i="23"/>
  <c r="M100" i="23" s="1"/>
  <c r="W219" i="24"/>
  <c r="Y219" i="24" s="1"/>
  <c r="AP144" i="24"/>
  <c r="AP160" i="24"/>
  <c r="AP126" i="24"/>
  <c r="AP143" i="24"/>
  <c r="X175" i="24"/>
  <c r="AA175" i="24" s="1"/>
  <c r="AB175" i="24" s="1"/>
  <c r="AC175" i="24" s="1"/>
  <c r="AJ175" i="24" s="1"/>
  <c r="AE175" i="24"/>
  <c r="AP146" i="24"/>
  <c r="W178" i="24"/>
  <c r="Y178" i="24" s="1"/>
  <c r="X178" i="24"/>
  <c r="AA178" i="24" s="1"/>
  <c r="AB178" i="24" s="1"/>
  <c r="AC178" i="24" s="1"/>
  <c r="AJ178" i="24" s="1"/>
  <c r="AE178" i="24"/>
  <c r="AP120" i="24"/>
  <c r="AP132" i="24"/>
  <c r="AP164" i="24"/>
  <c r="V201" i="24"/>
  <c r="AP151" i="24"/>
  <c r="AP123" i="24"/>
  <c r="AP155" i="24"/>
  <c r="AP150" i="24"/>
  <c r="V111" i="24"/>
  <c r="W111" i="24"/>
  <c r="X140" i="24"/>
  <c r="AA140" i="24" s="1"/>
  <c r="AB140" i="24" s="1"/>
  <c r="AC140" i="24" s="1"/>
  <c r="AJ140" i="24" s="1"/>
  <c r="AE140" i="24"/>
  <c r="V189" i="24"/>
  <c r="V194" i="24"/>
  <c r="AP135" i="24"/>
  <c r="V198" i="24"/>
  <c r="AP152" i="24"/>
  <c r="W138" i="24"/>
  <c r="Y138" i="24" s="1"/>
  <c r="AE138" i="24"/>
  <c r="X138" i="24"/>
  <c r="AA138" i="24" s="1"/>
  <c r="AB138" i="24" s="1"/>
  <c r="AC138" i="24" s="1"/>
  <c r="AJ138" i="24" s="1"/>
  <c r="V207" i="24"/>
  <c r="V195" i="24"/>
  <c r="V115" i="24"/>
  <c r="V128" i="24"/>
  <c r="W197" i="24"/>
  <c r="V197" i="24"/>
  <c r="AP142" i="24"/>
  <c r="V187" i="24"/>
  <c r="V124" i="24"/>
  <c r="W124" i="24"/>
  <c r="V156" i="24"/>
  <c r="W250" i="24"/>
  <c r="Y250" i="24" s="1"/>
  <c r="AE160" i="24"/>
  <c r="X160" i="24"/>
  <c r="AA160" i="24" s="1"/>
  <c r="AB160" i="24" s="1"/>
  <c r="AC160" i="24" s="1"/>
  <c r="AJ160" i="24" s="1"/>
  <c r="AE126" i="24"/>
  <c r="X126" i="24"/>
  <c r="AA126" i="24" s="1"/>
  <c r="AB126" i="24" s="1"/>
  <c r="AC126" i="24" s="1"/>
  <c r="AJ126" i="24" s="1"/>
  <c r="V193" i="24"/>
  <c r="V175" i="24"/>
  <c r="W175" i="24"/>
  <c r="V141" i="24"/>
  <c r="V165" i="24"/>
  <c r="W129" i="24"/>
  <c r="Y129" i="24" s="1"/>
  <c r="X129" i="24"/>
  <c r="AA129" i="24" s="1"/>
  <c r="AB129" i="24" s="1"/>
  <c r="AC129" i="24" s="1"/>
  <c r="AJ129" i="24" s="1"/>
  <c r="AE129" i="24"/>
  <c r="V203" i="24"/>
  <c r="W164" i="24"/>
  <c r="Y164" i="24" s="1"/>
  <c r="X164" i="24"/>
  <c r="AA164" i="24" s="1"/>
  <c r="AB164" i="24" s="1"/>
  <c r="AC164" i="24" s="1"/>
  <c r="AJ164" i="24" s="1"/>
  <c r="AE164" i="24"/>
  <c r="X180" i="24"/>
  <c r="AA180" i="24" s="1"/>
  <c r="AB180" i="24" s="1"/>
  <c r="AC180" i="24" s="1"/>
  <c r="AJ180" i="24" s="1"/>
  <c r="AE180" i="24"/>
  <c r="AP131" i="24"/>
  <c r="V140" i="24"/>
  <c r="W140" i="24"/>
  <c r="V172" i="24"/>
  <c r="W135" i="24"/>
  <c r="Y135" i="24" s="1"/>
  <c r="X135" i="24"/>
  <c r="AA135" i="24" s="1"/>
  <c r="AB135" i="24" s="1"/>
  <c r="AC135" i="24" s="1"/>
  <c r="AJ135" i="24" s="1"/>
  <c r="AE135" i="24"/>
  <c r="W202" i="24"/>
  <c r="Y202" i="24" s="1"/>
  <c r="X202" i="24"/>
  <c r="AA202" i="24" s="1"/>
  <c r="AB202" i="24" s="1"/>
  <c r="AC202" i="24" s="1"/>
  <c r="AJ202" i="24" s="1"/>
  <c r="AE202" i="24"/>
  <c r="AE200" i="24"/>
  <c r="X200" i="24"/>
  <c r="AA200" i="24" s="1"/>
  <c r="AB200" i="24" s="1"/>
  <c r="AC200" i="24" s="1"/>
  <c r="AJ200" i="24" s="1"/>
  <c r="AP157" i="24"/>
  <c r="AP112" i="24"/>
  <c r="V159" i="24"/>
  <c r="V133" i="24"/>
  <c r="V185" i="24"/>
  <c r="V167" i="24"/>
  <c r="V154" i="24"/>
  <c r="V186" i="24"/>
  <c r="V147" i="24"/>
  <c r="V125" i="24"/>
  <c r="V112" i="24"/>
  <c r="W251" i="24"/>
  <c r="Y251" i="24" s="1"/>
  <c r="V160" i="24"/>
  <c r="W160" i="24"/>
  <c r="V176" i="24"/>
  <c r="V192" i="24"/>
  <c r="V208" i="24"/>
  <c r="V126" i="24"/>
  <c r="W126" i="24"/>
  <c r="V169" i="24"/>
  <c r="V143" i="24"/>
  <c r="V116" i="24"/>
  <c r="V162" i="24"/>
  <c r="V179" i="24"/>
  <c r="V132" i="24"/>
  <c r="W180" i="24"/>
  <c r="V180" i="24"/>
  <c r="AP127" i="24"/>
  <c r="AE173" i="24"/>
  <c r="X173" i="24"/>
  <c r="AA173" i="24" s="1"/>
  <c r="AB173" i="24" s="1"/>
  <c r="AC173" i="24" s="1"/>
  <c r="AJ173" i="24" s="1"/>
  <c r="AP122" i="24"/>
  <c r="AP153" i="24"/>
  <c r="V158" i="24"/>
  <c r="V163" i="24"/>
  <c r="V113" i="24"/>
  <c r="V152" i="24"/>
  <c r="V200" i="24"/>
  <c r="W200" i="24"/>
  <c r="W118" i="24"/>
  <c r="Y118" i="24" s="1"/>
  <c r="AE118" i="24"/>
  <c r="X118" i="24"/>
  <c r="AA118" i="24" s="1"/>
  <c r="AB118" i="24" s="1"/>
  <c r="AC118" i="24" s="1"/>
  <c r="AJ118" i="24" s="1"/>
  <c r="V205" i="24"/>
  <c r="AE124" i="24"/>
  <c r="X124" i="24"/>
  <c r="AA124" i="24" s="1"/>
  <c r="AB124" i="24" s="1"/>
  <c r="AC124" i="24" s="1"/>
  <c r="AJ124" i="24" s="1"/>
  <c r="AP159" i="24"/>
  <c r="AP149" i="24"/>
  <c r="AP138" i="24"/>
  <c r="AP115" i="24"/>
  <c r="AP128" i="24"/>
  <c r="AI197" i="24"/>
  <c r="V183" i="24"/>
  <c r="W220" i="24"/>
  <c r="Y220" i="24" s="1"/>
  <c r="L24" i="23"/>
  <c r="M24" i="23" s="1"/>
  <c r="K42" i="23"/>
  <c r="M42" i="23" s="1"/>
  <c r="K66" i="23"/>
  <c r="M66" i="23" s="1"/>
  <c r="K74" i="23"/>
  <c r="M74" i="23" s="1"/>
  <c r="X245" i="24"/>
  <c r="AA245" i="24" s="1"/>
  <c r="AB245" i="24" s="1"/>
  <c r="AC245" i="24" s="1"/>
  <c r="AE245" i="24"/>
  <c r="AI245" i="24"/>
  <c r="AI307" i="24"/>
  <c r="AE307" i="24"/>
  <c r="X307" i="24"/>
  <c r="AA307" i="24" s="1"/>
  <c r="AB307" i="24" s="1"/>
  <c r="AC307" i="24" s="1"/>
  <c r="V284" i="24"/>
  <c r="V227" i="24"/>
  <c r="W227" i="24"/>
  <c r="AE302" i="24"/>
  <c r="AI302" i="24"/>
  <c r="X302" i="24"/>
  <c r="AA302" i="24" s="1"/>
  <c r="AB302" i="24" s="1"/>
  <c r="AC302" i="24" s="1"/>
  <c r="W297" i="24"/>
  <c r="Y297" i="24" s="1"/>
  <c r="AI297" i="24"/>
  <c r="AE297" i="24"/>
  <c r="X297" i="24"/>
  <c r="AA297" i="24" s="1"/>
  <c r="AB297" i="24" s="1"/>
  <c r="AC297" i="24" s="1"/>
  <c r="V279" i="24"/>
  <c r="W279" i="24"/>
  <c r="V296" i="24"/>
  <c r="V245" i="24"/>
  <c r="W245" i="24"/>
  <c r="AE240" i="24"/>
  <c r="AI240" i="24"/>
  <c r="X240" i="24"/>
  <c r="AA240" i="24" s="1"/>
  <c r="AB240" i="24" s="1"/>
  <c r="AC240" i="24" s="1"/>
  <c r="AI259" i="24"/>
  <c r="AE259" i="24"/>
  <c r="X259" i="24"/>
  <c r="AA259" i="24" s="1"/>
  <c r="AB259" i="24" s="1"/>
  <c r="AC259" i="24" s="1"/>
  <c r="AE223" i="24"/>
  <c r="AI223" i="24"/>
  <c r="X223" i="24"/>
  <c r="AA223" i="24" s="1"/>
  <c r="AB223" i="24" s="1"/>
  <c r="AC223" i="24" s="1"/>
  <c r="AI264" i="24"/>
  <c r="AE264" i="24"/>
  <c r="X264" i="24"/>
  <c r="AA264" i="24" s="1"/>
  <c r="AB264" i="24" s="1"/>
  <c r="AC264" i="24" s="1"/>
  <c r="AE273" i="24"/>
  <c r="AI273" i="24"/>
  <c r="X273" i="24"/>
  <c r="AA273" i="24" s="1"/>
  <c r="AB273" i="24" s="1"/>
  <c r="AC273" i="24" s="1"/>
  <c r="V231" i="24"/>
  <c r="AE222" i="24"/>
  <c r="AI222" i="24"/>
  <c r="X222" i="24"/>
  <c r="AA222" i="24" s="1"/>
  <c r="AB222" i="24" s="1"/>
  <c r="AC222" i="24" s="1"/>
  <c r="AI243" i="24"/>
  <c r="AE243" i="24"/>
  <c r="X243" i="24"/>
  <c r="AA243" i="24" s="1"/>
  <c r="AB243" i="24" s="1"/>
  <c r="AC243" i="24" s="1"/>
  <c r="V312" i="24"/>
  <c r="V270" i="24"/>
  <c r="AI293" i="24"/>
  <c r="AE293" i="24"/>
  <c r="X293" i="24"/>
  <c r="AA293" i="24" s="1"/>
  <c r="AB293" i="24" s="1"/>
  <c r="AC293" i="24" s="1"/>
  <c r="V304" i="24"/>
  <c r="W304" i="24"/>
  <c r="AE301" i="24"/>
  <c r="AI301" i="24"/>
  <c r="X301" i="24"/>
  <c r="AA301" i="24" s="1"/>
  <c r="AB301" i="24" s="1"/>
  <c r="AC301" i="24" s="1"/>
  <c r="W307" i="24"/>
  <c r="Y307" i="24" s="1"/>
  <c r="AI241" i="24"/>
  <c r="AE241" i="24"/>
  <c r="X241" i="24"/>
  <c r="AA241" i="24" s="1"/>
  <c r="AB241" i="24" s="1"/>
  <c r="AC241" i="24" s="1"/>
  <c r="AE279" i="24"/>
  <c r="AI279" i="24"/>
  <c r="X279" i="24"/>
  <c r="AA279" i="24" s="1"/>
  <c r="AB279" i="24" s="1"/>
  <c r="AC279" i="24" s="1"/>
  <c r="AE236" i="24"/>
  <c r="AI236" i="24"/>
  <c r="X236" i="24"/>
  <c r="AA236" i="24" s="1"/>
  <c r="AB236" i="24" s="1"/>
  <c r="AC236" i="24" s="1"/>
  <c r="AE224" i="24"/>
  <c r="AI224" i="24"/>
  <c r="X224" i="24"/>
  <c r="AA224" i="24" s="1"/>
  <c r="AB224" i="24" s="1"/>
  <c r="AC224" i="24" s="1"/>
  <c r="V294" i="24"/>
  <c r="W294" i="24"/>
  <c r="V246" i="24"/>
  <c r="W236" i="24"/>
  <c r="Y236" i="24" s="1"/>
  <c r="W259" i="24"/>
  <c r="Y259" i="24" s="1"/>
  <c r="W273" i="24"/>
  <c r="Y273" i="24" s="1"/>
  <c r="AE285" i="24"/>
  <c r="AI285" i="24"/>
  <c r="X285" i="24"/>
  <c r="AA285" i="24" s="1"/>
  <c r="AB285" i="24" s="1"/>
  <c r="AC285" i="24" s="1"/>
  <c r="V316" i="24"/>
  <c r="W316" i="24"/>
  <c r="V276" i="24"/>
  <c r="V223" i="24"/>
  <c r="W223" i="24"/>
  <c r="V254" i="24"/>
  <c r="W254" i="24"/>
  <c r="V232" i="24"/>
  <c r="V309" i="24"/>
  <c r="W309" i="24"/>
  <c r="V314" i="24"/>
  <c r="W314" i="24"/>
  <c r="AI251" i="24"/>
  <c r="AE251" i="24"/>
  <c r="X251" i="24"/>
  <c r="AA251" i="24" s="1"/>
  <c r="AB251" i="24" s="1"/>
  <c r="AC251" i="24" s="1"/>
  <c r="AE216" i="24"/>
  <c r="AI216" i="24"/>
  <c r="X216" i="24"/>
  <c r="AA216" i="24" s="1"/>
  <c r="AB216" i="24" s="1"/>
  <c r="AC216" i="24" s="1"/>
  <c r="AI220" i="24"/>
  <c r="AE220" i="24"/>
  <c r="X220" i="24"/>
  <c r="AA220" i="24" s="1"/>
  <c r="AB220" i="24" s="1"/>
  <c r="AC220" i="24" s="1"/>
  <c r="AI287" i="24"/>
  <c r="AE287" i="24"/>
  <c r="X287" i="24"/>
  <c r="AA287" i="24" s="1"/>
  <c r="AB287" i="24" s="1"/>
  <c r="AC287" i="24" s="1"/>
  <c r="AI266" i="24"/>
  <c r="AE266" i="24"/>
  <c r="X266" i="24"/>
  <c r="AA266" i="24" s="1"/>
  <c r="AB266" i="24" s="1"/>
  <c r="AC266" i="24" s="1"/>
  <c r="V256" i="24"/>
  <c r="W256" i="24"/>
  <c r="AE316" i="24"/>
  <c r="AI316" i="24"/>
  <c r="X316" i="24"/>
  <c r="AA316" i="24" s="1"/>
  <c r="AB316" i="24" s="1"/>
  <c r="AC316" i="24" s="1"/>
  <c r="AI274" i="24"/>
  <c r="AE274" i="24"/>
  <c r="X274" i="24"/>
  <c r="AA274" i="24" s="1"/>
  <c r="AB274" i="24" s="1"/>
  <c r="AC274" i="24" s="1"/>
  <c r="AE254" i="24"/>
  <c r="AI254" i="24"/>
  <c r="X254" i="24"/>
  <c r="AA254" i="24" s="1"/>
  <c r="AB254" i="24" s="1"/>
  <c r="AC254" i="24" s="1"/>
  <c r="AE268" i="24"/>
  <c r="AI268" i="24"/>
  <c r="X268" i="24"/>
  <c r="AA268" i="24" s="1"/>
  <c r="AB268" i="24" s="1"/>
  <c r="AC268" i="24" s="1"/>
  <c r="AI219" i="24"/>
  <c r="AE219" i="24"/>
  <c r="X219" i="24"/>
  <c r="AA219" i="24" s="1"/>
  <c r="AB219" i="24" s="1"/>
  <c r="AC219" i="24" s="1"/>
  <c r="W274" i="24"/>
  <c r="V274" i="24"/>
  <c r="AI286" i="24"/>
  <c r="AE286" i="24"/>
  <c r="X286" i="24"/>
  <c r="AA286" i="24" s="1"/>
  <c r="AB286" i="24" s="1"/>
  <c r="AC286" i="24" s="1"/>
  <c r="AE235" i="24"/>
  <c r="AI235" i="24"/>
  <c r="X235" i="24"/>
  <c r="AA235" i="24" s="1"/>
  <c r="AB235" i="24" s="1"/>
  <c r="AC235" i="24" s="1"/>
  <c r="AE221" i="24"/>
  <c r="AI221" i="24"/>
  <c r="X221" i="24"/>
  <c r="AA221" i="24" s="1"/>
  <c r="AB221" i="24" s="1"/>
  <c r="AC221" i="24" s="1"/>
  <c r="V286" i="24"/>
  <c r="W286" i="24"/>
  <c r="V267" i="24"/>
  <c r="W243" i="24"/>
  <c r="V243" i="24"/>
  <c r="AI288" i="24"/>
  <c r="AE288" i="24"/>
  <c r="X288" i="24"/>
  <c r="AA288" i="24" s="1"/>
  <c r="AB288" i="24" s="1"/>
  <c r="AC288" i="24" s="1"/>
  <c r="X292" i="24"/>
  <c r="AA292" i="24" s="1"/>
  <c r="AB292" i="24" s="1"/>
  <c r="AC292" i="24" s="1"/>
  <c r="AI292" i="24"/>
  <c r="AE292" i="24"/>
  <c r="W240" i="24"/>
  <c r="Y240" i="24" s="1"/>
  <c r="AI250" i="24"/>
  <c r="AE250" i="24"/>
  <c r="X250" i="24"/>
  <c r="AA250" i="24" s="1"/>
  <c r="AB250" i="24" s="1"/>
  <c r="AC250" i="24" s="1"/>
  <c r="V262" i="24"/>
  <c r="V306" i="24"/>
  <c r="V300" i="24"/>
  <c r="W300" i="24"/>
  <c r="V247" i="24"/>
  <c r="W247" i="24"/>
  <c r="V264" i="24"/>
  <c r="W264" i="24"/>
  <c r="V235" i="24"/>
  <c r="W235" i="24"/>
  <c r="AE228" i="24"/>
  <c r="AI228" i="24"/>
  <c r="X228" i="24"/>
  <c r="AA228" i="24" s="1"/>
  <c r="AB228" i="24" s="1"/>
  <c r="AC228" i="24" s="1"/>
  <c r="V237" i="24"/>
  <c r="AE218" i="24"/>
  <c r="AI218" i="24"/>
  <c r="X218" i="24"/>
  <c r="AA218" i="24" s="1"/>
  <c r="AB218" i="24" s="1"/>
  <c r="AC218" i="24" s="1"/>
  <c r="X300" i="24"/>
  <c r="AA300" i="24" s="1"/>
  <c r="AB300" i="24" s="1"/>
  <c r="AC300" i="24" s="1"/>
  <c r="AI300" i="24"/>
  <c r="AE300" i="24"/>
  <c r="K58" i="23"/>
  <c r="M58" i="23" s="1"/>
  <c r="AE315" i="24"/>
  <c r="AI315" i="24"/>
  <c r="X315" i="24"/>
  <c r="AA315" i="24" s="1"/>
  <c r="AB315" i="24" s="1"/>
  <c r="AC315" i="24" s="1"/>
  <c r="AI271" i="24"/>
  <c r="AE271" i="24"/>
  <c r="X271" i="24"/>
  <c r="AA271" i="24" s="1"/>
  <c r="AB271" i="24" s="1"/>
  <c r="AC271" i="24" s="1"/>
  <c r="AE314" i="24"/>
  <c r="AI314" i="24"/>
  <c r="X314" i="24"/>
  <c r="AA314" i="24" s="1"/>
  <c r="AB314" i="24" s="1"/>
  <c r="AC314" i="24" s="1"/>
  <c r="AI234" i="24"/>
  <c r="AE234" i="24"/>
  <c r="X234" i="24"/>
  <c r="AA234" i="24" s="1"/>
  <c r="AB234" i="24" s="1"/>
  <c r="AC234" i="24" s="1"/>
  <c r="V308" i="24"/>
  <c r="V255" i="24"/>
  <c r="AE247" i="24"/>
  <c r="AI247" i="24"/>
  <c r="X247" i="24"/>
  <c r="AA247" i="24" s="1"/>
  <c r="AB247" i="24" s="1"/>
  <c r="AC247" i="24" s="1"/>
  <c r="AE309" i="24"/>
  <c r="AI309" i="24"/>
  <c r="X309" i="24"/>
  <c r="AA309" i="24" s="1"/>
  <c r="AB309" i="24" s="1"/>
  <c r="AC309" i="24" s="1"/>
  <c r="AI256" i="24"/>
  <c r="AE256" i="24"/>
  <c r="X256" i="24"/>
  <c r="AA256" i="24" s="1"/>
  <c r="AB256" i="24" s="1"/>
  <c r="AC256" i="24" s="1"/>
  <c r="W224" i="24"/>
  <c r="Y224" i="24" s="1"/>
  <c r="W241" i="24"/>
  <c r="Y241" i="24" s="1"/>
  <c r="W292" i="24"/>
  <c r="Y292" i="24" s="1"/>
  <c r="AI272" i="24"/>
  <c r="AE272" i="24"/>
  <c r="X272" i="24"/>
  <c r="AA272" i="24" s="1"/>
  <c r="AB272" i="24" s="1"/>
  <c r="AC272" i="24" s="1"/>
  <c r="V244" i="24"/>
  <c r="V302" i="24"/>
  <c r="W302" i="24"/>
  <c r="V222" i="24"/>
  <c r="W222" i="24"/>
  <c r="V299" i="24"/>
  <c r="V261" i="24"/>
  <c r="V218" i="24"/>
  <c r="W218" i="24"/>
  <c r="AE230" i="24"/>
  <c r="AI230" i="24"/>
  <c r="X230" i="24"/>
  <c r="AA230" i="24" s="1"/>
  <c r="AB230" i="24" s="1"/>
  <c r="AC230" i="24" s="1"/>
  <c r="AE258" i="24"/>
  <c r="AI258" i="24"/>
  <c r="X258" i="24"/>
  <c r="AA258" i="24" s="1"/>
  <c r="AB258" i="24" s="1"/>
  <c r="AC258" i="24" s="1"/>
  <c r="AI303" i="24"/>
  <c r="AE303" i="24"/>
  <c r="X303" i="24"/>
  <c r="AA303" i="24" s="1"/>
  <c r="AB303" i="24" s="1"/>
  <c r="AC303" i="24" s="1"/>
  <c r="W275" i="24"/>
  <c r="Y275" i="24" s="1"/>
  <c r="AI275" i="24"/>
  <c r="AE275" i="24"/>
  <c r="X275" i="24"/>
  <c r="AA275" i="24" s="1"/>
  <c r="AB275" i="24" s="1"/>
  <c r="AC275" i="24" s="1"/>
  <c r="AE233" i="24"/>
  <c r="AI233" i="24"/>
  <c r="X233" i="24"/>
  <c r="AA233" i="24" s="1"/>
  <c r="AB233" i="24" s="1"/>
  <c r="AC233" i="24" s="1"/>
  <c r="AE229" i="24"/>
  <c r="AI229" i="24"/>
  <c r="X229" i="24"/>
  <c r="AA229" i="24" s="1"/>
  <c r="AB229" i="24" s="1"/>
  <c r="AC229" i="24" s="1"/>
  <c r="AE304" i="24"/>
  <c r="AI304" i="24"/>
  <c r="X304" i="24"/>
  <c r="AA304" i="24" s="1"/>
  <c r="AB304" i="24" s="1"/>
  <c r="AC304" i="24" s="1"/>
  <c r="AI239" i="24"/>
  <c r="AE239" i="24"/>
  <c r="X239" i="24"/>
  <c r="AA239" i="24" s="1"/>
  <c r="AB239" i="24" s="1"/>
  <c r="AC239" i="24" s="1"/>
  <c r="AE310" i="24"/>
  <c r="AI310" i="24"/>
  <c r="X310" i="24"/>
  <c r="AA310" i="24" s="1"/>
  <c r="AB310" i="24" s="1"/>
  <c r="AC310" i="24" s="1"/>
  <c r="AE294" i="24"/>
  <c r="AI294" i="24"/>
  <c r="X294" i="24"/>
  <c r="AA294" i="24" s="1"/>
  <c r="AB294" i="24" s="1"/>
  <c r="AC294" i="24" s="1"/>
  <c r="W230" i="24"/>
  <c r="Y230" i="24" s="1"/>
  <c r="W216" i="24"/>
  <c r="Y216" i="24" s="1"/>
  <c r="W285" i="24"/>
  <c r="Y285" i="24" s="1"/>
  <c r="W221" i="24"/>
  <c r="Y221" i="24" s="1"/>
  <c r="AE227" i="24"/>
  <c r="AI227" i="24"/>
  <c r="X227" i="24"/>
  <c r="AA227" i="24" s="1"/>
  <c r="AB227" i="24" s="1"/>
  <c r="AC227" i="24" s="1"/>
  <c r="W272" i="24"/>
  <c r="Y272" i="24" s="1"/>
  <c r="AP60" i="24"/>
  <c r="AP41" i="24"/>
  <c r="AP40" i="24"/>
  <c r="AP63" i="24"/>
  <c r="AP72" i="24"/>
  <c r="AP64" i="24"/>
  <c r="AP83" i="24"/>
  <c r="AP27" i="24"/>
  <c r="AP101" i="24"/>
  <c r="AP42" i="24"/>
  <c r="AP56" i="24"/>
  <c r="AP46" i="24"/>
  <c r="AP18" i="24"/>
  <c r="AP10" i="24"/>
  <c r="AP79" i="24"/>
  <c r="AP55" i="24"/>
  <c r="AP54" i="24"/>
  <c r="AP91" i="24"/>
  <c r="AP87" i="24"/>
  <c r="AP59" i="24"/>
  <c r="AP36" i="24"/>
  <c r="AP105" i="24"/>
  <c r="AP28" i="24"/>
  <c r="V14" i="24"/>
  <c r="V48" i="24"/>
  <c r="V18" i="24"/>
  <c r="V73" i="24"/>
  <c r="V76" i="24"/>
  <c r="V60" i="24"/>
  <c r="V47" i="24"/>
  <c r="V40" i="24"/>
  <c r="V10" i="24"/>
  <c r="V83" i="24"/>
  <c r="V6" i="24"/>
  <c r="V54" i="24"/>
  <c r="V43" i="24"/>
  <c r="V91" i="24"/>
  <c r="V20" i="24"/>
  <c r="V35" i="24"/>
  <c r="V19" i="24"/>
  <c r="V26" i="24"/>
  <c r="V95" i="24"/>
  <c r="V104" i="24"/>
  <c r="V46" i="24"/>
  <c r="V92" i="24"/>
  <c r="V90" i="24"/>
  <c r="V50" i="24"/>
  <c r="V7" i="24"/>
  <c r="V103" i="24"/>
  <c r="V64" i="24"/>
  <c r="V78" i="24"/>
  <c r="V9" i="24"/>
  <c r="V38" i="24"/>
  <c r="V27" i="24"/>
  <c r="V75" i="24"/>
  <c r="V100" i="24"/>
  <c r="V41" i="24"/>
  <c r="V15" i="24"/>
  <c r="V74" i="24"/>
  <c r="V31" i="24"/>
  <c r="V79" i="24"/>
  <c r="V8" i="24"/>
  <c r="V88" i="24"/>
  <c r="V45" i="24"/>
  <c r="V30" i="24"/>
  <c r="V13" i="24"/>
  <c r="V24" i="24"/>
  <c r="K93" i="23"/>
  <c r="M93" i="23" s="1"/>
  <c r="V23" i="24"/>
  <c r="V85" i="24"/>
  <c r="V82" i="24"/>
  <c r="V62" i="24"/>
  <c r="V86" i="24"/>
  <c r="V93" i="24"/>
  <c r="V34" i="24"/>
  <c r="V53" i="24"/>
  <c r="V39" i="24"/>
  <c r="V87" i="24"/>
  <c r="V16" i="24"/>
  <c r="V96" i="24"/>
  <c r="V57" i="24"/>
  <c r="V52" i="24"/>
  <c r="V84" i="24"/>
  <c r="V33" i="24"/>
  <c r="V12" i="24"/>
  <c r="V58" i="24"/>
  <c r="W5" i="24"/>
  <c r="V5" i="24"/>
  <c r="V63" i="24"/>
  <c r="V72" i="24"/>
  <c r="V81" i="24"/>
  <c r="L57" i="23"/>
  <c r="M57" i="23" s="1"/>
  <c r="V66" i="24"/>
  <c r="V105" i="24"/>
  <c r="V28" i="24"/>
  <c r="V94" i="24"/>
  <c r="V71" i="24"/>
  <c r="V29" i="24"/>
  <c r="V21" i="24"/>
  <c r="V61" i="24"/>
  <c r="V77" i="24"/>
  <c r="V37" i="24"/>
  <c r="V68" i="24"/>
  <c r="V99" i="24"/>
  <c r="V25" i="24"/>
  <c r="V42" i="24"/>
  <c r="V67" i="24"/>
  <c r="V49" i="24"/>
  <c r="L72" i="23"/>
  <c r="M72" i="23" s="1"/>
  <c r="K65" i="23"/>
  <c r="M65" i="23" s="1"/>
  <c r="L95" i="23"/>
  <c r="M95" i="23" s="1"/>
  <c r="M11" i="23"/>
  <c r="M99" i="23"/>
  <c r="M27" i="23"/>
  <c r="M19" i="23"/>
  <c r="M56" i="23"/>
  <c r="M8" i="23"/>
  <c r="M87" i="23"/>
  <c r="M55" i="23"/>
  <c r="M75" i="23"/>
  <c r="M12" i="23"/>
  <c r="M47" i="23"/>
  <c r="M43" i="23"/>
  <c r="M6" i="23"/>
  <c r="L97" i="23"/>
  <c r="M97" i="23" s="1"/>
  <c r="K83" i="23"/>
  <c r="M83" i="23" s="1"/>
  <c r="M98" i="23"/>
  <c r="M62" i="23"/>
  <c r="M46" i="23"/>
  <c r="M76" i="23"/>
  <c r="M78" i="23"/>
  <c r="M54" i="23"/>
  <c r="M81" i="23"/>
  <c r="M85" i="23"/>
  <c r="M50" i="23"/>
  <c r="M53" i="23"/>
  <c r="M101" i="23"/>
  <c r="M45" i="23"/>
  <c r="M34" i="23"/>
  <c r="M36" i="23"/>
  <c r="M28" i="23"/>
  <c r="M9" i="23"/>
  <c r="M33" i="23"/>
  <c r="M30" i="23"/>
  <c r="M90" i="23"/>
  <c r="M10" i="23"/>
  <c r="M94" i="23"/>
  <c r="M68" i="23"/>
  <c r="M70" i="23"/>
  <c r="M106" i="23"/>
  <c r="M41" i="23"/>
  <c r="M37" i="23"/>
  <c r="M44" i="23"/>
  <c r="M32" i="23"/>
  <c r="M23" i="23"/>
  <c r="M48" i="23"/>
  <c r="M64" i="23"/>
  <c r="M15" i="23"/>
  <c r="M40" i="23"/>
  <c r="M80" i="23"/>
  <c r="M31" i="23"/>
  <c r="M91" i="23"/>
  <c r="M7" i="23"/>
  <c r="M96" i="23"/>
  <c r="M51" i="23"/>
  <c r="M71" i="23"/>
  <c r="M39" i="23"/>
  <c r="M79" i="23"/>
  <c r="M104" i="23"/>
  <c r="M59" i="23"/>
  <c r="M16" i="23"/>
  <c r="M35" i="23"/>
  <c r="M18" i="23"/>
  <c r="M105" i="23"/>
  <c r="M86" i="23"/>
  <c r="M52" i="23"/>
  <c r="M89" i="23"/>
  <c r="M38" i="23"/>
  <c r="M25" i="23"/>
  <c r="M61" i="23"/>
  <c r="M82" i="23"/>
  <c r="M14" i="23"/>
  <c r="M29" i="23"/>
  <c r="M69" i="23"/>
  <c r="M17" i="23"/>
  <c r="M21" i="23"/>
  <c r="M22" i="23"/>
  <c r="M92" i="23"/>
  <c r="M73" i="23"/>
  <c r="M13" i="23"/>
  <c r="M102" i="23"/>
  <c r="M26" i="23"/>
  <c r="B196" i="2"/>
  <c r="A237" i="2"/>
  <c r="D42" i="16"/>
  <c r="B197" i="2"/>
  <c r="D43" i="16"/>
  <c r="H212" i="24" l="1"/>
  <c r="AM212" i="24"/>
  <c r="U212" i="24"/>
  <c r="S212" i="24"/>
  <c r="T212" i="24" s="1"/>
  <c r="Q212" i="24"/>
  <c r="CH5" i="25"/>
  <c r="CH7" i="25"/>
  <c r="CH35" i="25"/>
  <c r="CH80" i="25"/>
  <c r="CH49" i="25"/>
  <c r="CH58" i="25"/>
  <c r="CH19" i="25"/>
  <c r="CH66" i="25"/>
  <c r="CH43" i="25"/>
  <c r="CH86" i="25"/>
  <c r="CH39" i="25"/>
  <c r="CH101" i="25"/>
  <c r="CH36" i="25"/>
  <c r="CH18" i="25"/>
  <c r="CH53" i="25"/>
  <c r="CH90" i="25"/>
  <c r="CH92" i="25"/>
  <c r="CH28" i="25"/>
  <c r="CH10" i="25"/>
  <c r="CH79" i="25"/>
  <c r="CH33" i="25"/>
  <c r="CH16" i="25"/>
  <c r="CH9" i="25"/>
  <c r="CH38" i="25"/>
  <c r="CH24" i="25"/>
  <c r="CH11" i="25"/>
  <c r="CH15" i="25"/>
  <c r="CH22" i="25"/>
  <c r="CH64" i="25"/>
  <c r="CH26" i="25"/>
  <c r="CH27" i="25"/>
  <c r="CH30" i="25"/>
  <c r="CH72" i="25"/>
  <c r="CH95" i="25"/>
  <c r="CH8" i="25"/>
  <c r="CH41" i="25"/>
  <c r="CH23" i="25"/>
  <c r="CH34" i="25"/>
  <c r="CH85" i="25"/>
  <c r="CH96" i="25"/>
  <c r="CH17" i="25"/>
  <c r="CH99" i="25"/>
  <c r="CF153" i="24"/>
  <c r="CG110" i="24"/>
  <c r="CG216" i="24"/>
  <c r="CG242" i="24"/>
  <c r="CG281" i="24"/>
  <c r="CG254" i="24"/>
  <c r="CG137" i="24"/>
  <c r="CG226" i="24"/>
  <c r="CG277" i="24"/>
  <c r="CG238" i="24"/>
  <c r="CG133" i="24"/>
  <c r="CG217" i="24"/>
  <c r="CG291" i="24"/>
  <c r="CG121" i="24"/>
  <c r="CG131" i="24"/>
  <c r="CG305" i="24"/>
  <c r="CG241" i="24"/>
  <c r="CG278" i="24"/>
  <c r="CG316" i="24"/>
  <c r="CG252" i="24"/>
  <c r="CG271" i="24"/>
  <c r="CG294" i="24"/>
  <c r="CG265" i="24"/>
  <c r="CG198" i="24"/>
  <c r="CG276" i="24"/>
  <c r="CG298" i="24"/>
  <c r="CG115" i="24"/>
  <c r="CG293" i="24"/>
  <c r="CG288" i="24"/>
  <c r="CG136" i="24"/>
  <c r="CG310" i="24"/>
  <c r="CG285" i="24"/>
  <c r="CG221" i="24"/>
  <c r="CG296" i="24"/>
  <c r="CG232" i="24"/>
  <c r="CG143" i="24"/>
  <c r="CG315" i="24"/>
  <c r="CG251" i="24"/>
  <c r="CG174" i="24"/>
  <c r="CG260" i="24"/>
  <c r="CG258" i="24"/>
  <c r="CG189" i="24"/>
  <c r="CG279" i="24"/>
  <c r="CG273" i="24"/>
  <c r="CG274" i="24"/>
  <c r="CG303" i="24"/>
  <c r="CG239" i="24"/>
  <c r="CG306" i="24"/>
  <c r="CG153" i="24"/>
  <c r="CG156" i="24"/>
  <c r="CG263" i="24"/>
  <c r="CG229" i="24"/>
  <c r="CG224" i="24"/>
  <c r="CG275" i="24"/>
  <c r="CG264" i="24"/>
  <c r="CG113" i="24"/>
  <c r="CG249" i="24"/>
  <c r="CG292" i="24"/>
  <c r="CG311" i="24"/>
  <c r="CG245" i="24"/>
  <c r="CG304" i="24"/>
  <c r="CG246" i="24"/>
  <c r="CG259" i="24"/>
  <c r="CG262" i="24"/>
  <c r="CG289" i="24"/>
  <c r="CG225" i="24"/>
  <c r="CG230" i="24"/>
  <c r="CG300" i="24"/>
  <c r="CG236" i="24"/>
  <c r="CG314" i="24"/>
  <c r="CG201" i="24"/>
  <c r="CG130" i="24"/>
  <c r="CG196" i="24"/>
  <c r="CG132" i="24"/>
  <c r="CG255" i="24"/>
  <c r="CG233" i="24"/>
  <c r="CG244" i="24"/>
  <c r="CG295" i="24"/>
  <c r="CG282" i="24"/>
  <c r="CG261" i="24"/>
  <c r="CG256" i="24"/>
  <c r="CG286" i="24"/>
  <c r="CG307" i="24"/>
  <c r="CG250" i="24"/>
  <c r="CG269" i="24"/>
  <c r="CG116" i="24"/>
  <c r="CG280" i="24"/>
  <c r="CG302" i="24"/>
  <c r="CG206" i="24"/>
  <c r="CG126" i="24"/>
  <c r="CG299" i="24"/>
  <c r="CG235" i="24"/>
  <c r="CG272" i="24"/>
  <c r="CG227" i="24"/>
  <c r="CG284" i="24"/>
  <c r="CG220" i="24"/>
  <c r="CG218" i="24"/>
  <c r="CG253" i="24"/>
  <c r="CG163" i="24"/>
  <c r="CG112" i="24"/>
  <c r="CG111" i="24"/>
  <c r="CG127" i="24"/>
  <c r="CG186" i="24"/>
  <c r="CG290" i="24"/>
  <c r="CG243" i="24"/>
  <c r="CG301" i="24"/>
  <c r="CG312" i="24"/>
  <c r="CG270" i="24"/>
  <c r="CG144" i="24"/>
  <c r="CG309" i="24"/>
  <c r="CG234" i="24"/>
  <c r="CG180" i="24"/>
  <c r="CG308" i="24"/>
  <c r="CG118" i="24"/>
  <c r="CG237" i="24"/>
  <c r="CG248" i="24"/>
  <c r="CG222" i="24"/>
  <c r="CG283" i="24"/>
  <c r="CG313" i="24"/>
  <c r="CG247" i="24"/>
  <c r="CG240" i="24"/>
  <c r="CG134" i="24"/>
  <c r="CG145" i="24"/>
  <c r="CG287" i="24"/>
  <c r="CG297" i="24"/>
  <c r="CG231" i="24"/>
  <c r="CG162" i="24"/>
  <c r="CG208" i="24"/>
  <c r="CG267" i="24"/>
  <c r="CG228" i="24"/>
  <c r="CG257" i="24"/>
  <c r="CG123" i="24"/>
  <c r="CG268" i="24"/>
  <c r="CG177" i="24"/>
  <c r="CG223" i="24"/>
  <c r="CG171" i="24"/>
  <c r="CG120" i="24"/>
  <c r="CG266" i="24"/>
  <c r="CG219" i="24"/>
  <c r="AT173" i="24"/>
  <c r="AT135" i="24"/>
  <c r="AT138" i="24"/>
  <c r="AT118" i="24"/>
  <c r="AT202" i="24"/>
  <c r="AT164" i="24"/>
  <c r="AT129" i="24"/>
  <c r="AT140" i="24"/>
  <c r="AT178" i="24"/>
  <c r="AT175" i="24"/>
  <c r="AT180" i="24"/>
  <c r="AT126" i="24"/>
  <c r="AT124" i="24"/>
  <c r="AT200" i="24"/>
  <c r="AT160" i="24"/>
  <c r="AI253" i="24"/>
  <c r="AJ253" i="24" s="1"/>
  <c r="AT253" i="24" s="1"/>
  <c r="W253" i="24"/>
  <c r="Y253" i="24" s="1"/>
  <c r="AE253" i="24"/>
  <c r="AG253" i="24" s="1"/>
  <c r="X277" i="24"/>
  <c r="AA277" i="24" s="1"/>
  <c r="AB277" i="24" s="1"/>
  <c r="AC277" i="24" s="1"/>
  <c r="AE305" i="24"/>
  <c r="AG305" i="24" s="1"/>
  <c r="AE130" i="24"/>
  <c r="AF130" i="24" s="1"/>
  <c r="W305" i="24"/>
  <c r="Y305" i="24" s="1"/>
  <c r="AI305" i="24"/>
  <c r="AJ305" i="24" s="1"/>
  <c r="AT305" i="24" s="1"/>
  <c r="X190" i="24"/>
  <c r="AA190" i="24" s="1"/>
  <c r="AB190" i="24" s="1"/>
  <c r="AC190" i="24" s="1"/>
  <c r="AJ190" i="24" s="1"/>
  <c r="AE190" i="24"/>
  <c r="AF190" i="24" s="1"/>
  <c r="W190" i="24"/>
  <c r="Y190" i="24" s="1"/>
  <c r="AI277" i="24"/>
  <c r="W277" i="24"/>
  <c r="Y277" i="24" s="1"/>
  <c r="X280" i="24"/>
  <c r="AA280" i="24" s="1"/>
  <c r="AB280" i="24" s="1"/>
  <c r="AC280" i="24" s="1"/>
  <c r="X260" i="24"/>
  <c r="AA260" i="24" s="1"/>
  <c r="AB260" i="24" s="1"/>
  <c r="AC260" i="24" s="1"/>
  <c r="AE226" i="24"/>
  <c r="AF226" i="24" s="1"/>
  <c r="X248" i="24"/>
  <c r="AA248" i="24" s="1"/>
  <c r="AB248" i="24" s="1"/>
  <c r="AC248" i="24" s="1"/>
  <c r="AE193" i="24"/>
  <c r="X244" i="24"/>
  <c r="AA244" i="24" s="1"/>
  <c r="AB244" i="24" s="1"/>
  <c r="AC244" i="24" s="1"/>
  <c r="X299" i="24"/>
  <c r="AA299" i="24" s="1"/>
  <c r="AB299" i="24" s="1"/>
  <c r="AC299" i="24" s="1"/>
  <c r="AJ299" i="24" s="1"/>
  <c r="AT299" i="24" s="1"/>
  <c r="AI248" i="24"/>
  <c r="W248" i="24"/>
  <c r="Y248" i="24" s="1"/>
  <c r="AE244" i="24"/>
  <c r="AF244" i="24" s="1"/>
  <c r="AI244" i="24"/>
  <c r="X193" i="24"/>
  <c r="AA193" i="24" s="1"/>
  <c r="AB193" i="24" s="1"/>
  <c r="AC193" i="24" s="1"/>
  <c r="AJ193" i="24" s="1"/>
  <c r="AI281" i="24"/>
  <c r="AJ281" i="24" s="1"/>
  <c r="AT281" i="24" s="1"/>
  <c r="AI262" i="24"/>
  <c r="AI217" i="24"/>
  <c r="AJ217" i="24" s="1"/>
  <c r="AT217" i="24" s="1"/>
  <c r="X283" i="24"/>
  <c r="AA283" i="24" s="1"/>
  <c r="AB283" i="24" s="1"/>
  <c r="AC283" i="24" s="1"/>
  <c r="W280" i="24"/>
  <c r="Y280" i="24" s="1"/>
  <c r="AE171" i="24"/>
  <c r="AF171" i="24" s="1"/>
  <c r="AE281" i="24"/>
  <c r="AG281" i="24" s="1"/>
  <c r="W283" i="24"/>
  <c r="Y283" i="24" s="1"/>
  <c r="AE217" i="24"/>
  <c r="AF217" i="24" s="1"/>
  <c r="X132" i="24"/>
  <c r="AA132" i="24" s="1"/>
  <c r="AB132" i="24" s="1"/>
  <c r="AC132" i="24" s="1"/>
  <c r="AJ132" i="24" s="1"/>
  <c r="AI278" i="24"/>
  <c r="AJ278" i="24" s="1"/>
  <c r="AT278" i="24" s="1"/>
  <c r="AI257" i="24"/>
  <c r="AE290" i="24"/>
  <c r="AF290" i="24" s="1"/>
  <c r="X289" i="24"/>
  <c r="AA289" i="24" s="1"/>
  <c r="AB289" i="24" s="1"/>
  <c r="AC289" i="24" s="1"/>
  <c r="W282" i="24"/>
  <c r="Y282" i="24" s="1"/>
  <c r="AE132" i="24"/>
  <c r="W156" i="24"/>
  <c r="Y156" i="24" s="1"/>
  <c r="W226" i="24"/>
  <c r="Y226" i="24" s="1"/>
  <c r="W217" i="24"/>
  <c r="Y217" i="24" s="1"/>
  <c r="W262" i="24"/>
  <c r="Y262" i="24" s="1"/>
  <c r="X226" i="24"/>
  <c r="AA226" i="24" s="1"/>
  <c r="AB226" i="24" s="1"/>
  <c r="AC226" i="24" s="1"/>
  <c r="AJ226" i="24" s="1"/>
  <c r="AT226" i="24" s="1"/>
  <c r="X171" i="24"/>
  <c r="AA171" i="24" s="1"/>
  <c r="AB171" i="24" s="1"/>
  <c r="AC171" i="24" s="1"/>
  <c r="AJ171" i="24" s="1"/>
  <c r="AI280" i="24"/>
  <c r="X262" i="24"/>
  <c r="AA262" i="24" s="1"/>
  <c r="AB262" i="24" s="1"/>
  <c r="AC262" i="24" s="1"/>
  <c r="AI283" i="24"/>
  <c r="W132" i="24"/>
  <c r="Y132" i="24" s="1"/>
  <c r="W281" i="24"/>
  <c r="Y281" i="24" s="1"/>
  <c r="X242" i="24"/>
  <c r="AA242" i="24" s="1"/>
  <c r="AB242" i="24" s="1"/>
  <c r="AC242" i="24" s="1"/>
  <c r="AJ242" i="24" s="1"/>
  <c r="AT242" i="24" s="1"/>
  <c r="W171" i="24"/>
  <c r="Y171" i="24" s="1"/>
  <c r="AE311" i="24"/>
  <c r="AF311" i="24" s="1"/>
  <c r="AI237" i="24"/>
  <c r="AJ237" i="24" s="1"/>
  <c r="AT237" i="24" s="1"/>
  <c r="X191" i="24"/>
  <c r="AA191" i="24" s="1"/>
  <c r="AB191" i="24" s="1"/>
  <c r="AC191" i="24" s="1"/>
  <c r="AJ191" i="24" s="1"/>
  <c r="X269" i="24"/>
  <c r="AA269" i="24" s="1"/>
  <c r="AB269" i="24" s="1"/>
  <c r="AC269" i="24" s="1"/>
  <c r="AJ269" i="24" s="1"/>
  <c r="AT269" i="24" s="1"/>
  <c r="W311" i="24"/>
  <c r="Y311" i="24" s="1"/>
  <c r="W252" i="24"/>
  <c r="Y252" i="24" s="1"/>
  <c r="W158" i="24"/>
  <c r="Y158" i="24" s="1"/>
  <c r="AI289" i="24"/>
  <c r="X290" i="24"/>
  <c r="AA290" i="24" s="1"/>
  <c r="AB290" i="24" s="1"/>
  <c r="AC290" i="24" s="1"/>
  <c r="AJ290" i="24" s="1"/>
  <c r="AT290" i="24" s="1"/>
  <c r="AE260" i="24"/>
  <c r="AI282" i="24"/>
  <c r="X158" i="24"/>
  <c r="AA158" i="24" s="1"/>
  <c r="AB158" i="24" s="1"/>
  <c r="AC158" i="24" s="1"/>
  <c r="AJ158" i="24" s="1"/>
  <c r="X147" i="24"/>
  <c r="AA147" i="24" s="1"/>
  <c r="AB147" i="24" s="1"/>
  <c r="AC147" i="24" s="1"/>
  <c r="AJ147" i="24" s="1"/>
  <c r="X185" i="24"/>
  <c r="AA185" i="24" s="1"/>
  <c r="AB185" i="24" s="1"/>
  <c r="AC185" i="24" s="1"/>
  <c r="AJ185" i="24" s="1"/>
  <c r="X130" i="24"/>
  <c r="AA130" i="24" s="1"/>
  <c r="AB130" i="24" s="1"/>
  <c r="AC130" i="24" s="1"/>
  <c r="AJ130" i="24" s="1"/>
  <c r="W278" i="24"/>
  <c r="Y278" i="24" s="1"/>
  <c r="AE289" i="24"/>
  <c r="W237" i="24"/>
  <c r="Y237" i="24" s="1"/>
  <c r="AI311" i="24"/>
  <c r="AJ311" i="24" s="1"/>
  <c r="AT311" i="24" s="1"/>
  <c r="X282" i="24"/>
  <c r="AA282" i="24" s="1"/>
  <c r="AB282" i="24" s="1"/>
  <c r="AC282" i="24" s="1"/>
  <c r="AE204" i="24"/>
  <c r="AF204" i="24" s="1"/>
  <c r="W290" i="24"/>
  <c r="Y290" i="24" s="1"/>
  <c r="AI260" i="24"/>
  <c r="AI308" i="24"/>
  <c r="AJ308" i="24" s="1"/>
  <c r="AT308" i="24" s="1"/>
  <c r="X257" i="24"/>
  <c r="AA257" i="24" s="1"/>
  <c r="AB257" i="24" s="1"/>
  <c r="AC257" i="24" s="1"/>
  <c r="W147" i="24"/>
  <c r="Y147" i="24" s="1"/>
  <c r="AE147" i="24"/>
  <c r="W130" i="24"/>
  <c r="Y130" i="24" s="1"/>
  <c r="W265" i="24"/>
  <c r="Y265" i="24" s="1"/>
  <c r="AE312" i="24"/>
  <c r="AF312" i="24" s="1"/>
  <c r="AE265" i="24"/>
  <c r="AF265" i="24" s="1"/>
  <c r="W166" i="24"/>
  <c r="Y166" i="24" s="1"/>
  <c r="X117" i="24"/>
  <c r="AA117" i="24" s="1"/>
  <c r="AB117" i="24" s="1"/>
  <c r="AC117" i="24" s="1"/>
  <c r="AJ117" i="24" s="1"/>
  <c r="AE191" i="24"/>
  <c r="AE158" i="24"/>
  <c r="AF158" i="24" s="1"/>
  <c r="AE151" i="24"/>
  <c r="AF151" i="24" s="1"/>
  <c r="W193" i="24"/>
  <c r="Y193" i="24" s="1"/>
  <c r="AE176" i="24"/>
  <c r="AF176" i="24" s="1"/>
  <c r="X198" i="24"/>
  <c r="AA198" i="24" s="1"/>
  <c r="AB198" i="24" s="1"/>
  <c r="AC198" i="24" s="1"/>
  <c r="AJ198" i="24" s="1"/>
  <c r="W191" i="24"/>
  <c r="Y191" i="24" s="1"/>
  <c r="X265" i="24"/>
  <c r="AA265" i="24" s="1"/>
  <c r="AB265" i="24" s="1"/>
  <c r="AC265" i="24" s="1"/>
  <c r="AJ265" i="24" s="1"/>
  <c r="AT265" i="24" s="1"/>
  <c r="W168" i="24"/>
  <c r="Y168" i="24" s="1"/>
  <c r="W146" i="24"/>
  <c r="Y146" i="24" s="1"/>
  <c r="AI312" i="24"/>
  <c r="X298" i="24"/>
  <c r="AA298" i="24" s="1"/>
  <c r="AB298" i="24" s="1"/>
  <c r="AC298" i="24" s="1"/>
  <c r="AI195" i="24"/>
  <c r="AE133" i="24"/>
  <c r="AF133" i="24" s="1"/>
  <c r="X261" i="24"/>
  <c r="AA261" i="24" s="1"/>
  <c r="AB261" i="24" s="1"/>
  <c r="AC261" i="24" s="1"/>
  <c r="W133" i="24"/>
  <c r="Y133" i="24" s="1"/>
  <c r="AE114" i="24"/>
  <c r="AI153" i="24"/>
  <c r="W232" i="24"/>
  <c r="Y232" i="24" s="1"/>
  <c r="AI270" i="24"/>
  <c r="X312" i="24"/>
  <c r="AA312" i="24" s="1"/>
  <c r="AB312" i="24" s="1"/>
  <c r="AC312" i="24" s="1"/>
  <c r="W139" i="24"/>
  <c r="Y139" i="24" s="1"/>
  <c r="AE291" i="24"/>
  <c r="AF291" i="24" s="1"/>
  <c r="AE299" i="24"/>
  <c r="AF299" i="24" s="1"/>
  <c r="AE278" i="24"/>
  <c r="AG278" i="24" s="1"/>
  <c r="W299" i="24"/>
  <c r="Y299" i="24" s="1"/>
  <c r="X291" i="24"/>
  <c r="AA291" i="24" s="1"/>
  <c r="AB291" i="24" s="1"/>
  <c r="AC291" i="24" s="1"/>
  <c r="AJ291" i="24" s="1"/>
  <c r="AT291" i="24" s="1"/>
  <c r="X252" i="24"/>
  <c r="AA252" i="24" s="1"/>
  <c r="AB252" i="24" s="1"/>
  <c r="AC252" i="24" s="1"/>
  <c r="AJ252" i="24" s="1"/>
  <c r="AT252" i="24" s="1"/>
  <c r="AE237" i="24"/>
  <c r="AG237" i="24" s="1"/>
  <c r="AE257" i="24"/>
  <c r="AF257" i="24" s="1"/>
  <c r="W204" i="24"/>
  <c r="Y204" i="24" s="1"/>
  <c r="W176" i="24"/>
  <c r="Y176" i="24" s="1"/>
  <c r="W185" i="24"/>
  <c r="Y185" i="24" s="1"/>
  <c r="X176" i="24"/>
  <c r="AA176" i="24" s="1"/>
  <c r="AB176" i="24" s="1"/>
  <c r="AC176" i="24" s="1"/>
  <c r="AJ176" i="24" s="1"/>
  <c r="AE198" i="24"/>
  <c r="AF198" i="24" s="1"/>
  <c r="W291" i="24"/>
  <c r="Y291" i="24" s="1"/>
  <c r="W267" i="24"/>
  <c r="Y267" i="24" s="1"/>
  <c r="X267" i="24"/>
  <c r="AA267" i="24" s="1"/>
  <c r="AB267" i="24" s="1"/>
  <c r="AC267" i="24" s="1"/>
  <c r="AJ267" i="24" s="1"/>
  <c r="AT267" i="24" s="1"/>
  <c r="AI238" i="24"/>
  <c r="AJ238" i="24" s="1"/>
  <c r="AT238" i="24" s="1"/>
  <c r="AI246" i="24"/>
  <c r="AJ246" i="24" s="1"/>
  <c r="AT246" i="24" s="1"/>
  <c r="X166" i="24"/>
  <c r="AA166" i="24" s="1"/>
  <c r="AB166" i="24" s="1"/>
  <c r="AC166" i="24" s="1"/>
  <c r="AJ166" i="24" s="1"/>
  <c r="W151" i="24"/>
  <c r="Y151" i="24" s="1"/>
  <c r="X120" i="24"/>
  <c r="AA120" i="24" s="1"/>
  <c r="AB120" i="24" s="1"/>
  <c r="AC120" i="24" s="1"/>
  <c r="AJ120" i="24" s="1"/>
  <c r="AE185" i="24"/>
  <c r="AF185" i="24" s="1"/>
  <c r="W198" i="24"/>
  <c r="Y198" i="24" s="1"/>
  <c r="AE232" i="24"/>
  <c r="AF232" i="24" s="1"/>
  <c r="X143" i="24"/>
  <c r="AA143" i="24" s="1"/>
  <c r="AB143" i="24" s="1"/>
  <c r="AC143" i="24" s="1"/>
  <c r="AJ143" i="24" s="1"/>
  <c r="AE209" i="24"/>
  <c r="AF209" i="24" s="1"/>
  <c r="W153" i="24"/>
  <c r="Y153" i="24" s="1"/>
  <c r="AE139" i="24"/>
  <c r="AF139" i="24" s="1"/>
  <c r="AI298" i="24"/>
  <c r="W261" i="24"/>
  <c r="Y261" i="24" s="1"/>
  <c r="X231" i="24"/>
  <c r="AA231" i="24" s="1"/>
  <c r="AB231" i="24" s="1"/>
  <c r="AC231" i="24" s="1"/>
  <c r="AJ231" i="24" s="1"/>
  <c r="AT231" i="24" s="1"/>
  <c r="AI261" i="24"/>
  <c r="W270" i="24"/>
  <c r="Y270" i="24" s="1"/>
  <c r="X195" i="24"/>
  <c r="AA195" i="24" s="1"/>
  <c r="AB195" i="24" s="1"/>
  <c r="AC195" i="24" s="1"/>
  <c r="X146" i="24"/>
  <c r="AA146" i="24" s="1"/>
  <c r="AB146" i="24" s="1"/>
  <c r="AC146" i="24" s="1"/>
  <c r="AJ146" i="24" s="1"/>
  <c r="W114" i="24"/>
  <c r="Y114" i="24" s="1"/>
  <c r="AE231" i="24"/>
  <c r="AF231" i="24" s="1"/>
  <c r="W231" i="24"/>
  <c r="Y231" i="24" s="1"/>
  <c r="X270" i="24"/>
  <c r="AA270" i="24" s="1"/>
  <c r="AB270" i="24" s="1"/>
  <c r="AC270" i="24" s="1"/>
  <c r="X168" i="24"/>
  <c r="AA168" i="24" s="1"/>
  <c r="AB168" i="24" s="1"/>
  <c r="AC168" i="24" s="1"/>
  <c r="AJ168" i="24" s="1"/>
  <c r="AE146" i="24"/>
  <c r="AF146" i="24" s="1"/>
  <c r="W195" i="24"/>
  <c r="Y195" i="24" s="1"/>
  <c r="W209" i="24"/>
  <c r="Y209" i="24" s="1"/>
  <c r="X139" i="24"/>
  <c r="AA139" i="24" s="1"/>
  <c r="AB139" i="24" s="1"/>
  <c r="AC139" i="24" s="1"/>
  <c r="AJ139" i="24" s="1"/>
  <c r="X232" i="24"/>
  <c r="AA232" i="24" s="1"/>
  <c r="AB232" i="24" s="1"/>
  <c r="AC232" i="24" s="1"/>
  <c r="AJ232" i="24" s="1"/>
  <c r="AT232" i="24" s="1"/>
  <c r="W143" i="24"/>
  <c r="Y143" i="24" s="1"/>
  <c r="AE143" i="24"/>
  <c r="AF143" i="24" s="1"/>
  <c r="X133" i="24"/>
  <c r="AA133" i="24" s="1"/>
  <c r="AB133" i="24" s="1"/>
  <c r="AC133" i="24" s="1"/>
  <c r="AJ133" i="24" s="1"/>
  <c r="X114" i="24"/>
  <c r="AA114" i="24" s="1"/>
  <c r="AB114" i="24" s="1"/>
  <c r="AC114" i="24" s="1"/>
  <c r="AJ114" i="24" s="1"/>
  <c r="X153" i="24"/>
  <c r="AA153" i="24" s="1"/>
  <c r="AB153" i="24" s="1"/>
  <c r="AC153" i="24" s="1"/>
  <c r="AE249" i="24"/>
  <c r="AG249" i="24" s="1"/>
  <c r="AI306" i="24"/>
  <c r="AE238" i="24"/>
  <c r="AG238" i="24" s="1"/>
  <c r="AE225" i="24"/>
  <c r="AE117" i="24"/>
  <c r="AF117" i="24" s="1"/>
  <c r="AI313" i="24"/>
  <c r="AJ313" i="24" s="1"/>
  <c r="AT313" i="24" s="1"/>
  <c r="W308" i="24"/>
  <c r="Y308" i="24" s="1"/>
  <c r="W269" i="24"/>
  <c r="Y269" i="24" s="1"/>
  <c r="X276" i="24"/>
  <c r="AA276" i="24" s="1"/>
  <c r="AB276" i="24" s="1"/>
  <c r="AC276" i="24" s="1"/>
  <c r="AE263" i="24"/>
  <c r="X204" i="24"/>
  <c r="AA204" i="24" s="1"/>
  <c r="AB204" i="24" s="1"/>
  <c r="AC204" i="24" s="1"/>
  <c r="AJ204" i="24" s="1"/>
  <c r="AE166" i="24"/>
  <c r="X151" i="24"/>
  <c r="AA151" i="24" s="1"/>
  <c r="AB151" i="24" s="1"/>
  <c r="AC151" i="24" s="1"/>
  <c r="AJ151" i="24" s="1"/>
  <c r="W117" i="24"/>
  <c r="Y117" i="24" s="1"/>
  <c r="AE313" i="24"/>
  <c r="AG313" i="24" s="1"/>
  <c r="W276" i="24"/>
  <c r="Y276" i="24" s="1"/>
  <c r="W263" i="24"/>
  <c r="Y263" i="24" s="1"/>
  <c r="AE246" i="24"/>
  <c r="AG246" i="24" s="1"/>
  <c r="X296" i="24"/>
  <c r="AA296" i="24" s="1"/>
  <c r="AB296" i="24" s="1"/>
  <c r="AC296" i="24" s="1"/>
  <c r="AJ296" i="24" s="1"/>
  <c r="AT296" i="24" s="1"/>
  <c r="W249" i="24"/>
  <c r="Y249" i="24" s="1"/>
  <c r="X144" i="24"/>
  <c r="AA144" i="24" s="1"/>
  <c r="AB144" i="24" s="1"/>
  <c r="AC144" i="24" s="1"/>
  <c r="AJ144" i="24" s="1"/>
  <c r="W313" i="24"/>
  <c r="Y313" i="24" s="1"/>
  <c r="AI276" i="24"/>
  <c r="AE284" i="24"/>
  <c r="AF284" i="24" s="1"/>
  <c r="X263" i="24"/>
  <c r="AA263" i="24" s="1"/>
  <c r="AB263" i="24" s="1"/>
  <c r="AC263" i="24" s="1"/>
  <c r="AJ263" i="24" s="1"/>
  <c r="AT263" i="24" s="1"/>
  <c r="AE255" i="24"/>
  <c r="AF255" i="24" s="1"/>
  <c r="X225" i="24"/>
  <c r="AA225" i="24" s="1"/>
  <c r="AB225" i="24" s="1"/>
  <c r="AC225" i="24" s="1"/>
  <c r="W296" i="24"/>
  <c r="Y296" i="24" s="1"/>
  <c r="AE296" i="24"/>
  <c r="AF296" i="24" s="1"/>
  <c r="W284" i="24"/>
  <c r="Y284" i="24" s="1"/>
  <c r="AE156" i="24"/>
  <c r="AF156" i="24" s="1"/>
  <c r="AE144" i="24"/>
  <c r="AF144" i="24" s="1"/>
  <c r="X189" i="24"/>
  <c r="AA189" i="24" s="1"/>
  <c r="AB189" i="24" s="1"/>
  <c r="AC189" i="24" s="1"/>
  <c r="AJ189" i="24" s="1"/>
  <c r="AI249" i="24"/>
  <c r="AJ249" i="24" s="1"/>
  <c r="AT249" i="24" s="1"/>
  <c r="X284" i="24"/>
  <c r="AA284" i="24" s="1"/>
  <c r="AB284" i="24" s="1"/>
  <c r="AC284" i="24" s="1"/>
  <c r="AJ284" i="24" s="1"/>
  <c r="AT284" i="24" s="1"/>
  <c r="AI295" i="24"/>
  <c r="AJ295" i="24" s="1"/>
  <c r="AT295" i="24" s="1"/>
  <c r="W246" i="24"/>
  <c r="Y246" i="24" s="1"/>
  <c r="AI225" i="24"/>
  <c r="X156" i="24"/>
  <c r="AA156" i="24" s="1"/>
  <c r="AB156" i="24" s="1"/>
  <c r="AC156" i="24" s="1"/>
  <c r="AJ156" i="24" s="1"/>
  <c r="W144" i="24"/>
  <c r="Y144" i="24" s="1"/>
  <c r="AE194" i="24"/>
  <c r="AF194" i="24" s="1"/>
  <c r="AE295" i="24"/>
  <c r="AG295" i="24" s="1"/>
  <c r="AE242" i="24"/>
  <c r="W242" i="24"/>
  <c r="Y242" i="24" s="1"/>
  <c r="W145" i="24"/>
  <c r="Y145" i="24" s="1"/>
  <c r="AE189" i="24"/>
  <c r="W295" i="24"/>
  <c r="Y295" i="24" s="1"/>
  <c r="W255" i="24"/>
  <c r="Y255" i="24" s="1"/>
  <c r="W306" i="24"/>
  <c r="Y306" i="24" s="1"/>
  <c r="AE252" i="24"/>
  <c r="AF252" i="24" s="1"/>
  <c r="X306" i="24"/>
  <c r="AA306" i="24" s="1"/>
  <c r="AB306" i="24" s="1"/>
  <c r="AC306" i="24" s="1"/>
  <c r="AE308" i="24"/>
  <c r="AF308" i="24" s="1"/>
  <c r="AE267" i="24"/>
  <c r="AF267" i="24" s="1"/>
  <c r="X255" i="24"/>
  <c r="AA255" i="24" s="1"/>
  <c r="AB255" i="24" s="1"/>
  <c r="AC255" i="24" s="1"/>
  <c r="AJ255" i="24" s="1"/>
  <c r="AT255" i="24" s="1"/>
  <c r="AE269" i="24"/>
  <c r="AE113" i="24"/>
  <c r="AF113" i="24" s="1"/>
  <c r="AE120" i="24"/>
  <c r="AF120" i="24" s="1"/>
  <c r="AE174" i="24"/>
  <c r="W298" i="24"/>
  <c r="Y298" i="24" s="1"/>
  <c r="W238" i="24"/>
  <c r="Y238" i="24" s="1"/>
  <c r="W113" i="24"/>
  <c r="Y113" i="24" s="1"/>
  <c r="AE168" i="24"/>
  <c r="X113" i="24"/>
  <c r="AA113" i="24" s="1"/>
  <c r="AB113" i="24" s="1"/>
  <c r="AC113" i="24" s="1"/>
  <c r="AJ113" i="24" s="1"/>
  <c r="W120" i="24"/>
  <c r="Y120" i="24" s="1"/>
  <c r="W189" i="24"/>
  <c r="Y189" i="24" s="1"/>
  <c r="X209" i="24"/>
  <c r="AA209" i="24" s="1"/>
  <c r="AB209" i="24" s="1"/>
  <c r="AC209" i="24" s="1"/>
  <c r="AJ209" i="24" s="1"/>
  <c r="W174" i="24"/>
  <c r="Y174" i="24" s="1"/>
  <c r="X174" i="24"/>
  <c r="AA174" i="24" s="1"/>
  <c r="AB174" i="24" s="1"/>
  <c r="AC174" i="24" s="1"/>
  <c r="AJ174" i="24" s="1"/>
  <c r="AE186" i="24"/>
  <c r="AF186" i="24" s="1"/>
  <c r="X89" i="24"/>
  <c r="AA89" i="24" s="1"/>
  <c r="AB89" i="24" s="1"/>
  <c r="AC89" i="24" s="1"/>
  <c r="W186" i="24"/>
  <c r="Y186" i="24" s="1"/>
  <c r="AE201" i="24"/>
  <c r="AF201" i="24" s="1"/>
  <c r="X112" i="24"/>
  <c r="AA112" i="24" s="1"/>
  <c r="AB112" i="24" s="1"/>
  <c r="AC112" i="24" s="1"/>
  <c r="AE150" i="24"/>
  <c r="AF150" i="24" s="1"/>
  <c r="AE179" i="24"/>
  <c r="AF179" i="24" s="1"/>
  <c r="W119" i="24"/>
  <c r="Y119" i="24" s="1"/>
  <c r="AI172" i="24"/>
  <c r="W50" i="24"/>
  <c r="Y50" i="24" s="1"/>
  <c r="W101" i="24"/>
  <c r="Y101" i="24" s="1"/>
  <c r="AE100" i="24"/>
  <c r="AF100" i="24" s="1"/>
  <c r="AE60" i="24"/>
  <c r="AF60" i="24" s="1"/>
  <c r="X25" i="24"/>
  <c r="AA25" i="24" s="1"/>
  <c r="AB25" i="24" s="1"/>
  <c r="AC25" i="24" s="1"/>
  <c r="AJ25" i="24" s="1"/>
  <c r="AE101" i="24"/>
  <c r="AF101" i="24" s="1"/>
  <c r="W150" i="24"/>
  <c r="Y150" i="24" s="1"/>
  <c r="W179" i="24"/>
  <c r="Y179" i="24" s="1"/>
  <c r="X181" i="24"/>
  <c r="AA181" i="24" s="1"/>
  <c r="AB181" i="24" s="1"/>
  <c r="AC181" i="24" s="1"/>
  <c r="X208" i="24"/>
  <c r="AA208" i="24" s="1"/>
  <c r="AB208" i="24" s="1"/>
  <c r="AC208" i="24" s="1"/>
  <c r="W128" i="24"/>
  <c r="Y128" i="24" s="1"/>
  <c r="X196" i="24"/>
  <c r="AA196" i="24" s="1"/>
  <c r="AB196" i="24" s="1"/>
  <c r="AC196" i="24" s="1"/>
  <c r="AJ196" i="24" s="1"/>
  <c r="AE128" i="24"/>
  <c r="AG128" i="24" s="1"/>
  <c r="AI112" i="24"/>
  <c r="W60" i="24"/>
  <c r="Y60" i="24" s="1"/>
  <c r="X92" i="24"/>
  <c r="AA92" i="24" s="1"/>
  <c r="AB92" i="24" s="1"/>
  <c r="AC92" i="24" s="1"/>
  <c r="W181" i="24"/>
  <c r="Y181" i="24" s="1"/>
  <c r="AI181" i="24"/>
  <c r="CF113" i="24"/>
  <c r="W154" i="24"/>
  <c r="Y154" i="24" s="1"/>
  <c r="X162" i="24"/>
  <c r="AA162" i="24" s="1"/>
  <c r="AB162" i="24" s="1"/>
  <c r="AC162" i="24" s="1"/>
  <c r="AJ162" i="24" s="1"/>
  <c r="X206" i="24"/>
  <c r="AA206" i="24" s="1"/>
  <c r="AB206" i="24" s="1"/>
  <c r="AC206" i="24" s="1"/>
  <c r="AJ206" i="24" s="1"/>
  <c r="X46" i="24"/>
  <c r="AA46" i="24" s="1"/>
  <c r="AB46" i="24" s="1"/>
  <c r="AC46" i="24" s="1"/>
  <c r="AI54" i="24"/>
  <c r="X18" i="24"/>
  <c r="AA18" i="24" s="1"/>
  <c r="AB18" i="24" s="1"/>
  <c r="AC18" i="24" s="1"/>
  <c r="W188" i="24"/>
  <c r="Y188" i="24" s="1"/>
  <c r="AI207" i="24"/>
  <c r="X157" i="24"/>
  <c r="AA157" i="24" s="1"/>
  <c r="AB157" i="24" s="1"/>
  <c r="AC157" i="24" s="1"/>
  <c r="AE137" i="24"/>
  <c r="AG137" i="24" s="1"/>
  <c r="AI18" i="24"/>
  <c r="W27" i="24"/>
  <c r="Y27" i="24" s="1"/>
  <c r="W78" i="24"/>
  <c r="Y78" i="24" s="1"/>
  <c r="X54" i="24"/>
  <c r="AA54" i="24" s="1"/>
  <c r="AB54" i="24" s="1"/>
  <c r="AC54" i="24" s="1"/>
  <c r="X95" i="24"/>
  <c r="AA95" i="24" s="1"/>
  <c r="AB95" i="24" s="1"/>
  <c r="AC95" i="24" s="1"/>
  <c r="AJ95" i="24" s="1"/>
  <c r="X148" i="24"/>
  <c r="AA148" i="24" s="1"/>
  <c r="AB148" i="24" s="1"/>
  <c r="AC148" i="24" s="1"/>
  <c r="AE125" i="24"/>
  <c r="AF125" i="24" s="1"/>
  <c r="W87" i="24"/>
  <c r="Y87" i="24" s="1"/>
  <c r="W54" i="24"/>
  <c r="Y54" i="24" s="1"/>
  <c r="W10" i="24"/>
  <c r="Y10" i="24" s="1"/>
  <c r="X10" i="24"/>
  <c r="AA10" i="24" s="1"/>
  <c r="AB10" i="24" s="1"/>
  <c r="AC10" i="24" s="1"/>
  <c r="AJ10" i="24" s="1"/>
  <c r="X199" i="24"/>
  <c r="AA199" i="24" s="1"/>
  <c r="AB199" i="24" s="1"/>
  <c r="AC199" i="24" s="1"/>
  <c r="AJ199" i="24" s="1"/>
  <c r="AE134" i="24"/>
  <c r="AF134" i="24" s="1"/>
  <c r="AE142" i="24"/>
  <c r="AG142" i="24" s="1"/>
  <c r="AE210" i="24"/>
  <c r="AF210" i="24" s="1"/>
  <c r="AI170" i="24"/>
  <c r="AJ170" i="24" s="1"/>
  <c r="W19" i="24"/>
  <c r="Y19" i="24" s="1"/>
  <c r="X36" i="24"/>
  <c r="AA36" i="24" s="1"/>
  <c r="AB36" i="24" s="1"/>
  <c r="AC36" i="24" s="1"/>
  <c r="AJ36" i="24" s="1"/>
  <c r="AE78" i="24"/>
  <c r="AG78" i="24" s="1"/>
  <c r="W157" i="24"/>
  <c r="Y157" i="24" s="1"/>
  <c r="W203" i="24"/>
  <c r="Y203" i="24" s="1"/>
  <c r="X192" i="24"/>
  <c r="AA192" i="24" s="1"/>
  <c r="AB192" i="24" s="1"/>
  <c r="AC192" i="24" s="1"/>
  <c r="AJ192" i="24" s="1"/>
  <c r="AE159" i="24"/>
  <c r="AI78" i="24"/>
  <c r="AJ78" i="24" s="1"/>
  <c r="AI203" i="24"/>
  <c r="AI165" i="24"/>
  <c r="AJ165" i="24" s="1"/>
  <c r="W31" i="24"/>
  <c r="Y31" i="24" s="1"/>
  <c r="W46" i="24"/>
  <c r="Y46" i="24" s="1"/>
  <c r="X41" i="24"/>
  <c r="AA41" i="24" s="1"/>
  <c r="AB41" i="24" s="1"/>
  <c r="AC41" i="24" s="1"/>
  <c r="AE96" i="24"/>
  <c r="AF96" i="24" s="1"/>
  <c r="X161" i="24"/>
  <c r="AA161" i="24" s="1"/>
  <c r="AB161" i="24" s="1"/>
  <c r="AC161" i="24" s="1"/>
  <c r="AJ161" i="24" s="1"/>
  <c r="X188" i="24"/>
  <c r="AA188" i="24" s="1"/>
  <c r="AB188" i="24" s="1"/>
  <c r="AC188" i="24" s="1"/>
  <c r="AJ188" i="24" s="1"/>
  <c r="W205" i="24"/>
  <c r="Y205" i="24" s="1"/>
  <c r="W182" i="24"/>
  <c r="Y182" i="24" s="1"/>
  <c r="AE205" i="24"/>
  <c r="AF205" i="24" s="1"/>
  <c r="AE170" i="24"/>
  <c r="AG170" i="24" s="1"/>
  <c r="W194" i="24"/>
  <c r="Y194" i="24" s="1"/>
  <c r="W206" i="24"/>
  <c r="Y206" i="24" s="1"/>
  <c r="W199" i="24"/>
  <c r="Y199" i="24" s="1"/>
  <c r="X50" i="24"/>
  <c r="AA50" i="24" s="1"/>
  <c r="AB50" i="24" s="1"/>
  <c r="AC50" i="24" s="1"/>
  <c r="AJ50" i="24" s="1"/>
  <c r="AI46" i="24"/>
  <c r="AI157" i="24"/>
  <c r="AE56" i="24"/>
  <c r="AG56" i="24" s="1"/>
  <c r="W165" i="24"/>
  <c r="Y165" i="24" s="1"/>
  <c r="X203" i="24"/>
  <c r="AA203" i="24" s="1"/>
  <c r="AB203" i="24" s="1"/>
  <c r="AC203" i="24" s="1"/>
  <c r="X177" i="24"/>
  <c r="AA177" i="24" s="1"/>
  <c r="AB177" i="24" s="1"/>
  <c r="AC177" i="24" s="1"/>
  <c r="AJ177" i="24" s="1"/>
  <c r="W36" i="24"/>
  <c r="Y36" i="24" s="1"/>
  <c r="AI210" i="24"/>
  <c r="W18" i="24"/>
  <c r="Y18" i="24" s="1"/>
  <c r="AI53" i="24"/>
  <c r="AJ53" i="24" s="1"/>
  <c r="AE95" i="24"/>
  <c r="AF95" i="24" s="1"/>
  <c r="AI148" i="24"/>
  <c r="CF143" i="24"/>
  <c r="AI21" i="24"/>
  <c r="AE21" i="24"/>
  <c r="AF21" i="24" s="1"/>
  <c r="W42" i="24"/>
  <c r="Y42" i="24" s="1"/>
  <c r="W155" i="24"/>
  <c r="Y155" i="24" s="1"/>
  <c r="X187" i="24"/>
  <c r="AA187" i="24" s="1"/>
  <c r="AB187" i="24" s="1"/>
  <c r="AC187" i="24" s="1"/>
  <c r="X136" i="24"/>
  <c r="AA136" i="24" s="1"/>
  <c r="AB136" i="24" s="1"/>
  <c r="AC136" i="24" s="1"/>
  <c r="AE163" i="24"/>
  <c r="AF163" i="24" s="1"/>
  <c r="W149" i="24"/>
  <c r="Y149" i="24" s="1"/>
  <c r="X122" i="24"/>
  <c r="AA122" i="24" s="1"/>
  <c r="AB122" i="24" s="1"/>
  <c r="AC122" i="24" s="1"/>
  <c r="AE141" i="24"/>
  <c r="AF141" i="24" s="1"/>
  <c r="CF136" i="24"/>
  <c r="CF145" i="24"/>
  <c r="W136" i="24"/>
  <c r="Y136" i="24" s="1"/>
  <c r="X163" i="24"/>
  <c r="AA163" i="24" s="1"/>
  <c r="AB163" i="24" s="1"/>
  <c r="AC163" i="24" s="1"/>
  <c r="AJ163" i="24" s="1"/>
  <c r="AE145" i="24"/>
  <c r="AF145" i="24" s="1"/>
  <c r="CF133" i="24"/>
  <c r="AI83" i="24"/>
  <c r="AJ83" i="24" s="1"/>
  <c r="AI101" i="24"/>
  <c r="AJ101" i="24" s="1"/>
  <c r="AI97" i="24"/>
  <c r="AI92" i="24"/>
  <c r="AI179" i="24"/>
  <c r="AJ179" i="24" s="1"/>
  <c r="AI150" i="24"/>
  <c r="AJ150" i="24" s="1"/>
  <c r="AI208" i="24"/>
  <c r="W74" i="24"/>
  <c r="Y74" i="24" s="1"/>
  <c r="AE25" i="24"/>
  <c r="X60" i="24"/>
  <c r="AA60" i="24" s="1"/>
  <c r="AB60" i="24" s="1"/>
  <c r="AC60" i="24" s="1"/>
  <c r="AJ60" i="24" s="1"/>
  <c r="AE131" i="24"/>
  <c r="AF131" i="24" s="1"/>
  <c r="AE183" i="24"/>
  <c r="AG183" i="24" s="1"/>
  <c r="X186" i="24"/>
  <c r="AA186" i="24" s="1"/>
  <c r="AB186" i="24" s="1"/>
  <c r="AC186" i="24" s="1"/>
  <c r="AJ186" i="24" s="1"/>
  <c r="AE172" i="24"/>
  <c r="AF172" i="24" s="1"/>
  <c r="AE196" i="24"/>
  <c r="W131" i="24"/>
  <c r="Y131" i="24" s="1"/>
  <c r="AI201" i="24"/>
  <c r="W89" i="24"/>
  <c r="Y89" i="24" s="1"/>
  <c r="CF118" i="24"/>
  <c r="CF116" i="24"/>
  <c r="CF120" i="24"/>
  <c r="AI89" i="24"/>
  <c r="AI183" i="24"/>
  <c r="AJ183" i="24" s="1"/>
  <c r="W25" i="24"/>
  <c r="Y25" i="24" s="1"/>
  <c r="W82" i="24"/>
  <c r="Y82" i="24" s="1"/>
  <c r="W92" i="24"/>
  <c r="Y92" i="24" s="1"/>
  <c r="X100" i="24"/>
  <c r="AA100" i="24" s="1"/>
  <c r="AB100" i="24" s="1"/>
  <c r="AC100" i="24" s="1"/>
  <c r="AJ100" i="24" s="1"/>
  <c r="AI128" i="24"/>
  <c r="AJ128" i="24" s="1"/>
  <c r="W208" i="24"/>
  <c r="Y208" i="24" s="1"/>
  <c r="W196" i="24"/>
  <c r="Y196" i="24" s="1"/>
  <c r="AE119" i="24"/>
  <c r="AF119" i="24" s="1"/>
  <c r="AE50" i="24"/>
  <c r="AF50" i="24" s="1"/>
  <c r="CF162" i="24"/>
  <c r="CF115" i="24"/>
  <c r="CF137" i="24"/>
  <c r="AI74" i="24"/>
  <c r="AJ74" i="24" s="1"/>
  <c r="AI136" i="24"/>
  <c r="W53" i="24"/>
  <c r="Y53" i="24" s="1"/>
  <c r="W86" i="24"/>
  <c r="Y86" i="24" s="1"/>
  <c r="W95" i="24"/>
  <c r="Y95" i="24" s="1"/>
  <c r="W56" i="24"/>
  <c r="Y56" i="24" s="1"/>
  <c r="AE69" i="24"/>
  <c r="AF69" i="24" s="1"/>
  <c r="X31" i="24"/>
  <c r="AA31" i="24" s="1"/>
  <c r="AB31" i="24" s="1"/>
  <c r="AC31" i="24" s="1"/>
  <c r="X96" i="24"/>
  <c r="AA96" i="24" s="1"/>
  <c r="AB96" i="24" s="1"/>
  <c r="AC96" i="24" s="1"/>
  <c r="W183" i="24"/>
  <c r="Y183" i="24" s="1"/>
  <c r="AE188" i="24"/>
  <c r="AF188" i="24" s="1"/>
  <c r="AE112" i="24"/>
  <c r="AE199" i="24"/>
  <c r="AF199" i="24" s="1"/>
  <c r="X131" i="24"/>
  <c r="AA131" i="24" s="1"/>
  <c r="AB131" i="24" s="1"/>
  <c r="AC131" i="24" s="1"/>
  <c r="AJ131" i="24" s="1"/>
  <c r="X134" i="24"/>
  <c r="AA134" i="24" s="1"/>
  <c r="AB134" i="24" s="1"/>
  <c r="AC134" i="24" s="1"/>
  <c r="AJ134" i="24" s="1"/>
  <c r="AE123" i="24"/>
  <c r="AF123" i="24" s="1"/>
  <c r="W192" i="24"/>
  <c r="Y192" i="24" s="1"/>
  <c r="W125" i="24"/>
  <c r="Y125" i="24" s="1"/>
  <c r="W142" i="24"/>
  <c r="Y142" i="24" s="1"/>
  <c r="AE184" i="24"/>
  <c r="AF184" i="24" s="1"/>
  <c r="X152" i="24"/>
  <c r="AA152" i="24" s="1"/>
  <c r="AB152" i="24" s="1"/>
  <c r="AC152" i="24" s="1"/>
  <c r="AJ152" i="24" s="1"/>
  <c r="AE148" i="24"/>
  <c r="AF148" i="24" s="1"/>
  <c r="AE162" i="24"/>
  <c r="X116" i="24"/>
  <c r="AA116" i="24" s="1"/>
  <c r="AB116" i="24" s="1"/>
  <c r="AC116" i="24" s="1"/>
  <c r="AE192" i="24"/>
  <c r="AF192" i="24" s="1"/>
  <c r="X125" i="24"/>
  <c r="AA125" i="24" s="1"/>
  <c r="AB125" i="24" s="1"/>
  <c r="AC125" i="24" s="1"/>
  <c r="AJ125" i="24" s="1"/>
  <c r="W207" i="24"/>
  <c r="Y207" i="24" s="1"/>
  <c r="W170" i="24"/>
  <c r="Y170" i="24" s="1"/>
  <c r="X167" i="24"/>
  <c r="AA167" i="24" s="1"/>
  <c r="AB167" i="24" s="1"/>
  <c r="AC167" i="24" s="1"/>
  <c r="AJ167" i="24" s="1"/>
  <c r="X172" i="24"/>
  <c r="AA172" i="24" s="1"/>
  <c r="AB172" i="24" s="1"/>
  <c r="AC172" i="24" s="1"/>
  <c r="AE165" i="24"/>
  <c r="AG165" i="24" s="1"/>
  <c r="AE177" i="24"/>
  <c r="AF177" i="24" s="1"/>
  <c r="AE206" i="24"/>
  <c r="AF206" i="24" s="1"/>
  <c r="X194" i="24"/>
  <c r="AA194" i="24" s="1"/>
  <c r="AB194" i="24" s="1"/>
  <c r="AC194" i="24" s="1"/>
  <c r="AJ194" i="24" s="1"/>
  <c r="X210" i="24"/>
  <c r="AA210" i="24" s="1"/>
  <c r="AB210" i="24" s="1"/>
  <c r="AC210" i="24" s="1"/>
  <c r="X201" i="24"/>
  <c r="AA201" i="24" s="1"/>
  <c r="AB201" i="24" s="1"/>
  <c r="AC201" i="24" s="1"/>
  <c r="AI31" i="24"/>
  <c r="AI96" i="24"/>
  <c r="AI87" i="24"/>
  <c r="AI142" i="24"/>
  <c r="AJ142" i="24" s="1"/>
  <c r="AI169" i="24"/>
  <c r="AI205" i="24"/>
  <c r="AJ205" i="24" s="1"/>
  <c r="AE27" i="24"/>
  <c r="AF27" i="24" s="1"/>
  <c r="AE36" i="24"/>
  <c r="AF36" i="24" s="1"/>
  <c r="AE10" i="24"/>
  <c r="AF10" i="24" s="1"/>
  <c r="AE161" i="24"/>
  <c r="AF161" i="24" s="1"/>
  <c r="W134" i="24"/>
  <c r="Y134" i="24" s="1"/>
  <c r="W162" i="24"/>
  <c r="Y162" i="24" s="1"/>
  <c r="W159" i="24"/>
  <c r="Y159" i="24" s="1"/>
  <c r="X169" i="24"/>
  <c r="AA169" i="24" s="1"/>
  <c r="AB169" i="24" s="1"/>
  <c r="AC169" i="24" s="1"/>
  <c r="W137" i="24"/>
  <c r="Y137" i="24" s="1"/>
  <c r="X159" i="24"/>
  <c r="AA159" i="24" s="1"/>
  <c r="AB159" i="24" s="1"/>
  <c r="AC159" i="24" s="1"/>
  <c r="AJ159" i="24" s="1"/>
  <c r="X119" i="24"/>
  <c r="AA119" i="24" s="1"/>
  <c r="AB119" i="24" s="1"/>
  <c r="AC119" i="24" s="1"/>
  <c r="AJ119" i="24" s="1"/>
  <c r="AI56" i="24"/>
  <c r="AJ56" i="24" s="1"/>
  <c r="AE83" i="24"/>
  <c r="AG83" i="24" s="1"/>
  <c r="X40" i="24"/>
  <c r="AA40" i="24" s="1"/>
  <c r="AB40" i="24" s="1"/>
  <c r="AC40" i="24" s="1"/>
  <c r="AI116" i="24"/>
  <c r="W105" i="24"/>
  <c r="Y105" i="24" s="1"/>
  <c r="W79" i="24"/>
  <c r="Y79" i="24" s="1"/>
  <c r="AE105" i="24"/>
  <c r="AF105" i="24" s="1"/>
  <c r="X33" i="24"/>
  <c r="AA33" i="24" s="1"/>
  <c r="AB33" i="24" s="1"/>
  <c r="AC33" i="24" s="1"/>
  <c r="AE55" i="24"/>
  <c r="X87" i="24"/>
  <c r="AA87" i="24" s="1"/>
  <c r="AB87" i="24" s="1"/>
  <c r="AC87" i="24" s="1"/>
  <c r="AJ87" i="24" s="1"/>
  <c r="W161" i="24"/>
  <c r="Y161" i="24" s="1"/>
  <c r="W152" i="24"/>
  <c r="Y152" i="24" s="1"/>
  <c r="W163" i="24"/>
  <c r="Y163" i="24" s="1"/>
  <c r="AE182" i="24"/>
  <c r="AG182" i="24" s="1"/>
  <c r="X155" i="24"/>
  <c r="AA155" i="24" s="1"/>
  <c r="AB155" i="24" s="1"/>
  <c r="AC155" i="24" s="1"/>
  <c r="X123" i="24"/>
  <c r="AA123" i="24" s="1"/>
  <c r="AB123" i="24" s="1"/>
  <c r="AC123" i="24" s="1"/>
  <c r="W116" i="24"/>
  <c r="Y116" i="24" s="1"/>
  <c r="W169" i="24"/>
  <c r="Y169" i="24" s="1"/>
  <c r="W167" i="24"/>
  <c r="Y167" i="24" s="1"/>
  <c r="AE152" i="24"/>
  <c r="X115" i="24"/>
  <c r="AA115" i="24" s="1"/>
  <c r="AB115" i="24" s="1"/>
  <c r="AC115" i="24" s="1"/>
  <c r="X207" i="24"/>
  <c r="AA207" i="24" s="1"/>
  <c r="AB207" i="24" s="1"/>
  <c r="AC207" i="24" s="1"/>
  <c r="W187" i="24"/>
  <c r="Y187" i="24" s="1"/>
  <c r="W115" i="24"/>
  <c r="Y115" i="24" s="1"/>
  <c r="AE154" i="24"/>
  <c r="AG154" i="24" s="1"/>
  <c r="X149" i="24"/>
  <c r="AA149" i="24" s="1"/>
  <c r="AB149" i="24" s="1"/>
  <c r="AC149" i="24" s="1"/>
  <c r="AJ149" i="24" s="1"/>
  <c r="AE122" i="24"/>
  <c r="W177" i="24"/>
  <c r="Y177" i="24" s="1"/>
  <c r="AI145" i="24"/>
  <c r="AJ145" i="24" s="1"/>
  <c r="AI68" i="24"/>
  <c r="AE104" i="24"/>
  <c r="AF104" i="24" s="1"/>
  <c r="AI154" i="24"/>
  <c r="AJ154" i="24" s="1"/>
  <c r="AI123" i="24"/>
  <c r="AI182" i="24"/>
  <c r="AJ182" i="24" s="1"/>
  <c r="AI122" i="24"/>
  <c r="AI184" i="24"/>
  <c r="AJ184" i="24" s="1"/>
  <c r="AI141" i="24"/>
  <c r="AJ141" i="24" s="1"/>
  <c r="AE42" i="24"/>
  <c r="AF42" i="24" s="1"/>
  <c r="W184" i="24"/>
  <c r="Y184" i="24" s="1"/>
  <c r="AI155" i="24"/>
  <c r="W72" i="24"/>
  <c r="Y72" i="24" s="1"/>
  <c r="X27" i="24"/>
  <c r="AA27" i="24" s="1"/>
  <c r="AB27" i="24" s="1"/>
  <c r="AC27" i="24" s="1"/>
  <c r="AJ27" i="24" s="1"/>
  <c r="X105" i="24"/>
  <c r="AA105" i="24" s="1"/>
  <c r="AB105" i="24" s="1"/>
  <c r="AC105" i="24" s="1"/>
  <c r="AJ105" i="24" s="1"/>
  <c r="X19" i="24"/>
  <c r="AA19" i="24" s="1"/>
  <c r="AB19" i="24" s="1"/>
  <c r="AC19" i="24" s="1"/>
  <c r="AE91" i="24"/>
  <c r="AF91" i="24" s="1"/>
  <c r="AI187" i="24"/>
  <c r="AI137" i="24"/>
  <c r="AJ137" i="24" s="1"/>
  <c r="AI115" i="24"/>
  <c r="W141" i="24"/>
  <c r="Y141" i="24" s="1"/>
  <c r="AE167" i="24"/>
  <c r="AE149" i="24"/>
  <c r="AF149" i="24" s="1"/>
  <c r="X21" i="24"/>
  <c r="AA21" i="24" s="1"/>
  <c r="AB21" i="24" s="1"/>
  <c r="AC21" i="24" s="1"/>
  <c r="X42" i="24"/>
  <c r="AA42" i="24" s="1"/>
  <c r="AB42" i="24" s="1"/>
  <c r="AC42" i="24" s="1"/>
  <c r="AJ42" i="24" s="1"/>
  <c r="AI79" i="24"/>
  <c r="W63" i="24"/>
  <c r="Y63" i="24" s="1"/>
  <c r="X79" i="24"/>
  <c r="AA79" i="24" s="1"/>
  <c r="AB79" i="24" s="1"/>
  <c r="AC79" i="24" s="1"/>
  <c r="X72" i="24"/>
  <c r="AA72" i="24" s="1"/>
  <c r="AB72" i="24" s="1"/>
  <c r="AC72" i="24" s="1"/>
  <c r="AI55" i="24"/>
  <c r="AI72" i="24"/>
  <c r="W83" i="24"/>
  <c r="Y83" i="24" s="1"/>
  <c r="W40" i="24"/>
  <c r="Y40" i="24" s="1"/>
  <c r="X55" i="24"/>
  <c r="AA55" i="24" s="1"/>
  <c r="AB55" i="24" s="1"/>
  <c r="AC55" i="24" s="1"/>
  <c r="W68" i="24"/>
  <c r="Y68" i="24" s="1"/>
  <c r="W23" i="24"/>
  <c r="Y23" i="24" s="1"/>
  <c r="W41" i="24"/>
  <c r="Y41" i="24" s="1"/>
  <c r="W69" i="24"/>
  <c r="Y69" i="24" s="1"/>
  <c r="X68" i="24"/>
  <c r="AA68" i="24" s="1"/>
  <c r="AB68" i="24" s="1"/>
  <c r="AC68" i="24" s="1"/>
  <c r="X51" i="24"/>
  <c r="AA51" i="24" s="1"/>
  <c r="AB51" i="24" s="1"/>
  <c r="AC51" i="24" s="1"/>
  <c r="X97" i="24"/>
  <c r="AA97" i="24" s="1"/>
  <c r="AB97" i="24" s="1"/>
  <c r="AC97" i="24" s="1"/>
  <c r="X28" i="24"/>
  <c r="AA28" i="24" s="1"/>
  <c r="AB28" i="24" s="1"/>
  <c r="AC28" i="24" s="1"/>
  <c r="AE86" i="24"/>
  <c r="AF86" i="24" s="1"/>
  <c r="AE85" i="24"/>
  <c r="AF85" i="24" s="1"/>
  <c r="X70" i="24"/>
  <c r="AA70" i="24" s="1"/>
  <c r="AB70" i="24" s="1"/>
  <c r="AC70" i="24" s="1"/>
  <c r="AJ70" i="24" s="1"/>
  <c r="AE32" i="24"/>
  <c r="AF32" i="24" s="1"/>
  <c r="X104" i="24"/>
  <c r="AA104" i="24" s="1"/>
  <c r="AB104" i="24" s="1"/>
  <c r="AC104" i="24" s="1"/>
  <c r="AJ104" i="24" s="1"/>
  <c r="W70" i="24"/>
  <c r="Y70" i="24" s="1"/>
  <c r="AI86" i="24"/>
  <c r="AJ86" i="24" s="1"/>
  <c r="AI33" i="24"/>
  <c r="AI41" i="24"/>
  <c r="AI28" i="24"/>
  <c r="AI19" i="24"/>
  <c r="AI51" i="24"/>
  <c r="AE33" i="24"/>
  <c r="AE14" i="24"/>
  <c r="AF14" i="24" s="1"/>
  <c r="X69" i="24"/>
  <c r="AA69" i="24" s="1"/>
  <c r="AB69" i="24" s="1"/>
  <c r="AC69" i="24" s="1"/>
  <c r="AJ69" i="24" s="1"/>
  <c r="AE23" i="24"/>
  <c r="X29" i="24"/>
  <c r="AA29" i="24" s="1"/>
  <c r="AB29" i="24" s="1"/>
  <c r="AC29" i="24" s="1"/>
  <c r="W51" i="24"/>
  <c r="Y51" i="24" s="1"/>
  <c r="AE53" i="24"/>
  <c r="AF53" i="24" s="1"/>
  <c r="AI29" i="24"/>
  <c r="AI85" i="24"/>
  <c r="AJ85" i="24" s="1"/>
  <c r="W29" i="24"/>
  <c r="Y29" i="24" s="1"/>
  <c r="W85" i="24"/>
  <c r="Y85" i="24" s="1"/>
  <c r="W28" i="24"/>
  <c r="Y28" i="24" s="1"/>
  <c r="W104" i="24"/>
  <c r="Y104" i="24" s="1"/>
  <c r="AE97" i="24"/>
  <c r="AF97" i="24" s="1"/>
  <c r="AE70" i="24"/>
  <c r="AE73" i="24"/>
  <c r="AG73" i="24" s="1"/>
  <c r="AI63" i="24"/>
  <c r="AI14" i="24"/>
  <c r="AJ14" i="24" s="1"/>
  <c r="AI59" i="24"/>
  <c r="AI91" i="24"/>
  <c r="AJ91" i="24" s="1"/>
  <c r="P100" i="24"/>
  <c r="W14" i="24"/>
  <c r="Y14" i="24" s="1"/>
  <c r="AE74" i="24"/>
  <c r="AG74" i="24" s="1"/>
  <c r="AI40" i="24"/>
  <c r="AI73" i="24"/>
  <c r="AJ73" i="24" s="1"/>
  <c r="AI82" i="24"/>
  <c r="P101" i="24"/>
  <c r="P32" i="24"/>
  <c r="W100" i="24"/>
  <c r="Y100" i="24" s="1"/>
  <c r="W59" i="24"/>
  <c r="Y59" i="24" s="1"/>
  <c r="AP32" i="24"/>
  <c r="AP25" i="24"/>
  <c r="AP86" i="24"/>
  <c r="X59" i="24"/>
  <c r="AA59" i="24" s="1"/>
  <c r="AB59" i="24" s="1"/>
  <c r="AC59" i="24" s="1"/>
  <c r="X82" i="24"/>
  <c r="AA82" i="24" s="1"/>
  <c r="AB82" i="24" s="1"/>
  <c r="AC82" i="24" s="1"/>
  <c r="W32" i="24"/>
  <c r="Y32" i="24" s="1"/>
  <c r="X23" i="24"/>
  <c r="AA23" i="24" s="1"/>
  <c r="AB23" i="24" s="1"/>
  <c r="AC23" i="24" s="1"/>
  <c r="AJ23" i="24" s="1"/>
  <c r="X32" i="24"/>
  <c r="AA32" i="24" s="1"/>
  <c r="AB32" i="24" s="1"/>
  <c r="AC32" i="24" s="1"/>
  <c r="AJ32" i="24" s="1"/>
  <c r="X63" i="24"/>
  <c r="AA63" i="24" s="1"/>
  <c r="AB63" i="24" s="1"/>
  <c r="AC63" i="24" s="1"/>
  <c r="W64" i="24"/>
  <c r="Y64" i="24" s="1"/>
  <c r="W91" i="24"/>
  <c r="Y91" i="24" s="1"/>
  <c r="W73" i="24"/>
  <c r="Y73" i="24" s="1"/>
  <c r="AP104" i="24"/>
  <c r="AP100" i="24"/>
  <c r="X64" i="24"/>
  <c r="AA64" i="24" s="1"/>
  <c r="AB64" i="24" s="1"/>
  <c r="AC64" i="24" s="1"/>
  <c r="P85" i="24"/>
  <c r="P25" i="24"/>
  <c r="P104" i="24"/>
  <c r="AP33" i="24"/>
  <c r="AP78" i="24"/>
  <c r="AP69" i="24"/>
  <c r="AP23" i="24"/>
  <c r="P69" i="24"/>
  <c r="P70" i="24"/>
  <c r="P97" i="24"/>
  <c r="Q92" i="24"/>
  <c r="R92" i="24" s="1"/>
  <c r="P74" i="24"/>
  <c r="Q74" i="24"/>
  <c r="R74" i="24" s="1"/>
  <c r="Q72" i="24"/>
  <c r="R72" i="24" s="1"/>
  <c r="P29" i="24"/>
  <c r="Q29" i="24"/>
  <c r="R29" i="24" s="1"/>
  <c r="Q56" i="24"/>
  <c r="R56" i="24" s="1"/>
  <c r="P14" i="24"/>
  <c r="Q14" i="24"/>
  <c r="R14" i="24" s="1"/>
  <c r="Q50" i="24"/>
  <c r="R50" i="24" s="1"/>
  <c r="Q31" i="24"/>
  <c r="R31" i="24" s="1"/>
  <c r="AP96" i="24"/>
  <c r="Q96" i="24"/>
  <c r="R96" i="24" s="1"/>
  <c r="P73" i="24"/>
  <c r="AP19" i="24"/>
  <c r="AP70" i="24"/>
  <c r="AP21" i="24"/>
  <c r="AP73" i="24"/>
  <c r="AP68" i="24"/>
  <c r="P23" i="24"/>
  <c r="P21" i="24"/>
  <c r="Q91" i="24"/>
  <c r="R91" i="24" s="1"/>
  <c r="P83" i="24"/>
  <c r="Q83" i="24"/>
  <c r="R83" i="24" s="1"/>
  <c r="P36" i="24"/>
  <c r="Q36" i="24"/>
  <c r="Q89" i="24"/>
  <c r="R89" i="24" s="1"/>
  <c r="AP82" i="24"/>
  <c r="Q82" i="24"/>
  <c r="R82" i="24" s="1"/>
  <c r="P18" i="24"/>
  <c r="Q18" i="24"/>
  <c r="R18" i="24" s="1"/>
  <c r="Q60" i="24"/>
  <c r="R60" i="24" s="1"/>
  <c r="Q42" i="24"/>
  <c r="R42" i="24" s="1"/>
  <c r="Q40" i="24"/>
  <c r="R40" i="24" s="1"/>
  <c r="Q87" i="24"/>
  <c r="R87" i="24" s="1"/>
  <c r="P46" i="24"/>
  <c r="Q46" i="24"/>
  <c r="R46" i="24" s="1"/>
  <c r="P87" i="24"/>
  <c r="P60" i="24"/>
  <c r="P42" i="24"/>
  <c r="P40" i="24"/>
  <c r="R36" i="24"/>
  <c r="P91" i="24"/>
  <c r="J93" i="24"/>
  <c r="W93" i="24" s="1"/>
  <c r="Y93" i="24" s="1"/>
  <c r="Q93" i="24"/>
  <c r="R93" i="24" s="1"/>
  <c r="J80" i="24"/>
  <c r="J35" i="24"/>
  <c r="AI35" i="24" s="1"/>
  <c r="Q35" i="24"/>
  <c r="R35" i="24" s="1"/>
  <c r="J34" i="24"/>
  <c r="AI34" i="24" s="1"/>
  <c r="Q34" i="24"/>
  <c r="R34" i="24" s="1"/>
  <c r="J94" i="24"/>
  <c r="AE94" i="24" s="1"/>
  <c r="AF94" i="24" s="1"/>
  <c r="Q94" i="24"/>
  <c r="R94" i="24" s="1"/>
  <c r="J76" i="24"/>
  <c r="J81" i="24"/>
  <c r="AE81" i="24" s="1"/>
  <c r="AF81" i="24" s="1"/>
  <c r="Q81" i="24"/>
  <c r="R81" i="24" s="1"/>
  <c r="J66" i="24"/>
  <c r="Q66" i="24"/>
  <c r="R66" i="24" s="1"/>
  <c r="J16" i="24"/>
  <c r="W16" i="24" s="1"/>
  <c r="Y16" i="24" s="1"/>
  <c r="P16" i="24"/>
  <c r="J99" i="24"/>
  <c r="AI99" i="24" s="1"/>
  <c r="J17" i="24"/>
  <c r="AP17" i="24"/>
  <c r="J48" i="24"/>
  <c r="W48" i="24" s="1"/>
  <c r="Y48" i="24" s="1"/>
  <c r="Q48" i="24"/>
  <c r="R48" i="24" s="1"/>
  <c r="AP31" i="24"/>
  <c r="J49" i="24"/>
  <c r="AI49" i="24" s="1"/>
  <c r="Q49" i="24"/>
  <c r="R49" i="24" s="1"/>
  <c r="J20" i="24"/>
  <c r="Q20" i="24"/>
  <c r="R20" i="24" s="1"/>
  <c r="J77" i="24"/>
  <c r="AP77" i="24"/>
  <c r="J47" i="24"/>
  <c r="AI47" i="24" s="1"/>
  <c r="J67" i="24"/>
  <c r="P67" i="24"/>
  <c r="J24" i="24"/>
  <c r="Q24" i="24"/>
  <c r="R24" i="24" s="1"/>
  <c r="J8" i="24"/>
  <c r="X8" i="24" s="1"/>
  <c r="AA8" i="24" s="1"/>
  <c r="AB8" i="24" s="1"/>
  <c r="AC8" i="24" s="1"/>
  <c r="Q8" i="24"/>
  <c r="R8" i="24" s="1"/>
  <c r="J90" i="24"/>
  <c r="J88" i="24"/>
  <c r="X88" i="24" s="1"/>
  <c r="AA88" i="24" s="1"/>
  <c r="AB88" i="24" s="1"/>
  <c r="AC88" i="24" s="1"/>
  <c r="P88" i="24"/>
  <c r="P72" i="24"/>
  <c r="P96" i="24"/>
  <c r="AP14" i="24"/>
  <c r="AP92" i="24"/>
  <c r="AP74" i="24"/>
  <c r="AP29" i="24"/>
  <c r="P92" i="24"/>
  <c r="J45" i="24"/>
  <c r="J62" i="24"/>
  <c r="J22" i="24"/>
  <c r="W22" i="24" s="1"/>
  <c r="Y22" i="24" s="1"/>
  <c r="J26" i="24"/>
  <c r="W26" i="24" s="1"/>
  <c r="Y26" i="24" s="1"/>
  <c r="J52" i="24"/>
  <c r="J13" i="24"/>
  <c r="X13" i="24" s="1"/>
  <c r="AA13" i="24" s="1"/>
  <c r="AB13" i="24" s="1"/>
  <c r="AC13" i="24" s="1"/>
  <c r="J15" i="24"/>
  <c r="AI15" i="24" s="1"/>
  <c r="J84" i="24"/>
  <c r="Q84" i="24"/>
  <c r="J9" i="24"/>
  <c r="J37" i="24"/>
  <c r="AI37" i="24" s="1"/>
  <c r="AP37" i="24"/>
  <c r="J38" i="24"/>
  <c r="J39" i="24"/>
  <c r="AP39" i="24"/>
  <c r="J30" i="24"/>
  <c r="Q30" i="24"/>
  <c r="R30" i="24" s="1"/>
  <c r="P31" i="24"/>
  <c r="J12" i="24"/>
  <c r="W12" i="24" s="1"/>
  <c r="Y12" i="24" s="1"/>
  <c r="J65" i="24"/>
  <c r="AI65" i="24" s="1"/>
  <c r="J11" i="24"/>
  <c r="AI11" i="24" s="1"/>
  <c r="J102" i="24"/>
  <c r="AI102" i="24" s="1"/>
  <c r="J71" i="24"/>
  <c r="W71" i="24" s="1"/>
  <c r="Y71" i="24" s="1"/>
  <c r="J44" i="24"/>
  <c r="AE44" i="24" s="1"/>
  <c r="J43" i="24"/>
  <c r="X43" i="24" s="1"/>
  <c r="AA43" i="24" s="1"/>
  <c r="AB43" i="24" s="1"/>
  <c r="AC43" i="24" s="1"/>
  <c r="J103" i="24"/>
  <c r="J58" i="24"/>
  <c r="AI58" i="24" s="1"/>
  <c r="J75" i="24"/>
  <c r="J57" i="24"/>
  <c r="J61" i="24"/>
  <c r="X61" i="24" s="1"/>
  <c r="AA61" i="24" s="1"/>
  <c r="AB61" i="24" s="1"/>
  <c r="AC61" i="24" s="1"/>
  <c r="J98" i="24"/>
  <c r="J6" i="24"/>
  <c r="X6" i="24" s="1"/>
  <c r="AA6" i="24" s="1"/>
  <c r="AB6" i="24" s="1"/>
  <c r="AC6" i="24" s="1"/>
  <c r="J7" i="24"/>
  <c r="AP7" i="24"/>
  <c r="P55" i="24"/>
  <c r="R55" i="24"/>
  <c r="P33" i="24"/>
  <c r="R33" i="24"/>
  <c r="AP76" i="24"/>
  <c r="AP85" i="24"/>
  <c r="R97" i="24"/>
  <c r="AP89" i="24"/>
  <c r="R105" i="24"/>
  <c r="P105" i="24"/>
  <c r="R19" i="24"/>
  <c r="P19" i="24"/>
  <c r="P82" i="24"/>
  <c r="AP97" i="24"/>
  <c r="P86" i="24"/>
  <c r="R86" i="24"/>
  <c r="P54" i="24"/>
  <c r="R54" i="24"/>
  <c r="P20" i="24"/>
  <c r="AP95" i="24"/>
  <c r="P95" i="24"/>
  <c r="P80" i="24"/>
  <c r="P15" i="24"/>
  <c r="AP15" i="24"/>
  <c r="P24" i="24"/>
  <c r="AP24" i="24"/>
  <c r="P50" i="24"/>
  <c r="P47" i="24"/>
  <c r="P9" i="24"/>
  <c r="P90" i="24"/>
  <c r="P17" i="24"/>
  <c r="P38" i="24"/>
  <c r="P30" i="24"/>
  <c r="AP9" i="24"/>
  <c r="AP98" i="24"/>
  <c r="AP50" i="24"/>
  <c r="R51" i="24"/>
  <c r="P51" i="24"/>
  <c r="P59" i="24"/>
  <c r="R59" i="24"/>
  <c r="P89" i="24"/>
  <c r="P76" i="24"/>
  <c r="P66" i="24"/>
  <c r="AP51" i="24"/>
  <c r="AP58" i="24"/>
  <c r="AP66" i="24"/>
  <c r="AP47" i="24"/>
  <c r="AP38" i="24"/>
  <c r="P34" i="24"/>
  <c r="P99" i="24"/>
  <c r="P61" i="24"/>
  <c r="P37" i="24"/>
  <c r="P48" i="24"/>
  <c r="P56" i="24"/>
  <c r="AI64" i="24"/>
  <c r="AE110" i="24"/>
  <c r="AG110" i="24" s="1"/>
  <c r="AI110" i="24"/>
  <c r="AJ110" i="24" s="1"/>
  <c r="W110" i="24"/>
  <c r="Y110" i="24" s="1"/>
  <c r="CF299" i="24"/>
  <c r="CF276" i="24"/>
  <c r="CG218" i="25"/>
  <c r="CF241" i="24"/>
  <c r="CG263" i="25"/>
  <c r="CG285" i="25"/>
  <c r="CF231" i="24"/>
  <c r="CG228" i="25"/>
  <c r="CG266" i="25"/>
  <c r="CG232" i="25"/>
  <c r="CG221" i="25"/>
  <c r="CG229" i="25"/>
  <c r="CG251" i="25"/>
  <c r="CG315" i="25"/>
  <c r="CG231" i="25"/>
  <c r="CG220" i="25"/>
  <c r="CG248" i="25"/>
  <c r="CG245" i="25"/>
  <c r="CG239" i="25"/>
  <c r="CG254" i="25"/>
  <c r="CG226" i="25"/>
  <c r="CG257" i="25"/>
  <c r="CG313" i="25"/>
  <c r="AJ5" i="24"/>
  <c r="CG237" i="25"/>
  <c r="CG297" i="25"/>
  <c r="CG219" i="25"/>
  <c r="CG235" i="25"/>
  <c r="CF258" i="24"/>
  <c r="CF243" i="24"/>
  <c r="CF271" i="24"/>
  <c r="CF229" i="24"/>
  <c r="CF247" i="24"/>
  <c r="CF297" i="24"/>
  <c r="CF239" i="24"/>
  <c r="V110" i="25"/>
  <c r="X110" i="25" s="1"/>
  <c r="AG5" i="24"/>
  <c r="AN5" i="24" s="1"/>
  <c r="CF312" i="24"/>
  <c r="CF305" i="24"/>
  <c r="CF267" i="24"/>
  <c r="CF311" i="24"/>
  <c r="CF222" i="24"/>
  <c r="CF235" i="24"/>
  <c r="CF295" i="24"/>
  <c r="CF220" i="24"/>
  <c r="CF257" i="24"/>
  <c r="CF242" i="24"/>
  <c r="CF263" i="24"/>
  <c r="CF316" i="24"/>
  <c r="CF218" i="24"/>
  <c r="CF266" i="24"/>
  <c r="CF269" i="24"/>
  <c r="CF292" i="24"/>
  <c r="CF264" i="24"/>
  <c r="CF288" i="24"/>
  <c r="CF237" i="24"/>
  <c r="CF221" i="24"/>
  <c r="CF272" i="24"/>
  <c r="CF296" i="24"/>
  <c r="CF310" i="24"/>
  <c r="CF254" i="24"/>
  <c r="CF253" i="24"/>
  <c r="CF238" i="24"/>
  <c r="CF300" i="24"/>
  <c r="CF228" i="24"/>
  <c r="CF284" i="24"/>
  <c r="CF281" i="24"/>
  <c r="CF301" i="24"/>
  <c r="CF262" i="24"/>
  <c r="CF223" i="24"/>
  <c r="W110" i="25"/>
  <c r="Z110" i="25" s="1"/>
  <c r="AA110" i="25" s="1"/>
  <c r="AB110" i="25" s="1"/>
  <c r="AI110" i="25" s="1"/>
  <c r="V5" i="25"/>
  <c r="X5" i="25" s="1"/>
  <c r="CG24" i="25"/>
  <c r="CG10" i="25"/>
  <c r="CG19" i="25"/>
  <c r="CG15" i="25"/>
  <c r="CG30" i="25"/>
  <c r="CG16" i="25"/>
  <c r="CG8" i="25"/>
  <c r="W5" i="25"/>
  <c r="CG85" i="25"/>
  <c r="CG34" i="25"/>
  <c r="CG22" i="25"/>
  <c r="CG27" i="25"/>
  <c r="CG18" i="25"/>
  <c r="CG11" i="25"/>
  <c r="CG23" i="25"/>
  <c r="CG28" i="25"/>
  <c r="CG41" i="25"/>
  <c r="CG35" i="25"/>
  <c r="CG9" i="25"/>
  <c r="CG7" i="25"/>
  <c r="CG66" i="25"/>
  <c r="CG5" i="25"/>
  <c r="AF180" i="25"/>
  <c r="AF300" i="25"/>
  <c r="AF124" i="25"/>
  <c r="AF133" i="25"/>
  <c r="AF197" i="25"/>
  <c r="AF113" i="25"/>
  <c r="AF122" i="25"/>
  <c r="AF173" i="25"/>
  <c r="AF240" i="25"/>
  <c r="AF120" i="25"/>
  <c r="AF315" i="25"/>
  <c r="AF117" i="25"/>
  <c r="AF142" i="25"/>
  <c r="AF242" i="25"/>
  <c r="AF208" i="25"/>
  <c r="AF218" i="25"/>
  <c r="AF157" i="25"/>
  <c r="AF228" i="25"/>
  <c r="AF203" i="25"/>
  <c r="AF291" i="25"/>
  <c r="AF287" i="25"/>
  <c r="AF159" i="25"/>
  <c r="AF191" i="25"/>
  <c r="AF210" i="25"/>
  <c r="AF252" i="25"/>
  <c r="AF303" i="25"/>
  <c r="AF130" i="25"/>
  <c r="AF202" i="25"/>
  <c r="AF299" i="25"/>
  <c r="AF166" i="25"/>
  <c r="AF198" i="25"/>
  <c r="AF286" i="25"/>
  <c r="AF127" i="25"/>
  <c r="AF194" i="25"/>
  <c r="AF247" i="25"/>
  <c r="AF132" i="25"/>
  <c r="AF196" i="25"/>
  <c r="AF201" i="25"/>
  <c r="AF188" i="25"/>
  <c r="AF279" i="25"/>
  <c r="AF209" i="25"/>
  <c r="AF136" i="25"/>
  <c r="AF152" i="25"/>
  <c r="AF184" i="25"/>
  <c r="AF311" i="25"/>
  <c r="AF313" i="25"/>
  <c r="AF168" i="25"/>
  <c r="AF187" i="25"/>
  <c r="AF151" i="25"/>
  <c r="AF294" i="25"/>
  <c r="AF167" i="25"/>
  <c r="AF254" i="25"/>
  <c r="AF259" i="25"/>
  <c r="AF256" i="25"/>
  <c r="AF284" i="25"/>
  <c r="AF114" i="25"/>
  <c r="AF263" i="25"/>
  <c r="AF200" i="25"/>
  <c r="AF302" i="25"/>
  <c r="AF312" i="25"/>
  <c r="AF225" i="25"/>
  <c r="AF219" i="25"/>
  <c r="AF131" i="25"/>
  <c r="AF172" i="25"/>
  <c r="AF271" i="25"/>
  <c r="AF176" i="25"/>
  <c r="AF222" i="25"/>
  <c r="AF217" i="25"/>
  <c r="AF199" i="25"/>
  <c r="AF316" i="25"/>
  <c r="AF293" i="25"/>
  <c r="AF281" i="25"/>
  <c r="AF226" i="25"/>
  <c r="AF241" i="25"/>
  <c r="AF236" i="25"/>
  <c r="AF268" i="25"/>
  <c r="AF234" i="25"/>
  <c r="AF266" i="25"/>
  <c r="AF244" i="25"/>
  <c r="AF285" i="25"/>
  <c r="AF273" i="25"/>
  <c r="AF237" i="25"/>
  <c r="AF276" i="25"/>
  <c r="AF255" i="25"/>
  <c r="AF253" i="25"/>
  <c r="AF164" i="25"/>
  <c r="AF156" i="25"/>
  <c r="AF128" i="25"/>
  <c r="AF144" i="25"/>
  <c r="AF160" i="25"/>
  <c r="AF192" i="25"/>
  <c r="AF310" i="25"/>
  <c r="AF314" i="25"/>
  <c r="AF267" i="25"/>
  <c r="AF231" i="25"/>
  <c r="AF181" i="25"/>
  <c r="AF158" i="25"/>
  <c r="AF245" i="25"/>
  <c r="AF306" i="25"/>
  <c r="AF125" i="25"/>
  <c r="AF126" i="25"/>
  <c r="AF305" i="25"/>
  <c r="AF38" i="25"/>
  <c r="AF146" i="25"/>
  <c r="AF207" i="25"/>
  <c r="AF280" i="25"/>
  <c r="AF246" i="25"/>
  <c r="AF239" i="25"/>
  <c r="AF24" i="25"/>
  <c r="AF260" i="25"/>
  <c r="AF137" i="25"/>
  <c r="AF169" i="25"/>
  <c r="AF162" i="25"/>
  <c r="AF216" i="25"/>
  <c r="AF223" i="25"/>
  <c r="AF248" i="25"/>
  <c r="AF235" i="25"/>
  <c r="AF155" i="25"/>
  <c r="AF138" i="25"/>
  <c r="AF170" i="25"/>
  <c r="AF264" i="25"/>
  <c r="AF309" i="25"/>
  <c r="AF257" i="25"/>
  <c r="AF141" i="25"/>
  <c r="AF206" i="25"/>
  <c r="AF283" i="25"/>
  <c r="AF243" i="25"/>
  <c r="AF139" i="25"/>
  <c r="AF274" i="25"/>
  <c r="AF258" i="25"/>
  <c r="AF297" i="25"/>
  <c r="AF183" i="25"/>
  <c r="AF308" i="25"/>
  <c r="AF112" i="25"/>
  <c r="AF224" i="25"/>
  <c r="AF233" i="25"/>
  <c r="AF227" i="25"/>
  <c r="AF296" i="25"/>
  <c r="AF189" i="25"/>
  <c r="AF262" i="25"/>
  <c r="AF249" i="25"/>
  <c r="AF129" i="25"/>
  <c r="AF145" i="25"/>
  <c r="AF161" i="25"/>
  <c r="AF177" i="25"/>
  <c r="AF193" i="25"/>
  <c r="AF150" i="25"/>
  <c r="AF182" i="25"/>
  <c r="AF270" i="25"/>
  <c r="AF147" i="25"/>
  <c r="AF265" i="25"/>
  <c r="AF171" i="25"/>
  <c r="AF292" i="25"/>
  <c r="AF195" i="25"/>
  <c r="AF282" i="25"/>
  <c r="AF289" i="25"/>
  <c r="AF154" i="25"/>
  <c r="AF186" i="25"/>
  <c r="AF123" i="25"/>
  <c r="AF232" i="25"/>
  <c r="AF238" i="25"/>
  <c r="AF204" i="25"/>
  <c r="AF121" i="25"/>
  <c r="AF290" i="25"/>
  <c r="AF190" i="25"/>
  <c r="AF88" i="25"/>
  <c r="AF230" i="25"/>
  <c r="AF135" i="25"/>
  <c r="AF304" i="25"/>
  <c r="AF251" i="25"/>
  <c r="AF149" i="25"/>
  <c r="AF301" i="25"/>
  <c r="AF295" i="25"/>
  <c r="AF221" i="25"/>
  <c r="AF272" i="25"/>
  <c r="AF115" i="25"/>
  <c r="AF178" i="25"/>
  <c r="AF46" i="25"/>
  <c r="AF179" i="25"/>
  <c r="AF250" i="25"/>
  <c r="AF118" i="25"/>
  <c r="AF220" i="25"/>
  <c r="AF119" i="25"/>
  <c r="AF153" i="25"/>
  <c r="AF185" i="25"/>
  <c r="AF298" i="25"/>
  <c r="AF261" i="25"/>
  <c r="AF277" i="25"/>
  <c r="AF148" i="25"/>
  <c r="AF140" i="25"/>
  <c r="AF111" i="25"/>
  <c r="AF288" i="25"/>
  <c r="AF269" i="25"/>
  <c r="AF307" i="25"/>
  <c r="AF116" i="25"/>
  <c r="AF229" i="25"/>
  <c r="AF174" i="25"/>
  <c r="AF205" i="25"/>
  <c r="AF275" i="25"/>
  <c r="AF165" i="25"/>
  <c r="AF278" i="25"/>
  <c r="AF143" i="25"/>
  <c r="AF175" i="25"/>
  <c r="AF134" i="25"/>
  <c r="AF163" i="25"/>
  <c r="AF39" i="25"/>
  <c r="AF65" i="25"/>
  <c r="AF33" i="25"/>
  <c r="AF19" i="25"/>
  <c r="AF53" i="25"/>
  <c r="AF94" i="25"/>
  <c r="AF102" i="25"/>
  <c r="AF69" i="25"/>
  <c r="AF28" i="25"/>
  <c r="AF79" i="25"/>
  <c r="AF29" i="25"/>
  <c r="AF85" i="25"/>
  <c r="AF41" i="25"/>
  <c r="AF75" i="25"/>
  <c r="AF91" i="25"/>
  <c r="AF95" i="25"/>
  <c r="AF16" i="25"/>
  <c r="AF93" i="25"/>
  <c r="AF97" i="25"/>
  <c r="AF101" i="25"/>
  <c r="AF105" i="25"/>
  <c r="AF45" i="25"/>
  <c r="AF58" i="25"/>
  <c r="AF43" i="25"/>
  <c r="AF56" i="25"/>
  <c r="AF86" i="25"/>
  <c r="AF13" i="25"/>
  <c r="AF71" i="25"/>
  <c r="AF72" i="25"/>
  <c r="AF87" i="25"/>
  <c r="AF21" i="25"/>
  <c r="AF98" i="25"/>
  <c r="AF89" i="25"/>
  <c r="AF6" i="25"/>
  <c r="AF10" i="25"/>
  <c r="AF61" i="25"/>
  <c r="AF15" i="25"/>
  <c r="AF67" i="25"/>
  <c r="AF54" i="25"/>
  <c r="AF26" i="25"/>
  <c r="AF32" i="25"/>
  <c r="AF103" i="25"/>
  <c r="AF81" i="25"/>
  <c r="AF99" i="25"/>
  <c r="AF37" i="25"/>
  <c r="AF20" i="25"/>
  <c r="AF70" i="25"/>
  <c r="AF74" i="25"/>
  <c r="AF18" i="25"/>
  <c r="AF42" i="25"/>
  <c r="AF48" i="25"/>
  <c r="AF80" i="25"/>
  <c r="AF78" i="25"/>
  <c r="AF27" i="25"/>
  <c r="AF47" i="25"/>
  <c r="AF63" i="25"/>
  <c r="AF57" i="25"/>
  <c r="AF73" i="25"/>
  <c r="AF31" i="25"/>
  <c r="AF51" i="25"/>
  <c r="AF92" i="25"/>
  <c r="AF104" i="25"/>
  <c r="AF52" i="25"/>
  <c r="AF82" i="25"/>
  <c r="AF60" i="25"/>
  <c r="AF90" i="25"/>
  <c r="AF66" i="25"/>
  <c r="AF76" i="25"/>
  <c r="AF30" i="25"/>
  <c r="AF8" i="25"/>
  <c r="AF17" i="25"/>
  <c r="AF34" i="25"/>
  <c r="AF23" i="25"/>
  <c r="AF50" i="25"/>
  <c r="AF59" i="25"/>
  <c r="AF44" i="25"/>
  <c r="AF40" i="25"/>
  <c r="AF22" i="25"/>
  <c r="AF35" i="25"/>
  <c r="AF12" i="25"/>
  <c r="AF64" i="25"/>
  <c r="AF62" i="25"/>
  <c r="AF14" i="25"/>
  <c r="AF25" i="25"/>
  <c r="AF77" i="25"/>
  <c r="AF7" i="25"/>
  <c r="AF11" i="25"/>
  <c r="AF83" i="25"/>
  <c r="AF49" i="25"/>
  <c r="AF84" i="25"/>
  <c r="AF55" i="25"/>
  <c r="AF96" i="25"/>
  <c r="AF100" i="25"/>
  <c r="AF9" i="25"/>
  <c r="AF36" i="25"/>
  <c r="AF68" i="25"/>
  <c r="AB277" i="25"/>
  <c r="AI277" i="25" s="1"/>
  <c r="AS277" i="25" s="1"/>
  <c r="AB232" i="25"/>
  <c r="AI232" i="25" s="1"/>
  <c r="AS232" i="25" s="1"/>
  <c r="AB238" i="25"/>
  <c r="AI238" i="25" s="1"/>
  <c r="AS238" i="25" s="1"/>
  <c r="AB204" i="25"/>
  <c r="AI204" i="25" s="1"/>
  <c r="AB197" i="25"/>
  <c r="AI197" i="25" s="1"/>
  <c r="AB122" i="25"/>
  <c r="AI122" i="25" s="1"/>
  <c r="AB294" i="25"/>
  <c r="AI294" i="25" s="1"/>
  <c r="AS294" i="25" s="1"/>
  <c r="AB117" i="25"/>
  <c r="AI117" i="25" s="1"/>
  <c r="AB243" i="25"/>
  <c r="AI243" i="25" s="1"/>
  <c r="AS243" i="25" s="1"/>
  <c r="AB139" i="25"/>
  <c r="AI139" i="25" s="1"/>
  <c r="AB301" i="25"/>
  <c r="AI301" i="25" s="1"/>
  <c r="AS301" i="25" s="1"/>
  <c r="AB259" i="25"/>
  <c r="AI259" i="25" s="1"/>
  <c r="AS259" i="25" s="1"/>
  <c r="AB226" i="25"/>
  <c r="AI226" i="25" s="1"/>
  <c r="AS226" i="25" s="1"/>
  <c r="AB112" i="25"/>
  <c r="AI112" i="25" s="1"/>
  <c r="AB128" i="25"/>
  <c r="AI128" i="25" s="1"/>
  <c r="AB144" i="25"/>
  <c r="AI144" i="25" s="1"/>
  <c r="AB160" i="25"/>
  <c r="AI160" i="25" s="1"/>
  <c r="AB229" i="25"/>
  <c r="AI229" i="25" s="1"/>
  <c r="AS229" i="25" s="1"/>
  <c r="AB287" i="25"/>
  <c r="AI287" i="25" s="1"/>
  <c r="AS287" i="25" s="1"/>
  <c r="AB159" i="25"/>
  <c r="AI159" i="25" s="1"/>
  <c r="AB191" i="25"/>
  <c r="AI191" i="25" s="1"/>
  <c r="AB249" i="25"/>
  <c r="AI249" i="25" s="1"/>
  <c r="AS249" i="25" s="1"/>
  <c r="AB129" i="25"/>
  <c r="AI129" i="25" s="1"/>
  <c r="AB193" i="25"/>
  <c r="AI193" i="25" s="1"/>
  <c r="AB250" i="25"/>
  <c r="AI250" i="25" s="1"/>
  <c r="AS250" i="25" s="1"/>
  <c r="AB311" i="25"/>
  <c r="AI311" i="25" s="1"/>
  <c r="AS311" i="25" s="1"/>
  <c r="AB260" i="25"/>
  <c r="AI260" i="25" s="1"/>
  <c r="AS260" i="25" s="1"/>
  <c r="AB219" i="25"/>
  <c r="AI219" i="25" s="1"/>
  <c r="AS219" i="25" s="1"/>
  <c r="AB187" i="25"/>
  <c r="AI187" i="25" s="1"/>
  <c r="AB222" i="25"/>
  <c r="AI222" i="25" s="1"/>
  <c r="AS222" i="25" s="1"/>
  <c r="AB264" i="25"/>
  <c r="AI264" i="25" s="1"/>
  <c r="AS264" i="25" s="1"/>
  <c r="AB290" i="25"/>
  <c r="AI290" i="25" s="1"/>
  <c r="AS290" i="25" s="1"/>
  <c r="AB295" i="25"/>
  <c r="AI295" i="25" s="1"/>
  <c r="AS295" i="25" s="1"/>
  <c r="AB245" i="25"/>
  <c r="AI245" i="25" s="1"/>
  <c r="AS245" i="25" s="1"/>
  <c r="AB125" i="25"/>
  <c r="AI125" i="25" s="1"/>
  <c r="AB192" i="25"/>
  <c r="AI192" i="25" s="1"/>
  <c r="AB307" i="25"/>
  <c r="AI307" i="25" s="1"/>
  <c r="AS307" i="25" s="1"/>
  <c r="AB116" i="25"/>
  <c r="AI116" i="25" s="1"/>
  <c r="AB280" i="25"/>
  <c r="AI280" i="25" s="1"/>
  <c r="AS280" i="25" s="1"/>
  <c r="AB262" i="25"/>
  <c r="AI262" i="25" s="1"/>
  <c r="AS262" i="25" s="1"/>
  <c r="AB244" i="25"/>
  <c r="AI244" i="25" s="1"/>
  <c r="AS244" i="25" s="1"/>
  <c r="AB210" i="25"/>
  <c r="AI210" i="25" s="1"/>
  <c r="AB302" i="25"/>
  <c r="AI302" i="25" s="1"/>
  <c r="AS302" i="25" s="1"/>
  <c r="AB145" i="25"/>
  <c r="AI145" i="25" s="1"/>
  <c r="AB239" i="25"/>
  <c r="AI239" i="25" s="1"/>
  <c r="AS239" i="25" s="1"/>
  <c r="AB270" i="25"/>
  <c r="AI270" i="25" s="1"/>
  <c r="AS270" i="25" s="1"/>
  <c r="AB118" i="25"/>
  <c r="AI118" i="25" s="1"/>
  <c r="AB119" i="25"/>
  <c r="AI119" i="25" s="1"/>
  <c r="AB195" i="25"/>
  <c r="AI195" i="25" s="1"/>
  <c r="AB313" i="25"/>
  <c r="AI313" i="25" s="1"/>
  <c r="AS313" i="25" s="1"/>
  <c r="AB267" i="25"/>
  <c r="AI267" i="25" s="1"/>
  <c r="AS267" i="25" s="1"/>
  <c r="AB248" i="25"/>
  <c r="AI248" i="25" s="1"/>
  <c r="AS248" i="25" s="1"/>
  <c r="AB235" i="25"/>
  <c r="AI235" i="25" s="1"/>
  <c r="AS235" i="25" s="1"/>
  <c r="AB155" i="25"/>
  <c r="AI155" i="25" s="1"/>
  <c r="AB123" i="25"/>
  <c r="AI123" i="25" s="1"/>
  <c r="AB300" i="25"/>
  <c r="AI300" i="25" s="1"/>
  <c r="AS300" i="25" s="1"/>
  <c r="AB190" i="25"/>
  <c r="AI190" i="25" s="1"/>
  <c r="AB293" i="25"/>
  <c r="AI293" i="25" s="1"/>
  <c r="AS293" i="25" s="1"/>
  <c r="AB141" i="25"/>
  <c r="AI141" i="25" s="1"/>
  <c r="AB206" i="25"/>
  <c r="AI206" i="25" s="1"/>
  <c r="AB304" i="25"/>
  <c r="AI304" i="25" s="1"/>
  <c r="AS304" i="25" s="1"/>
  <c r="AB231" i="25"/>
  <c r="AI231" i="25" s="1"/>
  <c r="AS231" i="25" s="1"/>
  <c r="AB149" i="25"/>
  <c r="AI149" i="25" s="1"/>
  <c r="AB181" i="25"/>
  <c r="AI181" i="25" s="1"/>
  <c r="AB242" i="25"/>
  <c r="AI242" i="25" s="1"/>
  <c r="AS242" i="25" s="1"/>
  <c r="AB208" i="25"/>
  <c r="AI208" i="25" s="1"/>
  <c r="AB218" i="25"/>
  <c r="AI218" i="25" s="1"/>
  <c r="AS218" i="25" s="1"/>
  <c r="AB258" i="25"/>
  <c r="AI258" i="25" s="1"/>
  <c r="AS258" i="25" s="1"/>
  <c r="AB221" i="25"/>
  <c r="AI221" i="25" s="1"/>
  <c r="AS221" i="25" s="1"/>
  <c r="AB136" i="25"/>
  <c r="AI136" i="25" s="1"/>
  <c r="AB152" i="25"/>
  <c r="AI152" i="25" s="1"/>
  <c r="AB146" i="25"/>
  <c r="AI146" i="25" s="1"/>
  <c r="AB236" i="25"/>
  <c r="AI236" i="25" s="1"/>
  <c r="AS236" i="25" s="1"/>
  <c r="AB268" i="25"/>
  <c r="AI268" i="25" s="1"/>
  <c r="AS268" i="25" s="1"/>
  <c r="AB233" i="25"/>
  <c r="AI233" i="25" s="1"/>
  <c r="AS233" i="25" s="1"/>
  <c r="AB263" i="25"/>
  <c r="AI263" i="25" s="1"/>
  <c r="AS263" i="25" s="1"/>
  <c r="AB296" i="25"/>
  <c r="AI296" i="25" s="1"/>
  <c r="AS296" i="25" s="1"/>
  <c r="AB273" i="25"/>
  <c r="AI273" i="25" s="1"/>
  <c r="AS273" i="25" s="1"/>
  <c r="AB161" i="25"/>
  <c r="AI161" i="25" s="1"/>
  <c r="AB179" i="25"/>
  <c r="AI179" i="25" s="1"/>
  <c r="AB176" i="25"/>
  <c r="AI176" i="25" s="1"/>
  <c r="AB130" i="25"/>
  <c r="AI130" i="25" s="1"/>
  <c r="AB143" i="25"/>
  <c r="AI143" i="25" s="1"/>
  <c r="AB175" i="25"/>
  <c r="AI175" i="25" s="1"/>
  <c r="AB299" i="25"/>
  <c r="AI299" i="25" s="1"/>
  <c r="AS299" i="25" s="1"/>
  <c r="AB163" i="25"/>
  <c r="AI163" i="25" s="1"/>
  <c r="AB223" i="25"/>
  <c r="AI223" i="25" s="1"/>
  <c r="AS223" i="25" s="1"/>
  <c r="AB309" i="25"/>
  <c r="AI309" i="25" s="1"/>
  <c r="AS309" i="25" s="1"/>
  <c r="AB133" i="25"/>
  <c r="AI133" i="25" s="1"/>
  <c r="AB281" i="25"/>
  <c r="AI281" i="25" s="1"/>
  <c r="AS281" i="25" s="1"/>
  <c r="AB228" i="25"/>
  <c r="AI228" i="25" s="1"/>
  <c r="AS228" i="25" s="1"/>
  <c r="AB297" i="25"/>
  <c r="AI297" i="25" s="1"/>
  <c r="AS297" i="25" s="1"/>
  <c r="AB305" i="25"/>
  <c r="AI305" i="25" s="1"/>
  <c r="AS305" i="25" s="1"/>
  <c r="AB227" i="25"/>
  <c r="AI227" i="25" s="1"/>
  <c r="AS227" i="25" s="1"/>
  <c r="AB234" i="25"/>
  <c r="AI234" i="25" s="1"/>
  <c r="AS234" i="25" s="1"/>
  <c r="AB200" i="25"/>
  <c r="AI200" i="25" s="1"/>
  <c r="AB266" i="25"/>
  <c r="AI266" i="25" s="1"/>
  <c r="AS266" i="25" s="1"/>
  <c r="AB174" i="25"/>
  <c r="AI174" i="25" s="1"/>
  <c r="AB246" i="25"/>
  <c r="AI246" i="25" s="1"/>
  <c r="AS246" i="25" s="1"/>
  <c r="AB285" i="25"/>
  <c r="AI285" i="25" s="1"/>
  <c r="AS285" i="25" s="1"/>
  <c r="AB177" i="25"/>
  <c r="AI177" i="25" s="1"/>
  <c r="AB147" i="25"/>
  <c r="AI147" i="25" s="1"/>
  <c r="AB237" i="25"/>
  <c r="AI237" i="25" s="1"/>
  <c r="AS237" i="25" s="1"/>
  <c r="AB252" i="25"/>
  <c r="AI252" i="25" s="1"/>
  <c r="AS252" i="25" s="1"/>
  <c r="AB303" i="25"/>
  <c r="AI303" i="25" s="1"/>
  <c r="AS303" i="25" s="1"/>
  <c r="AB225" i="25"/>
  <c r="AI225" i="25" s="1"/>
  <c r="AS225" i="25" s="1"/>
  <c r="AB131" i="25"/>
  <c r="AI131" i="25" s="1"/>
  <c r="AI70" i="25"/>
  <c r="AI69" i="25"/>
  <c r="AI64" i="25"/>
  <c r="AI11" i="25"/>
  <c r="AI61" i="25"/>
  <c r="AI31" i="25"/>
  <c r="AI51" i="25"/>
  <c r="AI81" i="25"/>
  <c r="AI93" i="25"/>
  <c r="AI97" i="25"/>
  <c r="AI101" i="25"/>
  <c r="AI105" i="25"/>
  <c r="AI86" i="25"/>
  <c r="AI71" i="25"/>
  <c r="AI42" i="25"/>
  <c r="AI28" i="25"/>
  <c r="AI62" i="25"/>
  <c r="AI15" i="25"/>
  <c r="AI67" i="25"/>
  <c r="AI103" i="25"/>
  <c r="AI96" i="25"/>
  <c r="AI100" i="25"/>
  <c r="AI8" i="25"/>
  <c r="AI30" i="25"/>
  <c r="AI20" i="25"/>
  <c r="AI59" i="25"/>
  <c r="AI21" i="25"/>
  <c r="AI48" i="25"/>
  <c r="AI79" i="25"/>
  <c r="AI83" i="25"/>
  <c r="AI41" i="25"/>
  <c r="AI17" i="25"/>
  <c r="AI88" i="25"/>
  <c r="AI53" i="25"/>
  <c r="AI94" i="25"/>
  <c r="AI102" i="25"/>
  <c r="AI22" i="25"/>
  <c r="AI35" i="25"/>
  <c r="AI78" i="25"/>
  <c r="AI27" i="25"/>
  <c r="AI47" i="25"/>
  <c r="AI63" i="25"/>
  <c r="AI92" i="25"/>
  <c r="AI104" i="25"/>
  <c r="AI9" i="25"/>
  <c r="AI52" i="25"/>
  <c r="AI216" i="25"/>
  <c r="AS216" i="25" s="1"/>
  <c r="X76" i="25"/>
  <c r="X73" i="25"/>
  <c r="X75" i="25"/>
  <c r="X111" i="25"/>
  <c r="X316" i="25"/>
  <c r="X45" i="25"/>
  <c r="X86" i="25"/>
  <c r="AI199" i="25"/>
  <c r="X124" i="25"/>
  <c r="X50" i="25"/>
  <c r="X19" i="25"/>
  <c r="X164" i="25"/>
  <c r="X299" i="25"/>
  <c r="AI114" i="25"/>
  <c r="X252" i="25"/>
  <c r="AI278" i="25"/>
  <c r="AS278" i="25" s="1"/>
  <c r="AI138" i="25"/>
  <c r="X125" i="25"/>
  <c r="X225" i="25"/>
  <c r="X72" i="25"/>
  <c r="X33" i="25"/>
  <c r="X17" i="25"/>
  <c r="X23" i="25"/>
  <c r="X98" i="25"/>
  <c r="X20" i="25"/>
  <c r="X277" i="25"/>
  <c r="X172" i="25"/>
  <c r="X44" i="25"/>
  <c r="X132" i="25"/>
  <c r="X196" i="25"/>
  <c r="X122" i="25"/>
  <c r="X204" i="25"/>
  <c r="X79" i="25"/>
  <c r="X24" i="25"/>
  <c r="X60" i="25"/>
  <c r="X49" i="25"/>
  <c r="X171" i="25"/>
  <c r="X208" i="25"/>
  <c r="X269" i="25"/>
  <c r="X300" i="25"/>
  <c r="X18" i="25"/>
  <c r="X99" i="25"/>
  <c r="X83" i="25"/>
  <c r="X179" i="25"/>
  <c r="X136" i="25"/>
  <c r="X184" i="25"/>
  <c r="X41" i="25"/>
  <c r="X81" i="25"/>
  <c r="X29" i="25"/>
  <c r="X85" i="25"/>
  <c r="X31" i="25"/>
  <c r="X96" i="25"/>
  <c r="X104" i="25"/>
  <c r="X313" i="25"/>
  <c r="X144" i="25"/>
  <c r="AI196" i="25"/>
  <c r="X52" i="25"/>
  <c r="X84" i="25"/>
  <c r="X147" i="25"/>
  <c r="X152" i="25"/>
  <c r="X153" i="25"/>
  <c r="X182" i="25"/>
  <c r="X149" i="25"/>
  <c r="X46" i="25"/>
  <c r="X68" i="25"/>
  <c r="X82" i="25"/>
  <c r="X70" i="25"/>
  <c r="X209" i="25"/>
  <c r="X315" i="25"/>
  <c r="X54" i="25"/>
  <c r="X16" i="25"/>
  <c r="X32" i="25"/>
  <c r="X67" i="25"/>
  <c r="X200" i="25"/>
  <c r="AI312" i="25"/>
  <c r="AS312" i="25" s="1"/>
  <c r="AI310" i="25"/>
  <c r="AS310" i="25" s="1"/>
  <c r="AI24" i="25"/>
  <c r="X57" i="25"/>
  <c r="X61" i="25"/>
  <c r="X92" i="25"/>
  <c r="X100" i="25"/>
  <c r="AI36" i="25"/>
  <c r="AI68" i="25"/>
  <c r="AI253" i="25"/>
  <c r="AS253" i="25" s="1"/>
  <c r="AI207" i="25"/>
  <c r="AI201" i="25"/>
  <c r="X290" i="25"/>
  <c r="AI76" i="25"/>
  <c r="X288" i="25"/>
  <c r="AI14" i="25"/>
  <c r="X224" i="25"/>
  <c r="X284" i="25"/>
  <c r="AI38" i="25"/>
  <c r="X174" i="25"/>
  <c r="AI54" i="25"/>
  <c r="X146" i="25"/>
  <c r="X253" i="25"/>
  <c r="AI275" i="25"/>
  <c r="AS275" i="25" s="1"/>
  <c r="AI82" i="25"/>
  <c r="X236" i="25"/>
  <c r="X263" i="25"/>
  <c r="AI168" i="25"/>
  <c r="AI156" i="25"/>
  <c r="AI172" i="25"/>
  <c r="AI132" i="25"/>
  <c r="AI180" i="25"/>
  <c r="AI37" i="25"/>
  <c r="AI56" i="25"/>
  <c r="AI279" i="25"/>
  <c r="AS279" i="25" s="1"/>
  <c r="AI44" i="25"/>
  <c r="AI274" i="25"/>
  <c r="AS274" i="25" s="1"/>
  <c r="AI6" i="25"/>
  <c r="AI298" i="25"/>
  <c r="AS298" i="25" s="1"/>
  <c r="X87" i="25"/>
  <c r="X183" i="25"/>
  <c r="AI135" i="25"/>
  <c r="X308" i="25"/>
  <c r="X121" i="25"/>
  <c r="X155" i="25"/>
  <c r="X37" i="25"/>
  <c r="X123" i="25"/>
  <c r="X180" i="25"/>
  <c r="AI87" i="25"/>
  <c r="X165" i="25"/>
  <c r="X189" i="25"/>
  <c r="AI142" i="25"/>
  <c r="X258" i="25"/>
  <c r="X245" i="25"/>
  <c r="X12" i="25"/>
  <c r="X43" i="25"/>
  <c r="X231" i="25"/>
  <c r="X243" i="25"/>
  <c r="X301" i="25"/>
  <c r="X22" i="25"/>
  <c r="X42" i="25"/>
  <c r="X78" i="25"/>
  <c r="X114" i="25"/>
  <c r="X115" i="25"/>
  <c r="AI288" i="25"/>
  <c r="AS288" i="25" s="1"/>
  <c r="AI115" i="25"/>
  <c r="X168" i="25"/>
  <c r="X178" i="25"/>
  <c r="AI271" i="25"/>
  <c r="AS271" i="25" s="1"/>
  <c r="X7" i="25"/>
  <c r="X11" i="25"/>
  <c r="AI29" i="25"/>
  <c r="X273" i="25"/>
  <c r="X307" i="25"/>
  <c r="AI26" i="25"/>
  <c r="X118" i="25"/>
  <c r="X304" i="25"/>
  <c r="X278" i="25"/>
  <c r="X303" i="25"/>
  <c r="X221" i="25"/>
  <c r="X163" i="25"/>
  <c r="X210" i="25"/>
  <c r="X233" i="25"/>
  <c r="X271" i="25"/>
  <c r="X62" i="25"/>
  <c r="AI162" i="25"/>
  <c r="X205" i="25"/>
  <c r="X186" i="25"/>
  <c r="X240" i="25"/>
  <c r="X58" i="25"/>
  <c r="X74" i="25"/>
  <c r="AI13" i="25"/>
  <c r="AI230" i="25"/>
  <c r="AS230" i="25" s="1"/>
  <c r="X167" i="25"/>
  <c r="X187" i="25"/>
  <c r="X30" i="25"/>
  <c r="X113" i="25"/>
  <c r="X274" i="25"/>
  <c r="X156" i="25"/>
  <c r="X295" i="25"/>
  <c r="X228" i="25"/>
  <c r="X21" i="25"/>
  <c r="AI158" i="25"/>
  <c r="AI40" i="25"/>
  <c r="AI12" i="25"/>
  <c r="X112" i="25"/>
  <c r="X27" i="25"/>
  <c r="X47" i="25"/>
  <c r="X63" i="25"/>
  <c r="X126" i="25"/>
  <c r="X203" i="25"/>
  <c r="X306" i="25"/>
  <c r="X35" i="25"/>
  <c r="X80" i="25"/>
  <c r="X151" i="25"/>
  <c r="X25" i="25"/>
  <c r="X176" i="25"/>
  <c r="X36" i="25"/>
  <c r="X66" i="25"/>
  <c r="X239" i="25"/>
  <c r="X275" i="25"/>
  <c r="AI49" i="25"/>
  <c r="X272" i="25"/>
  <c r="X202" i="25"/>
  <c r="X310" i="25"/>
  <c r="X266" i="25"/>
  <c r="X314" i="25"/>
  <c r="X94" i="25"/>
  <c r="X103" i="25"/>
  <c r="X160" i="25"/>
  <c r="X15" i="25"/>
  <c r="X131" i="25"/>
  <c r="X195" i="25"/>
  <c r="AI91" i="25"/>
  <c r="X302" i="25"/>
  <c r="X166" i="25"/>
  <c r="AI255" i="25"/>
  <c r="AS255" i="25" s="1"/>
  <c r="X234" i="25"/>
  <c r="X192" i="25"/>
  <c r="AI154" i="25"/>
  <c r="X217" i="25"/>
  <c r="AI121" i="25"/>
  <c r="AI124" i="25"/>
  <c r="X283" i="25"/>
  <c r="X257" i="25"/>
  <c r="AI72" i="25"/>
  <c r="X235" i="25"/>
  <c r="AI241" i="25"/>
  <c r="AS241" i="25" s="1"/>
  <c r="AI126" i="25"/>
  <c r="X281" i="25"/>
  <c r="AI77" i="25"/>
  <c r="X244" i="25"/>
  <c r="AI85" i="25"/>
  <c r="X162" i="25"/>
  <c r="AI291" i="25"/>
  <c r="AS291" i="25" s="1"/>
  <c r="X262" i="25"/>
  <c r="X169" i="25"/>
  <c r="X247" i="25"/>
  <c r="AI165" i="25"/>
  <c r="X255" i="25"/>
  <c r="AI202" i="25"/>
  <c r="X129" i="25"/>
  <c r="X161" i="25"/>
  <c r="X177" i="25"/>
  <c r="X193" i="25"/>
  <c r="AI286" i="25"/>
  <c r="AS286" i="25" s="1"/>
  <c r="AI148" i="25"/>
  <c r="AI186" i="25"/>
  <c r="X230" i="25"/>
  <c r="AI188" i="25"/>
  <c r="X138" i="25"/>
  <c r="X254" i="25"/>
  <c r="X241" i="25"/>
  <c r="X267" i="25"/>
  <c r="X8" i="25"/>
  <c r="AI113" i="25"/>
  <c r="AI217" i="25"/>
  <c r="AS217" i="25" s="1"/>
  <c r="X157" i="25"/>
  <c r="X158" i="25"/>
  <c r="AI316" i="25"/>
  <c r="AS316" i="25" s="1"/>
  <c r="AI34" i="25"/>
  <c r="AI120" i="25"/>
  <c r="X248" i="25"/>
  <c r="AI167" i="25"/>
  <c r="AI283" i="25"/>
  <c r="AS283" i="25" s="1"/>
  <c r="AI18" i="25"/>
  <c r="X142" i="25"/>
  <c r="AI209" i="25"/>
  <c r="X297" i="25"/>
  <c r="X6" i="25"/>
  <c r="X226" i="25"/>
  <c r="X232" i="25"/>
  <c r="AI306" i="25"/>
  <c r="AS306" i="25" s="1"/>
  <c r="X141" i="25"/>
  <c r="X222" i="25"/>
  <c r="AI256" i="25"/>
  <c r="AS256" i="25" s="1"/>
  <c r="AI308" i="25"/>
  <c r="AS308" i="25" s="1"/>
  <c r="AI284" i="25"/>
  <c r="AS284" i="25" s="1"/>
  <c r="AI203" i="25"/>
  <c r="AI272" i="25"/>
  <c r="AS272" i="25" s="1"/>
  <c r="AI57" i="25"/>
  <c r="AI224" i="25"/>
  <c r="AS224" i="25" s="1"/>
  <c r="AI184" i="25"/>
  <c r="AI178" i="25"/>
  <c r="X207" i="25"/>
  <c r="AI7" i="25"/>
  <c r="X250" i="25"/>
  <c r="X237" i="25"/>
  <c r="AI189" i="25"/>
  <c r="AI32" i="25"/>
  <c r="X298" i="25"/>
  <c r="AI55" i="25"/>
  <c r="X130" i="25"/>
  <c r="X268" i="25"/>
  <c r="X185" i="25"/>
  <c r="AI182" i="25"/>
  <c r="X289" i="25"/>
  <c r="AI265" i="25"/>
  <c r="AS265" i="25" s="1"/>
  <c r="AI220" i="25"/>
  <c r="AS220" i="25" s="1"/>
  <c r="AI60" i="25"/>
  <c r="X117" i="25"/>
  <c r="X181" i="25"/>
  <c r="AI137" i="25"/>
  <c r="AI153" i="25"/>
  <c r="AI169" i="25"/>
  <c r="AI185" i="25"/>
  <c r="AI166" i="25"/>
  <c r="X229" i="25"/>
  <c r="X296" i="25"/>
  <c r="AI261" i="25"/>
  <c r="AS261" i="25" s="1"/>
  <c r="AI194" i="25"/>
  <c r="AI16" i="25"/>
  <c r="AI247" i="25"/>
  <c r="AS247" i="25" s="1"/>
  <c r="AI289" i="25"/>
  <c r="AS289" i="25" s="1"/>
  <c r="AI282" i="25"/>
  <c r="AS282" i="25" s="1"/>
  <c r="X251" i="25"/>
  <c r="AI170" i="25"/>
  <c r="X223" i="25"/>
  <c r="AI39" i="25"/>
  <c r="X264" i="25"/>
  <c r="AI240" i="25"/>
  <c r="AS240" i="25" s="1"/>
  <c r="X190" i="25"/>
  <c r="AI33" i="25"/>
  <c r="AI19" i="25"/>
  <c r="AI157" i="25"/>
  <c r="X291" i="25"/>
  <c r="X261" i="25"/>
  <c r="AI183" i="25"/>
  <c r="X242" i="25"/>
  <c r="AI10" i="25"/>
  <c r="AI269" i="25"/>
  <c r="AS269" i="25" s="1"/>
  <c r="X287" i="25"/>
  <c r="X249" i="25"/>
  <c r="AI84" i="25"/>
  <c r="X282" i="25"/>
  <c r="AI150" i="25"/>
  <c r="X220" i="25"/>
  <c r="X194" i="25"/>
  <c r="AI75" i="25"/>
  <c r="X145" i="25"/>
  <c r="AI134" i="25"/>
  <c r="X198" i="25"/>
  <c r="AI90" i="25"/>
  <c r="X219" i="25"/>
  <c r="X56" i="25"/>
  <c r="X13" i="25"/>
  <c r="X65" i="25"/>
  <c r="X93" i="25"/>
  <c r="X97" i="25"/>
  <c r="X101" i="25"/>
  <c r="X105" i="25"/>
  <c r="AI164" i="25"/>
  <c r="X154" i="25"/>
  <c r="X256" i="25"/>
  <c r="X14" i="25"/>
  <c r="X89" i="25"/>
  <c r="X40" i="25"/>
  <c r="X71" i="25"/>
  <c r="AI140" i="25"/>
  <c r="X170" i="25"/>
  <c r="X309" i="25"/>
  <c r="X279" i="25"/>
  <c r="X38" i="25"/>
  <c r="X173" i="25"/>
  <c r="X201" i="25"/>
  <c r="AI45" i="25"/>
  <c r="X88" i="25"/>
  <c r="X120" i="25"/>
  <c r="X140" i="25"/>
  <c r="AI151" i="25"/>
  <c r="X294" i="25"/>
  <c r="AI58" i="25"/>
  <c r="AI43" i="25"/>
  <c r="AI111" i="25"/>
  <c r="AI173" i="25"/>
  <c r="AI65" i="25"/>
  <c r="X55" i="25"/>
  <c r="X238" i="25"/>
  <c r="AI257" i="25"/>
  <c r="AS257" i="25" s="1"/>
  <c r="AI23" i="25"/>
  <c r="X133" i="25"/>
  <c r="X197" i="25"/>
  <c r="X148" i="25"/>
  <c r="X135" i="25"/>
  <c r="AI315" i="25"/>
  <c r="AS315" i="25" s="1"/>
  <c r="X34" i="25"/>
  <c r="AI74" i="25"/>
  <c r="AI251" i="25"/>
  <c r="AS251" i="25" s="1"/>
  <c r="AI50" i="25"/>
  <c r="AI254" i="25"/>
  <c r="AS254" i="25" s="1"/>
  <c r="X293" i="25"/>
  <c r="X53" i="25"/>
  <c r="X90" i="25"/>
  <c r="X59" i="25"/>
  <c r="X127" i="25"/>
  <c r="X259" i="25"/>
  <c r="X69" i="25"/>
  <c r="X28" i="25"/>
  <c r="X39" i="25"/>
  <c r="X206" i="25"/>
  <c r="X305" i="25"/>
  <c r="X48" i="25"/>
  <c r="AI80" i="25"/>
  <c r="AI98" i="25"/>
  <c r="AI89" i="25"/>
  <c r="X9" i="25"/>
  <c r="X139" i="25"/>
  <c r="X10" i="25"/>
  <c r="AI25" i="25"/>
  <c r="X218" i="25"/>
  <c r="AI73" i="25"/>
  <c r="X199" i="25"/>
  <c r="X95" i="25"/>
  <c r="X246" i="25"/>
  <c r="X285" i="25"/>
  <c r="X26" i="25"/>
  <c r="X51" i="25"/>
  <c r="X102" i="25"/>
  <c r="X276" i="25"/>
  <c r="AI46" i="25"/>
  <c r="X116" i="25"/>
  <c r="X119" i="25"/>
  <c r="X91" i="25"/>
  <c r="X143" i="25"/>
  <c r="X175" i="25"/>
  <c r="X265" i="25"/>
  <c r="X312" i="25"/>
  <c r="X137" i="25"/>
  <c r="X150" i="25"/>
  <c r="X270" i="25"/>
  <c r="AI205" i="25"/>
  <c r="X77" i="25"/>
  <c r="X128" i="25"/>
  <c r="X286" i="25"/>
  <c r="X188" i="25"/>
  <c r="AI171" i="25"/>
  <c r="X64" i="25"/>
  <c r="AI99" i="25"/>
  <c r="X159" i="25"/>
  <c r="X191" i="25"/>
  <c r="AI276" i="25"/>
  <c r="AS276" i="25" s="1"/>
  <c r="AI292" i="25"/>
  <c r="AS292" i="25" s="1"/>
  <c r="X227" i="25"/>
  <c r="X134" i="25"/>
  <c r="AI198" i="25"/>
  <c r="X280" i="25"/>
  <c r="X311" i="25"/>
  <c r="AI314" i="25"/>
  <c r="AS314" i="25" s="1"/>
  <c r="AI127" i="25"/>
  <c r="AI95" i="25"/>
  <c r="X260" i="25"/>
  <c r="X292" i="25"/>
  <c r="AI66" i="25"/>
  <c r="AJ197" i="24"/>
  <c r="AJ127" i="24"/>
  <c r="Y200" i="24"/>
  <c r="Y123" i="24"/>
  <c r="Y310" i="24"/>
  <c r="AJ288" i="24"/>
  <c r="AT288" i="24" s="1"/>
  <c r="Y124" i="24"/>
  <c r="AJ121" i="24"/>
  <c r="Y126" i="24"/>
  <c r="Y160" i="24"/>
  <c r="Y140" i="24"/>
  <c r="Y197" i="24"/>
  <c r="Y173" i="24"/>
  <c r="AJ272" i="24"/>
  <c r="AT272" i="24" s="1"/>
  <c r="AJ256" i="24"/>
  <c r="AT256" i="24" s="1"/>
  <c r="AJ310" i="24"/>
  <c r="AT310" i="24" s="1"/>
  <c r="AJ229" i="24"/>
  <c r="AT229" i="24" s="1"/>
  <c r="AJ224" i="24"/>
  <c r="AT224" i="24" s="1"/>
  <c r="AJ111" i="24"/>
  <c r="AJ268" i="24"/>
  <c r="AT268" i="24" s="1"/>
  <c r="Y112" i="24"/>
  <c r="Y111" i="24"/>
  <c r="Y201" i="24"/>
  <c r="AG140" i="24"/>
  <c r="AF140" i="24"/>
  <c r="AF155" i="24"/>
  <c r="Y180" i="24"/>
  <c r="AF187" i="24"/>
  <c r="AG126" i="24"/>
  <c r="AF126" i="24"/>
  <c r="AG160" i="24"/>
  <c r="AF160" i="24"/>
  <c r="AG178" i="24"/>
  <c r="AF178" i="24"/>
  <c r="AG175" i="24"/>
  <c r="AF175" i="24"/>
  <c r="AG197" i="24"/>
  <c r="AF197" i="24"/>
  <c r="AG111" i="24"/>
  <c r="AF111" i="24"/>
  <c r="AG164" i="24"/>
  <c r="AF164" i="24"/>
  <c r="AF153" i="24"/>
  <c r="AJ297" i="24"/>
  <c r="AT297" i="24" s="1"/>
  <c r="AG118" i="24"/>
  <c r="AF118" i="24"/>
  <c r="AG173" i="24"/>
  <c r="AF173" i="24"/>
  <c r="AG180" i="24"/>
  <c r="AF180" i="24"/>
  <c r="AG129" i="24"/>
  <c r="AF129" i="24"/>
  <c r="AF169" i="24"/>
  <c r="AF115" i="24"/>
  <c r="AG138" i="24"/>
  <c r="AF138" i="24"/>
  <c r="AF203" i="24"/>
  <c r="AG124" i="24"/>
  <c r="AF124" i="24"/>
  <c r="AF136" i="24"/>
  <c r="AF116" i="24"/>
  <c r="AJ271" i="24"/>
  <c r="AT271" i="24" s="1"/>
  <c r="AJ292" i="24"/>
  <c r="AT292" i="24" s="1"/>
  <c r="Y243" i="24"/>
  <c r="Y286" i="24"/>
  <c r="AJ221" i="24"/>
  <c r="AT221" i="24" s="1"/>
  <c r="AF157" i="24"/>
  <c r="AF195" i="24"/>
  <c r="AF181" i="24"/>
  <c r="AG200" i="24"/>
  <c r="AF200" i="24"/>
  <c r="AG202" i="24"/>
  <c r="AF202" i="24"/>
  <c r="AG135" i="24"/>
  <c r="AF135" i="24"/>
  <c r="Y172" i="24"/>
  <c r="Y175" i="24"/>
  <c r="AF208" i="24"/>
  <c r="AF207" i="24"/>
  <c r="AG121" i="24"/>
  <c r="AF121" i="24"/>
  <c r="AG127" i="24"/>
  <c r="AF127" i="24"/>
  <c r="AJ300" i="24"/>
  <c r="AT300" i="24" s="1"/>
  <c r="AJ307" i="24"/>
  <c r="AT307" i="24" s="1"/>
  <c r="AF29" i="24"/>
  <c r="AJ227" i="24"/>
  <c r="AT227" i="24" s="1"/>
  <c r="AJ250" i="24"/>
  <c r="AT250" i="24" s="1"/>
  <c r="AJ251" i="24"/>
  <c r="AT251" i="24" s="1"/>
  <c r="AJ285" i="24"/>
  <c r="AT285" i="24" s="1"/>
  <c r="AJ301" i="24"/>
  <c r="AT301" i="24" s="1"/>
  <c r="AJ222" i="24"/>
  <c r="AT222" i="24" s="1"/>
  <c r="AJ273" i="24"/>
  <c r="AT273" i="24" s="1"/>
  <c r="AJ245" i="24"/>
  <c r="AT245" i="24" s="1"/>
  <c r="AF79" i="24"/>
  <c r="AF72" i="24"/>
  <c r="AF63" i="24"/>
  <c r="AF31" i="24"/>
  <c r="AF87" i="24"/>
  <c r="AJ294" i="24"/>
  <c r="AT294" i="24" s="1"/>
  <c r="AJ304" i="24"/>
  <c r="AT304" i="24" s="1"/>
  <c r="AJ303" i="24"/>
  <c r="AT303" i="24" s="1"/>
  <c r="AJ230" i="24"/>
  <c r="AT230" i="24" s="1"/>
  <c r="AJ315" i="24"/>
  <c r="AT315" i="24" s="1"/>
  <c r="Y247" i="24"/>
  <c r="Y300" i="24"/>
  <c r="Y274" i="24"/>
  <c r="AJ254" i="24"/>
  <c r="AT254" i="24" s="1"/>
  <c r="Y294" i="24"/>
  <c r="AJ236" i="24"/>
  <c r="AT236" i="24" s="1"/>
  <c r="AJ223" i="24"/>
  <c r="AT223" i="24" s="1"/>
  <c r="AJ240" i="24"/>
  <c r="AT240" i="24" s="1"/>
  <c r="AJ302" i="24"/>
  <c r="AT302" i="24" s="1"/>
  <c r="AJ233" i="24"/>
  <c r="AT233" i="24" s="1"/>
  <c r="AJ258" i="24"/>
  <c r="AT258" i="24" s="1"/>
  <c r="AJ309" i="24"/>
  <c r="AT309" i="24" s="1"/>
  <c r="AJ247" i="24"/>
  <c r="AT247" i="24" s="1"/>
  <c r="AJ314" i="24"/>
  <c r="AT314" i="24" s="1"/>
  <c r="AJ218" i="24"/>
  <c r="AT218" i="24" s="1"/>
  <c r="AJ216" i="24"/>
  <c r="AT216" i="24" s="1"/>
  <c r="AG230" i="24"/>
  <c r="AF230" i="24"/>
  <c r="AF234" i="24"/>
  <c r="AG234" i="24"/>
  <c r="AG314" i="24"/>
  <c r="AF314" i="24"/>
  <c r="AG219" i="24"/>
  <c r="AF219" i="24"/>
  <c r="AG241" i="24"/>
  <c r="AF241" i="24"/>
  <c r="AF248" i="24"/>
  <c r="AG293" i="24"/>
  <c r="AF293" i="24"/>
  <c r="AG223" i="24"/>
  <c r="AF223" i="24"/>
  <c r="Y302" i="24"/>
  <c r="AF272" i="24"/>
  <c r="AG272" i="24"/>
  <c r="AG300" i="24"/>
  <c r="AF300" i="24"/>
  <c r="AF235" i="24"/>
  <c r="AG235" i="24"/>
  <c r="AJ316" i="24"/>
  <c r="AT316" i="24" s="1"/>
  <c r="Y256" i="24"/>
  <c r="AG251" i="24"/>
  <c r="AF251" i="24"/>
  <c r="Y223" i="24"/>
  <c r="Y312" i="24"/>
  <c r="Y227" i="24"/>
  <c r="AG307" i="24"/>
  <c r="AF307" i="24"/>
  <c r="AG227" i="24"/>
  <c r="AF227" i="24"/>
  <c r="AF233" i="24"/>
  <c r="AG233" i="24"/>
  <c r="AJ275" i="24"/>
  <c r="AT275" i="24" s="1"/>
  <c r="AG258" i="24"/>
  <c r="AF258" i="24"/>
  <c r="AF280" i="24"/>
  <c r="AG256" i="24"/>
  <c r="AF256" i="24"/>
  <c r="AF277" i="24"/>
  <c r="AG271" i="24"/>
  <c r="AF271" i="24"/>
  <c r="AF315" i="24"/>
  <c r="AG315" i="24"/>
  <c r="AJ228" i="24"/>
  <c r="AT228" i="24" s="1"/>
  <c r="Y264" i="24"/>
  <c r="AG250" i="24"/>
  <c r="AF250" i="24"/>
  <c r="AF298" i="24"/>
  <c r="AG292" i="24"/>
  <c r="AF292" i="24"/>
  <c r="AF288" i="24"/>
  <c r="AG288" i="24"/>
  <c r="AF221" i="24"/>
  <c r="AG221" i="24"/>
  <c r="AJ286" i="24"/>
  <c r="AT286" i="24" s="1"/>
  <c r="AJ274" i="24"/>
  <c r="AT274" i="24" s="1"/>
  <c r="AF306" i="24"/>
  <c r="AG316" i="24"/>
  <c r="AF316" i="24"/>
  <c r="AJ266" i="24"/>
  <c r="AT266" i="24" s="1"/>
  <c r="AJ220" i="24"/>
  <c r="AT220" i="24" s="1"/>
  <c r="AG236" i="24"/>
  <c r="AF236" i="24"/>
  <c r="Y304" i="24"/>
  <c r="AJ243" i="24"/>
  <c r="AT243" i="24" s="1"/>
  <c r="AF282" i="24"/>
  <c r="AG240" i="24"/>
  <c r="AF240" i="24"/>
  <c r="AG294" i="24"/>
  <c r="AF294" i="24"/>
  <c r="AF239" i="24"/>
  <c r="AG239" i="24"/>
  <c r="AF304" i="24"/>
  <c r="AG304" i="24"/>
  <c r="AF218" i="24"/>
  <c r="AG218" i="24"/>
  <c r="AF268" i="24"/>
  <c r="AG268" i="24"/>
  <c r="AG287" i="24"/>
  <c r="AF287" i="24"/>
  <c r="AG285" i="24"/>
  <c r="AF285" i="24"/>
  <c r="AF261" i="24"/>
  <c r="AG264" i="24"/>
  <c r="AF264" i="24"/>
  <c r="AF259" i="24"/>
  <c r="AG259" i="24"/>
  <c r="AG245" i="24"/>
  <c r="AF245" i="24"/>
  <c r="Y218" i="24"/>
  <c r="AF283" i="24"/>
  <c r="Y316" i="24"/>
  <c r="AF276" i="24"/>
  <c r="AG279" i="24"/>
  <c r="AF279" i="24"/>
  <c r="AG301" i="24"/>
  <c r="AF301" i="24"/>
  <c r="AG297" i="24"/>
  <c r="AF297" i="24"/>
  <c r="AG310" i="24"/>
  <c r="AF310" i="24"/>
  <c r="AJ239" i="24"/>
  <c r="AT239" i="24" s="1"/>
  <c r="AF229" i="24"/>
  <c r="AG229" i="24"/>
  <c r="AG275" i="24"/>
  <c r="AF275" i="24"/>
  <c r="AG303" i="24"/>
  <c r="AF303" i="24"/>
  <c r="Y222" i="24"/>
  <c r="Y244" i="24"/>
  <c r="AG309" i="24"/>
  <c r="AF309" i="24"/>
  <c r="AF247" i="24"/>
  <c r="AG247" i="24"/>
  <c r="AJ234" i="24"/>
  <c r="AT234" i="24" s="1"/>
  <c r="AF228" i="24"/>
  <c r="AG228" i="24"/>
  <c r="Y235" i="24"/>
  <c r="AJ235" i="24"/>
  <c r="AT235" i="24" s="1"/>
  <c r="AG286" i="24"/>
  <c r="AF286" i="24"/>
  <c r="AJ219" i="24"/>
  <c r="AT219" i="24" s="1"/>
  <c r="AF254" i="24"/>
  <c r="AG254" i="24"/>
  <c r="AF274" i="24"/>
  <c r="AG274" i="24"/>
  <c r="AF262" i="24"/>
  <c r="AG266" i="24"/>
  <c r="AF266" i="24"/>
  <c r="AJ287" i="24"/>
  <c r="AT287" i="24" s="1"/>
  <c r="AG220" i="24"/>
  <c r="AF220" i="24"/>
  <c r="AG216" i="24"/>
  <c r="AF216" i="24"/>
  <c r="Y314" i="24"/>
  <c r="Y309" i="24"/>
  <c r="Y254" i="24"/>
  <c r="AF224" i="24"/>
  <c r="AG224" i="24"/>
  <c r="AJ279" i="24"/>
  <c r="AT279" i="24" s="1"/>
  <c r="AJ241" i="24"/>
  <c r="AT241" i="24" s="1"/>
  <c r="AJ293" i="24"/>
  <c r="AT293" i="24" s="1"/>
  <c r="AG243" i="24"/>
  <c r="AF243" i="24"/>
  <c r="AG222" i="24"/>
  <c r="AF222" i="24"/>
  <c r="AG273" i="24"/>
  <c r="AF273" i="24"/>
  <c r="AJ264" i="24"/>
  <c r="AT264" i="24" s="1"/>
  <c r="AJ259" i="24"/>
  <c r="AT259" i="24" s="1"/>
  <c r="Y245" i="24"/>
  <c r="Y279" i="24"/>
  <c r="AG302" i="24"/>
  <c r="AF302" i="24"/>
  <c r="AF270" i="24"/>
  <c r="AF41" i="24"/>
  <c r="AF59" i="24"/>
  <c r="AF89" i="24"/>
  <c r="AF54" i="24"/>
  <c r="AF68" i="24"/>
  <c r="AF51" i="24"/>
  <c r="AF46" i="24"/>
  <c r="AF92" i="24"/>
  <c r="AF19" i="24"/>
  <c r="AF82" i="24"/>
  <c r="AF18" i="24"/>
  <c r="AF28" i="24"/>
  <c r="AF40" i="24"/>
  <c r="Y5" i="24"/>
  <c r="Y33" i="24"/>
  <c r="Y96" i="24"/>
  <c r="Y21" i="24"/>
  <c r="AJ203" i="24" l="1"/>
  <c r="AT203" i="24" s="1"/>
  <c r="J212" i="24"/>
  <c r="W212" i="24" s="1"/>
  <c r="O212" i="24"/>
  <c r="V212" i="24"/>
  <c r="AS134" i="25"/>
  <c r="AS202" i="25"/>
  <c r="AS177" i="25"/>
  <c r="AS187" i="25"/>
  <c r="AS191" i="25"/>
  <c r="AS183" i="25"/>
  <c r="AS182" i="25"/>
  <c r="AS209" i="25"/>
  <c r="AS186" i="25"/>
  <c r="AS180" i="25"/>
  <c r="AS200" i="25"/>
  <c r="AS179" i="25"/>
  <c r="AS146" i="25"/>
  <c r="AS181" i="25"/>
  <c r="AS119" i="25"/>
  <c r="AS193" i="25"/>
  <c r="AS144" i="25"/>
  <c r="AS117" i="25"/>
  <c r="AS205" i="25"/>
  <c r="AS173" i="25"/>
  <c r="AS140" i="25"/>
  <c r="AS194" i="25"/>
  <c r="AS166" i="25"/>
  <c r="AS137" i="25"/>
  <c r="AS184" i="25"/>
  <c r="AS203" i="25"/>
  <c r="AS148" i="25"/>
  <c r="AS165" i="25"/>
  <c r="AS124" i="25"/>
  <c r="AS158" i="25"/>
  <c r="AS132" i="25"/>
  <c r="AS207" i="25"/>
  <c r="AS138" i="25"/>
  <c r="AS131" i="25"/>
  <c r="AS143" i="25"/>
  <c r="AS161" i="25"/>
  <c r="AS152" i="25"/>
  <c r="AS149" i="25"/>
  <c r="AS141" i="25"/>
  <c r="AS123" i="25"/>
  <c r="AS118" i="25"/>
  <c r="AS125" i="25"/>
  <c r="AS129" i="25"/>
  <c r="AS128" i="25"/>
  <c r="AS127" i="25"/>
  <c r="AS198" i="25"/>
  <c r="AS157" i="25"/>
  <c r="AS170" i="25"/>
  <c r="AS169" i="25"/>
  <c r="AS189" i="25"/>
  <c r="AS126" i="25"/>
  <c r="AS156" i="25"/>
  <c r="AS133" i="25"/>
  <c r="AS176" i="25"/>
  <c r="AS190" i="25"/>
  <c r="AS195" i="25"/>
  <c r="AS160" i="25"/>
  <c r="AS197" i="25"/>
  <c r="AS171" i="25"/>
  <c r="AS164" i="25"/>
  <c r="AS150" i="25"/>
  <c r="AS153" i="25"/>
  <c r="AS178" i="25"/>
  <c r="AS167" i="25"/>
  <c r="AS113" i="25"/>
  <c r="AS154" i="25"/>
  <c r="AS142" i="25"/>
  <c r="AS168" i="25"/>
  <c r="AS201" i="25"/>
  <c r="AS114" i="25"/>
  <c r="AS175" i="25"/>
  <c r="AS206" i="25"/>
  <c r="AS145" i="25"/>
  <c r="AS192" i="25"/>
  <c r="AS159" i="25"/>
  <c r="AS204" i="25"/>
  <c r="AS111" i="25"/>
  <c r="AS151" i="25"/>
  <c r="AS185" i="25"/>
  <c r="AS120" i="25"/>
  <c r="AS188" i="25"/>
  <c r="AS121" i="25"/>
  <c r="AS162" i="25"/>
  <c r="AS115" i="25"/>
  <c r="AS135" i="25"/>
  <c r="AS172" i="25"/>
  <c r="AS196" i="25"/>
  <c r="AS199" i="25"/>
  <c r="AS147" i="25"/>
  <c r="AS174" i="25"/>
  <c r="AS163" i="25"/>
  <c r="AS130" i="25"/>
  <c r="AS136" i="25"/>
  <c r="AS208" i="25"/>
  <c r="AS155" i="25"/>
  <c r="AS210" i="25"/>
  <c r="AS116" i="25"/>
  <c r="AS112" i="25"/>
  <c r="AS139" i="25"/>
  <c r="AS122" i="25"/>
  <c r="AS110" i="25"/>
  <c r="AT141" i="24"/>
  <c r="AT145" i="24"/>
  <c r="AT205" i="24"/>
  <c r="AT194" i="24"/>
  <c r="AT125" i="24"/>
  <c r="AT131" i="24"/>
  <c r="AT150" i="24"/>
  <c r="AT188" i="24"/>
  <c r="AT170" i="24"/>
  <c r="AT162" i="24"/>
  <c r="AT113" i="24"/>
  <c r="AT143" i="24"/>
  <c r="AT127" i="24"/>
  <c r="AT110" i="24"/>
  <c r="AT184" i="24"/>
  <c r="AT154" i="24"/>
  <c r="AT119" i="24"/>
  <c r="AT167" i="24"/>
  <c r="AT152" i="24"/>
  <c r="AT128" i="24"/>
  <c r="AT186" i="24"/>
  <c r="AT179" i="24"/>
  <c r="AT163" i="24"/>
  <c r="AT161" i="24"/>
  <c r="AT209" i="24"/>
  <c r="AT133" i="24"/>
  <c r="AT139" i="24"/>
  <c r="AT168" i="24"/>
  <c r="AT176" i="24"/>
  <c r="AT198" i="24"/>
  <c r="AT130" i="24"/>
  <c r="AT191" i="24"/>
  <c r="AT193" i="24"/>
  <c r="AT190" i="24"/>
  <c r="AT197" i="24"/>
  <c r="AT137" i="24"/>
  <c r="AT159" i="24"/>
  <c r="AT142" i="24"/>
  <c r="AT183" i="24"/>
  <c r="AT177" i="24"/>
  <c r="AT165" i="24"/>
  <c r="AT192" i="24"/>
  <c r="AT196" i="24"/>
  <c r="AT189" i="24"/>
  <c r="AT144" i="24"/>
  <c r="AT151" i="24"/>
  <c r="AT146" i="24"/>
  <c r="AT166" i="24"/>
  <c r="AT185" i="24"/>
  <c r="AT111" i="24"/>
  <c r="AT199" i="24"/>
  <c r="AT156" i="24"/>
  <c r="AT204" i="24"/>
  <c r="AT114" i="24"/>
  <c r="AT120" i="24"/>
  <c r="AT158" i="24"/>
  <c r="AT121" i="24"/>
  <c r="AT182" i="24"/>
  <c r="AT149" i="24"/>
  <c r="AT134" i="24"/>
  <c r="AT206" i="24"/>
  <c r="AT174" i="24"/>
  <c r="AT117" i="24"/>
  <c r="AT147" i="24"/>
  <c r="AT171" i="24"/>
  <c r="AT132" i="24"/>
  <c r="AV23" i="24"/>
  <c r="AV73" i="24"/>
  <c r="AV104" i="24"/>
  <c r="AV105" i="24"/>
  <c r="AV100" i="24"/>
  <c r="AV53" i="24"/>
  <c r="AV36" i="24"/>
  <c r="AV5" i="24"/>
  <c r="BX5" i="24"/>
  <c r="AV27" i="24"/>
  <c r="AV87" i="24"/>
  <c r="AV95" i="24"/>
  <c r="AV69" i="24"/>
  <c r="AV70" i="24"/>
  <c r="AV42" i="24"/>
  <c r="AV60" i="24"/>
  <c r="AV50" i="24"/>
  <c r="AV78" i="24"/>
  <c r="AV32" i="24"/>
  <c r="AV14" i="24"/>
  <c r="AV83" i="24"/>
  <c r="AV10" i="24"/>
  <c r="AV25" i="24"/>
  <c r="AJ55" i="24"/>
  <c r="AG289" i="24"/>
  <c r="AG152" i="24"/>
  <c r="AG70" i="24"/>
  <c r="AJ277" i="24"/>
  <c r="AT277" i="24" s="1"/>
  <c r="AG277" i="24"/>
  <c r="AN277" i="24" s="1"/>
  <c r="CF277" i="24" s="1"/>
  <c r="AF253" i="24"/>
  <c r="AN253" i="24" s="1"/>
  <c r="AF305" i="24"/>
  <c r="AK305" i="24" s="1"/>
  <c r="AG190" i="24"/>
  <c r="AN190" i="24" s="1"/>
  <c r="AJ207" i="24"/>
  <c r="AG280" i="24"/>
  <c r="AN280" i="24" s="1"/>
  <c r="CF280" i="24" s="1"/>
  <c r="AJ260" i="24"/>
  <c r="AT260" i="24" s="1"/>
  <c r="AJ280" i="24"/>
  <c r="AT280" i="24" s="1"/>
  <c r="AG260" i="24"/>
  <c r="AJ195" i="24"/>
  <c r="AJ244" i="24"/>
  <c r="AT244" i="24" s="1"/>
  <c r="AG283" i="24"/>
  <c r="AN283" i="24" s="1"/>
  <c r="CF283" i="24" s="1"/>
  <c r="AJ248" i="24"/>
  <c r="AT248" i="24" s="1"/>
  <c r="AJ153" i="24"/>
  <c r="AG262" i="24"/>
  <c r="AG248" i="24"/>
  <c r="AN248" i="24" s="1"/>
  <c r="CF248" i="24" s="1"/>
  <c r="AG191" i="24"/>
  <c r="AJ289" i="24"/>
  <c r="AT289" i="24" s="1"/>
  <c r="AJ262" i="24"/>
  <c r="AT262" i="24" s="1"/>
  <c r="AG270" i="24"/>
  <c r="AN270" i="24" s="1"/>
  <c r="CF270" i="24" s="1"/>
  <c r="AF281" i="24"/>
  <c r="AN281" i="24" s="1"/>
  <c r="AG193" i="24"/>
  <c r="AG255" i="24"/>
  <c r="AK255" i="24" s="1"/>
  <c r="AF193" i="24"/>
  <c r="AJ79" i="24"/>
  <c r="AJ201" i="24"/>
  <c r="AJ172" i="24"/>
  <c r="AJ261" i="24"/>
  <c r="AT261" i="24" s="1"/>
  <c r="AJ187" i="24"/>
  <c r="AJ298" i="24"/>
  <c r="AT298" i="24" s="1"/>
  <c r="AG217" i="24"/>
  <c r="AK217" i="24" s="1"/>
  <c r="AJ96" i="24"/>
  <c r="AG244" i="24"/>
  <c r="AN244" i="24" s="1"/>
  <c r="CF244" i="24" s="1"/>
  <c r="AJ157" i="24"/>
  <c r="AJ283" i="24"/>
  <c r="AT283" i="24" s="1"/>
  <c r="AJ208" i="24"/>
  <c r="AJ210" i="24"/>
  <c r="AG312" i="24"/>
  <c r="AG132" i="24"/>
  <c r="AV101" i="24"/>
  <c r="AT101" i="24"/>
  <c r="AV91" i="24"/>
  <c r="AT91" i="24"/>
  <c r="AJ181" i="24"/>
  <c r="AJ92" i="24"/>
  <c r="AF289" i="24"/>
  <c r="AG171" i="24"/>
  <c r="AN171" i="24" s="1"/>
  <c r="AX171" i="24" s="1"/>
  <c r="AG311" i="24"/>
  <c r="AK311" i="24" s="1"/>
  <c r="AG226" i="24"/>
  <c r="AK226" i="24" s="1"/>
  <c r="AJ97" i="24"/>
  <c r="AJ312" i="24"/>
  <c r="AT312" i="24" s="1"/>
  <c r="AJ169" i="24"/>
  <c r="AG147" i="24"/>
  <c r="AJ257" i="24"/>
  <c r="AT257" i="24" s="1"/>
  <c r="AF147" i="24"/>
  <c r="AF132" i="24"/>
  <c r="AJ155" i="24"/>
  <c r="AG242" i="24"/>
  <c r="AG130" i="24"/>
  <c r="AK130" i="24" s="1"/>
  <c r="AJ270" i="24"/>
  <c r="AT270" i="24" s="1"/>
  <c r="AJ282" i="24"/>
  <c r="AT282" i="24" s="1"/>
  <c r="AG158" i="24"/>
  <c r="AN158" i="24" s="1"/>
  <c r="AG153" i="24"/>
  <c r="AN153" i="24" s="1"/>
  <c r="AG282" i="24"/>
  <c r="AN282" i="24" s="1"/>
  <c r="CF282" i="24" s="1"/>
  <c r="AG269" i="24"/>
  <c r="AG265" i="24"/>
  <c r="AK265" i="24" s="1"/>
  <c r="AG146" i="24"/>
  <c r="AK146" i="24" s="1"/>
  <c r="AF260" i="24"/>
  <c r="AG257" i="24"/>
  <c r="AN257" i="24" s="1"/>
  <c r="AG267" i="24"/>
  <c r="AN267" i="24" s="1"/>
  <c r="AG176" i="24"/>
  <c r="AK176" i="24" s="1"/>
  <c r="AG290" i="24"/>
  <c r="AN290" i="24" s="1"/>
  <c r="CF290" i="24" s="1"/>
  <c r="AG291" i="24"/>
  <c r="AK291" i="24" s="1"/>
  <c r="AG261" i="24"/>
  <c r="AN261" i="24" s="1"/>
  <c r="CF261" i="24" s="1"/>
  <c r="AG198" i="24"/>
  <c r="AK198" i="24" s="1"/>
  <c r="AG114" i="24"/>
  <c r="AF191" i="24"/>
  <c r="AG166" i="24"/>
  <c r="AG117" i="24"/>
  <c r="AK117" i="24" s="1"/>
  <c r="AF237" i="24"/>
  <c r="AK237" i="24" s="1"/>
  <c r="AG195" i="24"/>
  <c r="AF278" i="24"/>
  <c r="AK278" i="24" s="1"/>
  <c r="AG308" i="24"/>
  <c r="AK308" i="24" s="1"/>
  <c r="AF114" i="24"/>
  <c r="AG232" i="24"/>
  <c r="AK232" i="24" s="1"/>
  <c r="AG122" i="24"/>
  <c r="AG299" i="24"/>
  <c r="AN299" i="24" s="1"/>
  <c r="AG298" i="24"/>
  <c r="AN298" i="24" s="1"/>
  <c r="CF298" i="24" s="1"/>
  <c r="AG231" i="24"/>
  <c r="AK231" i="24" s="1"/>
  <c r="AG185" i="24"/>
  <c r="AN185" i="24" s="1"/>
  <c r="BX185" i="24" s="1"/>
  <c r="AV85" i="24"/>
  <c r="AT85" i="24"/>
  <c r="AV86" i="24"/>
  <c r="AT86" i="24"/>
  <c r="AV74" i="24"/>
  <c r="AT74" i="24"/>
  <c r="AJ89" i="24"/>
  <c r="AF249" i="24"/>
  <c r="AN249" i="24" s="1"/>
  <c r="CF249" i="24" s="1"/>
  <c r="AG120" i="24"/>
  <c r="AN120" i="24" s="1"/>
  <c r="AX120" i="24" s="1"/>
  <c r="AG133" i="24"/>
  <c r="AK133" i="24" s="1"/>
  <c r="AT83" i="24"/>
  <c r="AG151" i="24"/>
  <c r="AN151" i="24" s="1"/>
  <c r="BJ151" i="24" s="1"/>
  <c r="AG143" i="24"/>
  <c r="AN143" i="24" s="1"/>
  <c r="BX143" i="24" s="1"/>
  <c r="AT73" i="24"/>
  <c r="AJ63" i="24"/>
  <c r="AJ82" i="24"/>
  <c r="AJ72" i="24"/>
  <c r="AJ148" i="24"/>
  <c r="AJ46" i="24"/>
  <c r="AG168" i="24"/>
  <c r="AG174" i="24"/>
  <c r="AG189" i="24"/>
  <c r="AG139" i="24"/>
  <c r="AN139" i="24" s="1"/>
  <c r="BV139" i="24" s="1"/>
  <c r="AJ68" i="24"/>
  <c r="AG225" i="24"/>
  <c r="AG150" i="24"/>
  <c r="AK150" i="24" s="1"/>
  <c r="AG156" i="24"/>
  <c r="AK156" i="24" s="1"/>
  <c r="AG204" i="24"/>
  <c r="AK204" i="24" s="1"/>
  <c r="AF238" i="24"/>
  <c r="AK238" i="24" s="1"/>
  <c r="AF225" i="24"/>
  <c r="AF166" i="24"/>
  <c r="AG263" i="24"/>
  <c r="AF263" i="24"/>
  <c r="AG144" i="24"/>
  <c r="AN144" i="24" s="1"/>
  <c r="AX144" i="24" s="1"/>
  <c r="AG252" i="24"/>
  <c r="AN252" i="24" s="1"/>
  <c r="CF252" i="24" s="1"/>
  <c r="AF189" i="24"/>
  <c r="AJ306" i="24"/>
  <c r="AT306" i="24" s="1"/>
  <c r="AF168" i="24"/>
  <c r="AJ276" i="24"/>
  <c r="AT276" i="24" s="1"/>
  <c r="AJ54" i="24"/>
  <c r="AV56" i="24"/>
  <c r="AT56" i="24"/>
  <c r="AG276" i="24"/>
  <c r="AN276" i="24" s="1"/>
  <c r="AJ59" i="24"/>
  <c r="AJ51" i="24"/>
  <c r="AJ136" i="24"/>
  <c r="AJ64" i="24"/>
  <c r="AJ225" i="24"/>
  <c r="AT225" i="24" s="1"/>
  <c r="AF313" i="24"/>
  <c r="AN313" i="24" s="1"/>
  <c r="CF313" i="24" s="1"/>
  <c r="AF246" i="24"/>
  <c r="AN246" i="24" s="1"/>
  <c r="CF246" i="24" s="1"/>
  <c r="AF295" i="24"/>
  <c r="AK295" i="24" s="1"/>
  <c r="AF174" i="24"/>
  <c r="AG296" i="24"/>
  <c r="AK296" i="24" s="1"/>
  <c r="AG25" i="24"/>
  <c r="AG89" i="24"/>
  <c r="AN89" i="24" s="1"/>
  <c r="CF89" i="24" s="1"/>
  <c r="AG284" i="24"/>
  <c r="AK284" i="24" s="1"/>
  <c r="AG209" i="24"/>
  <c r="AK209" i="24" s="1"/>
  <c r="AF242" i="24"/>
  <c r="AF269" i="24"/>
  <c r="AJ40" i="24"/>
  <c r="AG306" i="24"/>
  <c r="AG113" i="24"/>
  <c r="AN113" i="24" s="1"/>
  <c r="AJ41" i="24"/>
  <c r="AG179" i="24"/>
  <c r="AN179" i="24" s="1"/>
  <c r="BV179" i="24" s="1"/>
  <c r="AF78" i="24"/>
  <c r="AK78" i="24" s="1"/>
  <c r="AG157" i="24"/>
  <c r="AG101" i="24"/>
  <c r="AK101" i="24" s="1"/>
  <c r="AF128" i="24"/>
  <c r="AK128" i="24" s="1"/>
  <c r="AG112" i="24"/>
  <c r="AG181" i="24"/>
  <c r="AK181" i="24" s="1"/>
  <c r="AJ112" i="24"/>
  <c r="AG10" i="24"/>
  <c r="AK10" i="24" s="1"/>
  <c r="AG92" i="24"/>
  <c r="AN92" i="24" s="1"/>
  <c r="AG208" i="24"/>
  <c r="AK208" i="24" s="1"/>
  <c r="AG196" i="24"/>
  <c r="AF183" i="24"/>
  <c r="AN183" i="24" s="1"/>
  <c r="AX183" i="24" s="1"/>
  <c r="AF137" i="24"/>
  <c r="AN137" i="24" s="1"/>
  <c r="AF196" i="24"/>
  <c r="AG162" i="24"/>
  <c r="AG46" i="24"/>
  <c r="AN46" i="24" s="1"/>
  <c r="AF25" i="24"/>
  <c r="AG186" i="24"/>
  <c r="AK186" i="24" s="1"/>
  <c r="AF142" i="24"/>
  <c r="AN142" i="24" s="1"/>
  <c r="BV142" i="24" s="1"/>
  <c r="AG141" i="24"/>
  <c r="AK141" i="24" s="1"/>
  <c r="AT100" i="24"/>
  <c r="AG148" i="24"/>
  <c r="AN148" i="24" s="1"/>
  <c r="CF148" i="24" s="1"/>
  <c r="AG96" i="24"/>
  <c r="AN96" i="24" s="1"/>
  <c r="AG206" i="24"/>
  <c r="AK206" i="24" s="1"/>
  <c r="AG177" i="24"/>
  <c r="AN177" i="24" s="1"/>
  <c r="AG85" i="24"/>
  <c r="AN85" i="24" s="1"/>
  <c r="BX85" i="24" s="1"/>
  <c r="AG51" i="24"/>
  <c r="AG95" i="24"/>
  <c r="AK95" i="24" s="1"/>
  <c r="AG203" i="24"/>
  <c r="AK203" i="24" s="1"/>
  <c r="AT96" i="24"/>
  <c r="AG14" i="24"/>
  <c r="AK14" i="24" s="1"/>
  <c r="AG119" i="24"/>
  <c r="AK119" i="24" s="1"/>
  <c r="AJ122" i="24"/>
  <c r="AJ18" i="24"/>
  <c r="AG167" i="24"/>
  <c r="AG18" i="24"/>
  <c r="AN18" i="24" s="1"/>
  <c r="BK18" i="24" s="1"/>
  <c r="AG54" i="24"/>
  <c r="AN54" i="24" s="1"/>
  <c r="CF54" i="24" s="1"/>
  <c r="AF170" i="24"/>
  <c r="AK170" i="24" s="1"/>
  <c r="AT105" i="24"/>
  <c r="AG23" i="24"/>
  <c r="AG159" i="24"/>
  <c r="AG105" i="24"/>
  <c r="AK105" i="24" s="1"/>
  <c r="AG145" i="24"/>
  <c r="AN145" i="24" s="1"/>
  <c r="BV145" i="24" s="1"/>
  <c r="AG36" i="24"/>
  <c r="AN36" i="24" s="1"/>
  <c r="BX36" i="24" s="1"/>
  <c r="AF122" i="24"/>
  <c r="AF112" i="24"/>
  <c r="AG184" i="24"/>
  <c r="AK184" i="24" s="1"/>
  <c r="AG187" i="24"/>
  <c r="AN187" i="24" s="1"/>
  <c r="AJ21" i="24"/>
  <c r="AJ31" i="24"/>
  <c r="AG199" i="24"/>
  <c r="AK199" i="24" s="1"/>
  <c r="AI13" i="24"/>
  <c r="AJ13" i="24" s="1"/>
  <c r="AG100" i="24"/>
  <c r="AN100" i="24" s="1"/>
  <c r="AF56" i="24"/>
  <c r="AN56" i="24" s="1"/>
  <c r="AX56" i="24" s="1"/>
  <c r="AG27" i="24"/>
  <c r="AK27" i="24" s="1"/>
  <c r="AG125" i="24"/>
  <c r="AN125" i="24" s="1"/>
  <c r="BJ125" i="24" s="1"/>
  <c r="AG192" i="24"/>
  <c r="AK192" i="24" s="1"/>
  <c r="AF159" i="24"/>
  <c r="AG205" i="24"/>
  <c r="AK205" i="24" s="1"/>
  <c r="AF167" i="24"/>
  <c r="AT87" i="24"/>
  <c r="AF23" i="24"/>
  <c r="AF83" i="24"/>
  <c r="AN83" i="24" s="1"/>
  <c r="AX83" i="24" s="1"/>
  <c r="AG41" i="24"/>
  <c r="AF152" i="24"/>
  <c r="AG161" i="24"/>
  <c r="AK161" i="24" s="1"/>
  <c r="AG136" i="24"/>
  <c r="AJ19" i="24"/>
  <c r="AJ123" i="24"/>
  <c r="AF73" i="24"/>
  <c r="AK73" i="24" s="1"/>
  <c r="AG207" i="24"/>
  <c r="AG210" i="24"/>
  <c r="AG134" i="24"/>
  <c r="AK134" i="24" s="1"/>
  <c r="AG188" i="24"/>
  <c r="AK188" i="24" s="1"/>
  <c r="AG163" i="24"/>
  <c r="AK163" i="24" s="1"/>
  <c r="AT60" i="24"/>
  <c r="AJ29" i="24"/>
  <c r="AG149" i="24"/>
  <c r="AK149" i="24" s="1"/>
  <c r="AG87" i="24"/>
  <c r="AK87" i="24" s="1"/>
  <c r="AF182" i="24"/>
  <c r="AK182" i="24" s="1"/>
  <c r="AF165" i="24"/>
  <c r="AK165" i="24" s="1"/>
  <c r="AF162" i="24"/>
  <c r="AG50" i="24"/>
  <c r="AK50" i="24" s="1"/>
  <c r="AG60" i="24"/>
  <c r="AK60" i="24" s="1"/>
  <c r="AG28" i="24"/>
  <c r="AN28" i="24" s="1"/>
  <c r="AT55" i="24"/>
  <c r="AG72" i="24"/>
  <c r="AN72" i="24" s="1"/>
  <c r="AG172" i="24"/>
  <c r="X35" i="24"/>
  <c r="AA35" i="24" s="1"/>
  <c r="AB35" i="24" s="1"/>
  <c r="AC35" i="24" s="1"/>
  <c r="AJ35" i="24" s="1"/>
  <c r="AJ28" i="24"/>
  <c r="AG42" i="24"/>
  <c r="AN42" i="24" s="1"/>
  <c r="BX42" i="24" s="1"/>
  <c r="AJ115" i="24"/>
  <c r="AG55" i="24"/>
  <c r="AJ116" i="24"/>
  <c r="X71" i="24"/>
  <c r="AA71" i="24" s="1"/>
  <c r="AB71" i="24" s="1"/>
  <c r="AC71" i="24" s="1"/>
  <c r="W11" i="24"/>
  <c r="Y11" i="24" s="1"/>
  <c r="AI43" i="24"/>
  <c r="AJ43" i="24" s="1"/>
  <c r="AG31" i="24"/>
  <c r="AN31" i="24" s="1"/>
  <c r="AG115" i="24"/>
  <c r="AG64" i="24"/>
  <c r="B126" i="2"/>
  <c r="AG97" i="24"/>
  <c r="AJ33" i="24"/>
  <c r="AG40" i="24"/>
  <c r="AN40" i="24" s="1"/>
  <c r="AG116" i="24"/>
  <c r="AN116" i="24" s="1"/>
  <c r="AG201" i="24"/>
  <c r="AN201" i="24" s="1"/>
  <c r="AG169" i="24"/>
  <c r="AG131" i="24"/>
  <c r="AK131" i="24" s="1"/>
  <c r="AG194" i="24"/>
  <c r="AK194" i="24" s="1"/>
  <c r="AG155" i="24"/>
  <c r="AE65" i="24"/>
  <c r="AF65" i="24" s="1"/>
  <c r="AG82" i="24"/>
  <c r="AN82" i="24" s="1"/>
  <c r="CF82" i="24" s="1"/>
  <c r="AG63" i="24"/>
  <c r="AN63" i="24" s="1"/>
  <c r="CF63" i="24" s="1"/>
  <c r="AF74" i="24"/>
  <c r="AN74" i="24" s="1"/>
  <c r="CF74" i="24" s="1"/>
  <c r="AG21" i="24"/>
  <c r="AN21" i="24" s="1"/>
  <c r="CF21" i="24" s="1"/>
  <c r="AF55" i="24"/>
  <c r="AG19" i="24"/>
  <c r="AN19" i="24" s="1"/>
  <c r="AG91" i="24"/>
  <c r="AK91" i="24" s="1"/>
  <c r="AG79" i="24"/>
  <c r="AN79" i="24" s="1"/>
  <c r="CF79" i="24" s="1"/>
  <c r="AF154" i="24"/>
  <c r="AN154" i="24" s="1"/>
  <c r="BJ154" i="24" s="1"/>
  <c r="AG123" i="24"/>
  <c r="W99" i="24"/>
  <c r="Y99" i="24" s="1"/>
  <c r="AG33" i="24"/>
  <c r="AT42" i="24"/>
  <c r="AE22" i="24"/>
  <c r="AF22" i="24" s="1"/>
  <c r="AI8" i="24"/>
  <c r="AJ8" i="24" s="1"/>
  <c r="AF33" i="24"/>
  <c r="AE26" i="24"/>
  <c r="AF26" i="24" s="1"/>
  <c r="AG104" i="24"/>
  <c r="AN104" i="24" s="1"/>
  <c r="BX104" i="24" s="1"/>
  <c r="AG32" i="24"/>
  <c r="AN32" i="24" s="1"/>
  <c r="AX32" i="24" s="1"/>
  <c r="AG68" i="24"/>
  <c r="AN68" i="24" s="1"/>
  <c r="CF68" i="24" s="1"/>
  <c r="AG86" i="24"/>
  <c r="AK86" i="24" s="1"/>
  <c r="AG59" i="24"/>
  <c r="AN59" i="24" s="1"/>
  <c r="CF59" i="24" s="1"/>
  <c r="W88" i="24"/>
  <c r="Y88" i="24" s="1"/>
  <c r="AG29" i="24"/>
  <c r="AN29" i="24" s="1"/>
  <c r="CF29" i="24" s="1"/>
  <c r="AE43" i="24"/>
  <c r="AG43" i="24" s="1"/>
  <c r="AF70" i="24"/>
  <c r="AT70" i="24"/>
  <c r="AT69" i="24"/>
  <c r="AE13" i="24"/>
  <c r="AF13" i="24" s="1"/>
  <c r="W13" i="24"/>
  <c r="Y13" i="24" s="1"/>
  <c r="AI71" i="24"/>
  <c r="AG69" i="24"/>
  <c r="AK69" i="24" s="1"/>
  <c r="AG53" i="24"/>
  <c r="AN53" i="24" s="1"/>
  <c r="AX53" i="24" s="1"/>
  <c r="X49" i="24"/>
  <c r="AA49" i="24" s="1"/>
  <c r="AB49" i="24" s="1"/>
  <c r="AC49" i="24" s="1"/>
  <c r="AJ49" i="24" s="1"/>
  <c r="AE71" i="24"/>
  <c r="AF71" i="24" s="1"/>
  <c r="P8" i="24"/>
  <c r="P94" i="24"/>
  <c r="AE102" i="24"/>
  <c r="AF102" i="24" s="1"/>
  <c r="AP94" i="24"/>
  <c r="W61" i="24"/>
  <c r="Y61" i="24" s="1"/>
  <c r="P93" i="24"/>
  <c r="W65" i="24"/>
  <c r="Y65" i="24" s="1"/>
  <c r="W6" i="24"/>
  <c r="Y6" i="24" s="1"/>
  <c r="X22" i="24"/>
  <c r="AA22" i="24" s="1"/>
  <c r="AB22" i="24" s="1"/>
  <c r="AC22" i="24" s="1"/>
  <c r="AP49" i="24"/>
  <c r="P77" i="24"/>
  <c r="X37" i="24"/>
  <c r="AA37" i="24" s="1"/>
  <c r="AB37" i="24" s="1"/>
  <c r="AC37" i="24" s="1"/>
  <c r="AJ37" i="24" s="1"/>
  <c r="W43" i="24"/>
  <c r="Y43" i="24" s="1"/>
  <c r="X102" i="24"/>
  <c r="AA102" i="24" s="1"/>
  <c r="AB102" i="24" s="1"/>
  <c r="AC102" i="24" s="1"/>
  <c r="AJ102" i="24" s="1"/>
  <c r="P35" i="24"/>
  <c r="AP84" i="24"/>
  <c r="P49" i="24"/>
  <c r="P81" i="24"/>
  <c r="AI22" i="24"/>
  <c r="W102" i="24"/>
  <c r="Y102" i="24" s="1"/>
  <c r="X65" i="24"/>
  <c r="AA65" i="24" s="1"/>
  <c r="AB65" i="24" s="1"/>
  <c r="AC65" i="24" s="1"/>
  <c r="AJ65" i="24" s="1"/>
  <c r="Q38" i="24"/>
  <c r="R38" i="24" s="1"/>
  <c r="Q9" i="24"/>
  <c r="R9" i="24" s="1"/>
  <c r="Q15" i="24"/>
  <c r="R15" i="24" s="1"/>
  <c r="AP90" i="24"/>
  <c r="Q90" i="24"/>
  <c r="R90" i="24" s="1"/>
  <c r="Q47" i="24"/>
  <c r="R47" i="24" s="1"/>
  <c r="AP99" i="24"/>
  <c r="Q99" i="24"/>
  <c r="R99" i="24" s="1"/>
  <c r="Q76" i="24"/>
  <c r="R76" i="24" s="1"/>
  <c r="AP80" i="24"/>
  <c r="Q80" i="24"/>
  <c r="R80" i="24" s="1"/>
  <c r="AP6" i="24"/>
  <c r="Q6" i="24"/>
  <c r="R6" i="24" s="1"/>
  <c r="AP61" i="24"/>
  <c r="Q61" i="24"/>
  <c r="R61" i="24" s="1"/>
  <c r="AP75" i="24"/>
  <c r="Q75" i="24"/>
  <c r="R75" i="24" s="1"/>
  <c r="Q103" i="24"/>
  <c r="R103" i="24" s="1"/>
  <c r="AP44" i="24"/>
  <c r="Q44" i="24"/>
  <c r="R44" i="24" s="1"/>
  <c r="Q102" i="24"/>
  <c r="R102" i="24" s="1"/>
  <c r="Q65" i="24"/>
  <c r="R65" i="24" s="1"/>
  <c r="P52" i="24"/>
  <c r="Q52" i="24"/>
  <c r="R52" i="24" s="1"/>
  <c r="AP22" i="24"/>
  <c r="Q22" i="24"/>
  <c r="R22" i="24" s="1"/>
  <c r="AP45" i="24"/>
  <c r="Q45" i="24"/>
  <c r="R45" i="24" s="1"/>
  <c r="P39" i="24"/>
  <c r="Q39" i="24"/>
  <c r="R39" i="24" s="1"/>
  <c r="Q37" i="24"/>
  <c r="R37" i="24" s="1"/>
  <c r="AP88" i="24"/>
  <c r="Q88" i="24"/>
  <c r="R88" i="24" s="1"/>
  <c r="AP67" i="24"/>
  <c r="Q67" i="24"/>
  <c r="R67" i="24" s="1"/>
  <c r="Q77" i="24"/>
  <c r="R77" i="24" s="1"/>
  <c r="Q17" i="24"/>
  <c r="R17" i="24" s="1"/>
  <c r="AP16" i="24"/>
  <c r="Q16" i="24"/>
  <c r="R16" i="24" s="1"/>
  <c r="Q7" i="24"/>
  <c r="R7" i="24" s="1"/>
  <c r="Q98" i="24"/>
  <c r="R98" i="24" s="1"/>
  <c r="P57" i="24"/>
  <c r="Q57" i="24"/>
  <c r="R57" i="24" s="1"/>
  <c r="Q58" i="24"/>
  <c r="R58" i="24" s="1"/>
  <c r="AP43" i="24"/>
  <c r="Q43" i="24"/>
  <c r="R43" i="24" s="1"/>
  <c r="P71" i="24"/>
  <c r="Q71" i="24"/>
  <c r="R71" i="24" s="1"/>
  <c r="P11" i="24"/>
  <c r="Q11" i="24"/>
  <c r="R11" i="24" s="1"/>
  <c r="AP12" i="24"/>
  <c r="Q12" i="24"/>
  <c r="R12" i="24" s="1"/>
  <c r="Q13" i="24"/>
  <c r="R13" i="24" s="1"/>
  <c r="P26" i="24"/>
  <c r="Q26" i="24"/>
  <c r="R26" i="24" s="1"/>
  <c r="AP62" i="24"/>
  <c r="Q62" i="24"/>
  <c r="R62" i="24" s="1"/>
  <c r="AP13" i="24"/>
  <c r="P98" i="24"/>
  <c r="AE93" i="24"/>
  <c r="AF93" i="24" s="1"/>
  <c r="W37" i="24"/>
  <c r="Y37" i="24" s="1"/>
  <c r="AI94" i="24"/>
  <c r="AE49" i="24"/>
  <c r="AF49" i="24" s="1"/>
  <c r="AP57" i="24"/>
  <c r="W94" i="24"/>
  <c r="Y94" i="24" s="1"/>
  <c r="P62" i="24"/>
  <c r="P13" i="24"/>
  <c r="P43" i="24"/>
  <c r="AI93" i="24"/>
  <c r="AE37" i="24"/>
  <c r="W8" i="24"/>
  <c r="Y8" i="24" s="1"/>
  <c r="X94" i="24"/>
  <c r="W49" i="24"/>
  <c r="Y49" i="24" s="1"/>
  <c r="P7" i="24"/>
  <c r="P58" i="24"/>
  <c r="X93" i="24"/>
  <c r="AA93" i="24" s="1"/>
  <c r="AB93" i="24" s="1"/>
  <c r="AC93" i="24" s="1"/>
  <c r="P12" i="24"/>
  <c r="AE8" i="24"/>
  <c r="P103" i="24"/>
  <c r="P102" i="24"/>
  <c r="BK5" i="24"/>
  <c r="P6" i="24"/>
  <c r="P75" i="24"/>
  <c r="AP65" i="24"/>
  <c r="P65" i="24"/>
  <c r="AE34" i="24"/>
  <c r="AF34" i="24" s="1"/>
  <c r="X99" i="24"/>
  <c r="AA99" i="24" s="1"/>
  <c r="AB99" i="24" s="1"/>
  <c r="AC99" i="24" s="1"/>
  <c r="AJ99" i="24" s="1"/>
  <c r="AI98" i="24"/>
  <c r="W98" i="24"/>
  <c r="Y98" i="24" s="1"/>
  <c r="AE98" i="24"/>
  <c r="X98" i="24"/>
  <c r="AA98" i="24" s="1"/>
  <c r="AB98" i="24" s="1"/>
  <c r="AC98" i="24" s="1"/>
  <c r="AE57" i="24"/>
  <c r="AI57" i="24"/>
  <c r="W57" i="24"/>
  <c r="Y57" i="24" s="1"/>
  <c r="X57" i="24"/>
  <c r="AA57" i="24" s="1"/>
  <c r="AB57" i="24" s="1"/>
  <c r="AC57" i="24" s="1"/>
  <c r="X58" i="24"/>
  <c r="AA58" i="24" s="1"/>
  <c r="AB58" i="24" s="1"/>
  <c r="AC58" i="24" s="1"/>
  <c r="AJ58" i="24" s="1"/>
  <c r="AE58" i="24"/>
  <c r="W58" i="24"/>
  <c r="Y58" i="24" s="1"/>
  <c r="X11" i="24"/>
  <c r="AA11" i="24" s="1"/>
  <c r="AB11" i="24" s="1"/>
  <c r="AC11" i="24" s="1"/>
  <c r="AJ11" i="24" s="1"/>
  <c r="AE11" i="24"/>
  <c r="AE12" i="24"/>
  <c r="AI12" i="24"/>
  <c r="X12" i="24"/>
  <c r="AA12" i="24" s="1"/>
  <c r="AB12" i="24" s="1"/>
  <c r="AC12" i="24" s="1"/>
  <c r="AP30" i="24"/>
  <c r="AI26" i="24"/>
  <c r="X26" i="24"/>
  <c r="AI62" i="24"/>
  <c r="W62" i="24"/>
  <c r="Y62" i="24" s="1"/>
  <c r="AE62" i="24"/>
  <c r="X62" i="24"/>
  <c r="AA62" i="24" s="1"/>
  <c r="AB62" i="24" s="1"/>
  <c r="AC62" i="24" s="1"/>
  <c r="AP20" i="24"/>
  <c r="AP48" i="24"/>
  <c r="AP34" i="24"/>
  <c r="W9" i="24"/>
  <c r="Y9" i="24" s="1"/>
  <c r="AI9" i="24"/>
  <c r="AE9" i="24"/>
  <c r="X9" i="24"/>
  <c r="AA9" i="24" s="1"/>
  <c r="AB9" i="24" s="1"/>
  <c r="AC9" i="24" s="1"/>
  <c r="AE90" i="24"/>
  <c r="X90" i="24"/>
  <c r="AA90" i="24" s="1"/>
  <c r="AB90" i="24" s="1"/>
  <c r="AC90" i="24" s="1"/>
  <c r="AI90" i="24"/>
  <c r="AE47" i="24"/>
  <c r="X47" i="24"/>
  <c r="AA47" i="24" s="1"/>
  <c r="AB47" i="24" s="1"/>
  <c r="AC47" i="24" s="1"/>
  <c r="AJ47" i="24" s="1"/>
  <c r="AE20" i="24"/>
  <c r="X20" i="24"/>
  <c r="AA20" i="24" s="1"/>
  <c r="AB20" i="24" s="1"/>
  <c r="AC20" i="24" s="1"/>
  <c r="AI20" i="24"/>
  <c r="P22" i="24"/>
  <c r="W20" i="24"/>
  <c r="Y20" i="24" s="1"/>
  <c r="W34" i="24"/>
  <c r="Y34" i="24" s="1"/>
  <c r="AE99" i="24"/>
  <c r="W47" i="24"/>
  <c r="Y47" i="24" s="1"/>
  <c r="AI61" i="24"/>
  <c r="AJ61" i="24" s="1"/>
  <c r="AE61" i="24"/>
  <c r="AF61" i="24" s="1"/>
  <c r="AI75" i="24"/>
  <c r="W75" i="24"/>
  <c r="Y75" i="24" s="1"/>
  <c r="AE75" i="24"/>
  <c r="X75" i="24"/>
  <c r="AA75" i="24" s="1"/>
  <c r="AB75" i="24" s="1"/>
  <c r="AC75" i="24" s="1"/>
  <c r="AI103" i="24"/>
  <c r="AE103" i="24"/>
  <c r="W103" i="24"/>
  <c r="Y103" i="24" s="1"/>
  <c r="X103" i="24"/>
  <c r="AA103" i="24" s="1"/>
  <c r="AB103" i="24" s="1"/>
  <c r="AC103" i="24" s="1"/>
  <c r="AI44" i="24"/>
  <c r="X44" i="24"/>
  <c r="AA44" i="24" s="1"/>
  <c r="AB44" i="24" s="1"/>
  <c r="AC44" i="24" s="1"/>
  <c r="W44" i="24"/>
  <c r="Y44" i="24" s="1"/>
  <c r="R84" i="24"/>
  <c r="P84" i="24"/>
  <c r="AI52" i="24"/>
  <c r="X52" i="24"/>
  <c r="AA52" i="24" s="1"/>
  <c r="AB52" i="24" s="1"/>
  <c r="AC52" i="24" s="1"/>
  <c r="AE52" i="24"/>
  <c r="W52" i="24"/>
  <c r="Y52" i="24" s="1"/>
  <c r="W45" i="24"/>
  <c r="Y45" i="24" s="1"/>
  <c r="AI45" i="24"/>
  <c r="AE45" i="24"/>
  <c r="X45" i="24"/>
  <c r="AA45" i="24" s="1"/>
  <c r="AB45" i="24" s="1"/>
  <c r="AC45" i="24" s="1"/>
  <c r="AP8" i="24"/>
  <c r="AP81" i="24"/>
  <c r="AP35" i="24"/>
  <c r="AP93" i="24"/>
  <c r="AP103" i="24"/>
  <c r="AE30" i="24"/>
  <c r="W30" i="24"/>
  <c r="Y30" i="24" s="1"/>
  <c r="X30" i="24"/>
  <c r="AA30" i="24" s="1"/>
  <c r="AB30" i="24" s="1"/>
  <c r="AC30" i="24" s="1"/>
  <c r="AI30" i="24"/>
  <c r="W38" i="24"/>
  <c r="Y38" i="24" s="1"/>
  <c r="AI38" i="24"/>
  <c r="AE38" i="24"/>
  <c r="X38" i="24"/>
  <c r="AA38" i="24" s="1"/>
  <c r="AB38" i="24" s="1"/>
  <c r="AC38" i="24" s="1"/>
  <c r="W15" i="24"/>
  <c r="Y15" i="24" s="1"/>
  <c r="X15" i="24"/>
  <c r="AA15" i="24" s="1"/>
  <c r="AB15" i="24" s="1"/>
  <c r="AC15" i="24" s="1"/>
  <c r="AJ15" i="24" s="1"/>
  <c r="AP52" i="24"/>
  <c r="AE24" i="24"/>
  <c r="W24" i="24"/>
  <c r="Y24" i="24" s="1"/>
  <c r="X24" i="24"/>
  <c r="AA24" i="24" s="1"/>
  <c r="AB24" i="24" s="1"/>
  <c r="AC24" i="24" s="1"/>
  <c r="AI24" i="24"/>
  <c r="AI48" i="24"/>
  <c r="X48" i="24"/>
  <c r="AA48" i="24" s="1"/>
  <c r="AB48" i="24" s="1"/>
  <c r="AC48" i="24" s="1"/>
  <c r="AE66" i="24"/>
  <c r="AI66" i="24"/>
  <c r="X66" i="24"/>
  <c r="AA66" i="24" s="1"/>
  <c r="AB66" i="24" s="1"/>
  <c r="AC66" i="24" s="1"/>
  <c r="W66" i="24"/>
  <c r="Y66" i="24" s="1"/>
  <c r="X76" i="24"/>
  <c r="AA76" i="24" s="1"/>
  <c r="AB76" i="24" s="1"/>
  <c r="AC76" i="24" s="1"/>
  <c r="W76" i="24"/>
  <c r="Y76" i="24" s="1"/>
  <c r="AE76" i="24"/>
  <c r="AI76" i="24"/>
  <c r="W80" i="24"/>
  <c r="Y80" i="24" s="1"/>
  <c r="AE80" i="24"/>
  <c r="AI80" i="24"/>
  <c r="X80" i="24"/>
  <c r="AA80" i="24" s="1"/>
  <c r="AB80" i="24" s="1"/>
  <c r="AC80" i="24" s="1"/>
  <c r="AF44" i="24"/>
  <c r="AT53" i="24"/>
  <c r="AP102" i="24"/>
  <c r="W90" i="24"/>
  <c r="Y90" i="24" s="1"/>
  <c r="P45" i="24"/>
  <c r="AE15" i="24"/>
  <c r="AF15" i="24" s="1"/>
  <c r="P44" i="24"/>
  <c r="X34" i="24"/>
  <c r="AA34" i="24" s="1"/>
  <c r="AB34" i="24" s="1"/>
  <c r="AC34" i="24" s="1"/>
  <c r="AJ34" i="24" s="1"/>
  <c r="AE48" i="24"/>
  <c r="AF48" i="24" s="1"/>
  <c r="AP71" i="24"/>
  <c r="AP11" i="24"/>
  <c r="AE39" i="24"/>
  <c r="X39" i="24"/>
  <c r="AA39" i="24" s="1"/>
  <c r="AB39" i="24" s="1"/>
  <c r="AC39" i="24" s="1"/>
  <c r="AI39" i="24"/>
  <c r="W39" i="24"/>
  <c r="Y39" i="24" s="1"/>
  <c r="AI84" i="24"/>
  <c r="X84" i="24"/>
  <c r="AA84" i="24" s="1"/>
  <c r="AB84" i="24" s="1"/>
  <c r="AC84" i="24" s="1"/>
  <c r="AE84" i="24"/>
  <c r="W84" i="24"/>
  <c r="Y84" i="24" s="1"/>
  <c r="AP26" i="24"/>
  <c r="AI88" i="24"/>
  <c r="AJ88" i="24" s="1"/>
  <c r="AE88" i="24"/>
  <c r="AF88" i="24" s="1"/>
  <c r="AE67" i="24"/>
  <c r="AI67" i="24"/>
  <c r="X67" i="24"/>
  <c r="AA67" i="24" s="1"/>
  <c r="AB67" i="24" s="1"/>
  <c r="AC67" i="24" s="1"/>
  <c r="W67" i="24"/>
  <c r="Y67" i="24" s="1"/>
  <c r="X77" i="24"/>
  <c r="AA77" i="24" s="1"/>
  <c r="AB77" i="24" s="1"/>
  <c r="AC77" i="24" s="1"/>
  <c r="AI77" i="24"/>
  <c r="AE77" i="24"/>
  <c r="W77" i="24"/>
  <c r="Y77" i="24" s="1"/>
  <c r="AI17" i="24"/>
  <c r="X17" i="24"/>
  <c r="AA17" i="24" s="1"/>
  <c r="AB17" i="24" s="1"/>
  <c r="AC17" i="24" s="1"/>
  <c r="AE17" i="24"/>
  <c r="W17" i="24"/>
  <c r="Y17" i="24" s="1"/>
  <c r="AE16" i="24"/>
  <c r="X16" i="24"/>
  <c r="AA16" i="24" s="1"/>
  <c r="AB16" i="24" s="1"/>
  <c r="AC16" i="24" s="1"/>
  <c r="AI16" i="24"/>
  <c r="AI81" i="24"/>
  <c r="X81" i="24"/>
  <c r="AA81" i="24" s="1"/>
  <c r="AB81" i="24" s="1"/>
  <c r="AC81" i="24" s="1"/>
  <c r="W81" i="24"/>
  <c r="Y81" i="24" s="1"/>
  <c r="W35" i="24"/>
  <c r="Y35" i="24" s="1"/>
  <c r="AE35" i="24"/>
  <c r="AF35" i="24" s="1"/>
  <c r="W7" i="24"/>
  <c r="Y7" i="24" s="1"/>
  <c r="X7" i="24"/>
  <c r="AA7" i="24" s="1"/>
  <c r="AB7" i="24" s="1"/>
  <c r="AC7" i="24" s="1"/>
  <c r="AI7" i="24"/>
  <c r="AE7" i="24"/>
  <c r="AI6" i="24"/>
  <c r="AJ6" i="24" s="1"/>
  <c r="AE6" i="24"/>
  <c r="AT50" i="24"/>
  <c r="AT32" i="24"/>
  <c r="AT23" i="24"/>
  <c r="AT25" i="24"/>
  <c r="AT14" i="24"/>
  <c r="AX5" i="24"/>
  <c r="AT5" i="24"/>
  <c r="AF110" i="24"/>
  <c r="AK110" i="24" s="1"/>
  <c r="BL5" i="24"/>
  <c r="AK5" i="24"/>
  <c r="AS5" i="24"/>
  <c r="AQ5" i="24"/>
  <c r="BJ5" i="24"/>
  <c r="BV5" i="24"/>
  <c r="AF110" i="25"/>
  <c r="AJ110" i="25" s="1"/>
  <c r="Z5" i="25"/>
  <c r="AA5" i="25" s="1"/>
  <c r="AB5" i="25" s="1"/>
  <c r="AI5" i="25" s="1"/>
  <c r="AF5" i="25"/>
  <c r="AS40" i="25"/>
  <c r="AS13" i="25"/>
  <c r="AS29" i="25"/>
  <c r="AS44" i="25"/>
  <c r="AS14" i="25"/>
  <c r="AS36" i="25"/>
  <c r="AS9" i="25"/>
  <c r="AS47" i="25"/>
  <c r="AS22" i="25"/>
  <c r="AS88" i="25"/>
  <c r="AS79" i="25"/>
  <c r="AS20" i="25"/>
  <c r="AS96" i="25"/>
  <c r="AS62" i="25"/>
  <c r="AS86" i="25"/>
  <c r="AS93" i="25"/>
  <c r="AS61" i="25"/>
  <c r="AS70" i="25"/>
  <c r="AS26" i="25"/>
  <c r="AS38" i="25"/>
  <c r="AS24" i="25"/>
  <c r="AS104" i="25"/>
  <c r="AS27" i="25"/>
  <c r="AS102" i="25"/>
  <c r="AS17" i="25"/>
  <c r="AS48" i="25"/>
  <c r="AS30" i="25"/>
  <c r="AS103" i="25"/>
  <c r="AS28" i="25"/>
  <c r="AS105" i="25"/>
  <c r="B104" i="2" s="1"/>
  <c r="AS81" i="25"/>
  <c r="AS11" i="25"/>
  <c r="AS91" i="25"/>
  <c r="AS49" i="25"/>
  <c r="AS6" i="25"/>
  <c r="AS56" i="25"/>
  <c r="AS76" i="25"/>
  <c r="AS92" i="25"/>
  <c r="AS78" i="25"/>
  <c r="AS94" i="25"/>
  <c r="AS41" i="25"/>
  <c r="AS21" i="25"/>
  <c r="AS8" i="25"/>
  <c r="AS67" i="25"/>
  <c r="AS42" i="25"/>
  <c r="AS101" i="25"/>
  <c r="AS51" i="25"/>
  <c r="AS64" i="25"/>
  <c r="AS12" i="25"/>
  <c r="AS87" i="25"/>
  <c r="AS37" i="25"/>
  <c r="AS82" i="25"/>
  <c r="AS54" i="25"/>
  <c r="AS68" i="25"/>
  <c r="AS52" i="25"/>
  <c r="AS63" i="25"/>
  <c r="AS35" i="25"/>
  <c r="AS53" i="25"/>
  <c r="AS83" i="25"/>
  <c r="AS59" i="25"/>
  <c r="AS100" i="25"/>
  <c r="AS15" i="25"/>
  <c r="AS71" i="25"/>
  <c r="AS97" i="25"/>
  <c r="AS31" i="25"/>
  <c r="AS69" i="25"/>
  <c r="AJ216" i="25"/>
  <c r="AM216" i="25"/>
  <c r="AJ265" i="25"/>
  <c r="AM265" i="25"/>
  <c r="CG265" i="25" s="1"/>
  <c r="AM275" i="25"/>
  <c r="CG275" i="25" s="1"/>
  <c r="AJ275" i="25"/>
  <c r="AJ189" i="25"/>
  <c r="AM189" i="25"/>
  <c r="BY189" i="25" s="1"/>
  <c r="AJ224" i="25"/>
  <c r="AM224" i="25"/>
  <c r="CG224" i="25" s="1"/>
  <c r="AJ259" i="25"/>
  <c r="AM259" i="25"/>
  <c r="CG259" i="25" s="1"/>
  <c r="AJ156" i="25"/>
  <c r="AM156" i="25"/>
  <c r="BY156" i="25" s="1"/>
  <c r="AM162" i="25"/>
  <c r="AJ162" i="25"/>
  <c r="AM174" i="25"/>
  <c r="BY174" i="25" s="1"/>
  <c r="AJ174" i="25"/>
  <c r="AJ31" i="25"/>
  <c r="AM31" i="25"/>
  <c r="AJ116" i="25"/>
  <c r="AM116" i="25"/>
  <c r="BY116" i="25" s="1"/>
  <c r="AS10" i="25"/>
  <c r="AJ59" i="25"/>
  <c r="AM59" i="25"/>
  <c r="CG59" i="25" s="1"/>
  <c r="AJ293" i="25"/>
  <c r="AM293" i="25"/>
  <c r="CG293" i="25" s="1"/>
  <c r="AM138" i="25"/>
  <c r="BY138" i="25" s="1"/>
  <c r="AJ138" i="25"/>
  <c r="AJ127" i="25"/>
  <c r="AM127" i="25"/>
  <c r="BY127" i="25" s="1"/>
  <c r="AJ99" i="25"/>
  <c r="AM99" i="25"/>
  <c r="CG99" i="25" s="1"/>
  <c r="AJ26" i="25"/>
  <c r="AM26" i="25"/>
  <c r="CG26" i="25" s="1"/>
  <c r="AM136" i="25"/>
  <c r="BY136" i="25" s="1"/>
  <c r="AJ136" i="25"/>
  <c r="AM98" i="25"/>
  <c r="BY98" i="25" s="1"/>
  <c r="AJ98" i="25"/>
  <c r="AM254" i="25"/>
  <c r="AJ254" i="25"/>
  <c r="AJ173" i="25"/>
  <c r="AM173" i="25"/>
  <c r="CG173" i="25" s="1"/>
  <c r="AS60" i="25"/>
  <c r="AM311" i="25"/>
  <c r="CG311" i="25" s="1"/>
  <c r="AJ311" i="25"/>
  <c r="AM159" i="25"/>
  <c r="BY159" i="25" s="1"/>
  <c r="AJ159" i="25"/>
  <c r="AM103" i="25"/>
  <c r="CG103" i="25" s="1"/>
  <c r="AJ103" i="25"/>
  <c r="AJ85" i="25"/>
  <c r="AM85" i="25"/>
  <c r="BW85" i="25" s="1"/>
  <c r="AJ269" i="25"/>
  <c r="AM269" i="25"/>
  <c r="CG269" i="25" s="1"/>
  <c r="AS57" i="25"/>
  <c r="AJ157" i="25"/>
  <c r="AM157" i="25"/>
  <c r="BY157" i="25" s="1"/>
  <c r="AJ242" i="25"/>
  <c r="AM242" i="25"/>
  <c r="CG242" i="25" s="1"/>
  <c r="AM102" i="25"/>
  <c r="CG102" i="25" s="1"/>
  <c r="AJ102" i="25"/>
  <c r="AM93" i="25"/>
  <c r="CG93" i="25" s="1"/>
  <c r="AJ93" i="25"/>
  <c r="AM87" i="25"/>
  <c r="CG87" i="25" s="1"/>
  <c r="AJ87" i="25"/>
  <c r="AJ135" i="25"/>
  <c r="AM135" i="25"/>
  <c r="AM309" i="25"/>
  <c r="CG309" i="25" s="1"/>
  <c r="AJ309" i="25"/>
  <c r="AJ310" i="25"/>
  <c r="AM310" i="25"/>
  <c r="CG310" i="25" s="1"/>
  <c r="AJ15" i="25"/>
  <c r="AM15" i="25"/>
  <c r="BY15" i="25" s="1"/>
  <c r="AM14" i="25"/>
  <c r="CG14" i="25" s="1"/>
  <c r="AJ14" i="25"/>
  <c r="AM257" i="25"/>
  <c r="AJ257" i="25"/>
  <c r="AJ153" i="25"/>
  <c r="AM153" i="25"/>
  <c r="BY153" i="25" s="1"/>
  <c r="AJ210" i="25"/>
  <c r="AM210" i="25"/>
  <c r="BY210" i="25" s="1"/>
  <c r="AS46" i="25"/>
  <c r="AM178" i="25"/>
  <c r="BY178" i="25" s="1"/>
  <c r="AJ178" i="25"/>
  <c r="AM57" i="25"/>
  <c r="AJ57" i="25"/>
  <c r="AJ272" i="25"/>
  <c r="AM272" i="25"/>
  <c r="CG272" i="25" s="1"/>
  <c r="AS23" i="25"/>
  <c r="AM56" i="25"/>
  <c r="AJ56" i="25"/>
  <c r="AS58" i="25"/>
  <c r="AJ113" i="25"/>
  <c r="AM113" i="25"/>
  <c r="BY113" i="25" s="1"/>
  <c r="AM155" i="25"/>
  <c r="BY155" i="25" s="1"/>
  <c r="AJ155" i="25"/>
  <c r="AJ180" i="25"/>
  <c r="AM180" i="25"/>
  <c r="BY180" i="25" s="1"/>
  <c r="AS90" i="25"/>
  <c r="AM81" i="25"/>
  <c r="CG81" i="25" s="1"/>
  <c r="AJ81" i="25"/>
  <c r="AM139" i="25"/>
  <c r="BY139" i="25" s="1"/>
  <c r="AJ139" i="25"/>
  <c r="AS33" i="25"/>
  <c r="AM17" i="25"/>
  <c r="CG17" i="25" s="1"/>
  <c r="AJ17" i="25"/>
  <c r="AM264" i="25"/>
  <c r="CG264" i="25" s="1"/>
  <c r="AJ264" i="25"/>
  <c r="AM66" i="25"/>
  <c r="BW66" i="25" s="1"/>
  <c r="AJ66" i="25"/>
  <c r="AM286" i="25"/>
  <c r="CG286" i="25" s="1"/>
  <c r="AJ286" i="25"/>
  <c r="AJ131" i="25"/>
  <c r="AM131" i="25"/>
  <c r="AJ143" i="25"/>
  <c r="AM143" i="25"/>
  <c r="BY143" i="25" s="1"/>
  <c r="AM250" i="25"/>
  <c r="CG250" i="25" s="1"/>
  <c r="AJ250" i="25"/>
  <c r="AJ244" i="25"/>
  <c r="AM244" i="25"/>
  <c r="CG244" i="25" s="1"/>
  <c r="AM78" i="25"/>
  <c r="CG78" i="25" s="1"/>
  <c r="AJ78" i="25"/>
  <c r="AM35" i="25"/>
  <c r="BY35" i="25" s="1"/>
  <c r="AJ35" i="25"/>
  <c r="AM53" i="25"/>
  <c r="CG53" i="25" s="1"/>
  <c r="AJ53" i="25"/>
  <c r="AM74" i="25"/>
  <c r="BY74" i="25" s="1"/>
  <c r="AJ74" i="25"/>
  <c r="AM39" i="25"/>
  <c r="BY39" i="25" s="1"/>
  <c r="AJ39" i="25"/>
  <c r="AJ121" i="25"/>
  <c r="AM121" i="25"/>
  <c r="BY121" i="25" s="1"/>
  <c r="AJ170" i="25"/>
  <c r="AM170" i="25"/>
  <c r="BY170" i="25" s="1"/>
  <c r="AM20" i="25"/>
  <c r="CG20" i="25" s="1"/>
  <c r="AJ20" i="25"/>
  <c r="AM260" i="25"/>
  <c r="CG260" i="25" s="1"/>
  <c r="AJ260" i="25"/>
  <c r="AM22" i="25"/>
  <c r="BY22" i="25" s="1"/>
  <c r="AJ22" i="25"/>
  <c r="AM251" i="25"/>
  <c r="AJ251" i="25"/>
  <c r="AJ222" i="25"/>
  <c r="AM222" i="25"/>
  <c r="CG222" i="25" s="1"/>
  <c r="AJ196" i="25"/>
  <c r="AM196" i="25"/>
  <c r="BY196" i="25" s="1"/>
  <c r="AM16" i="25"/>
  <c r="BW16" i="25" s="1"/>
  <c r="AJ16" i="25"/>
  <c r="AM194" i="25"/>
  <c r="BY194" i="25" s="1"/>
  <c r="AJ194" i="25"/>
  <c r="AJ313" i="25"/>
  <c r="AM313" i="25"/>
  <c r="AJ166" i="25"/>
  <c r="AM166" i="25"/>
  <c r="BY166" i="25" s="1"/>
  <c r="AM41" i="25"/>
  <c r="BY41" i="25" s="1"/>
  <c r="AJ41" i="25"/>
  <c r="AM252" i="25"/>
  <c r="CG252" i="25" s="1"/>
  <c r="AJ252" i="25"/>
  <c r="AM182" i="25"/>
  <c r="BY182" i="25" s="1"/>
  <c r="AJ182" i="25"/>
  <c r="AJ273" i="25"/>
  <c r="AM273" i="25"/>
  <c r="CG273" i="25" s="1"/>
  <c r="AM55" i="25"/>
  <c r="BY55" i="25" s="1"/>
  <c r="AJ55" i="25"/>
  <c r="AJ233" i="25"/>
  <c r="AM233" i="25"/>
  <c r="CG233" i="25" s="1"/>
  <c r="AM38" i="25"/>
  <c r="CG38" i="25" s="1"/>
  <c r="AJ38" i="25"/>
  <c r="AS73" i="25"/>
  <c r="AS25" i="25"/>
  <c r="AS98" i="25"/>
  <c r="AJ64" i="25"/>
  <c r="AM64" i="25"/>
  <c r="CG64" i="25" s="1"/>
  <c r="AM245" i="25"/>
  <c r="AJ245" i="25"/>
  <c r="AM228" i="25"/>
  <c r="AJ228" i="25"/>
  <c r="AM295" i="25"/>
  <c r="CG295" i="25" s="1"/>
  <c r="AJ295" i="25"/>
  <c r="AM70" i="25"/>
  <c r="CG70" i="25" s="1"/>
  <c r="AJ70" i="25"/>
  <c r="AS43" i="25"/>
  <c r="AM217" i="25"/>
  <c r="CG217" i="25" s="1"/>
  <c r="AJ217" i="25"/>
  <c r="AS45" i="25"/>
  <c r="AM290" i="25"/>
  <c r="CG290" i="25" s="1"/>
  <c r="AJ290" i="25"/>
  <c r="AJ186" i="25"/>
  <c r="AM186" i="25"/>
  <c r="BY186" i="25" s="1"/>
  <c r="AJ282" i="25"/>
  <c r="AM282" i="25"/>
  <c r="CG282" i="25" s="1"/>
  <c r="AJ270" i="25"/>
  <c r="AM270" i="25"/>
  <c r="CG270" i="25" s="1"/>
  <c r="AJ51" i="25"/>
  <c r="AM51" i="25"/>
  <c r="CG51" i="25" s="1"/>
  <c r="AJ29" i="25"/>
  <c r="AM29" i="25"/>
  <c r="CG29" i="25" s="1"/>
  <c r="AJ7" i="25"/>
  <c r="AM7" i="25"/>
  <c r="BI7" i="25" s="1"/>
  <c r="AJ184" i="25"/>
  <c r="AM184" i="25"/>
  <c r="BY184" i="25" s="1"/>
  <c r="AJ112" i="25"/>
  <c r="AM112" i="25"/>
  <c r="BY112" i="25" s="1"/>
  <c r="AM158" i="25"/>
  <c r="BY158" i="25" s="1"/>
  <c r="AJ158" i="25"/>
  <c r="AM18" i="25"/>
  <c r="BI18" i="25" s="1"/>
  <c r="AJ18" i="25"/>
  <c r="AM34" i="25"/>
  <c r="BI34" i="25" s="1"/>
  <c r="AJ34" i="25"/>
  <c r="AJ95" i="25"/>
  <c r="AM95" i="25"/>
  <c r="BY95" i="25" s="1"/>
  <c r="AJ276" i="25"/>
  <c r="AM276" i="25"/>
  <c r="CG276" i="25" s="1"/>
  <c r="AJ171" i="25"/>
  <c r="AM171" i="25"/>
  <c r="BY171" i="25" s="1"/>
  <c r="AJ266" i="25"/>
  <c r="AM266" i="25"/>
  <c r="AM200" i="25"/>
  <c r="BY200" i="25" s="1"/>
  <c r="AJ200" i="25"/>
  <c r="AM152" i="25"/>
  <c r="BY152" i="25" s="1"/>
  <c r="AJ152" i="25"/>
  <c r="AJ89" i="25"/>
  <c r="AM89" i="25"/>
  <c r="AJ151" i="25"/>
  <c r="AM151" i="25"/>
  <c r="BY151" i="25" s="1"/>
  <c r="AS16" i="25"/>
  <c r="AJ314" i="25"/>
  <c r="AM314" i="25"/>
  <c r="CG314" i="25" s="1"/>
  <c r="AM75" i="25"/>
  <c r="BY75" i="25" s="1"/>
  <c r="AJ75" i="25"/>
  <c r="AJ165" i="25"/>
  <c r="AM165" i="25"/>
  <c r="BY165" i="25" s="1"/>
  <c r="AM150" i="25"/>
  <c r="BY150" i="25" s="1"/>
  <c r="AJ150" i="25"/>
  <c r="AM191" i="25"/>
  <c r="BY191" i="25" s="1"/>
  <c r="AJ191" i="25"/>
  <c r="AM287" i="25"/>
  <c r="CG287" i="25" s="1"/>
  <c r="AJ287" i="25"/>
  <c r="AM291" i="25"/>
  <c r="CG291" i="25" s="1"/>
  <c r="AJ291" i="25"/>
  <c r="AM84" i="25"/>
  <c r="BY84" i="25" s="1"/>
  <c r="AJ84" i="25"/>
  <c r="AM49" i="25"/>
  <c r="CG49" i="25" s="1"/>
  <c r="AJ49" i="25"/>
  <c r="AJ229" i="25"/>
  <c r="AM229" i="25"/>
  <c r="AM160" i="25"/>
  <c r="BY160" i="25" s="1"/>
  <c r="AJ160" i="25"/>
  <c r="AM128" i="25"/>
  <c r="BY128" i="25" s="1"/>
  <c r="AJ128" i="25"/>
  <c r="AJ126" i="25"/>
  <c r="AM126" i="25"/>
  <c r="BY126" i="25" s="1"/>
  <c r="AM241" i="25"/>
  <c r="CG241" i="25" s="1"/>
  <c r="AJ241" i="25"/>
  <c r="AJ28" i="25"/>
  <c r="AM28" i="25"/>
  <c r="BY28" i="25" s="1"/>
  <c r="AM208" i="25"/>
  <c r="BY208" i="25" s="1"/>
  <c r="AJ208" i="25"/>
  <c r="AJ149" i="25"/>
  <c r="AM149" i="25"/>
  <c r="BY149" i="25" s="1"/>
  <c r="AM117" i="25"/>
  <c r="AJ117" i="25"/>
  <c r="AS18" i="25"/>
  <c r="AJ72" i="25"/>
  <c r="AM72" i="25"/>
  <c r="BY72" i="25" s="1"/>
  <c r="AS34" i="25"/>
  <c r="AM71" i="25"/>
  <c r="AJ71" i="25"/>
  <c r="AM58" i="25"/>
  <c r="BY58" i="25" s="1"/>
  <c r="AJ58" i="25"/>
  <c r="AJ105" i="25"/>
  <c r="AM105" i="25"/>
  <c r="CG105" i="25" s="1"/>
  <c r="AM97" i="25"/>
  <c r="CG97" i="25" s="1"/>
  <c r="AJ97" i="25"/>
  <c r="AM277" i="25"/>
  <c r="CG277" i="25" s="1"/>
  <c r="AJ277" i="25"/>
  <c r="AJ129" i="25"/>
  <c r="AM129" i="25"/>
  <c r="BY129" i="25" s="1"/>
  <c r="AM92" i="25"/>
  <c r="CG92" i="25" s="1"/>
  <c r="AJ92" i="25"/>
  <c r="AM249" i="25"/>
  <c r="CG249" i="25" s="1"/>
  <c r="AJ249" i="25"/>
  <c r="AM32" i="25"/>
  <c r="BY32" i="25" s="1"/>
  <c r="AJ32" i="25"/>
  <c r="AJ296" i="25"/>
  <c r="AM296" i="25"/>
  <c r="CG296" i="25" s="1"/>
  <c r="AM288" i="25"/>
  <c r="CG288" i="25" s="1"/>
  <c r="AJ288" i="25"/>
  <c r="AJ114" i="25"/>
  <c r="AM114" i="25"/>
  <c r="AJ69" i="25"/>
  <c r="AM69" i="25"/>
  <c r="CG69" i="25" s="1"/>
  <c r="AJ188" i="25"/>
  <c r="AM188" i="25"/>
  <c r="BY188" i="25" s="1"/>
  <c r="AJ90" i="25"/>
  <c r="AM90" i="25"/>
  <c r="BY90" i="25" s="1"/>
  <c r="AM9" i="25"/>
  <c r="BY9" i="25" s="1"/>
  <c r="AJ9" i="25"/>
  <c r="AJ234" i="25"/>
  <c r="AM234" i="25"/>
  <c r="CG234" i="25" s="1"/>
  <c r="AJ67" i="25"/>
  <c r="AM67" i="25"/>
  <c r="CG67" i="25" s="1"/>
  <c r="AJ271" i="25"/>
  <c r="AM271" i="25"/>
  <c r="CG271" i="25" s="1"/>
  <c r="AJ10" i="25"/>
  <c r="AM10" i="25"/>
  <c r="BI10" i="25" s="1"/>
  <c r="AJ279" i="25"/>
  <c r="AM279" i="25"/>
  <c r="CG279" i="25" s="1"/>
  <c r="AJ45" i="25"/>
  <c r="AM45" i="25"/>
  <c r="CG45" i="25" s="1"/>
  <c r="AS66" i="25"/>
  <c r="AM303" i="25"/>
  <c r="CG303" i="25" s="1"/>
  <c r="AJ303" i="25"/>
  <c r="AM176" i="25"/>
  <c r="BY176" i="25" s="1"/>
  <c r="AJ176" i="25"/>
  <c r="AJ239" i="25"/>
  <c r="AM239" i="25"/>
  <c r="AJ104" i="25"/>
  <c r="AM104" i="25"/>
  <c r="CG104" i="25" s="1"/>
  <c r="AJ61" i="25"/>
  <c r="AM61" i="25"/>
  <c r="CG61" i="25" s="1"/>
  <c r="AS89" i="25"/>
  <c r="AS80" i="25"/>
  <c r="AJ258" i="25"/>
  <c r="AM258" i="25"/>
  <c r="CG258" i="25" s="1"/>
  <c r="AM120" i="25"/>
  <c r="BY120" i="25" s="1"/>
  <c r="AJ120" i="25"/>
  <c r="AJ263" i="25"/>
  <c r="AM263" i="25"/>
  <c r="AJ11" i="25"/>
  <c r="AM11" i="25"/>
  <c r="BY11" i="25" s="1"/>
  <c r="AJ115" i="25"/>
  <c r="AM115" i="25"/>
  <c r="BY115" i="25" s="1"/>
  <c r="AS19" i="25"/>
  <c r="AJ141" i="25"/>
  <c r="AM141" i="25"/>
  <c r="BY141" i="25" s="1"/>
  <c r="AM168" i="25"/>
  <c r="BY168" i="25" s="1"/>
  <c r="AJ168" i="25"/>
  <c r="AM278" i="25"/>
  <c r="CG278" i="25" s="1"/>
  <c r="AJ278" i="25"/>
  <c r="AJ302" i="25"/>
  <c r="AM302" i="25"/>
  <c r="CG302" i="25" s="1"/>
  <c r="AJ218" i="25"/>
  <c r="AM218" i="25"/>
  <c r="AJ65" i="25"/>
  <c r="AM65" i="25"/>
  <c r="BY65" i="25" s="1"/>
  <c r="AM122" i="25"/>
  <c r="BY122" i="25" s="1"/>
  <c r="AJ122" i="25"/>
  <c r="AJ285" i="25"/>
  <c r="AM285" i="25"/>
  <c r="AM144" i="25"/>
  <c r="BY144" i="25" s="1"/>
  <c r="AJ144" i="25"/>
  <c r="AM221" i="25"/>
  <c r="AJ221" i="25"/>
  <c r="AJ297" i="25"/>
  <c r="AM297" i="25"/>
  <c r="AJ181" i="25"/>
  <c r="AM181" i="25"/>
  <c r="BY181" i="25" s="1"/>
  <c r="AJ240" i="25"/>
  <c r="AM240" i="25"/>
  <c r="CG240" i="25" s="1"/>
  <c r="AM43" i="25"/>
  <c r="BY43" i="25" s="1"/>
  <c r="AJ43" i="25"/>
  <c r="AM101" i="25"/>
  <c r="CG101" i="25" s="1"/>
  <c r="AJ101" i="25"/>
  <c r="AJ223" i="25"/>
  <c r="AM223" i="25"/>
  <c r="CG223" i="25" s="1"/>
  <c r="AJ100" i="25"/>
  <c r="AM100" i="25"/>
  <c r="CG100" i="25" s="1"/>
  <c r="AS72" i="25"/>
  <c r="AJ133" i="25"/>
  <c r="AM133" i="25"/>
  <c r="AJ198" i="25"/>
  <c r="AM198" i="25"/>
  <c r="BY198" i="25" s="1"/>
  <c r="AJ177" i="25"/>
  <c r="AM177" i="25"/>
  <c r="BY177" i="25" s="1"/>
  <c r="AJ227" i="25"/>
  <c r="AM227" i="25"/>
  <c r="CG227" i="25" s="1"/>
  <c r="AM25" i="25"/>
  <c r="BY25" i="25" s="1"/>
  <c r="AJ25" i="25"/>
  <c r="AJ62" i="25"/>
  <c r="AM62" i="25"/>
  <c r="AM37" i="25"/>
  <c r="CG37" i="25" s="1"/>
  <c r="AJ37" i="25"/>
  <c r="AM289" i="25"/>
  <c r="CG289" i="25" s="1"/>
  <c r="AJ289" i="25"/>
  <c r="AM261" i="25"/>
  <c r="CG261" i="25" s="1"/>
  <c r="AJ261" i="25"/>
  <c r="AJ185" i="25"/>
  <c r="AM185" i="25"/>
  <c r="BY185" i="25" s="1"/>
  <c r="AJ119" i="25"/>
  <c r="AM119" i="25"/>
  <c r="BY119" i="25" s="1"/>
  <c r="AM24" i="25"/>
  <c r="BY24" i="25" s="1"/>
  <c r="AJ24" i="25"/>
  <c r="AJ161" i="25"/>
  <c r="AM161" i="25"/>
  <c r="BY161" i="25" s="1"/>
  <c r="AJ280" i="25"/>
  <c r="AM280" i="25"/>
  <c r="CG280" i="25" s="1"/>
  <c r="AM268" i="25"/>
  <c r="CG268" i="25" s="1"/>
  <c r="AJ268" i="25"/>
  <c r="AJ6" i="25"/>
  <c r="AM6" i="25"/>
  <c r="CG6" i="25" s="1"/>
  <c r="AJ308" i="25"/>
  <c r="AM308" i="25"/>
  <c r="CG308" i="25" s="1"/>
  <c r="AJ12" i="25"/>
  <c r="AM12" i="25"/>
  <c r="CG12" i="25" s="1"/>
  <c r="AS50" i="25"/>
  <c r="AS65" i="25"/>
  <c r="AM253" i="25"/>
  <c r="CG253" i="25" s="1"/>
  <c r="AJ253" i="25"/>
  <c r="AS75" i="25"/>
  <c r="AS84" i="25"/>
  <c r="AM79" i="25"/>
  <c r="CG79" i="25" s="1"/>
  <c r="AJ79" i="25"/>
  <c r="AM142" i="25"/>
  <c r="BY142" i="25" s="1"/>
  <c r="AJ142" i="25"/>
  <c r="AM13" i="25"/>
  <c r="AJ13" i="25"/>
  <c r="AS39" i="25"/>
  <c r="AJ148" i="25"/>
  <c r="AM148" i="25"/>
  <c r="BY148" i="25" s="1"/>
  <c r="AM36" i="25"/>
  <c r="CG36" i="25" s="1"/>
  <c r="AJ36" i="25"/>
  <c r="AJ274" i="25"/>
  <c r="AM274" i="25"/>
  <c r="CG274" i="25" s="1"/>
  <c r="AM76" i="25"/>
  <c r="CG76" i="25" s="1"/>
  <c r="AJ76" i="25"/>
  <c r="AJ267" i="25"/>
  <c r="AM267" i="25"/>
  <c r="CG267" i="25" s="1"/>
  <c r="AJ195" i="25"/>
  <c r="AM195" i="25"/>
  <c r="BY195" i="25" s="1"/>
  <c r="AJ202" i="25"/>
  <c r="AM202" i="25"/>
  <c r="BY202" i="25" s="1"/>
  <c r="AM130" i="25"/>
  <c r="BY130" i="25" s="1"/>
  <c r="AJ130" i="25"/>
  <c r="AM52" i="25"/>
  <c r="AJ52" i="25"/>
  <c r="AJ179" i="25"/>
  <c r="AM179" i="25"/>
  <c r="BY179" i="25" s="1"/>
  <c r="AJ145" i="25"/>
  <c r="AM145" i="25"/>
  <c r="BY145" i="25" s="1"/>
  <c r="AM46" i="25"/>
  <c r="BY46" i="25" s="1"/>
  <c r="AJ46" i="25"/>
  <c r="AJ183" i="25"/>
  <c r="AM183" i="25"/>
  <c r="BY183" i="25" s="1"/>
  <c r="AJ47" i="25"/>
  <c r="AM47" i="25"/>
  <c r="CG47" i="25" s="1"/>
  <c r="AM19" i="25"/>
  <c r="BI19" i="25" s="1"/>
  <c r="AJ19" i="25"/>
  <c r="AM23" i="25"/>
  <c r="BW23" i="25" s="1"/>
  <c r="AJ23" i="25"/>
  <c r="AJ197" i="25"/>
  <c r="AM197" i="25"/>
  <c r="BY197" i="25" s="1"/>
  <c r="AJ140" i="25"/>
  <c r="AM140" i="25"/>
  <c r="BY140" i="25" s="1"/>
  <c r="AM154" i="25"/>
  <c r="BY154" i="25" s="1"/>
  <c r="AJ154" i="25"/>
  <c r="AJ281" i="25"/>
  <c r="AM281" i="25"/>
  <c r="CG281" i="25" s="1"/>
  <c r="AM187" i="25"/>
  <c r="BY187" i="25" s="1"/>
  <c r="AJ187" i="25"/>
  <c r="AJ247" i="25"/>
  <c r="AM247" i="25"/>
  <c r="CG247" i="25" s="1"/>
  <c r="AS95" i="25"/>
  <c r="AJ169" i="25"/>
  <c r="AM169" i="25"/>
  <c r="BY169" i="25" s="1"/>
  <c r="AM137" i="25"/>
  <c r="AJ137" i="25"/>
  <c r="AS99" i="25"/>
  <c r="AM60" i="25"/>
  <c r="BY60" i="25" s="1"/>
  <c r="AJ60" i="25"/>
  <c r="AJ220" i="25"/>
  <c r="AM220" i="25"/>
  <c r="AM96" i="25"/>
  <c r="CG96" i="25" s="1"/>
  <c r="AJ96" i="25"/>
  <c r="AJ246" i="25"/>
  <c r="AM246" i="25"/>
  <c r="CG246" i="25" s="1"/>
  <c r="AM54" i="25"/>
  <c r="CG54" i="25" s="1"/>
  <c r="AJ54" i="25"/>
  <c r="AJ83" i="25"/>
  <c r="AM83" i="25"/>
  <c r="CG83" i="25" s="1"/>
  <c r="AJ307" i="25"/>
  <c r="AM307" i="25"/>
  <c r="CG307" i="25" s="1"/>
  <c r="AJ236" i="25"/>
  <c r="AM236" i="25"/>
  <c r="CG236" i="25" s="1"/>
  <c r="AM192" i="25"/>
  <c r="BY192" i="25" s="1"/>
  <c r="AJ192" i="25"/>
  <c r="AJ305" i="25"/>
  <c r="AM305" i="25"/>
  <c r="CG305" i="25" s="1"/>
  <c r="AM203" i="25"/>
  <c r="BY203" i="25" s="1"/>
  <c r="AJ203" i="25"/>
  <c r="AJ284" i="25"/>
  <c r="AM284" i="25"/>
  <c r="CG284" i="25" s="1"/>
  <c r="AJ256" i="25"/>
  <c r="AM256" i="25"/>
  <c r="CG256" i="25" s="1"/>
  <c r="AJ125" i="25"/>
  <c r="AM125" i="25"/>
  <c r="BY125" i="25" s="1"/>
  <c r="AJ21" i="25"/>
  <c r="AM21" i="25"/>
  <c r="CG21" i="25" s="1"/>
  <c r="AJ306" i="25"/>
  <c r="AM306" i="25"/>
  <c r="CG306" i="25" s="1"/>
  <c r="AJ40" i="25"/>
  <c r="AM40" i="25"/>
  <c r="AM283" i="25"/>
  <c r="CG283" i="25" s="1"/>
  <c r="AJ283" i="25"/>
  <c r="AS74" i="25"/>
  <c r="AJ167" i="25"/>
  <c r="AM167" i="25"/>
  <c r="BY167" i="25" s="1"/>
  <c r="AM86" i="25"/>
  <c r="CG86" i="25" s="1"/>
  <c r="AJ86" i="25"/>
  <c r="AJ316" i="25"/>
  <c r="AM316" i="25"/>
  <c r="CG316" i="25" s="1"/>
  <c r="AM8" i="25"/>
  <c r="BY8" i="25" s="1"/>
  <c r="AJ8" i="25"/>
  <c r="AM201" i="25"/>
  <c r="BY201" i="25" s="1"/>
  <c r="AJ201" i="25"/>
  <c r="AJ235" i="25"/>
  <c r="AM235" i="25"/>
  <c r="AM118" i="25"/>
  <c r="BY118" i="25" s="1"/>
  <c r="AJ118" i="25"/>
  <c r="AM207" i="25"/>
  <c r="BY207" i="25" s="1"/>
  <c r="AJ207" i="25"/>
  <c r="AJ226" i="25"/>
  <c r="AM226" i="25"/>
  <c r="AJ48" i="25"/>
  <c r="AM48" i="25"/>
  <c r="CG48" i="25" s="1"/>
  <c r="AJ209" i="25"/>
  <c r="AM209" i="25"/>
  <c r="BY209" i="25" s="1"/>
  <c r="AJ243" i="25"/>
  <c r="AM243" i="25"/>
  <c r="CG243" i="25" s="1"/>
  <c r="AM230" i="25"/>
  <c r="CG230" i="25" s="1"/>
  <c r="AJ230" i="25"/>
  <c r="AM88" i="25"/>
  <c r="AJ88" i="25"/>
  <c r="AM199" i="25"/>
  <c r="BY199" i="25" s="1"/>
  <c r="AJ199" i="25"/>
  <c r="AM30" i="25"/>
  <c r="BY30" i="25" s="1"/>
  <c r="AJ30" i="25"/>
  <c r="AJ248" i="25"/>
  <c r="AM248" i="25"/>
  <c r="AM68" i="25"/>
  <c r="AJ68" i="25"/>
  <c r="AM82" i="25"/>
  <c r="CG82" i="25" s="1"/>
  <c r="AJ82" i="25"/>
  <c r="AM73" i="25"/>
  <c r="CG73" i="25" s="1"/>
  <c r="AJ73" i="25"/>
  <c r="AM190" i="25"/>
  <c r="BY190" i="25" s="1"/>
  <c r="AJ190" i="25"/>
  <c r="AJ238" i="25"/>
  <c r="AM238" i="25"/>
  <c r="CG238" i="25" s="1"/>
  <c r="AJ172" i="25"/>
  <c r="AM172" i="25"/>
  <c r="BY172" i="25" s="1"/>
  <c r="AM298" i="25"/>
  <c r="CG298" i="25" s="1"/>
  <c r="AJ298" i="25"/>
  <c r="AJ163" i="25"/>
  <c r="AM163" i="25"/>
  <c r="BY163" i="25" s="1"/>
  <c r="AM255" i="25"/>
  <c r="CG255" i="25" s="1"/>
  <c r="AJ255" i="25"/>
  <c r="AM134" i="25"/>
  <c r="BY134" i="25" s="1"/>
  <c r="AJ134" i="25"/>
  <c r="AJ299" i="25"/>
  <c r="AM299" i="25"/>
  <c r="CG299" i="25" s="1"/>
  <c r="AJ175" i="25"/>
  <c r="AM175" i="25"/>
  <c r="BY175" i="25" s="1"/>
  <c r="AM225" i="25"/>
  <c r="CG225" i="25" s="1"/>
  <c r="AJ225" i="25"/>
  <c r="AM237" i="25"/>
  <c r="AJ237" i="25"/>
  <c r="AJ205" i="25"/>
  <c r="AM205" i="25"/>
  <c r="BY205" i="25" s="1"/>
  <c r="AM147" i="25"/>
  <c r="BY147" i="25" s="1"/>
  <c r="AJ147" i="25"/>
  <c r="AS55" i="25"/>
  <c r="AS32" i="25"/>
  <c r="AJ262" i="25"/>
  <c r="AM262" i="25"/>
  <c r="CG262" i="25" s="1"/>
  <c r="AS7" i="25"/>
  <c r="AM146" i="25"/>
  <c r="BY146" i="25" s="1"/>
  <c r="AJ146" i="25"/>
  <c r="AM77" i="25"/>
  <c r="AJ77" i="25"/>
  <c r="AM63" i="25"/>
  <c r="AJ63" i="25"/>
  <c r="AJ27" i="25"/>
  <c r="AM27" i="25"/>
  <c r="BY27" i="25" s="1"/>
  <c r="AJ80" i="25"/>
  <c r="AM80" i="25"/>
  <c r="BY80" i="25" s="1"/>
  <c r="AM301" i="25"/>
  <c r="CG301" i="25" s="1"/>
  <c r="AJ301" i="25"/>
  <c r="AJ231" i="25"/>
  <c r="AM231" i="25"/>
  <c r="AM50" i="25"/>
  <c r="BY50" i="25" s="1"/>
  <c r="AJ50" i="25"/>
  <c r="AJ304" i="25"/>
  <c r="AM304" i="25"/>
  <c r="CG304" i="25" s="1"/>
  <c r="AM33" i="25"/>
  <c r="BY33" i="25" s="1"/>
  <c r="AJ33" i="25"/>
  <c r="AM124" i="25"/>
  <c r="AJ124" i="25"/>
  <c r="AM300" i="25"/>
  <c r="CG300" i="25" s="1"/>
  <c r="AJ300" i="25"/>
  <c r="AM232" i="25"/>
  <c r="AJ232" i="25"/>
  <c r="AM123" i="25"/>
  <c r="BY123" i="25" s="1"/>
  <c r="AJ123" i="25"/>
  <c r="AJ164" i="25"/>
  <c r="AM164" i="25"/>
  <c r="BY164" i="25" s="1"/>
  <c r="AM219" i="25"/>
  <c r="AJ219" i="25"/>
  <c r="AJ91" i="25"/>
  <c r="AM91" i="25"/>
  <c r="AJ312" i="25"/>
  <c r="AM312" i="25"/>
  <c r="CG312" i="25" s="1"/>
  <c r="AJ193" i="25"/>
  <c r="AM193" i="25"/>
  <c r="BY193" i="25" s="1"/>
  <c r="AS85" i="25"/>
  <c r="AS77" i="25"/>
  <c r="AJ206" i="25"/>
  <c r="AM206" i="25"/>
  <c r="BY206" i="25" s="1"/>
  <c r="AM294" i="25"/>
  <c r="CG294" i="25" s="1"/>
  <c r="AJ294" i="25"/>
  <c r="AM292" i="25"/>
  <c r="CG292" i="25" s="1"/>
  <c r="AJ292" i="25"/>
  <c r="AM42" i="25"/>
  <c r="CG42" i="25" s="1"/>
  <c r="AJ42" i="25"/>
  <c r="AJ44" i="25"/>
  <c r="AM44" i="25"/>
  <c r="CG44" i="25" s="1"/>
  <c r="AM94" i="25"/>
  <c r="CG94" i="25" s="1"/>
  <c r="AJ94" i="25"/>
  <c r="AM315" i="25"/>
  <c r="AJ315" i="25"/>
  <c r="AJ111" i="25"/>
  <c r="AM111" i="25"/>
  <c r="BY111" i="25" s="1"/>
  <c r="AM204" i="25"/>
  <c r="BY204" i="25" s="1"/>
  <c r="AJ204" i="25"/>
  <c r="AJ132" i="25"/>
  <c r="AM132" i="25"/>
  <c r="BY132" i="25" s="1"/>
  <c r="AK74" i="24"/>
  <c r="AK83" i="24"/>
  <c r="AT10" i="24"/>
  <c r="AT36" i="24"/>
  <c r="AT78" i="24"/>
  <c r="AT95" i="24"/>
  <c r="AT104" i="24"/>
  <c r="AT27" i="24"/>
  <c r="AK292" i="24"/>
  <c r="AK315" i="24"/>
  <c r="AK245" i="24"/>
  <c r="AK304" i="24"/>
  <c r="AK180" i="24"/>
  <c r="AN180" i="24"/>
  <c r="AK197" i="24"/>
  <c r="AN197" i="24"/>
  <c r="BJ197" i="24" s="1"/>
  <c r="AN175" i="24"/>
  <c r="CF175" i="24" s="1"/>
  <c r="AK175" i="24"/>
  <c r="AK178" i="24"/>
  <c r="AN178" i="24"/>
  <c r="AK127" i="24"/>
  <c r="AN127" i="24"/>
  <c r="BV127" i="24" s="1"/>
  <c r="AK200" i="24"/>
  <c r="AN200" i="24"/>
  <c r="AK124" i="24"/>
  <c r="AN124" i="24"/>
  <c r="AK138" i="24"/>
  <c r="AN138" i="24"/>
  <c r="CF138" i="24" s="1"/>
  <c r="AK129" i="24"/>
  <c r="AN129" i="24"/>
  <c r="AN135" i="24"/>
  <c r="CF135" i="24" s="1"/>
  <c r="AK135" i="24"/>
  <c r="AK173" i="24"/>
  <c r="AN173" i="24"/>
  <c r="AK118" i="24"/>
  <c r="AN118" i="24"/>
  <c r="AN164" i="24"/>
  <c r="AK164" i="24"/>
  <c r="AK121" i="24"/>
  <c r="AN121" i="24"/>
  <c r="BV121" i="24" s="1"/>
  <c r="AK202" i="24"/>
  <c r="AN202" i="24"/>
  <c r="AN300" i="24"/>
  <c r="AN111" i="24"/>
  <c r="AX111" i="24" s="1"/>
  <c r="AK111" i="24"/>
  <c r="AK160" i="24"/>
  <c r="AN160" i="24"/>
  <c r="AN126" i="24"/>
  <c r="AK126" i="24"/>
  <c r="AN140" i="24"/>
  <c r="AK140" i="24"/>
  <c r="AN292" i="24"/>
  <c r="AK316" i="24"/>
  <c r="AK230" i="24"/>
  <c r="AN316" i="24"/>
  <c r="AN245" i="24"/>
  <c r="CF245" i="24" s="1"/>
  <c r="AN315" i="24"/>
  <c r="CF315" i="24" s="1"/>
  <c r="AN222" i="24"/>
  <c r="AK222" i="24"/>
  <c r="AK224" i="24"/>
  <c r="AN224" i="24"/>
  <c r="CF224" i="24" s="1"/>
  <c r="AN216" i="24"/>
  <c r="AK216" i="24"/>
  <c r="AN247" i="24"/>
  <c r="AK247" i="24"/>
  <c r="AK264" i="24"/>
  <c r="AN264" i="24"/>
  <c r="AK285" i="24"/>
  <c r="AN285" i="24"/>
  <c r="CF285" i="24" s="1"/>
  <c r="AK221" i="24"/>
  <c r="AN221" i="24"/>
  <c r="AK250" i="24"/>
  <c r="AN250" i="24"/>
  <c r="CF250" i="24" s="1"/>
  <c r="AK307" i="24"/>
  <c r="AN307" i="24"/>
  <c r="CF307" i="24" s="1"/>
  <c r="AK235" i="24"/>
  <c r="AN235" i="24"/>
  <c r="AN223" i="24"/>
  <c r="AK223" i="24"/>
  <c r="AN302" i="24"/>
  <c r="CF302" i="24" s="1"/>
  <c r="AK302" i="24"/>
  <c r="AK266" i="24"/>
  <c r="AN266" i="24"/>
  <c r="AN274" i="24"/>
  <c r="CF274" i="24" s="1"/>
  <c r="AK274" i="24"/>
  <c r="AK275" i="24"/>
  <c r="AN275" i="24"/>
  <c r="CF275" i="24" s="1"/>
  <c r="AN297" i="24"/>
  <c r="AK297" i="24"/>
  <c r="AN279" i="24"/>
  <c r="CF279" i="24" s="1"/>
  <c r="AK279" i="24"/>
  <c r="AN259" i="24"/>
  <c r="CF259" i="24" s="1"/>
  <c r="AK259" i="24"/>
  <c r="AK236" i="24"/>
  <c r="AN236" i="24"/>
  <c r="CF236" i="24" s="1"/>
  <c r="AN288" i="24"/>
  <c r="AK288" i="24"/>
  <c r="AK256" i="24"/>
  <c r="AN256" i="24"/>
  <c r="CF256" i="24" s="1"/>
  <c r="AK258" i="24"/>
  <c r="AN258" i="24"/>
  <c r="AK233" i="24"/>
  <c r="AN233" i="24"/>
  <c r="CF233" i="24" s="1"/>
  <c r="AN314" i="24"/>
  <c r="CF314" i="24" s="1"/>
  <c r="AK273" i="24"/>
  <c r="AN273" i="24"/>
  <c r="CF273" i="24" s="1"/>
  <c r="AN243" i="24"/>
  <c r="AK243" i="24"/>
  <c r="AN220" i="24"/>
  <c r="AK220" i="24"/>
  <c r="AN228" i="24"/>
  <c r="AK228" i="24"/>
  <c r="AK229" i="24"/>
  <c r="AN229" i="24"/>
  <c r="AK310" i="24"/>
  <c r="AN310" i="24"/>
  <c r="AN287" i="24"/>
  <c r="CF287" i="24" s="1"/>
  <c r="AK287" i="24"/>
  <c r="AN218" i="24"/>
  <c r="AK218" i="24"/>
  <c r="AK294" i="24"/>
  <c r="AN294" i="24"/>
  <c r="CF294" i="24" s="1"/>
  <c r="AK271" i="24"/>
  <c r="AN271" i="24"/>
  <c r="AK227" i="24"/>
  <c r="AN227" i="24"/>
  <c r="CF227" i="24" s="1"/>
  <c r="AN251" i="24"/>
  <c r="CF251" i="24" s="1"/>
  <c r="AK251" i="24"/>
  <c r="AN293" i="24"/>
  <c r="CF293" i="24" s="1"/>
  <c r="AK293" i="24"/>
  <c r="AK241" i="24"/>
  <c r="AN241" i="24"/>
  <c r="AK219" i="24"/>
  <c r="AN219" i="24"/>
  <c r="CF219" i="24" s="1"/>
  <c r="AK234" i="24"/>
  <c r="AN234" i="24"/>
  <c r="CF234" i="24" s="1"/>
  <c r="AK254" i="24"/>
  <c r="AN254" i="24"/>
  <c r="AN286" i="24"/>
  <c r="CF286" i="24" s="1"/>
  <c r="AK286" i="24"/>
  <c r="AK300" i="24"/>
  <c r="AK309" i="24"/>
  <c r="AN309" i="24"/>
  <c r="CF309" i="24" s="1"/>
  <c r="AK303" i="24"/>
  <c r="AN303" i="24"/>
  <c r="CF303" i="24" s="1"/>
  <c r="AN301" i="24"/>
  <c r="AK301" i="24"/>
  <c r="AN268" i="24"/>
  <c r="CF268" i="24" s="1"/>
  <c r="AK268" i="24"/>
  <c r="AK239" i="24"/>
  <c r="AN239" i="24"/>
  <c r="AK240" i="24"/>
  <c r="AN240" i="24"/>
  <c r="CF240" i="24" s="1"/>
  <c r="AN304" i="24"/>
  <c r="CF304" i="24" s="1"/>
  <c r="AK314" i="24"/>
  <c r="AN272" i="24"/>
  <c r="AK272" i="24"/>
  <c r="AN230" i="24"/>
  <c r="CF230" i="24" s="1"/>
  <c r="BQ106" i="19"/>
  <c r="BY71" i="25" l="1"/>
  <c r="CG71" i="25"/>
  <c r="BY114" i="25"/>
  <c r="CG114" i="25"/>
  <c r="BI77" i="25"/>
  <c r="CG77" i="25"/>
  <c r="BY124" i="25"/>
  <c r="CG124" i="25"/>
  <c r="BY133" i="25"/>
  <c r="CG133" i="25"/>
  <c r="Y212" i="24"/>
  <c r="AE212" i="24"/>
  <c r="X212" i="24"/>
  <c r="AA212" i="24" s="1"/>
  <c r="AB212" i="24" s="1"/>
  <c r="AC212" i="24" s="1"/>
  <c r="AI212" i="24"/>
  <c r="BY62" i="25"/>
  <c r="CG62" i="25"/>
  <c r="BY13" i="25"/>
  <c r="CG13" i="25"/>
  <c r="BY117" i="25"/>
  <c r="CG117" i="25"/>
  <c r="BW57" i="25"/>
  <c r="CG57" i="25"/>
  <c r="BY137" i="25"/>
  <c r="CG137" i="25"/>
  <c r="BY131" i="25"/>
  <c r="CG131" i="25"/>
  <c r="AX100" i="24"/>
  <c r="CF100" i="24"/>
  <c r="BY88" i="25"/>
  <c r="CG88" i="25"/>
  <c r="BX158" i="24"/>
  <c r="CF158" i="24"/>
  <c r="AK306" i="24"/>
  <c r="BY91" i="25"/>
  <c r="CG91" i="25"/>
  <c r="BY162" i="25"/>
  <c r="CG162" i="25"/>
  <c r="BY56" i="25"/>
  <c r="CG56" i="25"/>
  <c r="BY68" i="25"/>
  <c r="CG68" i="25"/>
  <c r="BY31" i="25"/>
  <c r="CG31" i="25"/>
  <c r="BY52" i="25"/>
  <c r="CG52" i="25"/>
  <c r="BY40" i="25"/>
  <c r="CG40" i="25"/>
  <c r="BY63" i="25"/>
  <c r="CG63" i="25"/>
  <c r="BW89" i="25"/>
  <c r="CG89" i="25"/>
  <c r="BY135" i="25"/>
  <c r="CG135" i="25"/>
  <c r="BY100" i="25"/>
  <c r="BY79" i="25"/>
  <c r="BY34" i="25"/>
  <c r="BY64" i="25"/>
  <c r="BY104" i="25"/>
  <c r="BY20" i="25"/>
  <c r="BY51" i="25"/>
  <c r="BY7" i="25"/>
  <c r="BY48" i="25"/>
  <c r="BY70" i="25"/>
  <c r="BY83" i="25"/>
  <c r="BY105" i="25"/>
  <c r="BY87" i="25"/>
  <c r="BY53" i="25"/>
  <c r="BY94" i="25"/>
  <c r="BY96" i="25"/>
  <c r="BY54" i="25"/>
  <c r="BY26" i="25"/>
  <c r="BY67" i="25"/>
  <c r="BY10" i="25"/>
  <c r="BY14" i="25"/>
  <c r="BY17" i="25"/>
  <c r="BY57" i="25"/>
  <c r="BY101" i="25"/>
  <c r="BY21" i="25"/>
  <c r="BY92" i="25"/>
  <c r="BY49" i="25"/>
  <c r="BY45" i="25"/>
  <c r="BY93" i="25"/>
  <c r="BY19" i="25"/>
  <c r="BY85" i="25"/>
  <c r="BY103" i="25"/>
  <c r="BY102" i="25"/>
  <c r="BY38" i="25"/>
  <c r="BY77" i="25"/>
  <c r="BY61" i="25"/>
  <c r="BY47" i="25"/>
  <c r="BY29" i="25"/>
  <c r="BY89" i="25"/>
  <c r="BY37" i="25"/>
  <c r="BY78" i="25"/>
  <c r="BY42" i="25"/>
  <c r="BY76" i="25"/>
  <c r="BY6" i="25"/>
  <c r="BY18" i="25"/>
  <c r="BY99" i="25"/>
  <c r="BY86" i="25"/>
  <c r="BY44" i="25"/>
  <c r="BY97" i="25"/>
  <c r="BY12" i="25"/>
  <c r="BY81" i="25"/>
  <c r="BY173" i="25"/>
  <c r="BY73" i="25"/>
  <c r="BY36" i="25"/>
  <c r="BY16" i="25"/>
  <c r="BY23" i="25"/>
  <c r="BY69" i="25"/>
  <c r="BY59" i="25"/>
  <c r="BY82" i="25"/>
  <c r="BY66" i="25"/>
  <c r="BX151" i="24"/>
  <c r="CG206" i="25"/>
  <c r="BI206" i="25"/>
  <c r="BW206" i="25"/>
  <c r="BJ206" i="25"/>
  <c r="BK206" i="25"/>
  <c r="CG193" i="25"/>
  <c r="BJ193" i="25"/>
  <c r="BK193" i="25"/>
  <c r="BI193" i="25"/>
  <c r="BW193" i="25"/>
  <c r="CG164" i="25"/>
  <c r="BK164" i="25"/>
  <c r="BJ164" i="25"/>
  <c r="BW164" i="25"/>
  <c r="BI164" i="25"/>
  <c r="CG147" i="25"/>
  <c r="BI147" i="25"/>
  <c r="BJ147" i="25"/>
  <c r="BW147" i="25"/>
  <c r="BK147" i="25"/>
  <c r="CG134" i="25"/>
  <c r="BJ134" i="25"/>
  <c r="BW134" i="25"/>
  <c r="BK134" i="25"/>
  <c r="BI134" i="25"/>
  <c r="CG190" i="25"/>
  <c r="BI190" i="25"/>
  <c r="BW190" i="25"/>
  <c r="BJ190" i="25"/>
  <c r="BK190" i="25"/>
  <c r="CG199" i="25"/>
  <c r="BI199" i="25"/>
  <c r="BJ199" i="25"/>
  <c r="BW199" i="25"/>
  <c r="BK199" i="25"/>
  <c r="BI118" i="25"/>
  <c r="BW118" i="25"/>
  <c r="BJ118" i="25"/>
  <c r="BK118" i="25"/>
  <c r="CG201" i="25"/>
  <c r="BW201" i="25"/>
  <c r="BI201" i="25"/>
  <c r="BJ201" i="25"/>
  <c r="BK201" i="25"/>
  <c r="BJ137" i="25"/>
  <c r="BW137" i="25"/>
  <c r="BI137" i="25"/>
  <c r="BK137" i="25"/>
  <c r="CG140" i="25"/>
  <c r="BJ140" i="25"/>
  <c r="BW140" i="25"/>
  <c r="BK140" i="25"/>
  <c r="BI140" i="25"/>
  <c r="CG179" i="25"/>
  <c r="BI179" i="25"/>
  <c r="BW179" i="25"/>
  <c r="BJ179" i="25"/>
  <c r="BK179" i="25"/>
  <c r="CG195" i="25"/>
  <c r="BK195" i="25"/>
  <c r="BI195" i="25"/>
  <c r="BJ195" i="25"/>
  <c r="BW195" i="25"/>
  <c r="CG142" i="25"/>
  <c r="BI142" i="25"/>
  <c r="BW142" i="25"/>
  <c r="BJ142" i="25"/>
  <c r="BK142" i="25"/>
  <c r="CG181" i="25"/>
  <c r="BJ181" i="25"/>
  <c r="BW181" i="25"/>
  <c r="BK181" i="25"/>
  <c r="BI181" i="25"/>
  <c r="BI120" i="25"/>
  <c r="BK120" i="25"/>
  <c r="BJ120" i="25"/>
  <c r="BW120" i="25"/>
  <c r="CG176" i="25"/>
  <c r="BJ176" i="25"/>
  <c r="BK176" i="25"/>
  <c r="BI176" i="25"/>
  <c r="BW176" i="25"/>
  <c r="CG188" i="25"/>
  <c r="BI188" i="25"/>
  <c r="BK188" i="25"/>
  <c r="BJ188" i="25"/>
  <c r="BW188" i="25"/>
  <c r="BI114" i="25"/>
  <c r="BW114" i="25"/>
  <c r="BK114" i="25"/>
  <c r="BJ114" i="25"/>
  <c r="CG129" i="25"/>
  <c r="BK129" i="25"/>
  <c r="BJ129" i="25"/>
  <c r="BW129" i="25"/>
  <c r="BI129" i="25"/>
  <c r="CG200" i="25"/>
  <c r="BI200" i="25"/>
  <c r="BK200" i="25"/>
  <c r="BJ200" i="25"/>
  <c r="BW200" i="25"/>
  <c r="CG166" i="25"/>
  <c r="BK166" i="25"/>
  <c r="BW166" i="25"/>
  <c r="BI166" i="25"/>
  <c r="BJ166" i="25"/>
  <c r="CG196" i="25"/>
  <c r="BK196" i="25"/>
  <c r="BI196" i="25"/>
  <c r="BJ196" i="25"/>
  <c r="BW196" i="25"/>
  <c r="CG170" i="25"/>
  <c r="BJ170" i="25"/>
  <c r="BW170" i="25"/>
  <c r="BK170" i="25"/>
  <c r="BI170" i="25"/>
  <c r="BJ131" i="25"/>
  <c r="BK131" i="25"/>
  <c r="BI131" i="25"/>
  <c r="BW131" i="25"/>
  <c r="CG139" i="25"/>
  <c r="BW139" i="25"/>
  <c r="BI139" i="25"/>
  <c r="BJ139" i="25"/>
  <c r="BK139" i="25"/>
  <c r="CG180" i="25"/>
  <c r="BJ180" i="25"/>
  <c r="BK180" i="25"/>
  <c r="BW180" i="25"/>
  <c r="BI180" i="25"/>
  <c r="BK113" i="25"/>
  <c r="BJ113" i="25"/>
  <c r="BW113" i="25"/>
  <c r="BI113" i="25"/>
  <c r="CG116" i="25"/>
  <c r="BK116" i="25"/>
  <c r="BI116" i="25"/>
  <c r="BW116" i="25"/>
  <c r="BJ116" i="25"/>
  <c r="CG156" i="25"/>
  <c r="BK156" i="25"/>
  <c r="BJ156" i="25"/>
  <c r="BW156" i="25"/>
  <c r="BI156" i="25"/>
  <c r="CG204" i="25"/>
  <c r="BI204" i="25"/>
  <c r="BJ204" i="25"/>
  <c r="BW204" i="25"/>
  <c r="BK204" i="25"/>
  <c r="BJ124" i="25"/>
  <c r="BW124" i="25"/>
  <c r="BK124" i="25"/>
  <c r="BI124" i="25"/>
  <c r="CG146" i="25"/>
  <c r="BI146" i="25"/>
  <c r="BJ146" i="25"/>
  <c r="BK146" i="25"/>
  <c r="BW146" i="25"/>
  <c r="CG205" i="25"/>
  <c r="BI205" i="25"/>
  <c r="BJ205" i="25"/>
  <c r="BW205" i="25"/>
  <c r="BK205" i="25"/>
  <c r="CG203" i="25"/>
  <c r="BI203" i="25"/>
  <c r="BW203" i="25"/>
  <c r="BJ203" i="25"/>
  <c r="BK203" i="25"/>
  <c r="CG192" i="25"/>
  <c r="BI192" i="25"/>
  <c r="BJ192" i="25"/>
  <c r="BW192" i="25"/>
  <c r="BK192" i="25"/>
  <c r="CG169" i="25"/>
  <c r="BJ169" i="25"/>
  <c r="BK169" i="25"/>
  <c r="BI169" i="25"/>
  <c r="BW169" i="25"/>
  <c r="CG130" i="25"/>
  <c r="BI130" i="25"/>
  <c r="BJ130" i="25"/>
  <c r="BW130" i="25"/>
  <c r="BK130" i="25"/>
  <c r="CG185" i="25"/>
  <c r="BK185" i="25"/>
  <c r="BI185" i="25"/>
  <c r="BJ185" i="25"/>
  <c r="BW185" i="25"/>
  <c r="CG198" i="25"/>
  <c r="BI198" i="25"/>
  <c r="BJ198" i="25"/>
  <c r="BW198" i="25"/>
  <c r="BK198" i="25"/>
  <c r="CG168" i="25"/>
  <c r="BI168" i="25"/>
  <c r="BJ168" i="25"/>
  <c r="BK168" i="25"/>
  <c r="BW168" i="25"/>
  <c r="CG115" i="25"/>
  <c r="BI115" i="25"/>
  <c r="BJ115" i="25"/>
  <c r="BW115" i="25"/>
  <c r="BK115" i="25"/>
  <c r="BI117" i="25"/>
  <c r="BJ117" i="25"/>
  <c r="BK117" i="25"/>
  <c r="BW117" i="25"/>
  <c r="CG208" i="25"/>
  <c r="BJ208" i="25"/>
  <c r="BI208" i="25"/>
  <c r="BK208" i="25"/>
  <c r="BW208" i="25"/>
  <c r="CG128" i="25"/>
  <c r="BK128" i="25"/>
  <c r="BI128" i="25"/>
  <c r="BW128" i="25"/>
  <c r="BJ128" i="25"/>
  <c r="CG150" i="25"/>
  <c r="BJ150" i="25"/>
  <c r="BK150" i="25"/>
  <c r="BW150" i="25"/>
  <c r="BI150" i="25"/>
  <c r="CG151" i="25"/>
  <c r="BI151" i="25"/>
  <c r="BW151" i="25"/>
  <c r="BJ151" i="25"/>
  <c r="BK151" i="25"/>
  <c r="CG184" i="25"/>
  <c r="BK184" i="25"/>
  <c r="BW184" i="25"/>
  <c r="BJ184" i="25"/>
  <c r="BI184" i="25"/>
  <c r="CG186" i="25"/>
  <c r="BK186" i="25"/>
  <c r="BW186" i="25"/>
  <c r="BI186" i="25"/>
  <c r="BJ186" i="25"/>
  <c r="CG194" i="25"/>
  <c r="BK194" i="25"/>
  <c r="BW194" i="25"/>
  <c r="BI194" i="25"/>
  <c r="BJ194" i="25"/>
  <c r="CG210" i="25"/>
  <c r="BI210" i="25"/>
  <c r="BW210" i="25"/>
  <c r="BJ210" i="25"/>
  <c r="BK210" i="25"/>
  <c r="CG157" i="25"/>
  <c r="BI157" i="25"/>
  <c r="BJ157" i="25"/>
  <c r="BK157" i="25"/>
  <c r="BW157" i="25"/>
  <c r="CG174" i="25"/>
  <c r="BI174" i="25"/>
  <c r="BK174" i="25"/>
  <c r="BJ174" i="25"/>
  <c r="BW174" i="25"/>
  <c r="CG132" i="25"/>
  <c r="BI132" i="25"/>
  <c r="BJ132" i="25"/>
  <c r="BK132" i="25"/>
  <c r="BW132" i="25"/>
  <c r="CG111" i="25"/>
  <c r="BI111" i="25"/>
  <c r="BW111" i="25"/>
  <c r="BJ111" i="25"/>
  <c r="BK111" i="25"/>
  <c r="CG207" i="25"/>
  <c r="BI207" i="25"/>
  <c r="BK207" i="25"/>
  <c r="BW207" i="25"/>
  <c r="BJ207" i="25"/>
  <c r="CG125" i="25"/>
  <c r="BK125" i="25"/>
  <c r="BJ125" i="25"/>
  <c r="BW125" i="25"/>
  <c r="BI125" i="25"/>
  <c r="CG197" i="25"/>
  <c r="BK197" i="25"/>
  <c r="BW197" i="25"/>
  <c r="BJ197" i="25"/>
  <c r="BI197" i="25"/>
  <c r="CG183" i="25"/>
  <c r="BJ183" i="25"/>
  <c r="BK183" i="25"/>
  <c r="BI183" i="25"/>
  <c r="BW183" i="25"/>
  <c r="CG145" i="25"/>
  <c r="BK145" i="25"/>
  <c r="BI145" i="25"/>
  <c r="BJ145" i="25"/>
  <c r="BW145" i="25"/>
  <c r="CG202" i="25"/>
  <c r="BI202" i="25"/>
  <c r="BJ202" i="25"/>
  <c r="BW202" i="25"/>
  <c r="BK202" i="25"/>
  <c r="CG148" i="25"/>
  <c r="BK148" i="25"/>
  <c r="BI148" i="25"/>
  <c r="BW148" i="25"/>
  <c r="BJ148" i="25"/>
  <c r="CG141" i="25"/>
  <c r="BK141" i="25"/>
  <c r="BI141" i="25"/>
  <c r="BJ141" i="25"/>
  <c r="BW141" i="25"/>
  <c r="CG149" i="25"/>
  <c r="BK149" i="25"/>
  <c r="BW149" i="25"/>
  <c r="BI149" i="25"/>
  <c r="BJ149" i="25"/>
  <c r="CG126" i="25"/>
  <c r="BI126" i="25"/>
  <c r="BW126" i="25"/>
  <c r="BJ126" i="25"/>
  <c r="BK126" i="25"/>
  <c r="CG165" i="25"/>
  <c r="BJ165" i="25"/>
  <c r="BW165" i="25"/>
  <c r="BI165" i="25"/>
  <c r="BK165" i="25"/>
  <c r="CG152" i="25"/>
  <c r="BI152" i="25"/>
  <c r="BW152" i="25"/>
  <c r="BJ152" i="25"/>
  <c r="BK152" i="25"/>
  <c r="CG158" i="25"/>
  <c r="BK158" i="25"/>
  <c r="BW158" i="25"/>
  <c r="BI158" i="25"/>
  <c r="BJ158" i="25"/>
  <c r="CG121" i="25"/>
  <c r="BJ121" i="25"/>
  <c r="BK121" i="25"/>
  <c r="BI121" i="25"/>
  <c r="BW121" i="25"/>
  <c r="CG143" i="25"/>
  <c r="BI143" i="25"/>
  <c r="BJ143" i="25"/>
  <c r="BW143" i="25"/>
  <c r="BK143" i="25"/>
  <c r="CG136" i="25"/>
  <c r="BJ136" i="25"/>
  <c r="BW136" i="25"/>
  <c r="BI136" i="25"/>
  <c r="BK136" i="25"/>
  <c r="CG138" i="25"/>
  <c r="BK138" i="25"/>
  <c r="BI138" i="25"/>
  <c r="BW138" i="25"/>
  <c r="BJ138" i="25"/>
  <c r="CG189" i="25"/>
  <c r="BI189" i="25"/>
  <c r="BJ189" i="25"/>
  <c r="BW189" i="25"/>
  <c r="BK189" i="25"/>
  <c r="CG123" i="25"/>
  <c r="BW123" i="25"/>
  <c r="BJ123" i="25"/>
  <c r="BK123" i="25"/>
  <c r="BI123" i="25"/>
  <c r="CG175" i="25"/>
  <c r="BI175" i="25"/>
  <c r="BW175" i="25"/>
  <c r="BK175" i="25"/>
  <c r="BJ175" i="25"/>
  <c r="CG163" i="25"/>
  <c r="BK163" i="25"/>
  <c r="BI163" i="25"/>
  <c r="BW163" i="25"/>
  <c r="BJ163" i="25"/>
  <c r="CG172" i="25"/>
  <c r="BI172" i="25"/>
  <c r="BJ172" i="25"/>
  <c r="BW172" i="25"/>
  <c r="BK172" i="25"/>
  <c r="CG209" i="25"/>
  <c r="BW209" i="25"/>
  <c r="BJ209" i="25"/>
  <c r="BK209" i="25"/>
  <c r="BI209" i="25"/>
  <c r="CG167" i="25"/>
  <c r="BK167" i="25"/>
  <c r="BW167" i="25"/>
  <c r="BJ167" i="25"/>
  <c r="BI167" i="25"/>
  <c r="CG187" i="25"/>
  <c r="BK187" i="25"/>
  <c r="BJ187" i="25"/>
  <c r="BW187" i="25"/>
  <c r="BI187" i="25"/>
  <c r="CG154" i="25"/>
  <c r="BK154" i="25"/>
  <c r="BJ154" i="25"/>
  <c r="BW154" i="25"/>
  <c r="BI154" i="25"/>
  <c r="CG161" i="25"/>
  <c r="BK161" i="25"/>
  <c r="BJ161" i="25"/>
  <c r="BW161" i="25"/>
  <c r="BI161" i="25"/>
  <c r="CG119" i="25"/>
  <c r="BJ119" i="25"/>
  <c r="BI119" i="25"/>
  <c r="BW119" i="25"/>
  <c r="BK119" i="25"/>
  <c r="CG177" i="25"/>
  <c r="BJ177" i="25"/>
  <c r="BW177" i="25"/>
  <c r="BK177" i="25"/>
  <c r="BI177" i="25"/>
  <c r="BI133" i="25"/>
  <c r="BW133" i="25"/>
  <c r="BJ133" i="25"/>
  <c r="BK133" i="25"/>
  <c r="CG144" i="25"/>
  <c r="BK144" i="25"/>
  <c r="BJ144" i="25"/>
  <c r="BI144" i="25"/>
  <c r="BW144" i="25"/>
  <c r="BK122" i="25"/>
  <c r="BJ122" i="25"/>
  <c r="BW122" i="25"/>
  <c r="BI122" i="25"/>
  <c r="CG160" i="25"/>
  <c r="BI160" i="25"/>
  <c r="BW160" i="25"/>
  <c r="BJ160" i="25"/>
  <c r="BK160" i="25"/>
  <c r="CG191" i="25"/>
  <c r="BI191" i="25"/>
  <c r="BW191" i="25"/>
  <c r="BJ191" i="25"/>
  <c r="BK191" i="25"/>
  <c r="CG171" i="25"/>
  <c r="BI171" i="25"/>
  <c r="BJ171" i="25"/>
  <c r="BK171" i="25"/>
  <c r="BW171" i="25"/>
  <c r="BK112" i="25"/>
  <c r="BI112" i="25"/>
  <c r="BJ112" i="25"/>
  <c r="BW112" i="25"/>
  <c r="CG182" i="25"/>
  <c r="BJ182" i="25"/>
  <c r="BK182" i="25"/>
  <c r="BW182" i="25"/>
  <c r="BI182" i="25"/>
  <c r="CG155" i="25"/>
  <c r="BI155" i="25"/>
  <c r="BJ155" i="25"/>
  <c r="BK155" i="25"/>
  <c r="BW155" i="25"/>
  <c r="CG178" i="25"/>
  <c r="BI178" i="25"/>
  <c r="BJ178" i="25"/>
  <c r="BW178" i="25"/>
  <c r="BK178" i="25"/>
  <c r="CG153" i="25"/>
  <c r="BK153" i="25"/>
  <c r="BJ153" i="25"/>
  <c r="BI153" i="25"/>
  <c r="BW153" i="25"/>
  <c r="BJ135" i="25"/>
  <c r="BK135" i="25"/>
  <c r="BW135" i="25"/>
  <c r="BI135" i="25"/>
  <c r="CG159" i="25"/>
  <c r="BJ159" i="25"/>
  <c r="BW159" i="25"/>
  <c r="BI159" i="25"/>
  <c r="BK159" i="25"/>
  <c r="BI173" i="25"/>
  <c r="BW173" i="25"/>
  <c r="BJ173" i="25"/>
  <c r="BK173" i="25"/>
  <c r="CG127" i="25"/>
  <c r="BI127" i="25"/>
  <c r="BW127" i="25"/>
  <c r="BJ127" i="25"/>
  <c r="BK127" i="25"/>
  <c r="BK162" i="25"/>
  <c r="BW162" i="25"/>
  <c r="BJ162" i="25"/>
  <c r="BI162" i="25"/>
  <c r="AX154" i="24"/>
  <c r="BJ142" i="24"/>
  <c r="BJ139" i="24"/>
  <c r="BJ121" i="24"/>
  <c r="BJ179" i="24"/>
  <c r="AX143" i="24"/>
  <c r="BJ171" i="24"/>
  <c r="BJ158" i="24"/>
  <c r="BV120" i="24"/>
  <c r="BJ185" i="24"/>
  <c r="BX183" i="24"/>
  <c r="AX197" i="24"/>
  <c r="BV154" i="24"/>
  <c r="AX127" i="24"/>
  <c r="BX125" i="24"/>
  <c r="BJ145" i="24"/>
  <c r="AX139" i="24"/>
  <c r="AX179" i="24"/>
  <c r="BX145" i="24"/>
  <c r="BX142" i="24"/>
  <c r="BX139" i="24"/>
  <c r="CF164" i="24"/>
  <c r="BK164" i="24"/>
  <c r="BL164" i="24"/>
  <c r="BJ164" i="24"/>
  <c r="AX164" i="24"/>
  <c r="BV164" i="24"/>
  <c r="BX164" i="24"/>
  <c r="BK175" i="24"/>
  <c r="BL175" i="24"/>
  <c r="BV175" i="24"/>
  <c r="AX175" i="24"/>
  <c r="BX175" i="24"/>
  <c r="BJ175" i="24"/>
  <c r="CF201" i="24"/>
  <c r="BK201" i="24"/>
  <c r="BL201" i="24"/>
  <c r="AT116" i="24"/>
  <c r="BV116" i="24"/>
  <c r="BX116" i="24"/>
  <c r="BJ116" i="24"/>
  <c r="AX116" i="24"/>
  <c r="BK113" i="24"/>
  <c r="BL113" i="24"/>
  <c r="BV113" i="24"/>
  <c r="BX113" i="24"/>
  <c r="AX113" i="24"/>
  <c r="BJ113" i="24"/>
  <c r="AT136" i="24"/>
  <c r="CF144" i="24"/>
  <c r="BK144" i="24"/>
  <c r="BL144" i="24"/>
  <c r="BV144" i="24"/>
  <c r="BJ144" i="24"/>
  <c r="BX144" i="24"/>
  <c r="AT148" i="24"/>
  <c r="BV148" i="24"/>
  <c r="BX148" i="24"/>
  <c r="BJ148" i="24"/>
  <c r="AX148" i="24"/>
  <c r="AT169" i="24"/>
  <c r="AT181" i="24"/>
  <c r="AT208" i="24"/>
  <c r="CF190" i="24"/>
  <c r="BK190" i="24"/>
  <c r="BL190" i="24"/>
  <c r="BV190" i="24"/>
  <c r="BX190" i="24"/>
  <c r="AX190" i="24"/>
  <c r="BJ190" i="24"/>
  <c r="BK148" i="24"/>
  <c r="BL148" i="24"/>
  <c r="CF126" i="24"/>
  <c r="BK126" i="24"/>
  <c r="BL126" i="24"/>
  <c r="BX126" i="24"/>
  <c r="BJ126" i="24"/>
  <c r="BV126" i="24"/>
  <c r="AX126" i="24"/>
  <c r="CF111" i="24"/>
  <c r="BK111" i="24"/>
  <c r="BL111" i="24"/>
  <c r="BL118" i="24"/>
  <c r="BK118" i="24"/>
  <c r="BX118" i="24"/>
  <c r="AX118" i="24"/>
  <c r="BV118" i="24"/>
  <c r="BJ118" i="24"/>
  <c r="AQ200" i="24"/>
  <c r="BK200" i="24"/>
  <c r="BL200" i="24"/>
  <c r="AX200" i="24"/>
  <c r="BJ200" i="24"/>
  <c r="BX200" i="24"/>
  <c r="BV200" i="24"/>
  <c r="CF178" i="24"/>
  <c r="BK178" i="24"/>
  <c r="BL178" i="24"/>
  <c r="BV178" i="24"/>
  <c r="AX178" i="24"/>
  <c r="BJ178" i="24"/>
  <c r="BX178" i="24"/>
  <c r="CF197" i="24"/>
  <c r="BK197" i="24"/>
  <c r="BL197" i="24"/>
  <c r="BL116" i="24"/>
  <c r="BK116" i="24"/>
  <c r="AT123" i="24"/>
  <c r="AT122" i="24"/>
  <c r="CF177" i="24"/>
  <c r="BK177" i="24"/>
  <c r="BL177" i="24"/>
  <c r="BK137" i="24"/>
  <c r="BL137" i="24"/>
  <c r="BK143" i="24"/>
  <c r="BL143" i="24"/>
  <c r="BK120" i="24"/>
  <c r="BL120" i="24"/>
  <c r="BL153" i="24"/>
  <c r="BK153" i="24"/>
  <c r="CF171" i="24"/>
  <c r="BK171" i="24"/>
  <c r="BL171" i="24"/>
  <c r="AT172" i="24"/>
  <c r="BX121" i="24"/>
  <c r="BJ120" i="24"/>
  <c r="BV177" i="24"/>
  <c r="BJ137" i="24"/>
  <c r="BV197" i="24"/>
  <c r="BX127" i="24"/>
  <c r="CF160" i="24"/>
  <c r="BL160" i="24"/>
  <c r="BK160" i="24"/>
  <c r="BJ160" i="24"/>
  <c r="AX160" i="24"/>
  <c r="BX160" i="24"/>
  <c r="BV160" i="24"/>
  <c r="BK135" i="24"/>
  <c r="BL135" i="24"/>
  <c r="BV135" i="24"/>
  <c r="AX135" i="24"/>
  <c r="BX135" i="24"/>
  <c r="BJ135" i="24"/>
  <c r="CF154" i="24"/>
  <c r="BK154" i="24"/>
  <c r="BL154" i="24"/>
  <c r="AT115" i="24"/>
  <c r="CF125" i="24"/>
  <c r="BK125" i="24"/>
  <c r="BL125" i="24"/>
  <c r="CF187" i="24"/>
  <c r="BK187" i="24"/>
  <c r="BL187" i="24"/>
  <c r="CF183" i="24"/>
  <c r="BK183" i="24"/>
  <c r="BL183" i="24"/>
  <c r="CF179" i="24"/>
  <c r="BK179" i="24"/>
  <c r="BL179" i="24"/>
  <c r="CF151" i="24"/>
  <c r="BL151" i="24"/>
  <c r="BK151" i="24"/>
  <c r="CF185" i="24"/>
  <c r="BK185" i="24"/>
  <c r="BL185" i="24"/>
  <c r="BK158" i="24"/>
  <c r="BL158" i="24"/>
  <c r="AT157" i="24"/>
  <c r="AT201" i="24"/>
  <c r="BV201" i="24"/>
  <c r="AX201" i="24"/>
  <c r="BX201" i="24"/>
  <c r="BJ201" i="24"/>
  <c r="AT153" i="24"/>
  <c r="BV153" i="24"/>
  <c r="BX153" i="24"/>
  <c r="AX153" i="24"/>
  <c r="BJ153" i="24"/>
  <c r="AT195" i="24"/>
  <c r="BX171" i="24"/>
  <c r="AX121" i="24"/>
  <c r="AX158" i="24"/>
  <c r="BV158" i="24"/>
  <c r="BX120" i="24"/>
  <c r="BJ111" i="24"/>
  <c r="BV111" i="24"/>
  <c r="BV185" i="24"/>
  <c r="AX151" i="24"/>
  <c r="BV151" i="24"/>
  <c r="BJ177" i="24"/>
  <c r="BX177" i="24"/>
  <c r="BJ183" i="24"/>
  <c r="BV183" i="24"/>
  <c r="AX142" i="24"/>
  <c r="BX137" i="24"/>
  <c r="BV137" i="24"/>
  <c r="BX197" i="24"/>
  <c r="BX179" i="24"/>
  <c r="BX154" i="24"/>
  <c r="BV143" i="24"/>
  <c r="BV125" i="24"/>
  <c r="AX145" i="24"/>
  <c r="CF121" i="24"/>
  <c r="BK121" i="24"/>
  <c r="BL121" i="24"/>
  <c r="BK138" i="24"/>
  <c r="BL138" i="24"/>
  <c r="BX138" i="24"/>
  <c r="BV138" i="24"/>
  <c r="BJ138" i="24"/>
  <c r="AX138" i="24"/>
  <c r="CF140" i="24"/>
  <c r="BL140" i="24"/>
  <c r="BK140" i="24"/>
  <c r="BJ140" i="24"/>
  <c r="AX140" i="24"/>
  <c r="BV140" i="24"/>
  <c r="BX140" i="24"/>
  <c r="CF202" i="24"/>
  <c r="BK202" i="24"/>
  <c r="BL202" i="24"/>
  <c r="BV202" i="24"/>
  <c r="AX202" i="24"/>
  <c r="BX202" i="24"/>
  <c r="BJ202" i="24"/>
  <c r="CF173" i="24"/>
  <c r="BK173" i="24"/>
  <c r="BL173" i="24"/>
  <c r="AX173" i="24"/>
  <c r="BX173" i="24"/>
  <c r="BV173" i="24"/>
  <c r="BJ173" i="24"/>
  <c r="CF129" i="24"/>
  <c r="BK129" i="24"/>
  <c r="BL129" i="24"/>
  <c r="BJ129" i="24"/>
  <c r="BV129" i="24"/>
  <c r="AX129" i="24"/>
  <c r="BX129" i="24"/>
  <c r="CF124" i="24"/>
  <c r="BL124" i="24"/>
  <c r="BK124" i="24"/>
  <c r="BX124" i="24"/>
  <c r="BJ124" i="24"/>
  <c r="AX124" i="24"/>
  <c r="BV124" i="24"/>
  <c r="CF127" i="24"/>
  <c r="BK127" i="24"/>
  <c r="BL127" i="24"/>
  <c r="CF180" i="24"/>
  <c r="BL180" i="24"/>
  <c r="BK180" i="24"/>
  <c r="BX180" i="24"/>
  <c r="AX180" i="24"/>
  <c r="BJ180" i="24"/>
  <c r="BV180" i="24"/>
  <c r="BK145" i="24"/>
  <c r="BL145" i="24"/>
  <c r="CF142" i="24"/>
  <c r="BK142" i="24"/>
  <c r="BL142" i="24"/>
  <c r="AT112" i="24"/>
  <c r="CF139" i="24"/>
  <c r="BK139" i="24"/>
  <c r="BL139" i="24"/>
  <c r="AT155" i="24"/>
  <c r="AT210" i="24"/>
  <c r="AT187" i="24"/>
  <c r="BV187" i="24"/>
  <c r="BJ187" i="24"/>
  <c r="BX187" i="24"/>
  <c r="AX187" i="24"/>
  <c r="AT207" i="24"/>
  <c r="BV171" i="24"/>
  <c r="BX111" i="24"/>
  <c r="AX185" i="24"/>
  <c r="AX177" i="24"/>
  <c r="AX137" i="24"/>
  <c r="BJ127" i="24"/>
  <c r="BJ143" i="24"/>
  <c r="AX125" i="24"/>
  <c r="AN165" i="24"/>
  <c r="AQ165" i="24" s="1"/>
  <c r="BX56" i="24"/>
  <c r="BX74" i="24"/>
  <c r="AK152" i="24"/>
  <c r="AV15" i="24"/>
  <c r="AV33" i="24"/>
  <c r="AV41" i="24"/>
  <c r="AV64" i="24"/>
  <c r="AV46" i="24"/>
  <c r="BX46" i="24"/>
  <c r="AV63" i="24"/>
  <c r="BX63" i="24"/>
  <c r="BX89" i="24"/>
  <c r="AV92" i="24"/>
  <c r="BX92" i="24"/>
  <c r="AV79" i="24"/>
  <c r="BX79" i="24"/>
  <c r="AV34" i="24"/>
  <c r="AV11" i="24"/>
  <c r="AV99" i="24"/>
  <c r="AT8" i="24"/>
  <c r="AV28" i="24"/>
  <c r="BX28" i="24"/>
  <c r="AV31" i="24"/>
  <c r="BX31" i="24"/>
  <c r="AV18" i="24"/>
  <c r="BX18" i="24"/>
  <c r="AV96" i="24"/>
  <c r="BX96" i="24"/>
  <c r="AV55" i="24"/>
  <c r="BX100" i="24"/>
  <c r="AV49" i="24"/>
  <c r="AV43" i="24"/>
  <c r="AV35" i="24"/>
  <c r="AV29" i="24"/>
  <c r="BX29" i="24"/>
  <c r="AV21" i="24"/>
  <c r="BX21" i="24"/>
  <c r="AV51" i="24"/>
  <c r="AV72" i="24"/>
  <c r="BX72" i="24"/>
  <c r="BX83" i="24"/>
  <c r="AV19" i="24"/>
  <c r="BX19" i="24"/>
  <c r="AT13" i="24"/>
  <c r="AV40" i="24"/>
  <c r="BX40" i="24"/>
  <c r="AV59" i="24"/>
  <c r="BX59" i="24"/>
  <c r="AV54" i="24"/>
  <c r="BX54" i="24"/>
  <c r="AV68" i="24"/>
  <c r="BX68" i="24"/>
  <c r="AV82" i="24"/>
  <c r="BX82" i="24"/>
  <c r="AV97" i="24"/>
  <c r="BX32" i="24"/>
  <c r="BX53" i="24"/>
  <c r="AK172" i="24"/>
  <c r="AT79" i="24"/>
  <c r="AN152" i="24"/>
  <c r="AK70" i="24"/>
  <c r="AK253" i="24"/>
  <c r="AN278" i="24"/>
  <c r="CF278" i="24" s="1"/>
  <c r="AN305" i="24"/>
  <c r="AQ305" i="24" s="1"/>
  <c r="AN182" i="24"/>
  <c r="AK281" i="24"/>
  <c r="AK313" i="24"/>
  <c r="AN70" i="24"/>
  <c r="AN78" i="24"/>
  <c r="AN193" i="24"/>
  <c r="AQ104" i="24"/>
  <c r="CF104" i="24"/>
  <c r="AK277" i="24"/>
  <c r="BI32" i="25"/>
  <c r="CG32" i="25"/>
  <c r="AX36" i="24"/>
  <c r="CF36" i="24"/>
  <c r="AN237" i="24"/>
  <c r="AS237" i="24" s="1"/>
  <c r="AK246" i="24"/>
  <c r="AK190" i="24"/>
  <c r="CF78" i="24"/>
  <c r="AX42" i="24"/>
  <c r="CF42" i="24"/>
  <c r="AK115" i="24"/>
  <c r="AK137" i="24"/>
  <c r="AN238" i="24"/>
  <c r="AQ238" i="24" s="1"/>
  <c r="AK154" i="24"/>
  <c r="AN260" i="24"/>
  <c r="AQ260" i="24" s="1"/>
  <c r="AK263" i="24"/>
  <c r="AK280" i="24"/>
  <c r="AK207" i="24"/>
  <c r="AK260" i="24"/>
  <c r="AK195" i="24"/>
  <c r="AJ103" i="24"/>
  <c r="AK193" i="24"/>
  <c r="AN128" i="24"/>
  <c r="AN132" i="24"/>
  <c r="AK289" i="24"/>
  <c r="AN191" i="24"/>
  <c r="CF191" i="24" s="1"/>
  <c r="AK157" i="24"/>
  <c r="AK262" i="24"/>
  <c r="AK132" i="24"/>
  <c r="AN262" i="24"/>
  <c r="AS262" i="24" s="1"/>
  <c r="AK169" i="24"/>
  <c r="AN189" i="24"/>
  <c r="AN311" i="24"/>
  <c r="AQ311" i="24" s="1"/>
  <c r="AK248" i="24"/>
  <c r="AK114" i="24"/>
  <c r="AK270" i="24"/>
  <c r="AK210" i="24"/>
  <c r="AN255" i="24"/>
  <c r="CF255" i="24" s="1"/>
  <c r="AN146" i="24"/>
  <c r="AK312" i="24"/>
  <c r="AN217" i="24"/>
  <c r="CF217" i="24" s="1"/>
  <c r="AK283" i="24"/>
  <c r="AJ81" i="24"/>
  <c r="AJ75" i="24"/>
  <c r="AJ93" i="24"/>
  <c r="AK242" i="24"/>
  <c r="AK196" i="24"/>
  <c r="AN147" i="24"/>
  <c r="AN312" i="24"/>
  <c r="AQ312" i="24" s="1"/>
  <c r="AN291" i="24"/>
  <c r="CF291" i="24" s="1"/>
  <c r="AK249" i="24"/>
  <c r="AN263" i="24"/>
  <c r="AS263" i="24" s="1"/>
  <c r="AN289" i="24"/>
  <c r="AK244" i="24"/>
  <c r="AK261" i="24"/>
  <c r="AK158" i="24"/>
  <c r="AK183" i="24"/>
  <c r="AK191" i="24"/>
  <c r="AK56" i="24"/>
  <c r="AJ98" i="24"/>
  <c r="AN73" i="24"/>
  <c r="BX73" i="24" s="1"/>
  <c r="AK269" i="24"/>
  <c r="AK252" i="24"/>
  <c r="AN170" i="24"/>
  <c r="AX63" i="24"/>
  <c r="AN55" i="24"/>
  <c r="BV55" i="24" s="1"/>
  <c r="AN159" i="24"/>
  <c r="AN25" i="24"/>
  <c r="AK189" i="24"/>
  <c r="AK162" i="24"/>
  <c r="AN295" i="24"/>
  <c r="AQ295" i="24" s="1"/>
  <c r="AK142" i="24"/>
  <c r="AK174" i="24"/>
  <c r="AN33" i="24"/>
  <c r="AX33" i="24" s="1"/>
  <c r="AN167" i="24"/>
  <c r="CF167" i="24" s="1"/>
  <c r="AN168" i="24"/>
  <c r="AN122" i="24"/>
  <c r="AN166" i="24"/>
  <c r="CF166" i="24" s="1"/>
  <c r="AN242" i="24"/>
  <c r="AQ242" i="24" s="1"/>
  <c r="AK97" i="24"/>
  <c r="AN265" i="24"/>
  <c r="CF265" i="24" s="1"/>
  <c r="AK185" i="24"/>
  <c r="AT97" i="24"/>
  <c r="AN269" i="24"/>
  <c r="AS269" i="24" s="1"/>
  <c r="AN226" i="24"/>
  <c r="AK147" i="24"/>
  <c r="AK155" i="24"/>
  <c r="AK92" i="24"/>
  <c r="AT92" i="24"/>
  <c r="AK171" i="24"/>
  <c r="AN130" i="24"/>
  <c r="AJ67" i="24"/>
  <c r="AJ84" i="24"/>
  <c r="AJ76" i="24"/>
  <c r="AK166" i="24"/>
  <c r="AX68" i="24"/>
  <c r="AT68" i="24"/>
  <c r="AK257" i="24"/>
  <c r="AK267" i="24"/>
  <c r="AJ66" i="24"/>
  <c r="AJ44" i="24"/>
  <c r="AT82" i="24"/>
  <c r="AN114" i="24"/>
  <c r="CF114" i="24" s="1"/>
  <c r="AK290" i="24"/>
  <c r="AN150" i="24"/>
  <c r="AK282" i="24"/>
  <c r="AK299" i="24"/>
  <c r="AN198" i="24"/>
  <c r="AK153" i="24"/>
  <c r="AK120" i="24"/>
  <c r="AN176" i="24"/>
  <c r="AK143" i="24"/>
  <c r="AN308" i="24"/>
  <c r="AN206" i="24"/>
  <c r="AN117" i="24"/>
  <c r="AT59" i="24"/>
  <c r="AK139" i="24"/>
  <c r="AK168" i="24"/>
  <c r="AN156" i="24"/>
  <c r="AN204" i="24"/>
  <c r="AK151" i="24"/>
  <c r="AN231" i="24"/>
  <c r="AS231" i="24" s="1"/>
  <c r="BJ46" i="24"/>
  <c r="AN232" i="24"/>
  <c r="AN195" i="24"/>
  <c r="BJ195" i="24" s="1"/>
  <c r="AK144" i="24"/>
  <c r="AT46" i="24"/>
  <c r="AT63" i="24"/>
  <c r="AK25" i="24"/>
  <c r="AK51" i="24"/>
  <c r="AK298" i="24"/>
  <c r="AT51" i="24"/>
  <c r="AK276" i="24"/>
  <c r="AN296" i="24"/>
  <c r="AS296" i="24" s="1"/>
  <c r="AN306" i="24"/>
  <c r="AK89" i="24"/>
  <c r="AK225" i="24"/>
  <c r="AV88" i="24"/>
  <c r="AT88" i="24"/>
  <c r="AN10" i="24"/>
  <c r="AN284" i="24"/>
  <c r="AQ284" i="24" s="1"/>
  <c r="AJ77" i="24"/>
  <c r="AN174" i="24"/>
  <c r="AT40" i="24"/>
  <c r="AN225" i="24"/>
  <c r="AN133" i="24"/>
  <c r="AT72" i="24"/>
  <c r="AJ71" i="24"/>
  <c r="AT54" i="24"/>
  <c r="AV89" i="24"/>
  <c r="AT89" i="24"/>
  <c r="AJ80" i="24"/>
  <c r="AJ90" i="24"/>
  <c r="AJ39" i="24"/>
  <c r="AK112" i="24"/>
  <c r="AK113" i="24"/>
  <c r="AJ57" i="24"/>
  <c r="AJ62" i="24"/>
  <c r="AK64" i="24"/>
  <c r="AT64" i="24"/>
  <c r="AN162" i="24"/>
  <c r="AN209" i="24"/>
  <c r="AK179" i="24"/>
  <c r="AV61" i="24"/>
  <c r="AT61" i="24"/>
  <c r="AJ38" i="24"/>
  <c r="AT43" i="24"/>
  <c r="AJ45" i="24"/>
  <c r="AK136" i="24"/>
  <c r="AN188" i="24"/>
  <c r="AJ48" i="24"/>
  <c r="AJ52" i="24"/>
  <c r="AN119" i="24"/>
  <c r="AK145" i="24"/>
  <c r="AK167" i="24"/>
  <c r="BJ40" i="24"/>
  <c r="AK41" i="24"/>
  <c r="AN141" i="24"/>
  <c r="AN184" i="24"/>
  <c r="CF184" i="24" s="1"/>
  <c r="AN95" i="24"/>
  <c r="CF95" i="24" s="1"/>
  <c r="AK46" i="24"/>
  <c r="AT41" i="24"/>
  <c r="AN112" i="24"/>
  <c r="AN196" i="24"/>
  <c r="AN208" i="24"/>
  <c r="BX208" i="24" s="1"/>
  <c r="AN101" i="24"/>
  <c r="AK54" i="24"/>
  <c r="AN60" i="24"/>
  <c r="BX60" i="24" s="1"/>
  <c r="AN181" i="24"/>
  <c r="BV181" i="24" s="1"/>
  <c r="AN157" i="24"/>
  <c r="BX157" i="24" s="1"/>
  <c r="AK36" i="24"/>
  <c r="AN23" i="24"/>
  <c r="AN205" i="24"/>
  <c r="AN199" i="24"/>
  <c r="AK96" i="24"/>
  <c r="AN97" i="24"/>
  <c r="CF97" i="24" s="1"/>
  <c r="AN51" i="24"/>
  <c r="BX51" i="24" s="1"/>
  <c r="AN105" i="24"/>
  <c r="CF105" i="24" s="1"/>
  <c r="AK85" i="24"/>
  <c r="AK100" i="24"/>
  <c r="AK148" i="24"/>
  <c r="AN192" i="24"/>
  <c r="AN186" i="24"/>
  <c r="AT21" i="24"/>
  <c r="AN203" i="24"/>
  <c r="AK177" i="24"/>
  <c r="AV13" i="24"/>
  <c r="AN41" i="24"/>
  <c r="BJ41" i="24" s="1"/>
  <c r="AN210" i="24"/>
  <c r="AX210" i="24" s="1"/>
  <c r="AK187" i="24"/>
  <c r="AK122" i="24"/>
  <c r="AT31" i="24"/>
  <c r="AN14" i="24"/>
  <c r="CF14" i="24" s="1"/>
  <c r="AN172" i="24"/>
  <c r="BJ172" i="24" s="1"/>
  <c r="AN131" i="24"/>
  <c r="AK159" i="24"/>
  <c r="AT18" i="24"/>
  <c r="AK82" i="24"/>
  <c r="AX31" i="24"/>
  <c r="AK18" i="24"/>
  <c r="AN115" i="24"/>
  <c r="BX115" i="24" s="1"/>
  <c r="AK40" i="24"/>
  <c r="AK42" i="24"/>
  <c r="AK79" i="24"/>
  <c r="AN149" i="24"/>
  <c r="AK23" i="24"/>
  <c r="AK125" i="24"/>
  <c r="AN161" i="24"/>
  <c r="CF161" i="24" s="1"/>
  <c r="AN155" i="24"/>
  <c r="BJ155" i="24" s="1"/>
  <c r="AN207" i="24"/>
  <c r="BX207" i="24" s="1"/>
  <c r="AN163" i="24"/>
  <c r="AN136" i="24"/>
  <c r="AK21" i="24"/>
  <c r="AK72" i="24"/>
  <c r="BJ21" i="24"/>
  <c r="CF70" i="24"/>
  <c r="AT33" i="24"/>
  <c r="AN27" i="24"/>
  <c r="AX92" i="24"/>
  <c r="CF92" i="24"/>
  <c r="AN64" i="24"/>
  <c r="BJ64" i="24" s="1"/>
  <c r="AT19" i="24"/>
  <c r="AK29" i="24"/>
  <c r="AK55" i="24"/>
  <c r="AN86" i="24"/>
  <c r="BJ19" i="24"/>
  <c r="AN87" i="24"/>
  <c r="CF87" i="24" s="1"/>
  <c r="AK28" i="24"/>
  <c r="AG65" i="24"/>
  <c r="AN65" i="24" s="1"/>
  <c r="BK65" i="24" s="1"/>
  <c r="AN169" i="24"/>
  <c r="AX169" i="24" s="1"/>
  <c r="AN50" i="24"/>
  <c r="CF50" i="24" s="1"/>
  <c r="AK33" i="24"/>
  <c r="AG71" i="24"/>
  <c r="AK123" i="24"/>
  <c r="AT15" i="24"/>
  <c r="AN134" i="24"/>
  <c r="BI90" i="25"/>
  <c r="CG90" i="25"/>
  <c r="AT29" i="24"/>
  <c r="AG13" i="24"/>
  <c r="AK13" i="24" s="1"/>
  <c r="AK116" i="24"/>
  <c r="AN194" i="24"/>
  <c r="AV8" i="24"/>
  <c r="BJ28" i="24"/>
  <c r="AK201" i="24"/>
  <c r="AN123" i="24"/>
  <c r="BX123" i="24" s="1"/>
  <c r="AK31" i="24"/>
  <c r="AK53" i="24"/>
  <c r="AT28" i="24"/>
  <c r="AN91" i="24"/>
  <c r="CF91" i="24" s="1"/>
  <c r="AK63" i="24"/>
  <c r="AK68" i="24"/>
  <c r="AK59" i="24"/>
  <c r="AF43" i="24"/>
  <c r="AK43" i="24" s="1"/>
  <c r="AK19" i="24"/>
  <c r="AK32" i="24"/>
  <c r="AT49" i="24"/>
  <c r="AG49" i="24"/>
  <c r="AK49" i="24" s="1"/>
  <c r="AV37" i="24"/>
  <c r="AT37" i="24"/>
  <c r="BV104" i="24"/>
  <c r="AX104" i="24"/>
  <c r="BK104" i="24"/>
  <c r="AN69" i="24"/>
  <c r="AK104" i="24"/>
  <c r="AG102" i="24"/>
  <c r="AJ22" i="24"/>
  <c r="AT34" i="24"/>
  <c r="AG48" i="24"/>
  <c r="BJ104" i="24"/>
  <c r="AV65" i="24"/>
  <c r="AT65" i="24"/>
  <c r="AS104" i="24"/>
  <c r="AU104" i="24" s="1"/>
  <c r="BC104" i="24" s="1"/>
  <c r="AG22" i="24"/>
  <c r="AN22" i="24" s="1"/>
  <c r="AV102" i="24"/>
  <c r="AT102" i="24"/>
  <c r="BL104" i="24"/>
  <c r="AG81" i="24"/>
  <c r="AN81" i="24" s="1"/>
  <c r="CF81" i="24" s="1"/>
  <c r="AG15" i="24"/>
  <c r="AK15" i="24" s="1"/>
  <c r="AG34" i="24"/>
  <c r="AN34" i="24" s="1"/>
  <c r="AX34" i="24" s="1"/>
  <c r="AG93" i="24"/>
  <c r="AJ12" i="24"/>
  <c r="AG37" i="24"/>
  <c r="AF37" i="24"/>
  <c r="AJ20" i="24"/>
  <c r="AF8" i="24"/>
  <c r="AG8" i="24"/>
  <c r="AA94" i="24"/>
  <c r="AB94" i="24" s="1"/>
  <c r="AC94" i="24" s="1"/>
  <c r="AJ94" i="24" s="1"/>
  <c r="AG94" i="24"/>
  <c r="AV6" i="24"/>
  <c r="AT6" i="24"/>
  <c r="AT35" i="24"/>
  <c r="AT99" i="24"/>
  <c r="AJ7" i="24"/>
  <c r="AT11" i="24"/>
  <c r="AV58" i="24"/>
  <c r="AT58" i="24"/>
  <c r="AF11" i="24"/>
  <c r="AG11" i="24"/>
  <c r="AF57" i="24"/>
  <c r="AG57" i="24"/>
  <c r="AG88" i="24"/>
  <c r="AK88" i="24" s="1"/>
  <c r="AG16" i="24"/>
  <c r="AF16" i="24"/>
  <c r="AF67" i="24"/>
  <c r="AG67" i="24"/>
  <c r="AF39" i="24"/>
  <c r="AG39" i="24"/>
  <c r="AF99" i="24"/>
  <c r="AG99" i="24"/>
  <c r="AF47" i="24"/>
  <c r="AG47" i="24"/>
  <c r="AJ9" i="24"/>
  <c r="AF12" i="24"/>
  <c r="AG12" i="24"/>
  <c r="AF58" i="24"/>
  <c r="AG58" i="24"/>
  <c r="AF76" i="24"/>
  <c r="AG76" i="24"/>
  <c r="AG24" i="24"/>
  <c r="AF24" i="24"/>
  <c r="AF30" i="24"/>
  <c r="AG30" i="24"/>
  <c r="AG61" i="24"/>
  <c r="AF17" i="24"/>
  <c r="AG17" i="24"/>
  <c r="AG77" i="24"/>
  <c r="AF77" i="24"/>
  <c r="AF84" i="24"/>
  <c r="AG84" i="24"/>
  <c r="AF80" i="24"/>
  <c r="AG80" i="24"/>
  <c r="AG75" i="24"/>
  <c r="AF75" i="24"/>
  <c r="AF20" i="24"/>
  <c r="AG20" i="24"/>
  <c r="AA26" i="24"/>
  <c r="AB26" i="24" s="1"/>
  <c r="AC26" i="24" s="1"/>
  <c r="AJ26" i="24" s="1"/>
  <c r="AG26" i="24"/>
  <c r="AG45" i="24"/>
  <c r="AF45" i="24"/>
  <c r="AF52" i="24"/>
  <c r="AG52" i="24"/>
  <c r="AG9" i="24"/>
  <c r="AF9" i="24"/>
  <c r="AG35" i="24"/>
  <c r="AN35" i="24" s="1"/>
  <c r="BJ35" i="24" s="1"/>
  <c r="AJ16" i="24"/>
  <c r="AJ17" i="24"/>
  <c r="AG66" i="24"/>
  <c r="AF66" i="24"/>
  <c r="AJ24" i="24"/>
  <c r="AG38" i="24"/>
  <c r="AF38" i="24"/>
  <c r="AJ30" i="24"/>
  <c r="AG103" i="24"/>
  <c r="AF103" i="24"/>
  <c r="AV47" i="24"/>
  <c r="AT47" i="24"/>
  <c r="AG90" i="24"/>
  <c r="AF90" i="24"/>
  <c r="AF62" i="24"/>
  <c r="AG62" i="24"/>
  <c r="AG98" i="24"/>
  <c r="AF98" i="24"/>
  <c r="AG44" i="24"/>
  <c r="AF6" i="24"/>
  <c r="AG6" i="24"/>
  <c r="AF7" i="24"/>
  <c r="AG7" i="24"/>
  <c r="AX54" i="24"/>
  <c r="AX72" i="24"/>
  <c r="BV85" i="24"/>
  <c r="AX85" i="24"/>
  <c r="AX82" i="24"/>
  <c r="AX74" i="24"/>
  <c r="AX59" i="24"/>
  <c r="AX96" i="24"/>
  <c r="AX28" i="24"/>
  <c r="AX89" i="24"/>
  <c r="AX79" i="24"/>
  <c r="AX18" i="24"/>
  <c r="AX40" i="24"/>
  <c r="AX19" i="24"/>
  <c r="AX21" i="24"/>
  <c r="AX29" i="24"/>
  <c r="AX46" i="24"/>
  <c r="AU5" i="24"/>
  <c r="BC5" i="24" s="1"/>
  <c r="BW72" i="25"/>
  <c r="CG72" i="25"/>
  <c r="AN110" i="24"/>
  <c r="BW98" i="25"/>
  <c r="CG98" i="25"/>
  <c r="BW58" i="25"/>
  <c r="CG58" i="25"/>
  <c r="BW74" i="25"/>
  <c r="CG74" i="25"/>
  <c r="AW5" i="24"/>
  <c r="AY5" i="24" s="1"/>
  <c r="AZ5" i="24" s="1"/>
  <c r="BI39" i="25"/>
  <c r="CG39" i="25"/>
  <c r="AM110" i="25"/>
  <c r="BY110" i="25" s="1"/>
  <c r="BI84" i="25"/>
  <c r="CG84" i="25"/>
  <c r="BI33" i="25"/>
  <c r="CG33" i="25"/>
  <c r="BW55" i="25"/>
  <c r="CG55" i="25"/>
  <c r="BW75" i="25"/>
  <c r="CG75" i="25"/>
  <c r="BI60" i="25"/>
  <c r="CG60" i="25"/>
  <c r="AS5" i="25"/>
  <c r="BI43" i="25"/>
  <c r="CG43" i="25"/>
  <c r="BV53" i="24"/>
  <c r="BJ36" i="24"/>
  <c r="BI50" i="25"/>
  <c r="CG50" i="25"/>
  <c r="BW25" i="25"/>
  <c r="CG25" i="25"/>
  <c r="BW65" i="25"/>
  <c r="CG65" i="25"/>
  <c r="AJ5" i="25"/>
  <c r="AM5" i="25"/>
  <c r="BY5" i="25" s="1"/>
  <c r="BI46" i="25"/>
  <c r="CG46" i="25"/>
  <c r="L20" i="1"/>
  <c r="B94" i="2"/>
  <c r="BW95" i="25"/>
  <c r="CG95" i="25"/>
  <c r="AP216" i="25"/>
  <c r="AR216" i="25"/>
  <c r="BW80" i="25"/>
  <c r="CG80" i="25"/>
  <c r="BW7" i="25"/>
  <c r="BW18" i="25"/>
  <c r="BI66" i="25"/>
  <c r="BI75" i="25"/>
  <c r="BI72" i="25"/>
  <c r="BW90" i="25"/>
  <c r="BI89" i="25"/>
  <c r="BW33" i="25"/>
  <c r="BI16" i="25"/>
  <c r="BW50" i="25"/>
  <c r="BI58" i="25"/>
  <c r="BW32" i="25"/>
  <c r="BI95" i="25"/>
  <c r="BW39" i="25"/>
  <c r="BW46" i="25"/>
  <c r="BW43" i="25"/>
  <c r="AR206" i="25"/>
  <c r="AP206" i="25"/>
  <c r="AR193" i="25"/>
  <c r="AP193" i="25"/>
  <c r="AR164" i="25"/>
  <c r="AP164" i="25"/>
  <c r="AR231" i="25"/>
  <c r="AP231" i="25"/>
  <c r="AR27" i="25"/>
  <c r="BJ27" i="25"/>
  <c r="BK27" i="25"/>
  <c r="AP27" i="25"/>
  <c r="BW27" i="25"/>
  <c r="BI27" i="25"/>
  <c r="AR73" i="25"/>
  <c r="AT73" i="25" s="1"/>
  <c r="BJ73" i="25"/>
  <c r="BK73" i="25"/>
  <c r="AP73" i="25"/>
  <c r="AR230" i="25"/>
  <c r="AP230" i="25"/>
  <c r="AR118" i="25"/>
  <c r="AP118" i="25"/>
  <c r="AR8" i="25"/>
  <c r="BJ8" i="25"/>
  <c r="BK8" i="25"/>
  <c r="AP8" i="25"/>
  <c r="BW8" i="25"/>
  <c r="BI8" i="25"/>
  <c r="AR40" i="25"/>
  <c r="BJ40" i="25"/>
  <c r="BK40" i="25"/>
  <c r="AP40" i="25"/>
  <c r="BI40" i="25"/>
  <c r="BW40" i="25"/>
  <c r="AR125" i="25"/>
  <c r="AP125" i="25"/>
  <c r="AR307" i="25"/>
  <c r="AP307" i="25"/>
  <c r="AR137" i="25"/>
  <c r="AP137" i="25"/>
  <c r="AR247" i="25"/>
  <c r="AP247" i="25"/>
  <c r="AR145" i="25"/>
  <c r="AP145" i="25"/>
  <c r="AR202" i="25"/>
  <c r="AP202" i="25"/>
  <c r="AR267" i="25"/>
  <c r="AP267" i="25"/>
  <c r="AR79" i="25"/>
  <c r="BJ79" i="25"/>
  <c r="BK79" i="25"/>
  <c r="AP79" i="25"/>
  <c r="BI79" i="25"/>
  <c r="BW79" i="25"/>
  <c r="AR285" i="25"/>
  <c r="AP285" i="25"/>
  <c r="AR120" i="25"/>
  <c r="AP120" i="25"/>
  <c r="AR176" i="25"/>
  <c r="AP176" i="25"/>
  <c r="AR271" i="25"/>
  <c r="AP271" i="25"/>
  <c r="AR229" i="25"/>
  <c r="AP229" i="25"/>
  <c r="AR165" i="25"/>
  <c r="AP165" i="25"/>
  <c r="AR70" i="25"/>
  <c r="BJ70" i="25"/>
  <c r="BK70" i="25"/>
  <c r="AP70" i="25"/>
  <c r="BI70" i="25"/>
  <c r="BW70" i="25"/>
  <c r="AR228" i="25"/>
  <c r="AP228" i="25"/>
  <c r="AR166" i="25"/>
  <c r="AP166" i="25"/>
  <c r="AR196" i="25"/>
  <c r="AP196" i="25"/>
  <c r="AR170" i="25"/>
  <c r="AP170" i="25"/>
  <c r="AR244" i="25"/>
  <c r="AP244" i="25"/>
  <c r="AR143" i="25"/>
  <c r="AP143" i="25"/>
  <c r="AR81" i="25"/>
  <c r="BJ81" i="25"/>
  <c r="BK81" i="25"/>
  <c r="AP81" i="25"/>
  <c r="BW81" i="25"/>
  <c r="BI81" i="25"/>
  <c r="AR257" i="25"/>
  <c r="AP257" i="25"/>
  <c r="AR309" i="25"/>
  <c r="AP309" i="25"/>
  <c r="AR102" i="25"/>
  <c r="BJ102" i="25"/>
  <c r="BK102" i="25"/>
  <c r="AP102" i="25"/>
  <c r="BW102" i="25"/>
  <c r="BI102" i="25"/>
  <c r="AR85" i="25"/>
  <c r="AT85" i="25" s="1"/>
  <c r="BJ85" i="25"/>
  <c r="BK85" i="25"/>
  <c r="AP85" i="25"/>
  <c r="AR98" i="25"/>
  <c r="AT98" i="25" s="1"/>
  <c r="BJ98" i="25"/>
  <c r="BK98" i="25"/>
  <c r="AP98" i="25"/>
  <c r="AR204" i="25"/>
  <c r="AP204" i="25"/>
  <c r="AR292" i="25"/>
  <c r="AP292" i="25"/>
  <c r="AR124" i="25"/>
  <c r="AP124" i="25"/>
  <c r="AR238" i="25"/>
  <c r="AP238" i="25"/>
  <c r="AR192" i="25"/>
  <c r="AP192" i="25"/>
  <c r="AR54" i="25"/>
  <c r="BJ54" i="25"/>
  <c r="BK54" i="25"/>
  <c r="AP54" i="25"/>
  <c r="BW54" i="25"/>
  <c r="BI54" i="25"/>
  <c r="AR60" i="25"/>
  <c r="AT60" i="25" s="1"/>
  <c r="BJ60" i="25"/>
  <c r="BK60" i="25"/>
  <c r="AP60" i="25"/>
  <c r="AR169" i="25"/>
  <c r="AP169" i="25"/>
  <c r="AR308" i="25"/>
  <c r="AP308" i="25"/>
  <c r="AR161" i="25"/>
  <c r="AP161" i="25"/>
  <c r="AR177" i="25"/>
  <c r="AP177" i="25"/>
  <c r="AR278" i="25"/>
  <c r="AP278" i="25"/>
  <c r="AR115" i="25"/>
  <c r="AP115" i="25"/>
  <c r="AR258" i="25"/>
  <c r="AP258" i="25"/>
  <c r="AR61" i="25"/>
  <c r="BJ61" i="25"/>
  <c r="BK61" i="25"/>
  <c r="AP61" i="25"/>
  <c r="BW61" i="25"/>
  <c r="BI61" i="25"/>
  <c r="AR288" i="25"/>
  <c r="AP288" i="25"/>
  <c r="AR71" i="25"/>
  <c r="BJ71" i="25"/>
  <c r="BK71" i="25"/>
  <c r="AP71" i="25"/>
  <c r="BI71" i="25"/>
  <c r="BW71" i="25"/>
  <c r="AR208" i="25"/>
  <c r="AP208" i="25"/>
  <c r="AR128" i="25"/>
  <c r="AP128" i="25"/>
  <c r="AR84" i="25"/>
  <c r="AT84" i="25" s="1"/>
  <c r="BJ84" i="25"/>
  <c r="BK84" i="25"/>
  <c r="AP84" i="25"/>
  <c r="AR29" i="25"/>
  <c r="BJ29" i="25"/>
  <c r="BK29" i="25"/>
  <c r="AP29" i="25"/>
  <c r="BI29" i="25"/>
  <c r="BW29" i="25"/>
  <c r="AR217" i="25"/>
  <c r="AP217" i="25"/>
  <c r="BI98" i="25"/>
  <c r="AR38" i="25"/>
  <c r="BJ38" i="25"/>
  <c r="BK38" i="25"/>
  <c r="AP38" i="25"/>
  <c r="BW38" i="25"/>
  <c r="BI38" i="25"/>
  <c r="AR55" i="25"/>
  <c r="AT55" i="25" s="1"/>
  <c r="BJ55" i="25"/>
  <c r="BK55" i="25"/>
  <c r="AP55" i="25"/>
  <c r="AR41" i="25"/>
  <c r="BJ41" i="25"/>
  <c r="BK41" i="25"/>
  <c r="AP41" i="25"/>
  <c r="BW41" i="25"/>
  <c r="BI41" i="25"/>
  <c r="AR194" i="25"/>
  <c r="AP194" i="25"/>
  <c r="AR22" i="25"/>
  <c r="BJ22" i="25"/>
  <c r="BK22" i="25"/>
  <c r="AP22" i="25"/>
  <c r="BI22" i="25"/>
  <c r="BW22" i="25"/>
  <c r="AR260" i="25"/>
  <c r="AP260" i="25"/>
  <c r="AR74" i="25"/>
  <c r="AT74" i="25" s="1"/>
  <c r="BJ74" i="25"/>
  <c r="BK74" i="25"/>
  <c r="AP74" i="25"/>
  <c r="AR286" i="25"/>
  <c r="AP286" i="25"/>
  <c r="AR264" i="25"/>
  <c r="AP264" i="25"/>
  <c r="AR155" i="25"/>
  <c r="AP155" i="25"/>
  <c r="AR153" i="25"/>
  <c r="AP153" i="25"/>
  <c r="AR135" i="25"/>
  <c r="AP135" i="25"/>
  <c r="AR242" i="25"/>
  <c r="AP242" i="25"/>
  <c r="AR99" i="25"/>
  <c r="AT99" i="25" s="1"/>
  <c r="BJ99" i="25"/>
  <c r="BK99" i="25"/>
  <c r="AP99" i="25"/>
  <c r="AR132" i="25"/>
  <c r="AP132" i="25"/>
  <c r="AR111" i="25"/>
  <c r="AP111" i="25"/>
  <c r="AR44" i="25"/>
  <c r="BJ44" i="25"/>
  <c r="BK44" i="25"/>
  <c r="AP44" i="25"/>
  <c r="BW44" i="25"/>
  <c r="BI44" i="25"/>
  <c r="AR312" i="25"/>
  <c r="AP312" i="25"/>
  <c r="AR80" i="25"/>
  <c r="AT80" i="25" s="1"/>
  <c r="BJ80" i="25"/>
  <c r="BK80" i="25"/>
  <c r="AP80" i="25"/>
  <c r="BI55" i="25"/>
  <c r="AR147" i="25"/>
  <c r="AP147" i="25"/>
  <c r="AR237" i="25"/>
  <c r="AP237" i="25"/>
  <c r="AR225" i="25"/>
  <c r="AP225" i="25"/>
  <c r="AR255" i="25"/>
  <c r="AP255" i="25"/>
  <c r="AR298" i="25"/>
  <c r="AP298" i="25"/>
  <c r="AR82" i="25"/>
  <c r="BJ82" i="25"/>
  <c r="BK82" i="25"/>
  <c r="AP82" i="25"/>
  <c r="BW82" i="25"/>
  <c r="BI82" i="25"/>
  <c r="AR30" i="25"/>
  <c r="BJ30" i="25"/>
  <c r="BK30" i="25"/>
  <c r="AP30" i="25"/>
  <c r="BW30" i="25"/>
  <c r="BI30" i="25"/>
  <c r="AR88" i="25"/>
  <c r="BJ88" i="25"/>
  <c r="BK88" i="25"/>
  <c r="AP88" i="25"/>
  <c r="BI88" i="25"/>
  <c r="BW88" i="25"/>
  <c r="AR201" i="25"/>
  <c r="AP201" i="25"/>
  <c r="AR306" i="25"/>
  <c r="AP306" i="25"/>
  <c r="AR21" i="25"/>
  <c r="BJ21" i="25"/>
  <c r="BK21" i="25"/>
  <c r="AP21" i="25"/>
  <c r="BI21" i="25"/>
  <c r="BW21" i="25"/>
  <c r="AR284" i="25"/>
  <c r="AP284" i="25"/>
  <c r="AR305" i="25"/>
  <c r="AP305" i="25"/>
  <c r="AR236" i="25"/>
  <c r="AP236" i="25"/>
  <c r="AR83" i="25"/>
  <c r="BJ83" i="25"/>
  <c r="BK83" i="25"/>
  <c r="AP83" i="25"/>
  <c r="BI83" i="25"/>
  <c r="BW83" i="25"/>
  <c r="AR246" i="25"/>
  <c r="AP246" i="25"/>
  <c r="AR220" i="25"/>
  <c r="AP220" i="25"/>
  <c r="BI99" i="25"/>
  <c r="AR140" i="25"/>
  <c r="AP140" i="25"/>
  <c r="AR47" i="25"/>
  <c r="BJ47" i="25"/>
  <c r="BK47" i="25"/>
  <c r="AP47" i="25"/>
  <c r="BW47" i="25"/>
  <c r="BI47" i="25"/>
  <c r="AR179" i="25"/>
  <c r="AP179" i="25"/>
  <c r="AR195" i="25"/>
  <c r="AP195" i="25"/>
  <c r="AR142" i="25"/>
  <c r="AP142" i="25"/>
  <c r="AR268" i="25"/>
  <c r="AP268" i="25"/>
  <c r="AR261" i="25"/>
  <c r="AP261" i="25"/>
  <c r="AR37" i="25"/>
  <c r="BJ37" i="25"/>
  <c r="BK37" i="25"/>
  <c r="AP37" i="25"/>
  <c r="BW37" i="25"/>
  <c r="BI37" i="25"/>
  <c r="AR25" i="25"/>
  <c r="AT25" i="25" s="1"/>
  <c r="BJ25" i="25"/>
  <c r="BK25" i="25"/>
  <c r="AP25" i="25"/>
  <c r="AR100" i="25"/>
  <c r="BJ100" i="25"/>
  <c r="BK100" i="25"/>
  <c r="AP100" i="25"/>
  <c r="BI100" i="25"/>
  <c r="BW100" i="25"/>
  <c r="AR223" i="25"/>
  <c r="AP223" i="25"/>
  <c r="AR240" i="25"/>
  <c r="AP240" i="25"/>
  <c r="AR297" i="25"/>
  <c r="AP297" i="25"/>
  <c r="AR218" i="25"/>
  <c r="AP218" i="25"/>
  <c r="AR302" i="25"/>
  <c r="AP302" i="25"/>
  <c r="AR141" i="25"/>
  <c r="AP141" i="25"/>
  <c r="AR303" i="25"/>
  <c r="AP303" i="25"/>
  <c r="AR279" i="25"/>
  <c r="AP279" i="25"/>
  <c r="AR10" i="25"/>
  <c r="AT10" i="25" s="1"/>
  <c r="BJ10" i="25"/>
  <c r="BK10" i="25"/>
  <c r="AP10" i="25"/>
  <c r="AR67" i="25"/>
  <c r="BJ67" i="25"/>
  <c r="BK67" i="25"/>
  <c r="AP67" i="25"/>
  <c r="BW67" i="25"/>
  <c r="BI67" i="25"/>
  <c r="AR90" i="25"/>
  <c r="AT90" i="25" s="1"/>
  <c r="BJ90" i="25"/>
  <c r="BK90" i="25"/>
  <c r="AP90" i="25"/>
  <c r="AR69" i="25"/>
  <c r="BJ69" i="25"/>
  <c r="BK69" i="25"/>
  <c r="AP69" i="25"/>
  <c r="BW69" i="25"/>
  <c r="BI69" i="25"/>
  <c r="AR114" i="25"/>
  <c r="AP114" i="25"/>
  <c r="AR296" i="25"/>
  <c r="AP296" i="25"/>
  <c r="AR105" i="25"/>
  <c r="BJ105" i="25"/>
  <c r="BK105" i="25"/>
  <c r="AP105" i="25"/>
  <c r="BI105" i="25"/>
  <c r="BW105" i="25"/>
  <c r="AR149" i="25"/>
  <c r="AP149" i="25"/>
  <c r="AR28" i="25"/>
  <c r="BJ28" i="25"/>
  <c r="BK28" i="25"/>
  <c r="AP28" i="25"/>
  <c r="BW28" i="25"/>
  <c r="BI28" i="25"/>
  <c r="AR126" i="25"/>
  <c r="AP126" i="25"/>
  <c r="AR200" i="25"/>
  <c r="AP200" i="25"/>
  <c r="AR18" i="25"/>
  <c r="AT18" i="25" s="1"/>
  <c r="BJ18" i="25"/>
  <c r="BK18" i="25"/>
  <c r="AP18" i="25"/>
  <c r="AR158" i="25"/>
  <c r="AP158" i="25"/>
  <c r="AR290" i="25"/>
  <c r="AP290" i="25"/>
  <c r="AR295" i="25"/>
  <c r="AP295" i="25"/>
  <c r="AR245" i="25"/>
  <c r="AP245" i="25"/>
  <c r="BI25" i="25"/>
  <c r="AR233" i="25"/>
  <c r="AP233" i="25"/>
  <c r="AR273" i="25"/>
  <c r="AP273" i="25"/>
  <c r="AR313" i="25"/>
  <c r="AP313" i="25"/>
  <c r="AR222" i="25"/>
  <c r="AP222" i="25"/>
  <c r="AR121" i="25"/>
  <c r="AP121" i="25"/>
  <c r="AR131" i="25"/>
  <c r="AP131" i="25"/>
  <c r="AR139" i="25"/>
  <c r="AP139" i="25"/>
  <c r="AR180" i="25"/>
  <c r="AP180" i="25"/>
  <c r="AR113" i="25"/>
  <c r="AP113" i="25"/>
  <c r="AR56" i="25"/>
  <c r="BJ56" i="25"/>
  <c r="BK56" i="25"/>
  <c r="AP56" i="25"/>
  <c r="BI56" i="25"/>
  <c r="BW56" i="25"/>
  <c r="AR272" i="25"/>
  <c r="AP272" i="25"/>
  <c r="AR14" i="25"/>
  <c r="BJ14" i="25"/>
  <c r="BK14" i="25"/>
  <c r="AP14" i="25"/>
  <c r="BI14" i="25"/>
  <c r="BW14" i="25"/>
  <c r="AR93" i="25"/>
  <c r="BJ93" i="25"/>
  <c r="BK93" i="25"/>
  <c r="AP93" i="25"/>
  <c r="BI93" i="25"/>
  <c r="BW93" i="25"/>
  <c r="AR269" i="25"/>
  <c r="AP269" i="25"/>
  <c r="AR254" i="25"/>
  <c r="AP254" i="25"/>
  <c r="AR136" i="25"/>
  <c r="AP136" i="25"/>
  <c r="AR138" i="25"/>
  <c r="AP138" i="25"/>
  <c r="AR116" i="25"/>
  <c r="AP116" i="25"/>
  <c r="AR156" i="25"/>
  <c r="AP156" i="25"/>
  <c r="AR224" i="25"/>
  <c r="AP224" i="25"/>
  <c r="AR189" i="25"/>
  <c r="AP189" i="25"/>
  <c r="AR265" i="25"/>
  <c r="AP265" i="25"/>
  <c r="AR91" i="25"/>
  <c r="BJ91" i="25"/>
  <c r="BK91" i="25"/>
  <c r="AP91" i="25"/>
  <c r="BW91" i="25"/>
  <c r="BI91" i="25"/>
  <c r="AR304" i="25"/>
  <c r="AP304" i="25"/>
  <c r="AR134" i="25"/>
  <c r="AP134" i="25"/>
  <c r="AR190" i="25"/>
  <c r="AP190" i="25"/>
  <c r="AR68" i="25"/>
  <c r="BJ68" i="25"/>
  <c r="BK68" i="25"/>
  <c r="AP68" i="25"/>
  <c r="BW68" i="25"/>
  <c r="BI68" i="25"/>
  <c r="AR199" i="25"/>
  <c r="AP199" i="25"/>
  <c r="AR207" i="25"/>
  <c r="AP207" i="25"/>
  <c r="AR86" i="25"/>
  <c r="BJ86" i="25"/>
  <c r="BK86" i="25"/>
  <c r="AP86" i="25"/>
  <c r="BW86" i="25"/>
  <c r="BI86" i="25"/>
  <c r="AR256" i="25"/>
  <c r="AP256" i="25"/>
  <c r="AR281" i="25"/>
  <c r="AP281" i="25"/>
  <c r="AR197" i="25"/>
  <c r="AP197" i="25"/>
  <c r="AR183" i="25"/>
  <c r="AP183" i="25"/>
  <c r="AR274" i="25"/>
  <c r="AP274" i="25"/>
  <c r="AR148" i="25"/>
  <c r="AP148" i="25"/>
  <c r="AR13" i="25"/>
  <c r="BJ13" i="25"/>
  <c r="BK13" i="25"/>
  <c r="AP13" i="25"/>
  <c r="BW13" i="25"/>
  <c r="BI13" i="25"/>
  <c r="AR253" i="25"/>
  <c r="AP253" i="25"/>
  <c r="AR24" i="25"/>
  <c r="BJ24" i="25"/>
  <c r="BK24" i="25"/>
  <c r="AP24" i="25"/>
  <c r="BW24" i="25"/>
  <c r="BI24" i="25"/>
  <c r="AR289" i="25"/>
  <c r="AP289" i="25"/>
  <c r="AR181" i="25"/>
  <c r="AP181" i="25"/>
  <c r="AR65" i="25"/>
  <c r="AT65" i="25" s="1"/>
  <c r="BJ65" i="25"/>
  <c r="BK65" i="25"/>
  <c r="AP65" i="25"/>
  <c r="AR45" i="25"/>
  <c r="AT45" i="25" s="1"/>
  <c r="BJ45" i="25"/>
  <c r="BK45" i="25"/>
  <c r="AP45" i="25"/>
  <c r="AR234" i="25"/>
  <c r="AP234" i="25"/>
  <c r="AR188" i="25"/>
  <c r="AP188" i="25"/>
  <c r="AR129" i="25"/>
  <c r="AP129" i="25"/>
  <c r="AR314" i="25"/>
  <c r="AP314" i="25"/>
  <c r="AR152" i="25"/>
  <c r="AP152" i="25"/>
  <c r="AR34" i="25"/>
  <c r="AT34" i="25" s="1"/>
  <c r="BJ34" i="25"/>
  <c r="BK34" i="25"/>
  <c r="AP34" i="25"/>
  <c r="AR87" i="25"/>
  <c r="BJ87" i="25"/>
  <c r="BK87" i="25"/>
  <c r="AP87" i="25"/>
  <c r="BI87" i="25"/>
  <c r="BW87" i="25"/>
  <c r="AR31" i="25"/>
  <c r="BJ31" i="25"/>
  <c r="BK31" i="25"/>
  <c r="AP31" i="25"/>
  <c r="BW31" i="25"/>
  <c r="BI31" i="25"/>
  <c r="AR259" i="25"/>
  <c r="AP259" i="25"/>
  <c r="AR94" i="25"/>
  <c r="BJ94" i="25"/>
  <c r="BK94" i="25"/>
  <c r="AP94" i="25"/>
  <c r="BI94" i="25"/>
  <c r="BW94" i="25"/>
  <c r="AR42" i="25"/>
  <c r="BJ42" i="25"/>
  <c r="BK42" i="25"/>
  <c r="AP42" i="25"/>
  <c r="BI42" i="25"/>
  <c r="BW42" i="25"/>
  <c r="AR294" i="25"/>
  <c r="AP294" i="25"/>
  <c r="AR232" i="25"/>
  <c r="AP232" i="25"/>
  <c r="AR77" i="25"/>
  <c r="AT77" i="25" s="1"/>
  <c r="BJ77" i="25"/>
  <c r="BK77" i="25"/>
  <c r="AP77" i="25"/>
  <c r="AR299" i="25"/>
  <c r="AP299" i="25"/>
  <c r="AR243" i="25"/>
  <c r="AP243" i="25"/>
  <c r="AR226" i="25"/>
  <c r="AP226" i="25"/>
  <c r="AR316" i="25"/>
  <c r="AP316" i="25"/>
  <c r="AR167" i="25"/>
  <c r="AP167" i="25"/>
  <c r="AR283" i="25"/>
  <c r="AP283" i="25"/>
  <c r="AR203" i="25"/>
  <c r="AP203" i="25"/>
  <c r="AR96" i="25"/>
  <c r="BJ96" i="25"/>
  <c r="BK96" i="25"/>
  <c r="AP96" i="25"/>
  <c r="BI96" i="25"/>
  <c r="BW96" i="25"/>
  <c r="AR154" i="25"/>
  <c r="AP154" i="25"/>
  <c r="AR19" i="25"/>
  <c r="AT19" i="25" s="1"/>
  <c r="BJ19" i="25"/>
  <c r="BK19" i="25"/>
  <c r="AP19" i="25"/>
  <c r="AR52" i="25"/>
  <c r="BJ52" i="25"/>
  <c r="BK52" i="25"/>
  <c r="AP52" i="25"/>
  <c r="BW52" i="25"/>
  <c r="BI52" i="25"/>
  <c r="BI65" i="25"/>
  <c r="AR119" i="25"/>
  <c r="AP119" i="25"/>
  <c r="AR101" i="25"/>
  <c r="BJ101" i="25"/>
  <c r="BK101" i="25"/>
  <c r="AP101" i="25"/>
  <c r="BW101" i="25"/>
  <c r="BI101" i="25"/>
  <c r="AR144" i="25"/>
  <c r="AP144" i="25"/>
  <c r="AR263" i="25"/>
  <c r="AP263" i="25"/>
  <c r="AR239" i="25"/>
  <c r="AP239" i="25"/>
  <c r="AR249" i="25"/>
  <c r="AP249" i="25"/>
  <c r="AR97" i="25"/>
  <c r="BJ97" i="25"/>
  <c r="BK97" i="25"/>
  <c r="AP97" i="25"/>
  <c r="BW97" i="25"/>
  <c r="BI97" i="25"/>
  <c r="AR241" i="25"/>
  <c r="AP241" i="25"/>
  <c r="AR287" i="25"/>
  <c r="AP287" i="25"/>
  <c r="AR89" i="25"/>
  <c r="AT89" i="25" s="1"/>
  <c r="BJ89" i="25"/>
  <c r="BK89" i="25"/>
  <c r="AP89" i="25"/>
  <c r="AR276" i="25"/>
  <c r="AP276" i="25"/>
  <c r="AR184" i="25"/>
  <c r="AP184" i="25"/>
  <c r="BW45" i="25"/>
  <c r="BW73" i="25"/>
  <c r="AR182" i="25"/>
  <c r="AP182" i="25"/>
  <c r="AR35" i="25"/>
  <c r="BJ35" i="25"/>
  <c r="BK35" i="25"/>
  <c r="AP35" i="25"/>
  <c r="BW35" i="25"/>
  <c r="BI35" i="25"/>
  <c r="AR57" i="25"/>
  <c r="AT57" i="25" s="1"/>
  <c r="BJ57" i="25"/>
  <c r="BK57" i="25"/>
  <c r="AP57" i="25"/>
  <c r="AR310" i="25"/>
  <c r="AP310" i="25"/>
  <c r="BI57" i="25"/>
  <c r="AR159" i="25"/>
  <c r="AP159" i="25"/>
  <c r="BW60" i="25"/>
  <c r="AR59" i="25"/>
  <c r="BJ59" i="25"/>
  <c r="BK59" i="25"/>
  <c r="AP59" i="25"/>
  <c r="BW59" i="25"/>
  <c r="BI59" i="25"/>
  <c r="AR162" i="25"/>
  <c r="AP162" i="25"/>
  <c r="AR275" i="25"/>
  <c r="AP275" i="25"/>
  <c r="AR315" i="25"/>
  <c r="AP315" i="25"/>
  <c r="BW77" i="25"/>
  <c r="BI85" i="25"/>
  <c r="AR219" i="25"/>
  <c r="AP219" i="25"/>
  <c r="AR123" i="25"/>
  <c r="AP123" i="25"/>
  <c r="AR300" i="25"/>
  <c r="AP300" i="25"/>
  <c r="AR33" i="25"/>
  <c r="AT33" i="25" s="1"/>
  <c r="BJ33" i="25"/>
  <c r="BK33" i="25"/>
  <c r="AP33" i="25"/>
  <c r="AR50" i="25"/>
  <c r="AT50" i="25" s="1"/>
  <c r="BJ50" i="25"/>
  <c r="BK50" i="25"/>
  <c r="AP50" i="25"/>
  <c r="AR301" i="25"/>
  <c r="AP301" i="25"/>
  <c r="AR63" i="25"/>
  <c r="BJ63" i="25"/>
  <c r="BK63" i="25"/>
  <c r="AP63" i="25"/>
  <c r="BI63" i="25"/>
  <c r="BW63" i="25"/>
  <c r="AR146" i="25"/>
  <c r="AP146" i="25"/>
  <c r="AR262" i="25"/>
  <c r="AP262" i="25"/>
  <c r="AR205" i="25"/>
  <c r="AP205" i="25"/>
  <c r="AR175" i="25"/>
  <c r="AP175" i="25"/>
  <c r="AR163" i="25"/>
  <c r="AP163" i="25"/>
  <c r="AR172" i="25"/>
  <c r="AP172" i="25"/>
  <c r="AR248" i="25"/>
  <c r="AP248" i="25"/>
  <c r="AR209" i="25"/>
  <c r="AP209" i="25"/>
  <c r="AR48" i="25"/>
  <c r="BJ48" i="25"/>
  <c r="BK48" i="25"/>
  <c r="AP48" i="25"/>
  <c r="BI48" i="25"/>
  <c r="BW48" i="25"/>
  <c r="AR235" i="25"/>
  <c r="AP235" i="25"/>
  <c r="BI74" i="25"/>
  <c r="BW99" i="25"/>
  <c r="AR187" i="25"/>
  <c r="AP187" i="25"/>
  <c r="AR23" i="25"/>
  <c r="AT23" i="25" s="1"/>
  <c r="BJ23" i="25"/>
  <c r="BK23" i="25"/>
  <c r="AP23" i="25"/>
  <c r="AR46" i="25"/>
  <c r="AT46" i="25" s="1"/>
  <c r="BJ46" i="25"/>
  <c r="BK46" i="25"/>
  <c r="AP46" i="25"/>
  <c r="AR130" i="25"/>
  <c r="AP130" i="25"/>
  <c r="AR76" i="25"/>
  <c r="BJ76" i="25"/>
  <c r="BK76" i="25"/>
  <c r="AP76" i="25"/>
  <c r="BW76" i="25"/>
  <c r="BI76" i="25"/>
  <c r="AR36" i="25"/>
  <c r="BJ36" i="25"/>
  <c r="BK36" i="25"/>
  <c r="AP36" i="25"/>
  <c r="BI36" i="25"/>
  <c r="BW36" i="25"/>
  <c r="BW84" i="25"/>
  <c r="AR12" i="25"/>
  <c r="BJ12" i="25"/>
  <c r="BK12" i="25"/>
  <c r="AP12" i="25"/>
  <c r="BW12" i="25"/>
  <c r="BI12" i="25"/>
  <c r="BJ6" i="25"/>
  <c r="AR6" i="25"/>
  <c r="BK6" i="25"/>
  <c r="AP6" i="25"/>
  <c r="BI6" i="25"/>
  <c r="BW6" i="25"/>
  <c r="AR280" i="25"/>
  <c r="AP280" i="25"/>
  <c r="AR185" i="25"/>
  <c r="AP185" i="25"/>
  <c r="AR62" i="25"/>
  <c r="BJ62" i="25"/>
  <c r="BK62" i="25"/>
  <c r="AP62" i="25"/>
  <c r="BW62" i="25"/>
  <c r="BI62" i="25"/>
  <c r="AR227" i="25"/>
  <c r="AP227" i="25"/>
  <c r="AR198" i="25"/>
  <c r="AP198" i="25"/>
  <c r="AR133" i="25"/>
  <c r="AP133" i="25"/>
  <c r="AR43" i="25"/>
  <c r="AT43" i="25" s="1"/>
  <c r="BJ43" i="25"/>
  <c r="BK43" i="25"/>
  <c r="AP43" i="25"/>
  <c r="AR221" i="25"/>
  <c r="AP221" i="25"/>
  <c r="AR122" i="25"/>
  <c r="AP122" i="25"/>
  <c r="AR168" i="25"/>
  <c r="AP168" i="25"/>
  <c r="BW19" i="25"/>
  <c r="AR11" i="25"/>
  <c r="BJ11" i="25"/>
  <c r="BK11" i="25"/>
  <c r="AP11" i="25"/>
  <c r="BW11" i="25"/>
  <c r="BI11" i="25"/>
  <c r="BI80" i="25"/>
  <c r="AR104" i="25"/>
  <c r="BJ104" i="25"/>
  <c r="BK104" i="25"/>
  <c r="AP104" i="25"/>
  <c r="BW104" i="25"/>
  <c r="BI104" i="25"/>
  <c r="BJ9" i="25"/>
  <c r="AR9" i="25"/>
  <c r="BK9" i="25"/>
  <c r="AP9" i="25"/>
  <c r="BI9" i="25"/>
  <c r="BW9" i="25"/>
  <c r="AR32" i="25"/>
  <c r="AT32" i="25" s="1"/>
  <c r="BJ32" i="25"/>
  <c r="BK32" i="25"/>
  <c r="AP32" i="25"/>
  <c r="AR92" i="25"/>
  <c r="BJ92" i="25"/>
  <c r="BK92" i="25"/>
  <c r="AP92" i="25"/>
  <c r="BI92" i="25"/>
  <c r="BW92" i="25"/>
  <c r="AR277" i="25"/>
  <c r="AP277" i="25"/>
  <c r="AR58" i="25"/>
  <c r="AT58" i="25" s="1"/>
  <c r="BJ58" i="25"/>
  <c r="BK58" i="25"/>
  <c r="AP58" i="25"/>
  <c r="BW34" i="25"/>
  <c r="AR72" i="25"/>
  <c r="AT72" i="25" s="1"/>
  <c r="BJ72" i="25"/>
  <c r="BK72" i="25"/>
  <c r="AP72" i="25"/>
  <c r="AR117" i="25"/>
  <c r="AP117" i="25"/>
  <c r="AR160" i="25"/>
  <c r="AP160" i="25"/>
  <c r="AR49" i="25"/>
  <c r="BJ49" i="25"/>
  <c r="BK49" i="25"/>
  <c r="AP49" i="25"/>
  <c r="BI49" i="25"/>
  <c r="BW49" i="25"/>
  <c r="AR291" i="25"/>
  <c r="AP291" i="25"/>
  <c r="AR191" i="25"/>
  <c r="AP191" i="25"/>
  <c r="AR150" i="25"/>
  <c r="AP150" i="25"/>
  <c r="AR75" i="25"/>
  <c r="AT75" i="25" s="1"/>
  <c r="BJ75" i="25"/>
  <c r="BK75" i="25"/>
  <c r="AP75" i="25"/>
  <c r="AR151" i="25"/>
  <c r="AP151" i="25"/>
  <c r="AR266" i="25"/>
  <c r="AP266" i="25"/>
  <c r="AR171" i="25"/>
  <c r="AP171" i="25"/>
  <c r="AR95" i="25"/>
  <c r="AT95" i="25" s="1"/>
  <c r="BJ95" i="25"/>
  <c r="BK95" i="25"/>
  <c r="AP95" i="25"/>
  <c r="AR112" i="25"/>
  <c r="AP112" i="25"/>
  <c r="AR7" i="25"/>
  <c r="AT7" i="25" s="1"/>
  <c r="BJ7" i="25"/>
  <c r="BK7" i="25"/>
  <c r="AP7" i="25"/>
  <c r="AR51" i="25"/>
  <c r="BJ51" i="25"/>
  <c r="BK51" i="25"/>
  <c r="AP51" i="25"/>
  <c r="BW51" i="25"/>
  <c r="BI51" i="25"/>
  <c r="AR270" i="25"/>
  <c r="AP270" i="25"/>
  <c r="AR282" i="25"/>
  <c r="AP282" i="25"/>
  <c r="AR186" i="25"/>
  <c r="AP186" i="25"/>
  <c r="BI45" i="25"/>
  <c r="AR64" i="25"/>
  <c r="BJ64" i="25"/>
  <c r="BK64" i="25"/>
  <c r="AP64" i="25"/>
  <c r="BW64" i="25"/>
  <c r="BI64" i="25"/>
  <c r="BI73" i="25"/>
  <c r="AR252" i="25"/>
  <c r="AP252" i="25"/>
  <c r="AR16" i="25"/>
  <c r="AT16" i="25" s="1"/>
  <c r="BJ16" i="25"/>
  <c r="BK16" i="25"/>
  <c r="AP16" i="25"/>
  <c r="AR251" i="25"/>
  <c r="AP251" i="25"/>
  <c r="AR20" i="25"/>
  <c r="BJ20" i="25"/>
  <c r="BK20" i="25"/>
  <c r="AP20" i="25"/>
  <c r="BW20" i="25"/>
  <c r="BI20" i="25"/>
  <c r="AR39" i="25"/>
  <c r="AT39" i="25" s="1"/>
  <c r="BJ39" i="25"/>
  <c r="BK39" i="25"/>
  <c r="AP39" i="25"/>
  <c r="AR53" i="25"/>
  <c r="BJ53" i="25"/>
  <c r="BK53" i="25"/>
  <c r="AP53" i="25"/>
  <c r="BW53" i="25"/>
  <c r="BI53" i="25"/>
  <c r="AR78" i="25"/>
  <c r="BJ78" i="25"/>
  <c r="BK78" i="25"/>
  <c r="AP78" i="25"/>
  <c r="BI78" i="25"/>
  <c r="BW78" i="25"/>
  <c r="AR250" i="25"/>
  <c r="AP250" i="25"/>
  <c r="AR66" i="25"/>
  <c r="AT66" i="25" s="1"/>
  <c r="BJ66" i="25"/>
  <c r="BK66" i="25"/>
  <c r="AP66" i="25"/>
  <c r="AR17" i="25"/>
  <c r="BJ17" i="25"/>
  <c r="BK17" i="25"/>
  <c r="AP17" i="25"/>
  <c r="BW17" i="25"/>
  <c r="BI17" i="25"/>
  <c r="BI23" i="25"/>
  <c r="AR178" i="25"/>
  <c r="AP178" i="25"/>
  <c r="AR210" i="25"/>
  <c r="AP210" i="25"/>
  <c r="AR15" i="25"/>
  <c r="BJ15" i="25"/>
  <c r="BK15" i="25"/>
  <c r="AP15" i="25"/>
  <c r="BI15" i="25"/>
  <c r="BW15" i="25"/>
  <c r="AR157" i="25"/>
  <c r="AP157" i="25"/>
  <c r="AR103" i="25"/>
  <c r="BJ103" i="25"/>
  <c r="BK103" i="25"/>
  <c r="AP103" i="25"/>
  <c r="BW103" i="25"/>
  <c r="BI103" i="25"/>
  <c r="AR311" i="25"/>
  <c r="AP311" i="25"/>
  <c r="AR173" i="25"/>
  <c r="AP173" i="25"/>
  <c r="AR26" i="25"/>
  <c r="BJ26" i="25"/>
  <c r="BK26" i="25"/>
  <c r="AP26" i="25"/>
  <c r="BI26" i="25"/>
  <c r="BW26" i="25"/>
  <c r="AR127" i="25"/>
  <c r="AP127" i="25"/>
  <c r="AR293" i="25"/>
  <c r="AP293" i="25"/>
  <c r="BW10" i="25"/>
  <c r="AR174" i="25"/>
  <c r="AP174" i="25"/>
  <c r="BV19" i="24"/>
  <c r="BV36" i="24"/>
  <c r="BV40" i="24"/>
  <c r="BV18" i="24"/>
  <c r="BJ82" i="24"/>
  <c r="BV82" i="24"/>
  <c r="BJ68" i="24"/>
  <c r="BV68" i="24"/>
  <c r="BJ83" i="24"/>
  <c r="BV83" i="24"/>
  <c r="BJ89" i="24"/>
  <c r="BV89" i="24"/>
  <c r="BJ79" i="24"/>
  <c r="BV79" i="24"/>
  <c r="BJ32" i="24"/>
  <c r="BV32" i="24"/>
  <c r="BJ56" i="24"/>
  <c r="BV56" i="24"/>
  <c r="BJ63" i="24"/>
  <c r="BV63" i="24"/>
  <c r="BJ29" i="24"/>
  <c r="BV29" i="24"/>
  <c r="BV46" i="24"/>
  <c r="BJ74" i="24"/>
  <c r="BV74" i="24"/>
  <c r="BJ59" i="24"/>
  <c r="BV59" i="24"/>
  <c r="BJ96" i="24"/>
  <c r="BV96" i="24"/>
  <c r="BJ31" i="24"/>
  <c r="BV31" i="24"/>
  <c r="BJ100" i="24"/>
  <c r="BV100" i="24"/>
  <c r="BJ54" i="24"/>
  <c r="BV54" i="24"/>
  <c r="BJ92" i="24"/>
  <c r="BV92" i="24"/>
  <c r="BJ72" i="24"/>
  <c r="BV72" i="24"/>
  <c r="BJ42" i="24"/>
  <c r="BV42" i="24"/>
  <c r="BV21" i="24"/>
  <c r="BV28" i="24"/>
  <c r="BJ85" i="24"/>
  <c r="AS40" i="24"/>
  <c r="BK32" i="24"/>
  <c r="AS32" i="24"/>
  <c r="AW32" i="24" s="1"/>
  <c r="AY32" i="24" s="1"/>
  <c r="AZ32" i="24" s="1"/>
  <c r="BL32" i="24"/>
  <c r="AQ40" i="24"/>
  <c r="BK40" i="24"/>
  <c r="BL40" i="24"/>
  <c r="AQ32" i="24"/>
  <c r="AS201" i="24"/>
  <c r="AQ201" i="24"/>
  <c r="AS202" i="24"/>
  <c r="AQ202" i="24"/>
  <c r="CF208" i="24"/>
  <c r="AS200" i="24"/>
  <c r="CF200" i="24"/>
  <c r="AS197" i="24"/>
  <c r="AQ197" i="24"/>
  <c r="AS185" i="24"/>
  <c r="AQ185" i="24"/>
  <c r="AS183" i="24"/>
  <c r="AQ183" i="24"/>
  <c r="AS187" i="24"/>
  <c r="AQ187" i="24"/>
  <c r="AS190" i="24"/>
  <c r="AQ190" i="24"/>
  <c r="BJ18" i="24"/>
  <c r="BK53" i="24"/>
  <c r="BJ53" i="24"/>
  <c r="BL56" i="24"/>
  <c r="BK56" i="24"/>
  <c r="BL63" i="24"/>
  <c r="BK63" i="24"/>
  <c r="BL29" i="24"/>
  <c r="BK29" i="24"/>
  <c r="BL100" i="24"/>
  <c r="BK100" i="24"/>
  <c r="BL36" i="24"/>
  <c r="BK36" i="24"/>
  <c r="BL54" i="24"/>
  <c r="BK54" i="24"/>
  <c r="BL92" i="24"/>
  <c r="BK92" i="24"/>
  <c r="BL72" i="24"/>
  <c r="BK72" i="24"/>
  <c r="BL85" i="24"/>
  <c r="BK85" i="24"/>
  <c r="BL42" i="24"/>
  <c r="BK42" i="24"/>
  <c r="BL82" i="24"/>
  <c r="BK82" i="24"/>
  <c r="BL74" i="24"/>
  <c r="BK74" i="24"/>
  <c r="BL68" i="24"/>
  <c r="BK68" i="24"/>
  <c r="BL59" i="24"/>
  <c r="BK59" i="24"/>
  <c r="BL96" i="24"/>
  <c r="BK96" i="24"/>
  <c r="BL83" i="24"/>
  <c r="BK83" i="24"/>
  <c r="BL28" i="24"/>
  <c r="BK28" i="24"/>
  <c r="BL89" i="24"/>
  <c r="BK89" i="24"/>
  <c r="BL21" i="24"/>
  <c r="BK21" i="24"/>
  <c r="BL46" i="24"/>
  <c r="BK46" i="24"/>
  <c r="BL79" i="24"/>
  <c r="BK79" i="24"/>
  <c r="BL19" i="24"/>
  <c r="BK19" i="24"/>
  <c r="BL31" i="24"/>
  <c r="BK31" i="24"/>
  <c r="AQ18" i="24"/>
  <c r="BL18" i="24"/>
  <c r="AS53" i="24"/>
  <c r="AW53" i="24" s="1"/>
  <c r="AY53" i="24" s="1"/>
  <c r="AZ53" i="24" s="1"/>
  <c r="BL53" i="24"/>
  <c r="AS18" i="24"/>
  <c r="AQ53" i="24"/>
  <c r="AQ100" i="24"/>
  <c r="AS100" i="24"/>
  <c r="AQ36" i="24"/>
  <c r="AS36" i="24"/>
  <c r="AQ257" i="24"/>
  <c r="AS257" i="24"/>
  <c r="AQ304" i="24"/>
  <c r="AS304" i="24"/>
  <c r="AQ249" i="24"/>
  <c r="AS249" i="24"/>
  <c r="AQ310" i="24"/>
  <c r="AS310" i="24"/>
  <c r="AQ288" i="24"/>
  <c r="AS288" i="24"/>
  <c r="AQ248" i="24"/>
  <c r="AS248" i="24"/>
  <c r="AQ247" i="24"/>
  <c r="AS247" i="24"/>
  <c r="AQ245" i="24"/>
  <c r="AS245" i="24"/>
  <c r="AQ126" i="24"/>
  <c r="AS126" i="24"/>
  <c r="AQ164" i="24"/>
  <c r="AS164" i="24"/>
  <c r="AQ142" i="24"/>
  <c r="AS142" i="24"/>
  <c r="AQ135" i="24"/>
  <c r="AS135" i="24"/>
  <c r="AQ137" i="24"/>
  <c r="AS137" i="24"/>
  <c r="AQ179" i="24"/>
  <c r="AS179" i="24"/>
  <c r="AQ85" i="24"/>
  <c r="AS85" i="24"/>
  <c r="AQ42" i="24"/>
  <c r="AS42" i="24"/>
  <c r="AQ230" i="24"/>
  <c r="AS230" i="24"/>
  <c r="AQ280" i="24"/>
  <c r="AS280" i="24"/>
  <c r="AQ240" i="24"/>
  <c r="AS240" i="24"/>
  <c r="AQ276" i="24"/>
  <c r="AS276" i="24"/>
  <c r="AQ219" i="24"/>
  <c r="AS219" i="24"/>
  <c r="AQ271" i="24"/>
  <c r="AS271" i="24"/>
  <c r="AQ282" i="24"/>
  <c r="AS282" i="24"/>
  <c r="AQ220" i="24"/>
  <c r="AS220" i="24"/>
  <c r="AQ243" i="24"/>
  <c r="AS243" i="24"/>
  <c r="AQ275" i="24"/>
  <c r="AS275" i="24"/>
  <c r="AQ270" i="24"/>
  <c r="AS270" i="24"/>
  <c r="AQ235" i="24"/>
  <c r="AS235" i="24"/>
  <c r="AQ221" i="24"/>
  <c r="AS221" i="24"/>
  <c r="AQ59" i="24"/>
  <c r="AS59" i="24"/>
  <c r="AQ96" i="24"/>
  <c r="AS96" i="24"/>
  <c r="AQ173" i="24"/>
  <c r="AS173" i="24"/>
  <c r="AQ120" i="24"/>
  <c r="AS120" i="24"/>
  <c r="AQ138" i="24"/>
  <c r="AS138" i="24"/>
  <c r="AQ127" i="24"/>
  <c r="AS127" i="24"/>
  <c r="AQ178" i="24"/>
  <c r="AS178" i="24"/>
  <c r="AQ28" i="24"/>
  <c r="AS28" i="24"/>
  <c r="AQ89" i="24"/>
  <c r="AS89" i="24"/>
  <c r="AQ21" i="24"/>
  <c r="AS21" i="24"/>
  <c r="AQ268" i="24"/>
  <c r="AS268" i="24"/>
  <c r="AQ254" i="24"/>
  <c r="AS254" i="24"/>
  <c r="AQ299" i="24"/>
  <c r="AS299" i="24"/>
  <c r="AQ293" i="24"/>
  <c r="AS293" i="24"/>
  <c r="AQ251" i="24"/>
  <c r="AS251" i="24"/>
  <c r="AQ294" i="24"/>
  <c r="AS294" i="24"/>
  <c r="AQ229" i="24"/>
  <c r="AS229" i="24"/>
  <c r="AQ252" i="24"/>
  <c r="AS252" i="24"/>
  <c r="AQ273" i="24"/>
  <c r="AS273" i="24"/>
  <c r="AQ244" i="24"/>
  <c r="AS244" i="24"/>
  <c r="AQ253" i="24"/>
  <c r="AS253" i="24"/>
  <c r="AQ259" i="24"/>
  <c r="AS259" i="24"/>
  <c r="AQ279" i="24"/>
  <c r="AS279" i="24"/>
  <c r="AQ274" i="24"/>
  <c r="AS274" i="24"/>
  <c r="AQ267" i="24"/>
  <c r="AS267" i="24"/>
  <c r="AQ246" i="24"/>
  <c r="AS246" i="24"/>
  <c r="AQ223" i="24"/>
  <c r="AS223" i="24"/>
  <c r="AQ216" i="24"/>
  <c r="AS216" i="24"/>
  <c r="AQ222" i="24"/>
  <c r="AS222" i="24"/>
  <c r="AQ46" i="24"/>
  <c r="AS46" i="24"/>
  <c r="AQ139" i="24"/>
  <c r="AS139" i="24"/>
  <c r="AQ148" i="24"/>
  <c r="AS148" i="24"/>
  <c r="AQ300" i="24"/>
  <c r="AS300" i="24"/>
  <c r="AQ79" i="24"/>
  <c r="AS79" i="24"/>
  <c r="AQ171" i="24"/>
  <c r="AS171" i="24"/>
  <c r="AQ145" i="24"/>
  <c r="AS145" i="24"/>
  <c r="AQ19" i="24"/>
  <c r="AS19" i="24"/>
  <c r="AQ31" i="24"/>
  <c r="AS31" i="24"/>
  <c r="AQ283" i="24"/>
  <c r="AS283" i="24"/>
  <c r="AQ301" i="24"/>
  <c r="AS301" i="24"/>
  <c r="AQ314" i="24"/>
  <c r="AS314" i="24"/>
  <c r="AQ261" i="24"/>
  <c r="AS261" i="24"/>
  <c r="AQ297" i="24"/>
  <c r="AS297" i="24"/>
  <c r="AQ302" i="24"/>
  <c r="AS302" i="24"/>
  <c r="AQ54" i="24"/>
  <c r="AS54" i="24"/>
  <c r="AQ92" i="24"/>
  <c r="AS92" i="24"/>
  <c r="AQ140" i="24"/>
  <c r="AS140" i="24"/>
  <c r="AQ125" i="24"/>
  <c r="AS125" i="24"/>
  <c r="AQ111" i="24"/>
  <c r="AS111" i="24"/>
  <c r="AQ72" i="24"/>
  <c r="AS72" i="24"/>
  <c r="AQ143" i="24"/>
  <c r="AS143" i="24"/>
  <c r="AQ175" i="24"/>
  <c r="AS175" i="24"/>
  <c r="AQ154" i="24"/>
  <c r="AS154" i="24"/>
  <c r="AQ290" i="24"/>
  <c r="AS290" i="24"/>
  <c r="AQ303" i="24"/>
  <c r="AS303" i="24"/>
  <c r="AQ286" i="24"/>
  <c r="AS286" i="24"/>
  <c r="AQ218" i="24"/>
  <c r="AS218" i="24"/>
  <c r="AQ228" i="24"/>
  <c r="AS228" i="24"/>
  <c r="AQ258" i="24"/>
  <c r="AS258" i="24"/>
  <c r="AQ285" i="24"/>
  <c r="AS285" i="24"/>
  <c r="AQ316" i="24"/>
  <c r="AS316" i="24"/>
  <c r="AQ82" i="24"/>
  <c r="AS82" i="24"/>
  <c r="AQ74" i="24"/>
  <c r="AS74" i="24"/>
  <c r="AQ68" i="24"/>
  <c r="AS68" i="24"/>
  <c r="AQ160" i="24"/>
  <c r="AS160" i="24"/>
  <c r="AQ121" i="24"/>
  <c r="AS121" i="24"/>
  <c r="AQ118" i="24"/>
  <c r="AS118" i="24"/>
  <c r="AQ113" i="24"/>
  <c r="AS113" i="24"/>
  <c r="AQ124" i="24"/>
  <c r="AS124" i="24"/>
  <c r="AQ144" i="24"/>
  <c r="AS144" i="24"/>
  <c r="AQ83" i="24"/>
  <c r="AS83" i="24"/>
  <c r="AQ56" i="24"/>
  <c r="AS56" i="24"/>
  <c r="AQ272" i="24"/>
  <c r="AS272" i="24"/>
  <c r="AQ277" i="24"/>
  <c r="AS277" i="24"/>
  <c r="AQ281" i="24"/>
  <c r="AS281" i="24"/>
  <c r="AQ239" i="24"/>
  <c r="AS239" i="24"/>
  <c r="AQ309" i="24"/>
  <c r="AS309" i="24"/>
  <c r="AQ234" i="24"/>
  <c r="AS234" i="24"/>
  <c r="AQ241" i="24"/>
  <c r="AS241" i="24"/>
  <c r="AQ227" i="24"/>
  <c r="AS227" i="24"/>
  <c r="AQ298" i="24"/>
  <c r="AS298" i="24"/>
  <c r="AQ287" i="24"/>
  <c r="AS287" i="24"/>
  <c r="AQ233" i="24"/>
  <c r="AS233" i="24"/>
  <c r="AQ256" i="24"/>
  <c r="AS256" i="24"/>
  <c r="AQ236" i="24"/>
  <c r="AS236" i="24"/>
  <c r="AQ266" i="24"/>
  <c r="AS266" i="24"/>
  <c r="AQ313" i="24"/>
  <c r="AS313" i="24"/>
  <c r="AQ307" i="24"/>
  <c r="AS307" i="24"/>
  <c r="AQ250" i="24"/>
  <c r="AS250" i="24"/>
  <c r="AQ264" i="24"/>
  <c r="AS264" i="24"/>
  <c r="AQ224" i="24"/>
  <c r="AS224" i="24"/>
  <c r="AQ315" i="24"/>
  <c r="AS315" i="24"/>
  <c r="AQ63" i="24"/>
  <c r="AS63" i="24"/>
  <c r="AQ292" i="24"/>
  <c r="AS292" i="24"/>
  <c r="AQ158" i="24"/>
  <c r="AS158" i="24"/>
  <c r="AQ153" i="24"/>
  <c r="AS153" i="24"/>
  <c r="AQ129" i="24"/>
  <c r="AS129" i="24"/>
  <c r="AQ116" i="24"/>
  <c r="AS116" i="24"/>
  <c r="AQ177" i="24"/>
  <c r="AS177" i="24"/>
  <c r="AQ151" i="24"/>
  <c r="AS151" i="24"/>
  <c r="AQ180" i="24"/>
  <c r="AS180" i="24"/>
  <c r="AQ29" i="24"/>
  <c r="AS29" i="24"/>
  <c r="BA84" i="25" l="1"/>
  <c r="BB84" i="25"/>
  <c r="BA43" i="25"/>
  <c r="BB43" i="25"/>
  <c r="BA98" i="25"/>
  <c r="BB98" i="25"/>
  <c r="BA72" i="25"/>
  <c r="BB72" i="25"/>
  <c r="BA18" i="25"/>
  <c r="BB18" i="25"/>
  <c r="BA90" i="25"/>
  <c r="BB90" i="25"/>
  <c r="BA80" i="25"/>
  <c r="BB80" i="25"/>
  <c r="BA99" i="25"/>
  <c r="BB99" i="25"/>
  <c r="BA74" i="25"/>
  <c r="BB74" i="25"/>
  <c r="BA34" i="25"/>
  <c r="BB34" i="25"/>
  <c r="BA32" i="25"/>
  <c r="BB32" i="25"/>
  <c r="BA65" i="25"/>
  <c r="BB65" i="25"/>
  <c r="BA73" i="25"/>
  <c r="BB73" i="25"/>
  <c r="BA16" i="25"/>
  <c r="BB16" i="25"/>
  <c r="BA95" i="25"/>
  <c r="BB95" i="25"/>
  <c r="BA23" i="25"/>
  <c r="BB23" i="25"/>
  <c r="BA50" i="25"/>
  <c r="BB50" i="25"/>
  <c r="BA10" i="25"/>
  <c r="BB10" i="25"/>
  <c r="BA19" i="25"/>
  <c r="BB19" i="25"/>
  <c r="BA60" i="25"/>
  <c r="BB60" i="25"/>
  <c r="BA85" i="25"/>
  <c r="BB85" i="25"/>
  <c r="BA66" i="25"/>
  <c r="BB66" i="25"/>
  <c r="BA7" i="25"/>
  <c r="BB7" i="25"/>
  <c r="BA75" i="25"/>
  <c r="BB75" i="25"/>
  <c r="BA57" i="25"/>
  <c r="BB57" i="25"/>
  <c r="BA25" i="25"/>
  <c r="BB25" i="25"/>
  <c r="BA55" i="25"/>
  <c r="BB55" i="25"/>
  <c r="BA58" i="25"/>
  <c r="BB58" i="25"/>
  <c r="BA77" i="25"/>
  <c r="BB77" i="25"/>
  <c r="BA45" i="25"/>
  <c r="BB45" i="25"/>
  <c r="BA39" i="25"/>
  <c r="BB39" i="25"/>
  <c r="BA46" i="25"/>
  <c r="BB46" i="25"/>
  <c r="BA33" i="25"/>
  <c r="BB33" i="25"/>
  <c r="BA89" i="25"/>
  <c r="BB89" i="25"/>
  <c r="AQ232" i="24"/>
  <c r="CF232" i="24"/>
  <c r="AN43" i="24"/>
  <c r="AX43" i="24" s="1"/>
  <c r="AQ226" i="24"/>
  <c r="CF226" i="24"/>
  <c r="AQ308" i="24"/>
  <c r="CF308" i="24"/>
  <c r="AJ212" i="24"/>
  <c r="AT212" i="24" s="1"/>
  <c r="E20" i="1" s="1"/>
  <c r="AF212" i="24"/>
  <c r="AG212" i="24"/>
  <c r="AQ225" i="24"/>
  <c r="CF225" i="24"/>
  <c r="BV122" i="24"/>
  <c r="CF122" i="24"/>
  <c r="BK110" i="25"/>
  <c r="BJ110" i="25"/>
  <c r="BW110" i="25"/>
  <c r="BI110" i="25"/>
  <c r="AX172" i="24"/>
  <c r="AX123" i="24"/>
  <c r="BV115" i="24"/>
  <c r="AX181" i="24"/>
  <c r="BV155" i="24"/>
  <c r="AX195" i="24"/>
  <c r="BV157" i="24"/>
  <c r="AX208" i="24"/>
  <c r="BX210" i="24"/>
  <c r="BX195" i="24"/>
  <c r="AX157" i="24"/>
  <c r="AX115" i="24"/>
  <c r="BX122" i="24"/>
  <c r="BV123" i="24"/>
  <c r="BJ181" i="24"/>
  <c r="BV210" i="24"/>
  <c r="BJ208" i="24"/>
  <c r="AQ136" i="24"/>
  <c r="BK136" i="24"/>
  <c r="BL136" i="24"/>
  <c r="CF196" i="24"/>
  <c r="BL196" i="24"/>
  <c r="BK196" i="24"/>
  <c r="BJ196" i="24"/>
  <c r="BX196" i="24"/>
  <c r="BV196" i="24"/>
  <c r="AX196" i="24"/>
  <c r="CF204" i="24"/>
  <c r="BL204" i="24"/>
  <c r="BK204" i="24"/>
  <c r="BJ204" i="24"/>
  <c r="BV204" i="24"/>
  <c r="BX204" i="24"/>
  <c r="AX204" i="24"/>
  <c r="CF198" i="24"/>
  <c r="BK198" i="24"/>
  <c r="BL198" i="24"/>
  <c r="BX198" i="24"/>
  <c r="BV198" i="24"/>
  <c r="BJ198" i="24"/>
  <c r="AX198" i="24"/>
  <c r="CF170" i="24"/>
  <c r="BK170" i="24"/>
  <c r="BL170" i="24"/>
  <c r="BX170" i="24"/>
  <c r="BV170" i="24"/>
  <c r="BJ170" i="24"/>
  <c r="AX170" i="24"/>
  <c r="CF189" i="24"/>
  <c r="BK189" i="24"/>
  <c r="BL189" i="24"/>
  <c r="AX189" i="24"/>
  <c r="BX189" i="24"/>
  <c r="BV189" i="24"/>
  <c r="BJ189" i="24"/>
  <c r="CF132" i="24"/>
  <c r="BL132" i="24"/>
  <c r="BK132" i="24"/>
  <c r="BV132" i="24"/>
  <c r="BX132" i="24"/>
  <c r="BJ132" i="24"/>
  <c r="AX132" i="24"/>
  <c r="BV136" i="24"/>
  <c r="BJ136" i="24"/>
  <c r="CF163" i="24"/>
  <c r="BL163" i="24"/>
  <c r="BK163" i="24"/>
  <c r="BV163" i="24"/>
  <c r="BX163" i="24"/>
  <c r="AX163" i="24"/>
  <c r="BJ163" i="24"/>
  <c r="CF131" i="24"/>
  <c r="BK131" i="24"/>
  <c r="BL131" i="24"/>
  <c r="BV131" i="24"/>
  <c r="BX131" i="24"/>
  <c r="AX131" i="24"/>
  <c r="BJ131" i="24"/>
  <c r="CF186" i="24"/>
  <c r="BK186" i="24"/>
  <c r="BL186" i="24"/>
  <c r="BX186" i="24"/>
  <c r="BV186" i="24"/>
  <c r="BJ186" i="24"/>
  <c r="AX186" i="24"/>
  <c r="CF112" i="24"/>
  <c r="BK112" i="24"/>
  <c r="BL112" i="24"/>
  <c r="AQ184" i="24"/>
  <c r="BK184" i="24"/>
  <c r="BL184" i="24"/>
  <c r="BX184" i="24"/>
  <c r="BV184" i="24"/>
  <c r="BJ184" i="24"/>
  <c r="AX184" i="24"/>
  <c r="CF174" i="24"/>
  <c r="BK174" i="24"/>
  <c r="BL174" i="24"/>
  <c r="BV174" i="24"/>
  <c r="AX174" i="24"/>
  <c r="BX174" i="24"/>
  <c r="BJ174" i="24"/>
  <c r="CF156" i="24"/>
  <c r="BK156" i="24"/>
  <c r="BL156" i="24"/>
  <c r="BV156" i="24"/>
  <c r="BX156" i="24"/>
  <c r="BJ156" i="24"/>
  <c r="AX156" i="24"/>
  <c r="CF117" i="24"/>
  <c r="BK117" i="24"/>
  <c r="BL117" i="24"/>
  <c r="AX117" i="24"/>
  <c r="BV117" i="24"/>
  <c r="BJ117" i="24"/>
  <c r="BX117" i="24"/>
  <c r="CF176" i="24"/>
  <c r="BK176" i="24"/>
  <c r="BL176" i="24"/>
  <c r="BJ176" i="24"/>
  <c r="BV176" i="24"/>
  <c r="BX176" i="24"/>
  <c r="AX176" i="24"/>
  <c r="AQ114" i="24"/>
  <c r="BK114" i="24"/>
  <c r="BL114" i="24"/>
  <c r="BX114" i="24"/>
  <c r="AX114" i="24"/>
  <c r="BJ114" i="24"/>
  <c r="BV114" i="24"/>
  <c r="CF130" i="24"/>
  <c r="BK130" i="24"/>
  <c r="BL130" i="24"/>
  <c r="AX130" i="24"/>
  <c r="BX130" i="24"/>
  <c r="BJ130" i="24"/>
  <c r="BV130" i="24"/>
  <c r="AS167" i="24"/>
  <c r="AU167" i="24" s="1"/>
  <c r="BC167" i="24" s="1"/>
  <c r="BK167" i="24"/>
  <c r="BL167" i="24"/>
  <c r="BX167" i="24"/>
  <c r="BJ167" i="24"/>
  <c r="BV167" i="24"/>
  <c r="AX167" i="24"/>
  <c r="CF159" i="24"/>
  <c r="BL159" i="24"/>
  <c r="BK159" i="24"/>
  <c r="BV159" i="24"/>
  <c r="BX159" i="24"/>
  <c r="BJ159" i="24"/>
  <c r="AX159" i="24"/>
  <c r="BK146" i="24"/>
  <c r="BL146" i="24"/>
  <c r="BX146" i="24"/>
  <c r="AX146" i="24"/>
  <c r="BJ146" i="24"/>
  <c r="BV146" i="24"/>
  <c r="CF128" i="24"/>
  <c r="BK128" i="24"/>
  <c r="BL128" i="24"/>
  <c r="BX128" i="24"/>
  <c r="BV128" i="24"/>
  <c r="BJ128" i="24"/>
  <c r="AX128" i="24"/>
  <c r="CF152" i="24"/>
  <c r="BL152" i="24"/>
  <c r="BK152" i="24"/>
  <c r="BX152" i="24"/>
  <c r="BJ152" i="24"/>
  <c r="BV152" i="24"/>
  <c r="AX152" i="24"/>
  <c r="CF165" i="24"/>
  <c r="BL165" i="24"/>
  <c r="BK165" i="24"/>
  <c r="BV165" i="24"/>
  <c r="AX165" i="24"/>
  <c r="BX165" i="24"/>
  <c r="BJ165" i="24"/>
  <c r="BX136" i="24"/>
  <c r="AS165" i="24"/>
  <c r="AU165" i="24" s="1"/>
  <c r="BC165" i="24" s="1"/>
  <c r="BK110" i="24"/>
  <c r="BL110" i="24"/>
  <c r="BV110" i="24"/>
  <c r="AX110" i="24"/>
  <c r="BX110" i="24"/>
  <c r="BJ110" i="24"/>
  <c r="CF123" i="24"/>
  <c r="BK123" i="24"/>
  <c r="BL123" i="24"/>
  <c r="CF194" i="24"/>
  <c r="BK194" i="24"/>
  <c r="BL194" i="24"/>
  <c r="BV194" i="24"/>
  <c r="BX194" i="24"/>
  <c r="BJ194" i="24"/>
  <c r="AX194" i="24"/>
  <c r="BK169" i="24"/>
  <c r="BL169" i="24"/>
  <c r="CF207" i="24"/>
  <c r="BK207" i="24"/>
  <c r="BL207" i="24"/>
  <c r="CF172" i="24"/>
  <c r="BL172" i="24"/>
  <c r="BK172" i="24"/>
  <c r="CF192" i="24"/>
  <c r="BK192" i="24"/>
  <c r="BL192" i="24"/>
  <c r="BX192" i="24"/>
  <c r="AX192" i="24"/>
  <c r="BJ192" i="24"/>
  <c r="BV192" i="24"/>
  <c r="CF199" i="24"/>
  <c r="BK199" i="24"/>
  <c r="BL199" i="24"/>
  <c r="BV199" i="24"/>
  <c r="BJ199" i="24"/>
  <c r="BX199" i="24"/>
  <c r="AX199" i="24"/>
  <c r="CF157" i="24"/>
  <c r="BL157" i="24"/>
  <c r="BK157" i="24"/>
  <c r="CF141" i="24"/>
  <c r="BK141" i="24"/>
  <c r="BL141" i="24"/>
  <c r="AX141" i="24"/>
  <c r="BV141" i="24"/>
  <c r="BX141" i="24"/>
  <c r="BJ141" i="24"/>
  <c r="CF188" i="24"/>
  <c r="BL188" i="24"/>
  <c r="BK188" i="24"/>
  <c r="BJ188" i="24"/>
  <c r="BV188" i="24"/>
  <c r="BX188" i="24"/>
  <c r="AX188" i="24"/>
  <c r="CF209" i="24"/>
  <c r="BK209" i="24"/>
  <c r="BL209" i="24"/>
  <c r="BJ209" i="24"/>
  <c r="BV209" i="24"/>
  <c r="BX209" i="24"/>
  <c r="AX209" i="24"/>
  <c r="AS133" i="24"/>
  <c r="AU133" i="24" s="1"/>
  <c r="BC133" i="24" s="1"/>
  <c r="BK133" i="24"/>
  <c r="BL133" i="24"/>
  <c r="AX133" i="24"/>
  <c r="BV133" i="24"/>
  <c r="BJ133" i="24"/>
  <c r="BX133" i="24"/>
  <c r="CF206" i="24"/>
  <c r="BK206" i="24"/>
  <c r="BL206" i="24"/>
  <c r="BX206" i="24"/>
  <c r="BV206" i="24"/>
  <c r="AX206" i="24"/>
  <c r="BJ206" i="24"/>
  <c r="AS166" i="24"/>
  <c r="AU166" i="24" s="1"/>
  <c r="BC166" i="24" s="1"/>
  <c r="BK166" i="24"/>
  <c r="BL166" i="24"/>
  <c r="BV166" i="24"/>
  <c r="BJ166" i="24"/>
  <c r="BX166" i="24"/>
  <c r="AX166" i="24"/>
  <c r="AQ191" i="24"/>
  <c r="BK191" i="24"/>
  <c r="BL191" i="24"/>
  <c r="BV191" i="24"/>
  <c r="BX191" i="24"/>
  <c r="BJ191" i="24"/>
  <c r="AX191" i="24"/>
  <c r="AX207" i="24"/>
  <c r="BX112" i="24"/>
  <c r="BJ112" i="24"/>
  <c r="BX172" i="24"/>
  <c r="BJ169" i="24"/>
  <c r="BV169" i="24"/>
  <c r="CF134" i="24"/>
  <c r="BL134" i="24"/>
  <c r="BK134" i="24"/>
  <c r="BV134" i="24"/>
  <c r="BJ134" i="24"/>
  <c r="AX134" i="24"/>
  <c r="BX134" i="24"/>
  <c r="AQ161" i="24"/>
  <c r="BL161" i="24"/>
  <c r="BK161" i="24"/>
  <c r="AX161" i="24"/>
  <c r="BV161" i="24"/>
  <c r="BJ161" i="24"/>
  <c r="BX161" i="24"/>
  <c r="BK168" i="24"/>
  <c r="BL168" i="24"/>
  <c r="BJ168" i="24"/>
  <c r="BV168" i="24"/>
  <c r="BX168" i="24"/>
  <c r="AX168" i="24"/>
  <c r="CF147" i="24"/>
  <c r="BL147" i="24"/>
  <c r="BK147" i="24"/>
  <c r="BV147" i="24"/>
  <c r="BX147" i="24"/>
  <c r="AX147" i="24"/>
  <c r="BJ147" i="24"/>
  <c r="CF182" i="24"/>
  <c r="BK182" i="24"/>
  <c r="BL182" i="24"/>
  <c r="BV182" i="24"/>
  <c r="BX182" i="24"/>
  <c r="AX182" i="24"/>
  <c r="BJ182" i="24"/>
  <c r="BL155" i="24"/>
  <c r="BK155" i="24"/>
  <c r="CF149" i="24"/>
  <c r="BL149" i="24"/>
  <c r="BK149" i="24"/>
  <c r="BV149" i="24"/>
  <c r="AX149" i="24"/>
  <c r="BX149" i="24"/>
  <c r="BJ149" i="24"/>
  <c r="AS115" i="24"/>
  <c r="AU115" i="24" s="1"/>
  <c r="BC115" i="24" s="1"/>
  <c r="BK115" i="24"/>
  <c r="BL115" i="24"/>
  <c r="CF210" i="24"/>
  <c r="BK210" i="24"/>
  <c r="BL210" i="24"/>
  <c r="BK203" i="24"/>
  <c r="BL203" i="24"/>
  <c r="BX203" i="24"/>
  <c r="BJ203" i="24"/>
  <c r="BV203" i="24"/>
  <c r="AX203" i="24"/>
  <c r="CF205" i="24"/>
  <c r="BK205" i="24"/>
  <c r="BL205" i="24"/>
  <c r="AX205" i="24"/>
  <c r="BV205" i="24"/>
  <c r="BX205" i="24"/>
  <c r="BJ205" i="24"/>
  <c r="BK181" i="24"/>
  <c r="BL181" i="24"/>
  <c r="AQ208" i="24"/>
  <c r="BK208" i="24"/>
  <c r="BL208" i="24"/>
  <c r="CF119" i="24"/>
  <c r="BK119" i="24"/>
  <c r="BL119" i="24"/>
  <c r="BV119" i="24"/>
  <c r="AX119" i="24"/>
  <c r="BX119" i="24"/>
  <c r="BJ119" i="24"/>
  <c r="AQ162" i="24"/>
  <c r="BK162" i="24"/>
  <c r="BL162" i="24"/>
  <c r="BX162" i="24"/>
  <c r="BJ162" i="24"/>
  <c r="AX162" i="24"/>
  <c r="BV162" i="24"/>
  <c r="CF195" i="24"/>
  <c r="BK195" i="24"/>
  <c r="BL195" i="24"/>
  <c r="CF150" i="24"/>
  <c r="BK150" i="24"/>
  <c r="BL150" i="24"/>
  <c r="BV150" i="24"/>
  <c r="BJ150" i="24"/>
  <c r="BX150" i="24"/>
  <c r="AX150" i="24"/>
  <c r="AS122" i="24"/>
  <c r="AW122" i="24" s="1"/>
  <c r="BK122" i="24"/>
  <c r="BL122" i="24"/>
  <c r="CF193" i="24"/>
  <c r="BK193" i="24"/>
  <c r="BL193" i="24"/>
  <c r="AX193" i="24"/>
  <c r="BX193" i="24"/>
  <c r="BJ193" i="24"/>
  <c r="BV193" i="24"/>
  <c r="BJ207" i="24"/>
  <c r="BV207" i="24"/>
  <c r="BJ210" i="24"/>
  <c r="AX155" i="24"/>
  <c r="BX155" i="24"/>
  <c r="AX112" i="24"/>
  <c r="BV112" i="24"/>
  <c r="BV195" i="24"/>
  <c r="BJ157" i="24"/>
  <c r="BJ115" i="24"/>
  <c r="BV172" i="24"/>
  <c r="AX122" i="24"/>
  <c r="BJ122" i="24"/>
  <c r="BJ123" i="24"/>
  <c r="BV208" i="24"/>
  <c r="BX181" i="24"/>
  <c r="BX169" i="24"/>
  <c r="AX136" i="24"/>
  <c r="AQ152" i="24"/>
  <c r="BX55" i="24"/>
  <c r="AV7" i="24"/>
  <c r="AX50" i="24"/>
  <c r="BX50" i="24"/>
  <c r="AX87" i="24"/>
  <c r="BX87" i="24"/>
  <c r="AV48" i="24"/>
  <c r="AV81" i="24"/>
  <c r="BX81" i="24"/>
  <c r="BJ70" i="24"/>
  <c r="BX70" i="24"/>
  <c r="AS152" i="24"/>
  <c r="AW152" i="24" s="1"/>
  <c r="AV20" i="24"/>
  <c r="AX91" i="24"/>
  <c r="BX91" i="24"/>
  <c r="BJ27" i="24"/>
  <c r="BX27" i="24"/>
  <c r="AX105" i="24"/>
  <c r="BX105" i="24"/>
  <c r="BV101" i="24"/>
  <c r="BX101" i="24"/>
  <c r="AV38" i="24"/>
  <c r="AV62" i="24"/>
  <c r="AV39" i="24"/>
  <c r="AV77" i="24"/>
  <c r="AV76" i="24"/>
  <c r="BX97" i="24"/>
  <c r="BX64" i="24"/>
  <c r="BX33" i="24"/>
  <c r="AX86" i="24"/>
  <c r="BX86" i="24"/>
  <c r="BV14" i="24"/>
  <c r="BX14" i="24"/>
  <c r="AV57" i="24"/>
  <c r="AV90" i="24"/>
  <c r="AV44" i="24"/>
  <c r="AV84" i="24"/>
  <c r="AV93" i="24"/>
  <c r="AT103" i="24"/>
  <c r="BX34" i="24"/>
  <c r="AV22" i="24"/>
  <c r="BX22" i="24"/>
  <c r="AX69" i="24"/>
  <c r="BX69" i="24"/>
  <c r="AX23" i="24"/>
  <c r="BX23" i="24"/>
  <c r="AX95" i="24"/>
  <c r="BX95" i="24"/>
  <c r="AT52" i="24"/>
  <c r="AV45" i="24"/>
  <c r="AV80" i="24"/>
  <c r="AV71" i="24"/>
  <c r="BJ10" i="24"/>
  <c r="BX10" i="24"/>
  <c r="AT66" i="24"/>
  <c r="AT67" i="24"/>
  <c r="AX25" i="24"/>
  <c r="BX25" i="24"/>
  <c r="AV98" i="24"/>
  <c r="AV75" i="24"/>
  <c r="AX78" i="24"/>
  <c r="BX78" i="24"/>
  <c r="BX35" i="24"/>
  <c r="BX41" i="24"/>
  <c r="BX65" i="24"/>
  <c r="AU58" i="25"/>
  <c r="BF58" i="25" s="1"/>
  <c r="BV58" i="25" s="1"/>
  <c r="AQ193" i="24"/>
  <c r="AS278" i="24"/>
  <c r="AW278" i="24" s="1"/>
  <c r="BJ78" i="24"/>
  <c r="AQ278" i="24"/>
  <c r="AQ182" i="24"/>
  <c r="AV103" i="24"/>
  <c r="BK78" i="24"/>
  <c r="BV78" i="24"/>
  <c r="AS182" i="24"/>
  <c r="AU182" i="24" s="1"/>
  <c r="BC182" i="24" s="1"/>
  <c r="AS78" i="24"/>
  <c r="AW78" i="24" s="1"/>
  <c r="AY78" i="24" s="1"/>
  <c r="AS305" i="24"/>
  <c r="AU305" i="24" s="1"/>
  <c r="BC305" i="24" s="1"/>
  <c r="AQ70" i="24"/>
  <c r="BK70" i="24"/>
  <c r="BL70" i="24"/>
  <c r="BV70" i="24"/>
  <c r="AX70" i="24"/>
  <c r="AS70" i="24"/>
  <c r="AW70" i="24" s="1"/>
  <c r="AY70" i="24" s="1"/>
  <c r="AS193" i="24"/>
  <c r="AU193" i="24" s="1"/>
  <c r="BC193" i="24" s="1"/>
  <c r="AQ78" i="24"/>
  <c r="BL78" i="24"/>
  <c r="AQ237" i="24"/>
  <c r="AS203" i="24"/>
  <c r="AU203" i="24" s="1"/>
  <c r="BC203" i="24" s="1"/>
  <c r="CF203" i="24"/>
  <c r="AQ155" i="24"/>
  <c r="CF155" i="24"/>
  <c r="BJ51" i="24"/>
  <c r="CF51" i="24"/>
  <c r="AQ128" i="24"/>
  <c r="AX73" i="24"/>
  <c r="CF73" i="24"/>
  <c r="AQ168" i="24"/>
  <c r="CF168" i="24"/>
  <c r="AQ146" i="24"/>
  <c r="CF146" i="24"/>
  <c r="AS260" i="24"/>
  <c r="AU260" i="24" s="1"/>
  <c r="BC260" i="24" s="1"/>
  <c r="CF260" i="24"/>
  <c r="AS289" i="24"/>
  <c r="AU289" i="24" s="1"/>
  <c r="BC289" i="24" s="1"/>
  <c r="CF289" i="24"/>
  <c r="AX60" i="24"/>
  <c r="CF60" i="24"/>
  <c r="AS238" i="24"/>
  <c r="AU238" i="24" s="1"/>
  <c r="BC238" i="24" s="1"/>
  <c r="AS128" i="24"/>
  <c r="AW128" i="24" s="1"/>
  <c r="AS132" i="24"/>
  <c r="AW132" i="24" s="1"/>
  <c r="AQ132" i="24"/>
  <c r="AS191" i="24"/>
  <c r="AU191" i="24" s="1"/>
  <c r="BC191" i="24" s="1"/>
  <c r="BV25" i="24"/>
  <c r="AT75" i="24"/>
  <c r="AQ25" i="24"/>
  <c r="AS73" i="24"/>
  <c r="AU73" i="24" s="1"/>
  <c r="BC73" i="24" s="1"/>
  <c r="AQ265" i="24"/>
  <c r="AS311" i="24"/>
  <c r="AU311" i="24" s="1"/>
  <c r="BC311" i="24" s="1"/>
  <c r="AS217" i="24"/>
  <c r="AW217" i="24" s="1"/>
  <c r="AT76" i="24"/>
  <c r="AS255" i="24"/>
  <c r="AW255" i="24" s="1"/>
  <c r="AQ166" i="24"/>
  <c r="AQ262" i="24"/>
  <c r="BJ55" i="24"/>
  <c r="AS159" i="24"/>
  <c r="AU159" i="24" s="1"/>
  <c r="BC159" i="24" s="1"/>
  <c r="BV73" i="24"/>
  <c r="AQ117" i="24"/>
  <c r="AS312" i="24"/>
  <c r="AU312" i="24" s="1"/>
  <c r="BC312" i="24" s="1"/>
  <c r="AS176" i="24"/>
  <c r="AU176" i="24" s="1"/>
  <c r="BC176" i="24" s="1"/>
  <c r="AS114" i="24"/>
  <c r="AU114" i="24" s="1"/>
  <c r="BC114" i="24" s="1"/>
  <c r="AS146" i="24"/>
  <c r="AW146" i="24" s="1"/>
  <c r="BL55" i="24"/>
  <c r="AQ207" i="24"/>
  <c r="AQ133" i="24"/>
  <c r="AS189" i="24"/>
  <c r="AU189" i="24" s="1"/>
  <c r="BC189" i="24" s="1"/>
  <c r="AX81" i="24"/>
  <c r="AT81" i="24"/>
  <c r="AQ55" i="24"/>
  <c r="AQ291" i="24"/>
  <c r="AQ289" i="24"/>
  <c r="BK73" i="24"/>
  <c r="BL25" i="24"/>
  <c r="AQ189" i="24"/>
  <c r="BJ33" i="24"/>
  <c r="AQ255" i="24"/>
  <c r="BK33" i="24"/>
  <c r="AX55" i="24"/>
  <c r="AX22" i="24"/>
  <c r="AS33" i="24"/>
  <c r="AU33" i="24" s="1"/>
  <c r="BC33" i="24" s="1"/>
  <c r="AS291" i="24"/>
  <c r="AU291" i="24" s="1"/>
  <c r="BC291" i="24" s="1"/>
  <c r="BL33" i="24"/>
  <c r="AS55" i="24"/>
  <c r="AW55" i="24" s="1"/>
  <c r="AY55" i="24" s="1"/>
  <c r="AQ33" i="24"/>
  <c r="BK55" i="24"/>
  <c r="BV33" i="24"/>
  <c r="AS181" i="24"/>
  <c r="AU181" i="24" s="1"/>
  <c r="BC181" i="24" s="1"/>
  <c r="CF181" i="24"/>
  <c r="AQ130" i="24"/>
  <c r="AQ122" i="24"/>
  <c r="AS295" i="24"/>
  <c r="AU295" i="24" s="1"/>
  <c r="BC295" i="24" s="1"/>
  <c r="AQ73" i="24"/>
  <c r="AS242" i="24"/>
  <c r="AU242" i="24" s="1"/>
  <c r="BC242" i="24" s="1"/>
  <c r="BJ73" i="24"/>
  <c r="AQ306" i="24"/>
  <c r="CF306" i="24"/>
  <c r="AQ217" i="24"/>
  <c r="AQ167" i="24"/>
  <c r="AS147" i="24"/>
  <c r="AW147" i="24" s="1"/>
  <c r="BL73" i="24"/>
  <c r="AV67" i="24"/>
  <c r="AT93" i="24"/>
  <c r="AQ147" i="24"/>
  <c r="AV66" i="24"/>
  <c r="AS168" i="24"/>
  <c r="AU168" i="24" s="1"/>
  <c r="BC168" i="24" s="1"/>
  <c r="AS170" i="24"/>
  <c r="AW170" i="24" s="1"/>
  <c r="AQ263" i="24"/>
  <c r="AQ269" i="24"/>
  <c r="AQ159" i="24"/>
  <c r="AQ176" i="24"/>
  <c r="AT98" i="24"/>
  <c r="BJ25" i="24"/>
  <c r="AS25" i="24"/>
  <c r="AW25" i="24" s="1"/>
  <c r="AY25" i="24" s="1"/>
  <c r="AQ170" i="24"/>
  <c r="AS130" i="24"/>
  <c r="AU130" i="24" s="1"/>
  <c r="BC130" i="24" s="1"/>
  <c r="BK25" i="24"/>
  <c r="AT84" i="24"/>
  <c r="AT90" i="24"/>
  <c r="AT44" i="24"/>
  <c r="AS265" i="24"/>
  <c r="AU265" i="24" s="1"/>
  <c r="BC265" i="24" s="1"/>
  <c r="AS226" i="24"/>
  <c r="AW226" i="24" s="1"/>
  <c r="AQ296" i="24"/>
  <c r="AQ231" i="24"/>
  <c r="AS188" i="24"/>
  <c r="AU188" i="24" s="1"/>
  <c r="BC188" i="24" s="1"/>
  <c r="AT38" i="24"/>
  <c r="AT39" i="24"/>
  <c r="AQ206" i="24"/>
  <c r="AQ181" i="24"/>
  <c r="AS206" i="24"/>
  <c r="AU206" i="24" s="1"/>
  <c r="BC206" i="24" s="1"/>
  <c r="AQ209" i="24"/>
  <c r="AT62" i="24"/>
  <c r="AT77" i="24"/>
  <c r="BL23" i="24"/>
  <c r="AS150" i="24"/>
  <c r="AW150" i="24" s="1"/>
  <c r="AQ150" i="24"/>
  <c r="AS308" i="24"/>
  <c r="AW308" i="24" s="1"/>
  <c r="AQ10" i="24"/>
  <c r="AQ198" i="24"/>
  <c r="AS232" i="24"/>
  <c r="AU232" i="24" s="1"/>
  <c r="BC232" i="24" s="1"/>
  <c r="BL10" i="24"/>
  <c r="AS204" i="24"/>
  <c r="AW204" i="24" s="1"/>
  <c r="AS198" i="24"/>
  <c r="AW198" i="24" s="1"/>
  <c r="AS156" i="24"/>
  <c r="AU156" i="24" s="1"/>
  <c r="BC156" i="24" s="1"/>
  <c r="AS117" i="24"/>
  <c r="AW117" i="24" s="1"/>
  <c r="AS225" i="24"/>
  <c r="AU225" i="24" s="1"/>
  <c r="BC225" i="24" s="1"/>
  <c r="AS195" i="24"/>
  <c r="AU195" i="24" s="1"/>
  <c r="BC195" i="24" s="1"/>
  <c r="AS284" i="24"/>
  <c r="AU284" i="24" s="1"/>
  <c r="BC284" i="24" s="1"/>
  <c r="AS162" i="24"/>
  <c r="AW162" i="24" s="1"/>
  <c r="AQ186" i="24"/>
  <c r="AQ156" i="24"/>
  <c r="AQ195" i="24"/>
  <c r="AQ196" i="24"/>
  <c r="AQ204" i="24"/>
  <c r="AS174" i="24"/>
  <c r="AW174" i="24" s="1"/>
  <c r="AS306" i="24"/>
  <c r="AU306" i="24" s="1"/>
  <c r="BC306" i="24" s="1"/>
  <c r="AT48" i="24"/>
  <c r="AQ169" i="24"/>
  <c r="CF169" i="24"/>
  <c r="AT71" i="24"/>
  <c r="AS10" i="24"/>
  <c r="AW10" i="24" s="1"/>
  <c r="AY10" i="24" s="1"/>
  <c r="AQ97" i="24"/>
  <c r="BK10" i="24"/>
  <c r="BJ23" i="24"/>
  <c r="AQ188" i="24"/>
  <c r="BV10" i="24"/>
  <c r="AX10" i="24"/>
  <c r="AQ141" i="24"/>
  <c r="AQ192" i="24"/>
  <c r="AS209" i="24"/>
  <c r="AU209" i="24" s="1"/>
  <c r="BC209" i="24" s="1"/>
  <c r="AU40" i="24"/>
  <c r="BC40" i="24" s="1"/>
  <c r="AT80" i="24"/>
  <c r="AK71" i="24"/>
  <c r="AQ205" i="24"/>
  <c r="AQ149" i="24"/>
  <c r="AQ210" i="24"/>
  <c r="BL51" i="24"/>
  <c r="AQ174" i="24"/>
  <c r="AV52" i="24"/>
  <c r="AQ101" i="24"/>
  <c r="AS119" i="24"/>
  <c r="AU119" i="24" s="1"/>
  <c r="BC119" i="24" s="1"/>
  <c r="AT57" i="24"/>
  <c r="AQ112" i="24"/>
  <c r="AQ172" i="24"/>
  <c r="AQ95" i="24"/>
  <c r="AQ199" i="24"/>
  <c r="AQ105" i="24"/>
  <c r="AT45" i="24"/>
  <c r="BL95" i="24"/>
  <c r="BV51" i="24"/>
  <c r="AQ51" i="24"/>
  <c r="BK14" i="24"/>
  <c r="AS184" i="24"/>
  <c r="AW184" i="24" s="1"/>
  <c r="AQ203" i="24"/>
  <c r="AS136" i="24"/>
  <c r="AU136" i="24" s="1"/>
  <c r="BC136" i="24" s="1"/>
  <c r="AS51" i="24"/>
  <c r="AU51" i="24" s="1"/>
  <c r="BC51" i="24" s="1"/>
  <c r="BK51" i="24"/>
  <c r="AS205" i="24"/>
  <c r="AW205" i="24" s="1"/>
  <c r="AQ119" i="24"/>
  <c r="BL50" i="24"/>
  <c r="AS208" i="24"/>
  <c r="AU208" i="24" s="1"/>
  <c r="BC208" i="24" s="1"/>
  <c r="AX51" i="24"/>
  <c r="BV95" i="24"/>
  <c r="BJ95" i="24"/>
  <c r="AS112" i="24"/>
  <c r="AU112" i="24" s="1"/>
  <c r="BC112" i="24" s="1"/>
  <c r="AS141" i="24"/>
  <c r="AU141" i="24" s="1"/>
  <c r="BC141" i="24" s="1"/>
  <c r="AS95" i="24"/>
  <c r="AW95" i="24" s="1"/>
  <c r="AY95" i="24" s="1"/>
  <c r="BK95" i="24"/>
  <c r="BK60" i="24"/>
  <c r="BJ60" i="24"/>
  <c r="AS60" i="24"/>
  <c r="AW60" i="24" s="1"/>
  <c r="AY60" i="24" s="1"/>
  <c r="AQ60" i="24"/>
  <c r="AQ23" i="24"/>
  <c r="AS196" i="24"/>
  <c r="AW196" i="24" s="1"/>
  <c r="BV60" i="24"/>
  <c r="AS23" i="24"/>
  <c r="AU23" i="24" s="1"/>
  <c r="BC23" i="24" s="1"/>
  <c r="BL60" i="24"/>
  <c r="BK23" i="24"/>
  <c r="BV23" i="24"/>
  <c r="BJ101" i="24"/>
  <c r="AX101" i="24"/>
  <c r="BL101" i="24"/>
  <c r="AS157" i="24"/>
  <c r="AW157" i="24" s="1"/>
  <c r="AS101" i="24"/>
  <c r="AW101" i="24" s="1"/>
  <c r="AY101" i="24" s="1"/>
  <c r="AQ157" i="24"/>
  <c r="AS131" i="24"/>
  <c r="AW131" i="24" s="1"/>
  <c r="BK101" i="24"/>
  <c r="AS186" i="24"/>
  <c r="AW186" i="24" s="1"/>
  <c r="AS199" i="24"/>
  <c r="AU199" i="24" s="1"/>
  <c r="BC199" i="24" s="1"/>
  <c r="AS192" i="24"/>
  <c r="AU192" i="24" s="1"/>
  <c r="BC192" i="24" s="1"/>
  <c r="BV105" i="24"/>
  <c r="AS110" i="24"/>
  <c r="AU110" i="24" s="1"/>
  <c r="BC110" i="24" s="1"/>
  <c r="CF110" i="24"/>
  <c r="AS105" i="24"/>
  <c r="AW105" i="24" s="1"/>
  <c r="AY105" i="24" s="1"/>
  <c r="BL27" i="24"/>
  <c r="AX41" i="24"/>
  <c r="AS163" i="24"/>
  <c r="AW163" i="24" s="1"/>
  <c r="AS41" i="24"/>
  <c r="AW41" i="24" s="1"/>
  <c r="AY41" i="24" s="1"/>
  <c r="AX97" i="24"/>
  <c r="BK97" i="24"/>
  <c r="AW104" i="24"/>
  <c r="AY104" i="24" s="1"/>
  <c r="AZ104" i="24" s="1"/>
  <c r="AQ163" i="24"/>
  <c r="AS123" i="24"/>
  <c r="AU123" i="24" s="1"/>
  <c r="BC123" i="24" s="1"/>
  <c r="BK41" i="24"/>
  <c r="BL105" i="24"/>
  <c r="BV97" i="24"/>
  <c r="AQ27" i="24"/>
  <c r="BL41" i="24"/>
  <c r="BK105" i="24"/>
  <c r="BV41" i="24"/>
  <c r="BJ105" i="24"/>
  <c r="BJ97" i="24"/>
  <c r="AQ41" i="24"/>
  <c r="AS97" i="24"/>
  <c r="AU97" i="24" s="1"/>
  <c r="BC97" i="24" s="1"/>
  <c r="BL97" i="24"/>
  <c r="AS149" i="24"/>
  <c r="AU149" i="24" s="1"/>
  <c r="BC149" i="24" s="1"/>
  <c r="AQ115" i="24"/>
  <c r="BL87" i="24"/>
  <c r="AS210" i="24"/>
  <c r="AU210" i="24" s="1"/>
  <c r="BC210" i="24" s="1"/>
  <c r="BJ14" i="24"/>
  <c r="AX14" i="24"/>
  <c r="BL14" i="24"/>
  <c r="BV87" i="24"/>
  <c r="BJ50" i="24"/>
  <c r="AQ50" i="24"/>
  <c r="AS161" i="24"/>
  <c r="AU161" i="24" s="1"/>
  <c r="BC161" i="24" s="1"/>
  <c r="AS14" i="24"/>
  <c r="AW14" i="24" s="1"/>
  <c r="AY14" i="24" s="1"/>
  <c r="AQ87" i="24"/>
  <c r="AQ14" i="24"/>
  <c r="AS172" i="24"/>
  <c r="AU172" i="24" s="1"/>
  <c r="BC172" i="24" s="1"/>
  <c r="AS155" i="24"/>
  <c r="AU155" i="24" s="1"/>
  <c r="BC155" i="24" s="1"/>
  <c r="AQ131" i="24"/>
  <c r="BJ86" i="24"/>
  <c r="AK34" i="24"/>
  <c r="AQ65" i="24"/>
  <c r="BV65" i="24"/>
  <c r="AS207" i="24"/>
  <c r="AW207" i="24" s="1"/>
  <c r="BK64" i="24"/>
  <c r="BL65" i="24"/>
  <c r="BJ65" i="24"/>
  <c r="AQ86" i="24"/>
  <c r="AS64" i="24"/>
  <c r="AU64" i="24" s="1"/>
  <c r="BC64" i="24" s="1"/>
  <c r="BL86" i="24"/>
  <c r="AK65" i="24"/>
  <c r="AS134" i="24"/>
  <c r="AU134" i="24" s="1"/>
  <c r="BC134" i="24" s="1"/>
  <c r="AS43" i="24"/>
  <c r="AU43" i="24" s="1"/>
  <c r="BC43" i="24" s="1"/>
  <c r="BK27" i="24"/>
  <c r="AS194" i="24"/>
  <c r="AU194" i="24" s="1"/>
  <c r="BC194" i="24" s="1"/>
  <c r="BV43" i="24"/>
  <c r="AX27" i="24"/>
  <c r="AN88" i="24"/>
  <c r="CF88" i="24" s="1"/>
  <c r="AS27" i="24"/>
  <c r="AU27" i="24" s="1"/>
  <c r="BC27" i="24" s="1"/>
  <c r="AS91" i="24"/>
  <c r="AW91" i="24" s="1"/>
  <c r="AY91" i="24" s="1"/>
  <c r="AS169" i="24"/>
  <c r="AU169" i="24" s="1"/>
  <c r="BC169" i="24" s="1"/>
  <c r="BK43" i="24"/>
  <c r="BK91" i="24"/>
  <c r="BJ91" i="24"/>
  <c r="BV27" i="24"/>
  <c r="AS50" i="24"/>
  <c r="AW50" i="24" s="1"/>
  <c r="AY50" i="24" s="1"/>
  <c r="AS86" i="24"/>
  <c r="AU86" i="24" s="1"/>
  <c r="BC86" i="24" s="1"/>
  <c r="AQ64" i="24"/>
  <c r="BK87" i="24"/>
  <c r="BK86" i="24"/>
  <c r="AS65" i="24"/>
  <c r="AU65" i="24" s="1"/>
  <c r="BC65" i="24" s="1"/>
  <c r="BJ87" i="24"/>
  <c r="BV86" i="24"/>
  <c r="AX65" i="24"/>
  <c r="AX64" i="24"/>
  <c r="AN71" i="24"/>
  <c r="BL71" i="24" s="1"/>
  <c r="AS87" i="24"/>
  <c r="AW87" i="24" s="1"/>
  <c r="AY87" i="24" s="1"/>
  <c r="BL64" i="24"/>
  <c r="BK50" i="24"/>
  <c r="BV64" i="24"/>
  <c r="BV50" i="24"/>
  <c r="AQ91" i="24"/>
  <c r="AQ134" i="24"/>
  <c r="AQ123" i="24"/>
  <c r="BL91" i="24"/>
  <c r="BV91" i="24"/>
  <c r="AQ194" i="24"/>
  <c r="AN13" i="24"/>
  <c r="CF13" i="24" s="1"/>
  <c r="AS81" i="24"/>
  <c r="AS22" i="24"/>
  <c r="BL69" i="24"/>
  <c r="AT20" i="24"/>
  <c r="AN49" i="24"/>
  <c r="BX49" i="24" s="1"/>
  <c r="AR110" i="25"/>
  <c r="AT110" i="25" s="1"/>
  <c r="CG110" i="25"/>
  <c r="AQ81" i="24"/>
  <c r="BL43" i="24"/>
  <c r="AS69" i="24"/>
  <c r="AW69" i="24" s="1"/>
  <c r="AY69" i="24" s="1"/>
  <c r="BJ22" i="24"/>
  <c r="BJ43" i="24"/>
  <c r="AT7" i="24"/>
  <c r="AN15" i="24"/>
  <c r="AQ43" i="24"/>
  <c r="BK13" i="24"/>
  <c r="BK22" i="24"/>
  <c r="AS34" i="24"/>
  <c r="AW34" i="24" s="1"/>
  <c r="AY34" i="24" s="1"/>
  <c r="AZ34" i="24" s="1"/>
  <c r="AK81" i="24"/>
  <c r="BK81" i="24"/>
  <c r="AQ22" i="24"/>
  <c r="BK69" i="24"/>
  <c r="BV69" i="24"/>
  <c r="AT22" i="24"/>
  <c r="BL81" i="24"/>
  <c r="BL22" i="24"/>
  <c r="AQ69" i="24"/>
  <c r="BV22" i="24"/>
  <c r="BV81" i="24"/>
  <c r="BJ69" i="24"/>
  <c r="BJ81" i="24"/>
  <c r="AK22" i="24"/>
  <c r="AN48" i="24"/>
  <c r="AK48" i="24"/>
  <c r="AK102" i="24"/>
  <c r="AN102" i="24"/>
  <c r="AK93" i="24"/>
  <c r="AN93" i="24"/>
  <c r="CF93" i="24" s="1"/>
  <c r="AQ34" i="24"/>
  <c r="BK34" i="24"/>
  <c r="BL34" i="24"/>
  <c r="BV34" i="24"/>
  <c r="BJ34" i="24"/>
  <c r="AV12" i="24"/>
  <c r="AT12" i="24"/>
  <c r="BF5" i="24"/>
  <c r="BI5" i="24" s="1"/>
  <c r="BN5" i="24" s="1"/>
  <c r="BO5" i="24" s="1"/>
  <c r="AN8" i="24"/>
  <c r="BX8" i="24" s="1"/>
  <c r="AK8" i="24"/>
  <c r="AK94" i="24"/>
  <c r="AN94" i="24"/>
  <c r="CF94" i="24" s="1"/>
  <c r="AK37" i="24"/>
  <c r="AN37" i="24"/>
  <c r="AV94" i="24"/>
  <c r="AT94" i="24"/>
  <c r="AV9" i="24"/>
  <c r="AT9" i="24"/>
  <c r="BL35" i="24"/>
  <c r="AK35" i="24"/>
  <c r="AK98" i="24"/>
  <c r="AN98" i="24"/>
  <c r="BX98" i="24" s="1"/>
  <c r="AK90" i="24"/>
  <c r="AN90" i="24"/>
  <c r="CF90" i="24" s="1"/>
  <c r="AK103" i="24"/>
  <c r="AN103" i="24"/>
  <c r="AQ103" i="24" s="1"/>
  <c r="AV24" i="24"/>
  <c r="AT24" i="24"/>
  <c r="AV16" i="24"/>
  <c r="AT16" i="24"/>
  <c r="AK52" i="24"/>
  <c r="AN52" i="24"/>
  <c r="BX52" i="24" s="1"/>
  <c r="AN84" i="24"/>
  <c r="AK84" i="24"/>
  <c r="AN61" i="24"/>
  <c r="AK61" i="24"/>
  <c r="AK99" i="24"/>
  <c r="AN99" i="24"/>
  <c r="AK39" i="24"/>
  <c r="AN39" i="24"/>
  <c r="BX39" i="24" s="1"/>
  <c r="AN11" i="24"/>
  <c r="BX11" i="24" s="1"/>
  <c r="AK11" i="24"/>
  <c r="AK77" i="24"/>
  <c r="AN77" i="24"/>
  <c r="CF77" i="24" s="1"/>
  <c r="AN58" i="24"/>
  <c r="AK58" i="24"/>
  <c r="AS35" i="24"/>
  <c r="AU35" i="24" s="1"/>
  <c r="BC35" i="24" s="1"/>
  <c r="BV35" i="24"/>
  <c r="AX35" i="24"/>
  <c r="AN44" i="24"/>
  <c r="BX44" i="24" s="1"/>
  <c r="AK44" i="24"/>
  <c r="AK66" i="24"/>
  <c r="AN66" i="24"/>
  <c r="BX66" i="24" s="1"/>
  <c r="AN26" i="24"/>
  <c r="BX26" i="24" s="1"/>
  <c r="AK26" i="24"/>
  <c r="AK20" i="24"/>
  <c r="AN20" i="24"/>
  <c r="AN80" i="24"/>
  <c r="BX80" i="24" s="1"/>
  <c r="AK80" i="24"/>
  <c r="AK17" i="24"/>
  <c r="AN17" i="24"/>
  <c r="BX17" i="24" s="1"/>
  <c r="AK24" i="24"/>
  <c r="AN24" i="24"/>
  <c r="BX24" i="24" s="1"/>
  <c r="AN47" i="24"/>
  <c r="AK47" i="24"/>
  <c r="AN67" i="24"/>
  <c r="CF67" i="24" s="1"/>
  <c r="AK67" i="24"/>
  <c r="AN57" i="24"/>
  <c r="AK57" i="24"/>
  <c r="AK62" i="24"/>
  <c r="AN62" i="24"/>
  <c r="AV30" i="24"/>
  <c r="AT30" i="24"/>
  <c r="AN9" i="24"/>
  <c r="BV9" i="24" s="1"/>
  <c r="AK9" i="24"/>
  <c r="AN75" i="24"/>
  <c r="BX75" i="24" s="1"/>
  <c r="AK75" i="24"/>
  <c r="AQ35" i="24"/>
  <c r="BK35" i="24"/>
  <c r="AN38" i="24"/>
  <c r="BX38" i="24" s="1"/>
  <c r="AK38" i="24"/>
  <c r="AV17" i="24"/>
  <c r="AT17" i="24"/>
  <c r="AK45" i="24"/>
  <c r="AN45" i="24"/>
  <c r="AV26" i="24"/>
  <c r="AT26" i="24"/>
  <c r="AK30" i="24"/>
  <c r="AN30" i="24"/>
  <c r="BX30" i="24" s="1"/>
  <c r="AK76" i="24"/>
  <c r="AN76" i="24"/>
  <c r="AN12" i="24"/>
  <c r="AK12" i="24"/>
  <c r="AN16" i="24"/>
  <c r="BX16" i="24" s="1"/>
  <c r="AK16" i="24"/>
  <c r="AK6" i="24"/>
  <c r="AN6" i="24"/>
  <c r="AN7" i="24"/>
  <c r="BX7" i="24" s="1"/>
  <c r="AK7" i="24"/>
  <c r="BG5" i="24"/>
  <c r="BU5" i="24" s="1"/>
  <c r="AQ110" i="24"/>
  <c r="AU185" i="24"/>
  <c r="BC185" i="24" s="1"/>
  <c r="AW185" i="24"/>
  <c r="AU201" i="24"/>
  <c r="BC201" i="24" s="1"/>
  <c r="AW201" i="24"/>
  <c r="AU151" i="24"/>
  <c r="BC151" i="24" s="1"/>
  <c r="AW151" i="24"/>
  <c r="AU129" i="24"/>
  <c r="BC129" i="24" s="1"/>
  <c r="AW129" i="24"/>
  <c r="AU158" i="24"/>
  <c r="BC158" i="24" s="1"/>
  <c r="AW158" i="24"/>
  <c r="AU315" i="24"/>
  <c r="BC315" i="24" s="1"/>
  <c r="AW315" i="24"/>
  <c r="AU307" i="24"/>
  <c r="BC307" i="24" s="1"/>
  <c r="AW307" i="24"/>
  <c r="AW233" i="24"/>
  <c r="AU233" i="24"/>
  <c r="BC233" i="24" s="1"/>
  <c r="AW227" i="24"/>
  <c r="AU227" i="24"/>
  <c r="BC227" i="24" s="1"/>
  <c r="AW241" i="24"/>
  <c r="AU241" i="24"/>
  <c r="BC241" i="24" s="1"/>
  <c r="AW239" i="24"/>
  <c r="AU239" i="24"/>
  <c r="BC239" i="24" s="1"/>
  <c r="AU281" i="24"/>
  <c r="BC281" i="24" s="1"/>
  <c r="AW281" i="24"/>
  <c r="AU124" i="24"/>
  <c r="BC124" i="24" s="1"/>
  <c r="AW124" i="24"/>
  <c r="AU113" i="24"/>
  <c r="BC113" i="24" s="1"/>
  <c r="AW113" i="24"/>
  <c r="AU118" i="24"/>
  <c r="BC118" i="24" s="1"/>
  <c r="AW118" i="24"/>
  <c r="AU285" i="24"/>
  <c r="BC285" i="24" s="1"/>
  <c r="AW285" i="24"/>
  <c r="AU286" i="24"/>
  <c r="BC286" i="24" s="1"/>
  <c r="AW286" i="24"/>
  <c r="AU125" i="24"/>
  <c r="BC125" i="24" s="1"/>
  <c r="AW125" i="24"/>
  <c r="AU261" i="24"/>
  <c r="BC261" i="24" s="1"/>
  <c r="AW261" i="24"/>
  <c r="AU300" i="24"/>
  <c r="BC300" i="24" s="1"/>
  <c r="AW300" i="24"/>
  <c r="AU216" i="24"/>
  <c r="BC216" i="24" s="1"/>
  <c r="AW216" i="24"/>
  <c r="AU274" i="24"/>
  <c r="BC274" i="24" s="1"/>
  <c r="AW274" i="24"/>
  <c r="AU259" i="24"/>
  <c r="BC259" i="24" s="1"/>
  <c r="AW259" i="24"/>
  <c r="AU294" i="24"/>
  <c r="BC294" i="24" s="1"/>
  <c r="AW294" i="24"/>
  <c r="AU299" i="24"/>
  <c r="BC299" i="24" s="1"/>
  <c r="AW299" i="24"/>
  <c r="AU173" i="24"/>
  <c r="BC173" i="24" s="1"/>
  <c r="AW173" i="24"/>
  <c r="AU221" i="24"/>
  <c r="BC221" i="24" s="1"/>
  <c r="AW221" i="24"/>
  <c r="AU271" i="24"/>
  <c r="BC271" i="24" s="1"/>
  <c r="AW271" i="24"/>
  <c r="AU280" i="24"/>
  <c r="BC280" i="24" s="1"/>
  <c r="AW280" i="24"/>
  <c r="AU137" i="24"/>
  <c r="BC137" i="24" s="1"/>
  <c r="AW137" i="24"/>
  <c r="AW247" i="24"/>
  <c r="AU247" i="24"/>
  <c r="BC247" i="24" s="1"/>
  <c r="AU288" i="24"/>
  <c r="BC288" i="24" s="1"/>
  <c r="AW288" i="24"/>
  <c r="AU262" i="24"/>
  <c r="BC262" i="24" s="1"/>
  <c r="AW262" i="24"/>
  <c r="AU190" i="24"/>
  <c r="BC190" i="24" s="1"/>
  <c r="AW190" i="24"/>
  <c r="AU183" i="24"/>
  <c r="BC183" i="24" s="1"/>
  <c r="AW183" i="24"/>
  <c r="AU197" i="24"/>
  <c r="BC197" i="24" s="1"/>
  <c r="AW197" i="24"/>
  <c r="AU202" i="24"/>
  <c r="BC202" i="24" s="1"/>
  <c r="AW202" i="24"/>
  <c r="AU187" i="24"/>
  <c r="BC187" i="24" s="1"/>
  <c r="AW187" i="24"/>
  <c r="AU200" i="24"/>
  <c r="BC200" i="24" s="1"/>
  <c r="AW200" i="24"/>
  <c r="AU180" i="24"/>
  <c r="BC180" i="24" s="1"/>
  <c r="AW180" i="24"/>
  <c r="AU264" i="24"/>
  <c r="BC264" i="24" s="1"/>
  <c r="AW264" i="24"/>
  <c r="AU236" i="24"/>
  <c r="BC236" i="24" s="1"/>
  <c r="AW236" i="24"/>
  <c r="AU287" i="24"/>
  <c r="BC287" i="24" s="1"/>
  <c r="AW287" i="24"/>
  <c r="AU309" i="24"/>
  <c r="BC309" i="24" s="1"/>
  <c r="AW309" i="24"/>
  <c r="AU272" i="24"/>
  <c r="BC272" i="24" s="1"/>
  <c r="AW272" i="24"/>
  <c r="AU121" i="24"/>
  <c r="BC121" i="24" s="1"/>
  <c r="AW121" i="24"/>
  <c r="AU228" i="24"/>
  <c r="BC228" i="24" s="1"/>
  <c r="AW228" i="24"/>
  <c r="AU290" i="24"/>
  <c r="BC290" i="24" s="1"/>
  <c r="AW290" i="24"/>
  <c r="AU175" i="24"/>
  <c r="BC175" i="24" s="1"/>
  <c r="AW175" i="24"/>
  <c r="AU302" i="24"/>
  <c r="BC302" i="24" s="1"/>
  <c r="AW302" i="24"/>
  <c r="AU301" i="24"/>
  <c r="BC301" i="24" s="1"/>
  <c r="AW301" i="24"/>
  <c r="AU171" i="24"/>
  <c r="BC171" i="24" s="1"/>
  <c r="AW171" i="24"/>
  <c r="AU139" i="24"/>
  <c r="BC139" i="24" s="1"/>
  <c r="AW139" i="24"/>
  <c r="AU246" i="24"/>
  <c r="BC246" i="24" s="1"/>
  <c r="AW246" i="24"/>
  <c r="AU244" i="24"/>
  <c r="BC244" i="24" s="1"/>
  <c r="AW244" i="24"/>
  <c r="AU252" i="24"/>
  <c r="BC252" i="24" s="1"/>
  <c r="AW252" i="24"/>
  <c r="AU293" i="24"/>
  <c r="BC293" i="24" s="1"/>
  <c r="AW293" i="24"/>
  <c r="AU178" i="24"/>
  <c r="BC178" i="24" s="1"/>
  <c r="AW178" i="24"/>
  <c r="AU270" i="24"/>
  <c r="BC270" i="24" s="1"/>
  <c r="AW270" i="24"/>
  <c r="AU220" i="24"/>
  <c r="BC220" i="24" s="1"/>
  <c r="AW220" i="24"/>
  <c r="AU276" i="24"/>
  <c r="BC276" i="24" s="1"/>
  <c r="AW276" i="24"/>
  <c r="AU142" i="24"/>
  <c r="BC142" i="24" s="1"/>
  <c r="AW142" i="24"/>
  <c r="AU248" i="24"/>
  <c r="BC248" i="24" s="1"/>
  <c r="AW248" i="24"/>
  <c r="AU310" i="24"/>
  <c r="BC310" i="24" s="1"/>
  <c r="AW310" i="24"/>
  <c r="AU257" i="24"/>
  <c r="BC257" i="24" s="1"/>
  <c r="AW257" i="24"/>
  <c r="AU177" i="24"/>
  <c r="BC177" i="24" s="1"/>
  <c r="AW177" i="24"/>
  <c r="AU116" i="24"/>
  <c r="BC116" i="24" s="1"/>
  <c r="AW116" i="24"/>
  <c r="AU153" i="24"/>
  <c r="BC153" i="24" s="1"/>
  <c r="AW153" i="24"/>
  <c r="AU292" i="24"/>
  <c r="BC292" i="24" s="1"/>
  <c r="AW292" i="24"/>
  <c r="AU224" i="24"/>
  <c r="BC224" i="24" s="1"/>
  <c r="AW224" i="24"/>
  <c r="AU250" i="24"/>
  <c r="BC250" i="24" s="1"/>
  <c r="AW250" i="24"/>
  <c r="AU313" i="24"/>
  <c r="BC313" i="24" s="1"/>
  <c r="AW313" i="24"/>
  <c r="AU266" i="24"/>
  <c r="BC266" i="24" s="1"/>
  <c r="AW266" i="24"/>
  <c r="AU256" i="24"/>
  <c r="BC256" i="24" s="1"/>
  <c r="AW256" i="24"/>
  <c r="AW263" i="24"/>
  <c r="AU263" i="24"/>
  <c r="BC263" i="24" s="1"/>
  <c r="AU298" i="24"/>
  <c r="BC298" i="24" s="1"/>
  <c r="AW298" i="24"/>
  <c r="AU237" i="24"/>
  <c r="BC237" i="24" s="1"/>
  <c r="AW237" i="24"/>
  <c r="AU234" i="24"/>
  <c r="BC234" i="24" s="1"/>
  <c r="AW234" i="24"/>
  <c r="AU269" i="24"/>
  <c r="BC269" i="24" s="1"/>
  <c r="AW269" i="24"/>
  <c r="AU277" i="24"/>
  <c r="BC277" i="24" s="1"/>
  <c r="AW277" i="24"/>
  <c r="AU144" i="24"/>
  <c r="BC144" i="24" s="1"/>
  <c r="AW144" i="24"/>
  <c r="AU160" i="24"/>
  <c r="BC160" i="24" s="1"/>
  <c r="AW160" i="24"/>
  <c r="AU316" i="24"/>
  <c r="BC316" i="24" s="1"/>
  <c r="AW316" i="24"/>
  <c r="AU258" i="24"/>
  <c r="BC258" i="24" s="1"/>
  <c r="AW258" i="24"/>
  <c r="AU218" i="24"/>
  <c r="BC218" i="24" s="1"/>
  <c r="AW218" i="24"/>
  <c r="AU296" i="24"/>
  <c r="BC296" i="24" s="1"/>
  <c r="AW296" i="24"/>
  <c r="AW303" i="24"/>
  <c r="AU303" i="24"/>
  <c r="BC303" i="24" s="1"/>
  <c r="AW231" i="24"/>
  <c r="AU231" i="24"/>
  <c r="BC231" i="24" s="1"/>
  <c r="AU154" i="24"/>
  <c r="BC154" i="24" s="1"/>
  <c r="AW154" i="24"/>
  <c r="AU143" i="24"/>
  <c r="BC143" i="24" s="1"/>
  <c r="AW143" i="24"/>
  <c r="AU111" i="24"/>
  <c r="BC111" i="24" s="1"/>
  <c r="AW111" i="24"/>
  <c r="AU140" i="24"/>
  <c r="BC140" i="24" s="1"/>
  <c r="AW140" i="24"/>
  <c r="AW297" i="24"/>
  <c r="AU297" i="24"/>
  <c r="BC297" i="24" s="1"/>
  <c r="AU314" i="24"/>
  <c r="BC314" i="24" s="1"/>
  <c r="AW314" i="24"/>
  <c r="AU283" i="24"/>
  <c r="BC283" i="24" s="1"/>
  <c r="AW283" i="24"/>
  <c r="AU145" i="24"/>
  <c r="BC145" i="24" s="1"/>
  <c r="AW145" i="24"/>
  <c r="AU148" i="24"/>
  <c r="BC148" i="24" s="1"/>
  <c r="AW148" i="24"/>
  <c r="AU222" i="24"/>
  <c r="BC222" i="24" s="1"/>
  <c r="AW222" i="24"/>
  <c r="AU223" i="24"/>
  <c r="BC223" i="24" s="1"/>
  <c r="AW223" i="24"/>
  <c r="AU267" i="24"/>
  <c r="BC267" i="24" s="1"/>
  <c r="AW267" i="24"/>
  <c r="AW279" i="24"/>
  <c r="AU279" i="24"/>
  <c r="BC279" i="24" s="1"/>
  <c r="AU253" i="24"/>
  <c r="BC253" i="24" s="1"/>
  <c r="AW253" i="24"/>
  <c r="AU273" i="24"/>
  <c r="BC273" i="24" s="1"/>
  <c r="AW273" i="24"/>
  <c r="AU229" i="24"/>
  <c r="BC229" i="24" s="1"/>
  <c r="AW229" i="24"/>
  <c r="AU251" i="24"/>
  <c r="BC251" i="24" s="1"/>
  <c r="AW251" i="24"/>
  <c r="AU254" i="24"/>
  <c r="BC254" i="24" s="1"/>
  <c r="AW254" i="24"/>
  <c r="AU268" i="24"/>
  <c r="BC268" i="24" s="1"/>
  <c r="AW268" i="24"/>
  <c r="AU127" i="24"/>
  <c r="BC127" i="24" s="1"/>
  <c r="AW127" i="24"/>
  <c r="AU138" i="24"/>
  <c r="BC138" i="24" s="1"/>
  <c r="AW138" i="24"/>
  <c r="AU120" i="24"/>
  <c r="BC120" i="24" s="1"/>
  <c r="AW120" i="24"/>
  <c r="AU235" i="24"/>
  <c r="BC235" i="24" s="1"/>
  <c r="AW235" i="24"/>
  <c r="AU275" i="24"/>
  <c r="BC275" i="24" s="1"/>
  <c r="AW275" i="24"/>
  <c r="AU243" i="24"/>
  <c r="BC243" i="24" s="1"/>
  <c r="AW243" i="24"/>
  <c r="AU282" i="24"/>
  <c r="BC282" i="24" s="1"/>
  <c r="AW282" i="24"/>
  <c r="AU219" i="24"/>
  <c r="BC219" i="24" s="1"/>
  <c r="AW219" i="24"/>
  <c r="AU240" i="24"/>
  <c r="BC240" i="24" s="1"/>
  <c r="AW240" i="24"/>
  <c r="AU230" i="24"/>
  <c r="BC230" i="24" s="1"/>
  <c r="AW230" i="24"/>
  <c r="AU179" i="24"/>
  <c r="BC179" i="24" s="1"/>
  <c r="AW179" i="24"/>
  <c r="AW135" i="24"/>
  <c r="AU135" i="24"/>
  <c r="BC135" i="24" s="1"/>
  <c r="AU164" i="24"/>
  <c r="BC164" i="24" s="1"/>
  <c r="AW164" i="24"/>
  <c r="AU126" i="24"/>
  <c r="BC126" i="24" s="1"/>
  <c r="AW126" i="24"/>
  <c r="AU245" i="24"/>
  <c r="BC245" i="24" s="1"/>
  <c r="AW245" i="24"/>
  <c r="AU249" i="24"/>
  <c r="BC249" i="24" s="1"/>
  <c r="AW249" i="24"/>
  <c r="AU304" i="24"/>
  <c r="BC304" i="24" s="1"/>
  <c r="AW304" i="24"/>
  <c r="AP110" i="25"/>
  <c r="AT173" i="25"/>
  <c r="AU173" i="25"/>
  <c r="AT210" i="25"/>
  <c r="AU210" i="25"/>
  <c r="AT171" i="25"/>
  <c r="AU171" i="25"/>
  <c r="AT191" i="25"/>
  <c r="AU191" i="25"/>
  <c r="AT209" i="25"/>
  <c r="AU209" i="25"/>
  <c r="AT175" i="25"/>
  <c r="AU175" i="25"/>
  <c r="AU123" i="25"/>
  <c r="AT123" i="25"/>
  <c r="AU203" i="25"/>
  <c r="AT203" i="25"/>
  <c r="AU167" i="25"/>
  <c r="AT167" i="25"/>
  <c r="AT148" i="25"/>
  <c r="AU148" i="25"/>
  <c r="AT199" i="25"/>
  <c r="AU199" i="25"/>
  <c r="AT136" i="25"/>
  <c r="AU136" i="25"/>
  <c r="AT180" i="25"/>
  <c r="AU180" i="25"/>
  <c r="AT121" i="25"/>
  <c r="AU121" i="25"/>
  <c r="AT201" i="25"/>
  <c r="AU201" i="25"/>
  <c r="AU147" i="25"/>
  <c r="AT147" i="25"/>
  <c r="AT111" i="25"/>
  <c r="AU111" i="25"/>
  <c r="AT194" i="25"/>
  <c r="AU194" i="25"/>
  <c r="AT202" i="25"/>
  <c r="AU202" i="25"/>
  <c r="AT122" i="25"/>
  <c r="AU122" i="25"/>
  <c r="AT130" i="25"/>
  <c r="AU130" i="25"/>
  <c r="AT115" i="25"/>
  <c r="AU115" i="25"/>
  <c r="AT206" i="25"/>
  <c r="AU206" i="25"/>
  <c r="AT178" i="25"/>
  <c r="AU178" i="25"/>
  <c r="AT186" i="25"/>
  <c r="AU186" i="25"/>
  <c r="AT112" i="25"/>
  <c r="AU112" i="25"/>
  <c r="AT150" i="25"/>
  <c r="AU150" i="25"/>
  <c r="AT160" i="25"/>
  <c r="AU160" i="25"/>
  <c r="AT163" i="25"/>
  <c r="AU163" i="25"/>
  <c r="AT205" i="25"/>
  <c r="AU205" i="25"/>
  <c r="AT162" i="25"/>
  <c r="AU162" i="25"/>
  <c r="AT144" i="25"/>
  <c r="AU144" i="25"/>
  <c r="AT119" i="25"/>
  <c r="AU119" i="25"/>
  <c r="AT181" i="25"/>
  <c r="AU181" i="25"/>
  <c r="AT197" i="25"/>
  <c r="AU197" i="25"/>
  <c r="AU207" i="25"/>
  <c r="AT207" i="25"/>
  <c r="AT134" i="25"/>
  <c r="AU134" i="25"/>
  <c r="AT189" i="25"/>
  <c r="AU189" i="25"/>
  <c r="AT156" i="25"/>
  <c r="AU156" i="25"/>
  <c r="AT138" i="25"/>
  <c r="AU138" i="25"/>
  <c r="AT113" i="25"/>
  <c r="AU113" i="25"/>
  <c r="AT131" i="25"/>
  <c r="AU131" i="25"/>
  <c r="AT141" i="25"/>
  <c r="AU141" i="25"/>
  <c r="AT132" i="25"/>
  <c r="AU132" i="25"/>
  <c r="AU135" i="25"/>
  <c r="AT135" i="25"/>
  <c r="AT155" i="25"/>
  <c r="AU155" i="25"/>
  <c r="AT208" i="25"/>
  <c r="AU208" i="25"/>
  <c r="AT165" i="25"/>
  <c r="AU165" i="25"/>
  <c r="AT145" i="25"/>
  <c r="AU145" i="25"/>
  <c r="AT137" i="25"/>
  <c r="AU137" i="25"/>
  <c r="AT125" i="25"/>
  <c r="AU125" i="25"/>
  <c r="AT193" i="25"/>
  <c r="AU193" i="25"/>
  <c r="AU127" i="25"/>
  <c r="AT127" i="25"/>
  <c r="AT157" i="25"/>
  <c r="AU157" i="25"/>
  <c r="AT151" i="25"/>
  <c r="AU151" i="25"/>
  <c r="AT117" i="25"/>
  <c r="AU117" i="25"/>
  <c r="AT172" i="25"/>
  <c r="AU172" i="25"/>
  <c r="AT146" i="25"/>
  <c r="AU146" i="25"/>
  <c r="AT184" i="25"/>
  <c r="AU184" i="25"/>
  <c r="AT154" i="25"/>
  <c r="AU154" i="25"/>
  <c r="AT183" i="25"/>
  <c r="AU183" i="25"/>
  <c r="AT190" i="25"/>
  <c r="AU190" i="25"/>
  <c r="AT116" i="25"/>
  <c r="AU116" i="25"/>
  <c r="AT153" i="25"/>
  <c r="AU153" i="25"/>
  <c r="AT128" i="25"/>
  <c r="AU128" i="25"/>
  <c r="AT118" i="25"/>
  <c r="AU118" i="25"/>
  <c r="AT164" i="25"/>
  <c r="AU164" i="25"/>
  <c r="AT133" i="25"/>
  <c r="AU133" i="25"/>
  <c r="AT185" i="25"/>
  <c r="AU185" i="25"/>
  <c r="AT188" i="25"/>
  <c r="AU188" i="25"/>
  <c r="AT158" i="25"/>
  <c r="AU158" i="25"/>
  <c r="AT126" i="25"/>
  <c r="AU126" i="25"/>
  <c r="AT149" i="25"/>
  <c r="AU149" i="25"/>
  <c r="AT195" i="25"/>
  <c r="AU195" i="25"/>
  <c r="AT177" i="25"/>
  <c r="AU177" i="25"/>
  <c r="AT196" i="25"/>
  <c r="AU196" i="25"/>
  <c r="AT176" i="25"/>
  <c r="AU176" i="25"/>
  <c r="AT174" i="25"/>
  <c r="AU174" i="25"/>
  <c r="AT168" i="25"/>
  <c r="AU168" i="25"/>
  <c r="AT198" i="25"/>
  <c r="AU198" i="25"/>
  <c r="AU187" i="25"/>
  <c r="AT187" i="25"/>
  <c r="AT159" i="25"/>
  <c r="AU159" i="25"/>
  <c r="AT182" i="25"/>
  <c r="AU182" i="25"/>
  <c r="AT152" i="25"/>
  <c r="AU152" i="25"/>
  <c r="AT129" i="25"/>
  <c r="AU129" i="25"/>
  <c r="AT139" i="25"/>
  <c r="AU139" i="25"/>
  <c r="AT200" i="25"/>
  <c r="AU200" i="25"/>
  <c r="AT114" i="25"/>
  <c r="AU114" i="25"/>
  <c r="AT142" i="25"/>
  <c r="AU142" i="25"/>
  <c r="AU179" i="25"/>
  <c r="AT179" i="25"/>
  <c r="AT140" i="25"/>
  <c r="AU140" i="25"/>
  <c r="AT161" i="25"/>
  <c r="AU161" i="25"/>
  <c r="AT169" i="25"/>
  <c r="AU169" i="25"/>
  <c r="AT192" i="25"/>
  <c r="AU192" i="25"/>
  <c r="AT124" i="25"/>
  <c r="AU124" i="25"/>
  <c r="AT204" i="25"/>
  <c r="AU204" i="25"/>
  <c r="AU143" i="25"/>
  <c r="AT143" i="25"/>
  <c r="AT170" i="25"/>
  <c r="AU170" i="25"/>
  <c r="AT166" i="25"/>
  <c r="AU166" i="25"/>
  <c r="AT120" i="25"/>
  <c r="AU120" i="25"/>
  <c r="AT311" i="25"/>
  <c r="BB311" i="25" s="1"/>
  <c r="AU311" i="25"/>
  <c r="AT252" i="25"/>
  <c r="BB252" i="25" s="1"/>
  <c r="AU252" i="25"/>
  <c r="AT277" i="25"/>
  <c r="BB277" i="25" s="1"/>
  <c r="AU277" i="25"/>
  <c r="AT221" i="25"/>
  <c r="BB221" i="25" s="1"/>
  <c r="AU221" i="25"/>
  <c r="AT280" i="25"/>
  <c r="BB280" i="25" s="1"/>
  <c r="AU280" i="25"/>
  <c r="AT263" i="25"/>
  <c r="BB263" i="25" s="1"/>
  <c r="AU263" i="25"/>
  <c r="AU259" i="25"/>
  <c r="AT259" i="25"/>
  <c r="BB259" i="25" s="1"/>
  <c r="AT234" i="25"/>
  <c r="BB234" i="25" s="1"/>
  <c r="AU234" i="25"/>
  <c r="AT245" i="25"/>
  <c r="BB245" i="25" s="1"/>
  <c r="AU245" i="25"/>
  <c r="AT290" i="25"/>
  <c r="BB290" i="25" s="1"/>
  <c r="AU290" i="25"/>
  <c r="AT220" i="25"/>
  <c r="BB220" i="25" s="1"/>
  <c r="AU220" i="25"/>
  <c r="AT305" i="25"/>
  <c r="BB305" i="25" s="1"/>
  <c r="AU305" i="25"/>
  <c r="AT217" i="25"/>
  <c r="BB217" i="25" s="1"/>
  <c r="AU217" i="25"/>
  <c r="AT288" i="25"/>
  <c r="BB288" i="25" s="1"/>
  <c r="AU288" i="25"/>
  <c r="AT258" i="25"/>
  <c r="BB258" i="25" s="1"/>
  <c r="AU258" i="25"/>
  <c r="AT278" i="25"/>
  <c r="BB278" i="25" s="1"/>
  <c r="AU278" i="25"/>
  <c r="AU271" i="25"/>
  <c r="AT271" i="25"/>
  <c r="BB271" i="25" s="1"/>
  <c r="AT282" i="25"/>
  <c r="BB282" i="25" s="1"/>
  <c r="AU282" i="25"/>
  <c r="AU235" i="25"/>
  <c r="AT235" i="25"/>
  <c r="BB235" i="25" s="1"/>
  <c r="AT301" i="25"/>
  <c r="BB301" i="25" s="1"/>
  <c r="AU301" i="25"/>
  <c r="AT275" i="25"/>
  <c r="BB275" i="25" s="1"/>
  <c r="AU275" i="25"/>
  <c r="AU287" i="25"/>
  <c r="AT287" i="25"/>
  <c r="BB287" i="25" s="1"/>
  <c r="AT239" i="25"/>
  <c r="BB239" i="25" s="1"/>
  <c r="AU239" i="25"/>
  <c r="AT226" i="25"/>
  <c r="BB226" i="25" s="1"/>
  <c r="AU226" i="25"/>
  <c r="AT299" i="25"/>
  <c r="BB299" i="25" s="1"/>
  <c r="AU299" i="25"/>
  <c r="AT289" i="25"/>
  <c r="BB289" i="25" s="1"/>
  <c r="AU289" i="25"/>
  <c r="AT253" i="25"/>
  <c r="BB253" i="25" s="1"/>
  <c r="AU253" i="25"/>
  <c r="AT281" i="25"/>
  <c r="BB281" i="25" s="1"/>
  <c r="AU281" i="25"/>
  <c r="AT304" i="25"/>
  <c r="BB304" i="25" s="1"/>
  <c r="AU304" i="25"/>
  <c r="AT265" i="25"/>
  <c r="BB265" i="25" s="1"/>
  <c r="AU265" i="25"/>
  <c r="AT224" i="25"/>
  <c r="BB224" i="25" s="1"/>
  <c r="AU224" i="25"/>
  <c r="AT269" i="25"/>
  <c r="BB269" i="25" s="1"/>
  <c r="AU269" i="25"/>
  <c r="AT313" i="25"/>
  <c r="BB313" i="25" s="1"/>
  <c r="AU313" i="25"/>
  <c r="AT233" i="25"/>
  <c r="BB233" i="25" s="1"/>
  <c r="AU233" i="25"/>
  <c r="AT303" i="25"/>
  <c r="BB303" i="25" s="1"/>
  <c r="AU303" i="25"/>
  <c r="AU302" i="25"/>
  <c r="AT302" i="25"/>
  <c r="BB302" i="25" s="1"/>
  <c r="AT297" i="25"/>
  <c r="BB297" i="25" s="1"/>
  <c r="AU297" i="25"/>
  <c r="AT223" i="25"/>
  <c r="BB223" i="25" s="1"/>
  <c r="AU223" i="25"/>
  <c r="AT268" i="25"/>
  <c r="BB268" i="25" s="1"/>
  <c r="AU268" i="25"/>
  <c r="AT298" i="25"/>
  <c r="BB298" i="25" s="1"/>
  <c r="AU298" i="25"/>
  <c r="AT225" i="25"/>
  <c r="BB225" i="25" s="1"/>
  <c r="AU225" i="25"/>
  <c r="AT312" i="25"/>
  <c r="BB312" i="25" s="1"/>
  <c r="AU312" i="25"/>
  <c r="AT242" i="25"/>
  <c r="BB242" i="25" s="1"/>
  <c r="AU242" i="25"/>
  <c r="AT264" i="25"/>
  <c r="BB264" i="25" s="1"/>
  <c r="AU264" i="25"/>
  <c r="AT260" i="25"/>
  <c r="BB260" i="25" s="1"/>
  <c r="AU260" i="25"/>
  <c r="AT309" i="25"/>
  <c r="BB309" i="25" s="1"/>
  <c r="AU309" i="25"/>
  <c r="AT229" i="25"/>
  <c r="BB229" i="25" s="1"/>
  <c r="AU229" i="25"/>
  <c r="AT247" i="25"/>
  <c r="BB247" i="25" s="1"/>
  <c r="AU247" i="25"/>
  <c r="AT307" i="25"/>
  <c r="BB307" i="25" s="1"/>
  <c r="AU307" i="25"/>
  <c r="AT216" i="25"/>
  <c r="BB216" i="25" s="1"/>
  <c r="AU216" i="25"/>
  <c r="AT250" i="25"/>
  <c r="BB250" i="25" s="1"/>
  <c r="AU250" i="25"/>
  <c r="AT251" i="25"/>
  <c r="BB251" i="25" s="1"/>
  <c r="AU251" i="25"/>
  <c r="AT227" i="25"/>
  <c r="BB227" i="25" s="1"/>
  <c r="AU227" i="25"/>
  <c r="AT262" i="25"/>
  <c r="BB262" i="25" s="1"/>
  <c r="AU262" i="25"/>
  <c r="AU294" i="25"/>
  <c r="AT294" i="25"/>
  <c r="BB294" i="25" s="1"/>
  <c r="AT314" i="25"/>
  <c r="BB314" i="25" s="1"/>
  <c r="AU314" i="25"/>
  <c r="AU295" i="25"/>
  <c r="AT295" i="25"/>
  <c r="BB295" i="25" s="1"/>
  <c r="AT296" i="25"/>
  <c r="BB296" i="25" s="1"/>
  <c r="AU296" i="25"/>
  <c r="AT279" i="25"/>
  <c r="BB279" i="25" s="1"/>
  <c r="AU279" i="25"/>
  <c r="AT246" i="25"/>
  <c r="BB246" i="25" s="1"/>
  <c r="AU246" i="25"/>
  <c r="AT236" i="25"/>
  <c r="BB236" i="25" s="1"/>
  <c r="AU236" i="25"/>
  <c r="AT284" i="25"/>
  <c r="BB284" i="25" s="1"/>
  <c r="AU284" i="25"/>
  <c r="AU306" i="25"/>
  <c r="AT306" i="25"/>
  <c r="BB306" i="25" s="1"/>
  <c r="AT308" i="25"/>
  <c r="BB308" i="25" s="1"/>
  <c r="AU308" i="25"/>
  <c r="AT238" i="25"/>
  <c r="BB238" i="25" s="1"/>
  <c r="AU238" i="25"/>
  <c r="AT292" i="25"/>
  <c r="BB292" i="25" s="1"/>
  <c r="AU292" i="25"/>
  <c r="AT244" i="25"/>
  <c r="BB244" i="25" s="1"/>
  <c r="AU244" i="25"/>
  <c r="AT285" i="25"/>
  <c r="BB285" i="25" s="1"/>
  <c r="AU285" i="25"/>
  <c r="AT293" i="25"/>
  <c r="BB293" i="25" s="1"/>
  <c r="AU293" i="25"/>
  <c r="AT270" i="25"/>
  <c r="BB270" i="25" s="1"/>
  <c r="AU270" i="25"/>
  <c r="AT266" i="25"/>
  <c r="BB266" i="25" s="1"/>
  <c r="AU266" i="25"/>
  <c r="AT291" i="25"/>
  <c r="BB291" i="25" s="1"/>
  <c r="AU291" i="25"/>
  <c r="AT248" i="25"/>
  <c r="BB248" i="25" s="1"/>
  <c r="AU248" i="25"/>
  <c r="AT300" i="25"/>
  <c r="BB300" i="25" s="1"/>
  <c r="AU300" i="25"/>
  <c r="AT219" i="25"/>
  <c r="BB219" i="25" s="1"/>
  <c r="AU219" i="25"/>
  <c r="AT315" i="25"/>
  <c r="BB315" i="25" s="1"/>
  <c r="AU315" i="25"/>
  <c r="AT310" i="25"/>
  <c r="BB310" i="25" s="1"/>
  <c r="AU310" i="25"/>
  <c r="AT276" i="25"/>
  <c r="BB276" i="25" s="1"/>
  <c r="AU276" i="25"/>
  <c r="AT241" i="25"/>
  <c r="BB241" i="25" s="1"/>
  <c r="AU241" i="25"/>
  <c r="AT249" i="25"/>
  <c r="BB249" i="25" s="1"/>
  <c r="AU249" i="25"/>
  <c r="AT283" i="25"/>
  <c r="BB283" i="25" s="1"/>
  <c r="AU283" i="25"/>
  <c r="AT316" i="25"/>
  <c r="BB316" i="25" s="1"/>
  <c r="AU316" i="25"/>
  <c r="AU243" i="25"/>
  <c r="AT243" i="25"/>
  <c r="BB243" i="25" s="1"/>
  <c r="AT232" i="25"/>
  <c r="BB232" i="25" s="1"/>
  <c r="AU232" i="25"/>
  <c r="AT274" i="25"/>
  <c r="BB274" i="25" s="1"/>
  <c r="AU274" i="25"/>
  <c r="AT256" i="25"/>
  <c r="BB256" i="25" s="1"/>
  <c r="AU256" i="25"/>
  <c r="AT254" i="25"/>
  <c r="BB254" i="25" s="1"/>
  <c r="AU254" i="25"/>
  <c r="AT272" i="25"/>
  <c r="BB272" i="25" s="1"/>
  <c r="AU272" i="25"/>
  <c r="AT222" i="25"/>
  <c r="BB222" i="25" s="1"/>
  <c r="AU222" i="25"/>
  <c r="AT273" i="25"/>
  <c r="BB273" i="25" s="1"/>
  <c r="AU273" i="25"/>
  <c r="AT218" i="25"/>
  <c r="BB218" i="25" s="1"/>
  <c r="AU218" i="25"/>
  <c r="AT240" i="25"/>
  <c r="BB240" i="25" s="1"/>
  <c r="AU240" i="25"/>
  <c r="AT261" i="25"/>
  <c r="BB261" i="25" s="1"/>
  <c r="AU261" i="25"/>
  <c r="AT255" i="25"/>
  <c r="BB255" i="25" s="1"/>
  <c r="AU255" i="25"/>
  <c r="AT237" i="25"/>
  <c r="BB237" i="25" s="1"/>
  <c r="AU237" i="25"/>
  <c r="AT286" i="25"/>
  <c r="BB286" i="25" s="1"/>
  <c r="AU286" i="25"/>
  <c r="AT257" i="25"/>
  <c r="BB257" i="25" s="1"/>
  <c r="AU257" i="25"/>
  <c r="AT228" i="25"/>
  <c r="BB228" i="25" s="1"/>
  <c r="AU228" i="25"/>
  <c r="AU267" i="25"/>
  <c r="AT267" i="25"/>
  <c r="BB267" i="25" s="1"/>
  <c r="AT230" i="25"/>
  <c r="BB230" i="25" s="1"/>
  <c r="AU230" i="25"/>
  <c r="AT231" i="25"/>
  <c r="BB231" i="25" s="1"/>
  <c r="AU231" i="25"/>
  <c r="AR5" i="25"/>
  <c r="BK5" i="25"/>
  <c r="BW5" i="25"/>
  <c r="AP5" i="25"/>
  <c r="BI5" i="25"/>
  <c r="BJ5" i="25"/>
  <c r="B108" i="2"/>
  <c r="B98" i="2"/>
  <c r="AU65" i="25"/>
  <c r="AU98" i="25"/>
  <c r="AU43" i="25"/>
  <c r="AU55" i="25"/>
  <c r="AU57" i="25"/>
  <c r="AU73" i="25"/>
  <c r="AU85" i="25"/>
  <c r="AU95" i="25"/>
  <c r="AU32" i="25"/>
  <c r="AU66" i="25"/>
  <c r="AU84" i="25"/>
  <c r="AU99" i="25"/>
  <c r="AU18" i="25"/>
  <c r="AU60" i="25"/>
  <c r="AU90" i="25"/>
  <c r="AU33" i="25"/>
  <c r="AT35" i="25"/>
  <c r="AU35" i="25"/>
  <c r="AT105" i="25"/>
  <c r="BB105" i="25" s="1"/>
  <c r="AU105" i="25"/>
  <c r="AT41" i="25"/>
  <c r="AU41" i="25"/>
  <c r="AT15" i="25"/>
  <c r="AU15" i="25"/>
  <c r="AU25" i="25"/>
  <c r="AT92" i="25"/>
  <c r="AU92" i="25"/>
  <c r="AT104" i="25"/>
  <c r="AU104" i="25"/>
  <c r="AT52" i="25"/>
  <c r="AU52" i="25"/>
  <c r="AT96" i="25"/>
  <c r="AU96" i="25"/>
  <c r="AT94" i="25"/>
  <c r="AU94" i="25"/>
  <c r="AT31" i="25"/>
  <c r="AU31" i="25"/>
  <c r="AT24" i="25"/>
  <c r="AU24" i="25"/>
  <c r="AT13" i="25"/>
  <c r="AU13" i="25"/>
  <c r="AT68" i="25"/>
  <c r="AU68" i="25"/>
  <c r="AT91" i="25"/>
  <c r="AU91" i="25"/>
  <c r="AT93" i="25"/>
  <c r="AU93" i="25"/>
  <c r="AT30" i="25"/>
  <c r="AU30" i="25"/>
  <c r="AU16" i="25"/>
  <c r="AT71" i="25"/>
  <c r="AU71" i="25"/>
  <c r="AT61" i="25"/>
  <c r="AU61" i="25"/>
  <c r="AT54" i="25"/>
  <c r="AU54" i="25"/>
  <c r="AU10" i="25"/>
  <c r="AU23" i="25"/>
  <c r="AT79" i="25"/>
  <c r="AU79" i="25"/>
  <c r="AT40" i="25"/>
  <c r="AU40" i="25"/>
  <c r="AT27" i="25"/>
  <c r="AU27" i="25"/>
  <c r="AU77" i="25"/>
  <c r="AT53" i="25"/>
  <c r="AU53" i="25"/>
  <c r="AT51" i="25"/>
  <c r="AU51" i="25"/>
  <c r="AT63" i="25"/>
  <c r="AU63" i="25"/>
  <c r="AT67" i="25"/>
  <c r="AU67" i="25"/>
  <c r="AT47" i="25"/>
  <c r="AU47" i="25"/>
  <c r="AT22" i="25"/>
  <c r="AU22" i="25"/>
  <c r="AT17" i="25"/>
  <c r="AU17" i="25"/>
  <c r="AT78" i="25"/>
  <c r="AU78" i="25"/>
  <c r="AT20" i="25"/>
  <c r="AU20" i="25"/>
  <c r="AT9" i="25"/>
  <c r="AU9" i="25"/>
  <c r="AU39" i="25"/>
  <c r="AT76" i="25"/>
  <c r="AU76" i="25"/>
  <c r="AT48" i="25"/>
  <c r="AU48" i="25"/>
  <c r="AT59" i="25"/>
  <c r="AU59" i="25"/>
  <c r="AU46" i="25"/>
  <c r="AU89" i="25"/>
  <c r="AU19" i="25"/>
  <c r="AT101" i="25"/>
  <c r="AU101" i="25"/>
  <c r="AU50" i="25"/>
  <c r="AT69" i="25"/>
  <c r="AU69" i="25"/>
  <c r="AT37" i="25"/>
  <c r="AU37" i="25"/>
  <c r="AT38" i="25"/>
  <c r="AU38" i="25"/>
  <c r="AT49" i="25"/>
  <c r="AU49" i="25"/>
  <c r="AT11" i="25"/>
  <c r="AU11" i="25"/>
  <c r="AT6" i="25"/>
  <c r="AU6" i="25"/>
  <c r="AT36" i="25"/>
  <c r="AU36" i="25"/>
  <c r="AU7" i="25"/>
  <c r="AT97" i="25"/>
  <c r="AU97" i="25"/>
  <c r="AT28" i="25"/>
  <c r="AU28" i="25"/>
  <c r="AT100" i="25"/>
  <c r="AU100" i="25"/>
  <c r="AT44" i="25"/>
  <c r="AU44" i="25"/>
  <c r="AT26" i="25"/>
  <c r="AU26" i="25"/>
  <c r="AT103" i="25"/>
  <c r="AU103" i="25"/>
  <c r="AT64" i="25"/>
  <c r="AU64" i="25"/>
  <c r="AT62" i="25"/>
  <c r="AU62" i="25"/>
  <c r="AT12" i="25"/>
  <c r="AU12" i="25"/>
  <c r="AU75" i="25"/>
  <c r="AT42" i="25"/>
  <c r="AU42" i="25"/>
  <c r="AT87" i="25"/>
  <c r="AU87" i="25"/>
  <c r="AU45" i="25"/>
  <c r="AU80" i="25"/>
  <c r="AT86" i="25"/>
  <c r="AU86" i="25"/>
  <c r="AT14" i="25"/>
  <c r="AU14" i="25"/>
  <c r="AT56" i="25"/>
  <c r="AU56" i="25"/>
  <c r="AT83" i="25"/>
  <c r="AU83" i="25"/>
  <c r="AT21" i="25"/>
  <c r="AU21" i="25"/>
  <c r="AU74" i="25"/>
  <c r="AT88" i="25"/>
  <c r="AU88" i="25"/>
  <c r="AT82" i="25"/>
  <c r="AU82" i="25"/>
  <c r="AT29" i="25"/>
  <c r="AU29" i="25"/>
  <c r="AU34" i="25"/>
  <c r="AT102" i="25"/>
  <c r="AU102" i="25"/>
  <c r="AT81" i="25"/>
  <c r="AU81" i="25"/>
  <c r="AT70" i="25"/>
  <c r="AU70" i="25"/>
  <c r="AU72" i="25"/>
  <c r="AT8" i="25"/>
  <c r="AU8" i="25"/>
  <c r="AW40" i="24"/>
  <c r="AY40" i="24" s="1"/>
  <c r="AZ40" i="24" s="1"/>
  <c r="AU32" i="24"/>
  <c r="BC32" i="24" s="1"/>
  <c r="AU53" i="24"/>
  <c r="BC53" i="24" s="1"/>
  <c r="BF53" i="24"/>
  <c r="BI53" i="24" s="1"/>
  <c r="BN53" i="24" s="1"/>
  <c r="BO53" i="24" s="1"/>
  <c r="BG53" i="24"/>
  <c r="BU53" i="24" s="1"/>
  <c r="BF32" i="24"/>
  <c r="BI32" i="24" s="1"/>
  <c r="BN32" i="24" s="1"/>
  <c r="BO32" i="24" s="1"/>
  <c r="BG32" i="24"/>
  <c r="BU32" i="24" s="1"/>
  <c r="AU18" i="24"/>
  <c r="BC18" i="24" s="1"/>
  <c r="AW18" i="24"/>
  <c r="AY18" i="24" s="1"/>
  <c r="AZ18" i="24" s="1"/>
  <c r="AW29" i="24"/>
  <c r="AY29" i="24" s="1"/>
  <c r="AZ29" i="24" s="1"/>
  <c r="AU29" i="24"/>
  <c r="BC29" i="24" s="1"/>
  <c r="AW82" i="24"/>
  <c r="AY82" i="24" s="1"/>
  <c r="AZ82" i="24" s="1"/>
  <c r="AU82" i="24"/>
  <c r="BC82" i="24" s="1"/>
  <c r="AW54" i="24"/>
  <c r="AY54" i="24" s="1"/>
  <c r="AZ54" i="24" s="1"/>
  <c r="AU54" i="24"/>
  <c r="BC54" i="24" s="1"/>
  <c r="AW19" i="24"/>
  <c r="AY19" i="24" s="1"/>
  <c r="AZ19" i="24" s="1"/>
  <c r="AU19" i="24"/>
  <c r="BC19" i="24" s="1"/>
  <c r="AW89" i="24"/>
  <c r="AY89" i="24" s="1"/>
  <c r="AZ89" i="24" s="1"/>
  <c r="AU89" i="24"/>
  <c r="BC89" i="24" s="1"/>
  <c r="AW59" i="24"/>
  <c r="AY59" i="24" s="1"/>
  <c r="AZ59" i="24" s="1"/>
  <c r="AU59" i="24"/>
  <c r="BC59" i="24" s="1"/>
  <c r="AW42" i="24"/>
  <c r="AY42" i="24" s="1"/>
  <c r="AZ42" i="24" s="1"/>
  <c r="AU42" i="24"/>
  <c r="BC42" i="24" s="1"/>
  <c r="AW36" i="24"/>
  <c r="AY36" i="24" s="1"/>
  <c r="AZ36" i="24" s="1"/>
  <c r="AU36" i="24"/>
  <c r="BC36" i="24" s="1"/>
  <c r="AW63" i="24"/>
  <c r="AY63" i="24" s="1"/>
  <c r="AZ63" i="24" s="1"/>
  <c r="AU63" i="24"/>
  <c r="BC63" i="24" s="1"/>
  <c r="AW56" i="24"/>
  <c r="AY56" i="24" s="1"/>
  <c r="AZ56" i="24" s="1"/>
  <c r="AU56" i="24"/>
  <c r="BC56" i="24" s="1"/>
  <c r="AW74" i="24"/>
  <c r="AY74" i="24" s="1"/>
  <c r="AZ74" i="24" s="1"/>
  <c r="AU74" i="24"/>
  <c r="BC74" i="24" s="1"/>
  <c r="AW72" i="24"/>
  <c r="AY72" i="24" s="1"/>
  <c r="AZ72" i="24" s="1"/>
  <c r="AU72" i="24"/>
  <c r="BC72" i="24" s="1"/>
  <c r="AW92" i="24"/>
  <c r="AY92" i="24" s="1"/>
  <c r="AZ92" i="24" s="1"/>
  <c r="AU92" i="24"/>
  <c r="BC92" i="24" s="1"/>
  <c r="AW79" i="24"/>
  <c r="AY79" i="24" s="1"/>
  <c r="AZ79" i="24" s="1"/>
  <c r="AU79" i="24"/>
  <c r="BC79" i="24" s="1"/>
  <c r="AW28" i="24"/>
  <c r="AY28" i="24" s="1"/>
  <c r="AZ28" i="24" s="1"/>
  <c r="AU28" i="24"/>
  <c r="BC28" i="24" s="1"/>
  <c r="AW96" i="24"/>
  <c r="AY96" i="24" s="1"/>
  <c r="AZ96" i="24" s="1"/>
  <c r="AU96" i="24"/>
  <c r="BC96" i="24" s="1"/>
  <c r="AW83" i="24"/>
  <c r="AY83" i="24" s="1"/>
  <c r="AZ83" i="24" s="1"/>
  <c r="AU83" i="24"/>
  <c r="BC83" i="24" s="1"/>
  <c r="AW68" i="24"/>
  <c r="AY68" i="24" s="1"/>
  <c r="AZ68" i="24" s="1"/>
  <c r="AU68" i="24"/>
  <c r="BC68" i="24" s="1"/>
  <c r="AW31" i="24"/>
  <c r="AY31" i="24" s="1"/>
  <c r="AZ31" i="24" s="1"/>
  <c r="AU31" i="24"/>
  <c r="BC31" i="24" s="1"/>
  <c r="AW46" i="24"/>
  <c r="AY46" i="24" s="1"/>
  <c r="AZ46" i="24" s="1"/>
  <c r="AU46" i="24"/>
  <c r="BC46" i="24" s="1"/>
  <c r="AW21" i="24"/>
  <c r="AY21" i="24" s="1"/>
  <c r="AZ21" i="24" s="1"/>
  <c r="AU21" i="24"/>
  <c r="BC21" i="24" s="1"/>
  <c r="AW85" i="24"/>
  <c r="AY85" i="24" s="1"/>
  <c r="AZ85" i="24" s="1"/>
  <c r="AU85" i="24"/>
  <c r="BC85" i="24" s="1"/>
  <c r="AW100" i="24"/>
  <c r="AY100" i="24" s="1"/>
  <c r="AZ100" i="24" s="1"/>
  <c r="AU100" i="24"/>
  <c r="BC100" i="24" s="1"/>
  <c r="BV106" i="19"/>
  <c r="CB106" i="19" s="1"/>
  <c r="BW106" i="19"/>
  <c r="CC106" i="19" s="1"/>
  <c r="BA102" i="25" l="1"/>
  <c r="BB102" i="25"/>
  <c r="BA51" i="25"/>
  <c r="BB51" i="25"/>
  <c r="BA104" i="25"/>
  <c r="BB104" i="25"/>
  <c r="BA123" i="25"/>
  <c r="BB123" i="25"/>
  <c r="BA61" i="25"/>
  <c r="BB61" i="25"/>
  <c r="BA41" i="25"/>
  <c r="BB41" i="25"/>
  <c r="BA28" i="25"/>
  <c r="BB28" i="25"/>
  <c r="BA9" i="25"/>
  <c r="BB9" i="25"/>
  <c r="BA91" i="25"/>
  <c r="BB91" i="25"/>
  <c r="BA21" i="25"/>
  <c r="BB21" i="25"/>
  <c r="BA59" i="25"/>
  <c r="BB59" i="25"/>
  <c r="BA79" i="25"/>
  <c r="BB79" i="25"/>
  <c r="BA166" i="25"/>
  <c r="BB166" i="25"/>
  <c r="BA124" i="25"/>
  <c r="BB124" i="25"/>
  <c r="BA140" i="25"/>
  <c r="BB140" i="25"/>
  <c r="BA200" i="25"/>
  <c r="BB200" i="25"/>
  <c r="BA182" i="25"/>
  <c r="BB182" i="25"/>
  <c r="BA168" i="25"/>
  <c r="BB168" i="25"/>
  <c r="BA177" i="25"/>
  <c r="BB177" i="25"/>
  <c r="BA158" i="25"/>
  <c r="BB158" i="25"/>
  <c r="BA164" i="25"/>
  <c r="BB164" i="25"/>
  <c r="BA116" i="25"/>
  <c r="BB116" i="25"/>
  <c r="BA184" i="25"/>
  <c r="BB184" i="25"/>
  <c r="BA151" i="25"/>
  <c r="BB151" i="25"/>
  <c r="BA125" i="25"/>
  <c r="BB125" i="25"/>
  <c r="BA208" i="25"/>
  <c r="BB208" i="25"/>
  <c r="BA141" i="25"/>
  <c r="BB141" i="25"/>
  <c r="BA156" i="25"/>
  <c r="BB156" i="25"/>
  <c r="BA197" i="25"/>
  <c r="BB197" i="25"/>
  <c r="BA162" i="25"/>
  <c r="BB162" i="25"/>
  <c r="BA150" i="25"/>
  <c r="BB150" i="25"/>
  <c r="BA206" i="25"/>
  <c r="BB206" i="25"/>
  <c r="BA202" i="25"/>
  <c r="BB202" i="25"/>
  <c r="BA201" i="25"/>
  <c r="BB201" i="25"/>
  <c r="BA199" i="25"/>
  <c r="BB199" i="25"/>
  <c r="BA171" i="25"/>
  <c r="BB171" i="25"/>
  <c r="BA37" i="25"/>
  <c r="BB37" i="25"/>
  <c r="BA8" i="25"/>
  <c r="BB8" i="25"/>
  <c r="BA103" i="25"/>
  <c r="BB103" i="25"/>
  <c r="BA22" i="25"/>
  <c r="BB22" i="25"/>
  <c r="BA31" i="25"/>
  <c r="BB31" i="25"/>
  <c r="BA86" i="25"/>
  <c r="BB86" i="25"/>
  <c r="BA11" i="25"/>
  <c r="BB11" i="25"/>
  <c r="BA69" i="25"/>
  <c r="BB69" i="25"/>
  <c r="BA71" i="25"/>
  <c r="BB71" i="25"/>
  <c r="BA29" i="25"/>
  <c r="BB29" i="25"/>
  <c r="BA12" i="25"/>
  <c r="BB12" i="25"/>
  <c r="BA26" i="25"/>
  <c r="BB26" i="25"/>
  <c r="BA97" i="25"/>
  <c r="BB97" i="25"/>
  <c r="BA20" i="25"/>
  <c r="BB20" i="25"/>
  <c r="BA47" i="25"/>
  <c r="BB47" i="25"/>
  <c r="BA53" i="25"/>
  <c r="BB53" i="25"/>
  <c r="BA68" i="25"/>
  <c r="BB68" i="25"/>
  <c r="BA94" i="25"/>
  <c r="BB94" i="25"/>
  <c r="BA92" i="25"/>
  <c r="BB92" i="25"/>
  <c r="BA179" i="25"/>
  <c r="BB179" i="25"/>
  <c r="BA14" i="25"/>
  <c r="BB14" i="25"/>
  <c r="BA170" i="25"/>
  <c r="BB170" i="25"/>
  <c r="BA192" i="25"/>
  <c r="BB192" i="25"/>
  <c r="BA139" i="25"/>
  <c r="BB139" i="25"/>
  <c r="BA159" i="25"/>
  <c r="BB159" i="25"/>
  <c r="BA174" i="25"/>
  <c r="BB174" i="25"/>
  <c r="BA195" i="25"/>
  <c r="BB195" i="25"/>
  <c r="BA188" i="25"/>
  <c r="BB188" i="25"/>
  <c r="BA118" i="25"/>
  <c r="BB118" i="25"/>
  <c r="BA190" i="25"/>
  <c r="BB190" i="25"/>
  <c r="BA146" i="25"/>
  <c r="BB146" i="25"/>
  <c r="BA157" i="25"/>
  <c r="BB157" i="25"/>
  <c r="BA137" i="25"/>
  <c r="BB137" i="25"/>
  <c r="BA155" i="25"/>
  <c r="BB155" i="25"/>
  <c r="BA131" i="25"/>
  <c r="BB131" i="25"/>
  <c r="BA189" i="25"/>
  <c r="BB189" i="25"/>
  <c r="BA181" i="25"/>
  <c r="BB181" i="25"/>
  <c r="BA205" i="25"/>
  <c r="BB205" i="25"/>
  <c r="BA112" i="25"/>
  <c r="BB112" i="25"/>
  <c r="BA115" i="25"/>
  <c r="BB115" i="25"/>
  <c r="BA194" i="25"/>
  <c r="BB194" i="25"/>
  <c r="BA121" i="25"/>
  <c r="BB121" i="25"/>
  <c r="BA148" i="25"/>
  <c r="BB148" i="25"/>
  <c r="BA175" i="25"/>
  <c r="BB175" i="25"/>
  <c r="BA210" i="25"/>
  <c r="BB210" i="25"/>
  <c r="BA42" i="25"/>
  <c r="BB42" i="25"/>
  <c r="BA49" i="25"/>
  <c r="BB49" i="25"/>
  <c r="BA48" i="25"/>
  <c r="BB48" i="25"/>
  <c r="BA35" i="25"/>
  <c r="BB35" i="25"/>
  <c r="BA82" i="25"/>
  <c r="BB82" i="25"/>
  <c r="BA62" i="25"/>
  <c r="BB62" i="25"/>
  <c r="BA44" i="25"/>
  <c r="BB44" i="25"/>
  <c r="BA101" i="25"/>
  <c r="BB101" i="25"/>
  <c r="BA78" i="25"/>
  <c r="BB78" i="25"/>
  <c r="BA67" i="25"/>
  <c r="BB67" i="25"/>
  <c r="BA30" i="25"/>
  <c r="BB30" i="25"/>
  <c r="BA13" i="25"/>
  <c r="BB13" i="25"/>
  <c r="BA96" i="25"/>
  <c r="BB96" i="25"/>
  <c r="BA143" i="25"/>
  <c r="BB143" i="25"/>
  <c r="BA187" i="25"/>
  <c r="BB187" i="25"/>
  <c r="BA127" i="25"/>
  <c r="BB127" i="25"/>
  <c r="BA135" i="25"/>
  <c r="BB135" i="25"/>
  <c r="BA167" i="25"/>
  <c r="BB167" i="25"/>
  <c r="BA110" i="25"/>
  <c r="BB110" i="25"/>
  <c r="BA70" i="25"/>
  <c r="BB70" i="25"/>
  <c r="BA81" i="25"/>
  <c r="BB81" i="25"/>
  <c r="BA56" i="25"/>
  <c r="BB56" i="25"/>
  <c r="BA38" i="25"/>
  <c r="BB38" i="25"/>
  <c r="BA76" i="25"/>
  <c r="BB76" i="25"/>
  <c r="BA27" i="25"/>
  <c r="BB27" i="25"/>
  <c r="BA169" i="25"/>
  <c r="BB169" i="25"/>
  <c r="BA142" i="25"/>
  <c r="BB142" i="25"/>
  <c r="BA129" i="25"/>
  <c r="BB129" i="25"/>
  <c r="BA176" i="25"/>
  <c r="BB176" i="25"/>
  <c r="BA149" i="25"/>
  <c r="BB149" i="25"/>
  <c r="BA185" i="25"/>
  <c r="BB185" i="25"/>
  <c r="BA128" i="25"/>
  <c r="BB128" i="25"/>
  <c r="BA183" i="25"/>
  <c r="BB183" i="25"/>
  <c r="BA172" i="25"/>
  <c r="BB172" i="25"/>
  <c r="BA145" i="25"/>
  <c r="BB145" i="25"/>
  <c r="BA113" i="25"/>
  <c r="BB113" i="25"/>
  <c r="BA134" i="25"/>
  <c r="BB134" i="25"/>
  <c r="BA119" i="25"/>
  <c r="BB119" i="25"/>
  <c r="BA163" i="25"/>
  <c r="BB163" i="25"/>
  <c r="BA186" i="25"/>
  <c r="BB186" i="25"/>
  <c r="BA130" i="25"/>
  <c r="BB130" i="25"/>
  <c r="BA111" i="25"/>
  <c r="BB111" i="25"/>
  <c r="BA180" i="25"/>
  <c r="BB180" i="25"/>
  <c r="BA209" i="25"/>
  <c r="BB209" i="25"/>
  <c r="BA173" i="25"/>
  <c r="BB173" i="25"/>
  <c r="BA83" i="25"/>
  <c r="BB83" i="25"/>
  <c r="BA87" i="25"/>
  <c r="BB87" i="25"/>
  <c r="BA36" i="25"/>
  <c r="BB36" i="25"/>
  <c r="BA54" i="25"/>
  <c r="BB54" i="25"/>
  <c r="BA15" i="25"/>
  <c r="BB15" i="25"/>
  <c r="BA88" i="25"/>
  <c r="BB88" i="25"/>
  <c r="BA64" i="25"/>
  <c r="BB64" i="25"/>
  <c r="BA100" i="25"/>
  <c r="BB100" i="25"/>
  <c r="BA17" i="25"/>
  <c r="BB17" i="25"/>
  <c r="BA63" i="25"/>
  <c r="BB63" i="25"/>
  <c r="BA93" i="25"/>
  <c r="BB93" i="25"/>
  <c r="BA24" i="25"/>
  <c r="BB24" i="25"/>
  <c r="BA52" i="25"/>
  <c r="BB52" i="25"/>
  <c r="BA207" i="25"/>
  <c r="BB207" i="25"/>
  <c r="BA147" i="25"/>
  <c r="BB147" i="25"/>
  <c r="BA203" i="25"/>
  <c r="BB203" i="25"/>
  <c r="BA6" i="25"/>
  <c r="BB6" i="25"/>
  <c r="BA40" i="25"/>
  <c r="BB40" i="25"/>
  <c r="BA120" i="25"/>
  <c r="BB120" i="25"/>
  <c r="BA204" i="25"/>
  <c r="BB204" i="25"/>
  <c r="BA161" i="25"/>
  <c r="BB161" i="25"/>
  <c r="BA114" i="25"/>
  <c r="BB114" i="25"/>
  <c r="BA152" i="25"/>
  <c r="BB152" i="25"/>
  <c r="BA198" i="25"/>
  <c r="BB198" i="25"/>
  <c r="BA196" i="25"/>
  <c r="BB196" i="25"/>
  <c r="BA126" i="25"/>
  <c r="BB126" i="25"/>
  <c r="BA133" i="25"/>
  <c r="BB133" i="25"/>
  <c r="BA153" i="25"/>
  <c r="BB153" i="25"/>
  <c r="BA154" i="25"/>
  <c r="BB154" i="25"/>
  <c r="BA117" i="25"/>
  <c r="BB117" i="25"/>
  <c r="BA193" i="25"/>
  <c r="BB193" i="25"/>
  <c r="BA165" i="25"/>
  <c r="BB165" i="25"/>
  <c r="BA132" i="25"/>
  <c r="BB132" i="25"/>
  <c r="BA138" i="25"/>
  <c r="BB138" i="25"/>
  <c r="BA144" i="25"/>
  <c r="BB144" i="25"/>
  <c r="BA160" i="25"/>
  <c r="BB160" i="25"/>
  <c r="BA178" i="25"/>
  <c r="BB178" i="25"/>
  <c r="BA122" i="25"/>
  <c r="BB122" i="25"/>
  <c r="BA136" i="25"/>
  <c r="BB136" i="25"/>
  <c r="BA191" i="25"/>
  <c r="BB191" i="25"/>
  <c r="AW133" i="24"/>
  <c r="BX43" i="24"/>
  <c r="AZ50" i="24"/>
  <c r="BX12" i="24"/>
  <c r="CF12" i="24"/>
  <c r="AZ25" i="24"/>
  <c r="AK212" i="24"/>
  <c r="BX76" i="24"/>
  <c r="CF76" i="24"/>
  <c r="BX37" i="24"/>
  <c r="CF37" i="24"/>
  <c r="AN212" i="24"/>
  <c r="AS212" i="24" s="1"/>
  <c r="AU212" i="24" s="1"/>
  <c r="BX62" i="24"/>
  <c r="CF62" i="24"/>
  <c r="BX57" i="24"/>
  <c r="CF57" i="24"/>
  <c r="BX48" i="24"/>
  <c r="CF48" i="24"/>
  <c r="BX61" i="24"/>
  <c r="CF61" i="24"/>
  <c r="BX84" i="24"/>
  <c r="CF84" i="24"/>
  <c r="BX45" i="24"/>
  <c r="CF45" i="24"/>
  <c r="BX47" i="24"/>
  <c r="CF47" i="24"/>
  <c r="BX20" i="24"/>
  <c r="CF20" i="24"/>
  <c r="AW166" i="24"/>
  <c r="AY166" i="24" s="1"/>
  <c r="AZ166" i="24" s="1"/>
  <c r="BD179" i="25"/>
  <c r="BE179" i="25"/>
  <c r="BU179" i="25" s="1"/>
  <c r="BF179" i="25"/>
  <c r="BV179" i="25" s="1"/>
  <c r="BD147" i="25"/>
  <c r="BF147" i="25"/>
  <c r="BV147" i="25" s="1"/>
  <c r="BE147" i="25"/>
  <c r="BU147" i="25" s="1"/>
  <c r="BF166" i="25"/>
  <c r="BV166" i="25" s="1"/>
  <c r="BE166" i="25"/>
  <c r="BU166" i="25" s="1"/>
  <c r="BD166" i="25"/>
  <c r="BE124" i="25"/>
  <c r="BU124" i="25" s="1"/>
  <c r="BD124" i="25"/>
  <c r="BF124" i="25"/>
  <c r="BV124" i="25" s="1"/>
  <c r="BE140" i="25"/>
  <c r="BU140" i="25" s="1"/>
  <c r="BF140" i="25"/>
  <c r="BV140" i="25" s="1"/>
  <c r="BD140" i="25"/>
  <c r="BD200" i="25"/>
  <c r="BF200" i="25"/>
  <c r="BV200" i="25" s="1"/>
  <c r="BE200" i="25"/>
  <c r="BU200" i="25" s="1"/>
  <c r="BE129" i="25"/>
  <c r="BU129" i="25" s="1"/>
  <c r="BD129" i="25"/>
  <c r="BF129" i="25"/>
  <c r="BV129" i="25" s="1"/>
  <c r="BE182" i="25"/>
  <c r="BU182" i="25" s="1"/>
  <c r="BF182" i="25"/>
  <c r="BV182" i="25" s="1"/>
  <c r="BD182" i="25"/>
  <c r="BE176" i="25"/>
  <c r="BU176" i="25" s="1"/>
  <c r="BF176" i="25"/>
  <c r="BV176" i="25" s="1"/>
  <c r="BD176" i="25"/>
  <c r="BF149" i="25"/>
  <c r="BV149" i="25" s="1"/>
  <c r="BE149" i="25"/>
  <c r="BU149" i="25" s="1"/>
  <c r="BD149" i="25"/>
  <c r="BE185" i="25"/>
  <c r="BU185" i="25" s="1"/>
  <c r="BF185" i="25"/>
  <c r="BV185" i="25" s="1"/>
  <c r="BD185" i="25"/>
  <c r="BF128" i="25"/>
  <c r="BV128" i="25" s="1"/>
  <c r="BE128" i="25"/>
  <c r="BU128" i="25" s="1"/>
  <c r="BD128" i="25"/>
  <c r="BF116" i="25"/>
  <c r="BV116" i="25" s="1"/>
  <c r="BD116" i="25"/>
  <c r="BE116" i="25"/>
  <c r="BU116" i="25" s="1"/>
  <c r="BF184" i="25"/>
  <c r="BV184" i="25" s="1"/>
  <c r="BD184" i="25"/>
  <c r="BE184" i="25"/>
  <c r="BU184" i="25" s="1"/>
  <c r="BD172" i="25"/>
  <c r="BE172" i="25"/>
  <c r="BU172" i="25" s="1"/>
  <c r="BF172" i="25"/>
  <c r="BV172" i="25" s="1"/>
  <c r="BF151" i="25"/>
  <c r="BV151" i="25" s="1"/>
  <c r="BE151" i="25"/>
  <c r="BU151" i="25" s="1"/>
  <c r="BD151" i="25"/>
  <c r="BE125" i="25"/>
  <c r="BU125" i="25" s="1"/>
  <c r="BD125" i="25"/>
  <c r="BF125" i="25"/>
  <c r="BV125" i="25" s="1"/>
  <c r="BD208" i="25"/>
  <c r="BE208" i="25"/>
  <c r="BU208" i="25" s="1"/>
  <c r="BF208" i="25"/>
  <c r="BV208" i="25" s="1"/>
  <c r="BE141" i="25"/>
  <c r="BU141" i="25" s="1"/>
  <c r="BF141" i="25"/>
  <c r="BV141" i="25" s="1"/>
  <c r="BD141" i="25"/>
  <c r="BE134" i="25"/>
  <c r="BU134" i="25" s="1"/>
  <c r="BF134" i="25"/>
  <c r="BV134" i="25" s="1"/>
  <c r="BD134" i="25"/>
  <c r="BF162" i="25"/>
  <c r="BV162" i="25" s="1"/>
  <c r="BD162" i="25"/>
  <c r="BE162" i="25"/>
  <c r="BU162" i="25" s="1"/>
  <c r="BD130" i="25"/>
  <c r="BE130" i="25"/>
  <c r="BU130" i="25" s="1"/>
  <c r="BF130" i="25"/>
  <c r="BV130" i="25" s="1"/>
  <c r="BF173" i="25"/>
  <c r="BV173" i="25" s="1"/>
  <c r="BD173" i="25"/>
  <c r="BE173" i="25"/>
  <c r="BU173" i="25" s="1"/>
  <c r="BD143" i="25"/>
  <c r="BE143" i="25"/>
  <c r="BU143" i="25" s="1"/>
  <c r="BF143" i="25"/>
  <c r="BV143" i="25" s="1"/>
  <c r="BE187" i="25"/>
  <c r="BU187" i="25" s="1"/>
  <c r="BF187" i="25"/>
  <c r="BV187" i="25" s="1"/>
  <c r="BD187" i="25"/>
  <c r="BF127" i="25"/>
  <c r="BV127" i="25" s="1"/>
  <c r="BE127" i="25"/>
  <c r="BU127" i="25" s="1"/>
  <c r="BD127" i="25"/>
  <c r="BD135" i="25"/>
  <c r="BE135" i="25"/>
  <c r="BU135" i="25" s="1"/>
  <c r="BF135" i="25"/>
  <c r="BV135" i="25" s="1"/>
  <c r="BE167" i="25"/>
  <c r="BU167" i="25" s="1"/>
  <c r="BD167" i="25"/>
  <c r="BF167" i="25"/>
  <c r="BV167" i="25" s="1"/>
  <c r="BF123" i="25"/>
  <c r="BV123" i="25" s="1"/>
  <c r="BD123" i="25"/>
  <c r="BE123" i="25"/>
  <c r="BU123" i="25" s="1"/>
  <c r="BD207" i="25"/>
  <c r="BF207" i="25"/>
  <c r="BV207" i="25" s="1"/>
  <c r="BE207" i="25"/>
  <c r="BU207" i="25" s="1"/>
  <c r="BD203" i="25"/>
  <c r="BF203" i="25"/>
  <c r="BV203" i="25" s="1"/>
  <c r="BE203" i="25"/>
  <c r="BU203" i="25" s="1"/>
  <c r="BF169" i="25"/>
  <c r="BV169" i="25" s="1"/>
  <c r="BD169" i="25"/>
  <c r="BE169" i="25"/>
  <c r="BU169" i="25" s="1"/>
  <c r="BD142" i="25"/>
  <c r="BF142" i="25"/>
  <c r="BV142" i="25" s="1"/>
  <c r="BE142" i="25"/>
  <c r="BU142" i="25" s="1"/>
  <c r="BD168" i="25"/>
  <c r="BF168" i="25"/>
  <c r="BV168" i="25" s="1"/>
  <c r="BE168" i="25"/>
  <c r="BU168" i="25" s="1"/>
  <c r="BD177" i="25"/>
  <c r="BE177" i="25"/>
  <c r="BU177" i="25" s="1"/>
  <c r="BF177" i="25"/>
  <c r="BV177" i="25" s="1"/>
  <c r="BE158" i="25"/>
  <c r="BU158" i="25" s="1"/>
  <c r="BD158" i="25"/>
  <c r="BF158" i="25"/>
  <c r="BV158" i="25" s="1"/>
  <c r="BE164" i="25"/>
  <c r="BU164" i="25" s="1"/>
  <c r="BD164" i="25"/>
  <c r="BF164" i="25"/>
  <c r="BV164" i="25" s="1"/>
  <c r="BD183" i="25"/>
  <c r="BE183" i="25"/>
  <c r="BU183" i="25" s="1"/>
  <c r="BF183" i="25"/>
  <c r="BV183" i="25" s="1"/>
  <c r="BE145" i="25"/>
  <c r="BU145" i="25" s="1"/>
  <c r="BF145" i="25"/>
  <c r="BV145" i="25" s="1"/>
  <c r="BD145" i="25"/>
  <c r="BE113" i="25"/>
  <c r="BU113" i="25" s="1"/>
  <c r="BD113" i="25"/>
  <c r="BF113" i="25"/>
  <c r="BV113" i="25" s="1"/>
  <c r="BF156" i="25"/>
  <c r="BV156" i="25" s="1"/>
  <c r="BD156" i="25"/>
  <c r="BE156" i="25"/>
  <c r="BU156" i="25" s="1"/>
  <c r="BE197" i="25"/>
  <c r="BU197" i="25" s="1"/>
  <c r="BF197" i="25"/>
  <c r="BV197" i="25" s="1"/>
  <c r="BD197" i="25"/>
  <c r="BD119" i="25"/>
  <c r="BF119" i="25"/>
  <c r="BV119" i="25" s="1"/>
  <c r="BE119" i="25"/>
  <c r="BU119" i="25" s="1"/>
  <c r="BE163" i="25"/>
  <c r="BU163" i="25" s="1"/>
  <c r="BD163" i="25"/>
  <c r="BF163" i="25"/>
  <c r="BV163" i="25" s="1"/>
  <c r="BE150" i="25"/>
  <c r="BU150" i="25" s="1"/>
  <c r="BF150" i="25"/>
  <c r="BV150" i="25" s="1"/>
  <c r="BD150" i="25"/>
  <c r="BF186" i="25"/>
  <c r="BV186" i="25" s="1"/>
  <c r="BE186" i="25"/>
  <c r="BU186" i="25" s="1"/>
  <c r="BD186" i="25"/>
  <c r="BD206" i="25"/>
  <c r="BE206" i="25"/>
  <c r="BU206" i="25" s="1"/>
  <c r="BF206" i="25"/>
  <c r="BV206" i="25" s="1"/>
  <c r="BD202" i="25"/>
  <c r="BE202" i="25"/>
  <c r="BU202" i="25" s="1"/>
  <c r="BF202" i="25"/>
  <c r="BV202" i="25" s="1"/>
  <c r="BF111" i="25"/>
  <c r="BV111" i="25" s="1"/>
  <c r="BE111" i="25"/>
  <c r="BU111" i="25" s="1"/>
  <c r="BD111" i="25"/>
  <c r="BF201" i="25"/>
  <c r="BV201" i="25" s="1"/>
  <c r="BD201" i="25"/>
  <c r="BE201" i="25"/>
  <c r="BU201" i="25" s="1"/>
  <c r="BE180" i="25"/>
  <c r="BU180" i="25" s="1"/>
  <c r="BF180" i="25"/>
  <c r="BV180" i="25" s="1"/>
  <c r="BD180" i="25"/>
  <c r="BD199" i="25"/>
  <c r="BE199" i="25"/>
  <c r="BU199" i="25" s="1"/>
  <c r="BF199" i="25"/>
  <c r="BV199" i="25" s="1"/>
  <c r="BF209" i="25"/>
  <c r="BV209" i="25" s="1"/>
  <c r="BE209" i="25"/>
  <c r="BU209" i="25" s="1"/>
  <c r="BD209" i="25"/>
  <c r="BF171" i="25"/>
  <c r="BV171" i="25" s="1"/>
  <c r="BD171" i="25"/>
  <c r="BE171" i="25"/>
  <c r="BU171" i="25" s="1"/>
  <c r="BD120" i="25"/>
  <c r="BE120" i="25"/>
  <c r="BU120" i="25" s="1"/>
  <c r="BF120" i="25"/>
  <c r="BV120" i="25" s="1"/>
  <c r="BD170" i="25"/>
  <c r="BE170" i="25"/>
  <c r="BU170" i="25" s="1"/>
  <c r="BF170" i="25"/>
  <c r="BV170" i="25" s="1"/>
  <c r="BD204" i="25"/>
  <c r="BE204" i="25"/>
  <c r="BU204" i="25" s="1"/>
  <c r="BF204" i="25"/>
  <c r="BV204" i="25" s="1"/>
  <c r="BD192" i="25"/>
  <c r="BE192" i="25"/>
  <c r="BU192" i="25" s="1"/>
  <c r="BF192" i="25"/>
  <c r="BV192" i="25" s="1"/>
  <c r="BE161" i="25"/>
  <c r="BU161" i="25" s="1"/>
  <c r="BD161" i="25"/>
  <c r="BF161" i="25"/>
  <c r="BV161" i="25" s="1"/>
  <c r="BF114" i="25"/>
  <c r="BV114" i="25" s="1"/>
  <c r="BD114" i="25"/>
  <c r="BE114" i="25"/>
  <c r="BU114" i="25" s="1"/>
  <c r="BF139" i="25"/>
  <c r="BV139" i="25" s="1"/>
  <c r="BE139" i="25"/>
  <c r="BU139" i="25" s="1"/>
  <c r="BD139" i="25"/>
  <c r="BD152" i="25"/>
  <c r="BE152" i="25"/>
  <c r="BU152" i="25" s="1"/>
  <c r="BF152" i="25"/>
  <c r="BV152" i="25" s="1"/>
  <c r="BD159" i="25"/>
  <c r="BE159" i="25"/>
  <c r="BU159" i="25" s="1"/>
  <c r="BF159" i="25"/>
  <c r="BV159" i="25" s="1"/>
  <c r="BD198" i="25"/>
  <c r="BE198" i="25"/>
  <c r="BU198" i="25" s="1"/>
  <c r="BF198" i="25"/>
  <c r="BV198" i="25" s="1"/>
  <c r="BD174" i="25"/>
  <c r="BF174" i="25"/>
  <c r="BV174" i="25" s="1"/>
  <c r="BE174" i="25"/>
  <c r="BU174" i="25" s="1"/>
  <c r="BF196" i="25"/>
  <c r="BV196" i="25" s="1"/>
  <c r="BE196" i="25"/>
  <c r="BU196" i="25" s="1"/>
  <c r="BD196" i="25"/>
  <c r="BE195" i="25"/>
  <c r="BU195" i="25" s="1"/>
  <c r="BF195" i="25"/>
  <c r="BV195" i="25" s="1"/>
  <c r="BD195" i="25"/>
  <c r="BF126" i="25"/>
  <c r="BV126" i="25" s="1"/>
  <c r="BE126" i="25"/>
  <c r="BU126" i="25" s="1"/>
  <c r="BD126" i="25"/>
  <c r="BD188" i="25"/>
  <c r="BE188" i="25"/>
  <c r="BU188" i="25" s="1"/>
  <c r="BF188" i="25"/>
  <c r="BV188" i="25" s="1"/>
  <c r="BD133" i="25"/>
  <c r="BE133" i="25"/>
  <c r="BU133" i="25" s="1"/>
  <c r="BF133" i="25"/>
  <c r="BV133" i="25" s="1"/>
  <c r="BD118" i="25"/>
  <c r="BF118" i="25"/>
  <c r="BV118" i="25" s="1"/>
  <c r="BE118" i="25"/>
  <c r="BU118" i="25" s="1"/>
  <c r="BE153" i="25"/>
  <c r="BU153" i="25" s="1"/>
  <c r="BF153" i="25"/>
  <c r="BV153" i="25" s="1"/>
  <c r="BD153" i="25"/>
  <c r="BD190" i="25"/>
  <c r="BF190" i="25"/>
  <c r="BV190" i="25" s="1"/>
  <c r="BE190" i="25"/>
  <c r="BU190" i="25" s="1"/>
  <c r="BF154" i="25"/>
  <c r="BV154" i="25" s="1"/>
  <c r="BD154" i="25"/>
  <c r="BE154" i="25"/>
  <c r="BU154" i="25" s="1"/>
  <c r="BD146" i="25"/>
  <c r="BF146" i="25"/>
  <c r="BV146" i="25" s="1"/>
  <c r="BE146" i="25"/>
  <c r="BU146" i="25" s="1"/>
  <c r="BF117" i="25"/>
  <c r="BV117" i="25" s="1"/>
  <c r="BE117" i="25"/>
  <c r="BU117" i="25" s="1"/>
  <c r="BD117" i="25"/>
  <c r="BD157" i="25"/>
  <c r="BF157" i="25"/>
  <c r="BV157" i="25" s="1"/>
  <c r="BE157" i="25"/>
  <c r="BU157" i="25" s="1"/>
  <c r="BD193" i="25"/>
  <c r="BE193" i="25"/>
  <c r="BU193" i="25" s="1"/>
  <c r="BF193" i="25"/>
  <c r="BV193" i="25" s="1"/>
  <c r="BD137" i="25"/>
  <c r="BF137" i="25"/>
  <c r="BV137" i="25" s="1"/>
  <c r="BE137" i="25"/>
  <c r="BU137" i="25" s="1"/>
  <c r="BF165" i="25"/>
  <c r="BV165" i="25" s="1"/>
  <c r="BE165" i="25"/>
  <c r="BU165" i="25" s="1"/>
  <c r="BD165" i="25"/>
  <c r="BD155" i="25"/>
  <c r="BF155" i="25"/>
  <c r="BV155" i="25" s="1"/>
  <c r="BE155" i="25"/>
  <c r="BU155" i="25" s="1"/>
  <c r="BD132" i="25"/>
  <c r="BF132" i="25"/>
  <c r="BV132" i="25" s="1"/>
  <c r="BE132" i="25"/>
  <c r="BU132" i="25" s="1"/>
  <c r="BD131" i="25"/>
  <c r="BE131" i="25"/>
  <c r="BU131" i="25" s="1"/>
  <c r="BF131" i="25"/>
  <c r="BV131" i="25" s="1"/>
  <c r="BF138" i="25"/>
  <c r="BV138" i="25" s="1"/>
  <c r="BE138" i="25"/>
  <c r="BU138" i="25" s="1"/>
  <c r="BD138" i="25"/>
  <c r="BF189" i="25"/>
  <c r="BV189" i="25" s="1"/>
  <c r="BD189" i="25"/>
  <c r="BE189" i="25"/>
  <c r="BU189" i="25" s="1"/>
  <c r="BD181" i="25"/>
  <c r="BE181" i="25"/>
  <c r="BU181" i="25" s="1"/>
  <c r="BF181" i="25"/>
  <c r="BV181" i="25" s="1"/>
  <c r="BF144" i="25"/>
  <c r="BV144" i="25" s="1"/>
  <c r="BD144" i="25"/>
  <c r="BE144" i="25"/>
  <c r="BU144" i="25" s="1"/>
  <c r="BD205" i="25"/>
  <c r="BE205" i="25"/>
  <c r="BU205" i="25" s="1"/>
  <c r="BF205" i="25"/>
  <c r="BV205" i="25" s="1"/>
  <c r="BD160" i="25"/>
  <c r="BE160" i="25"/>
  <c r="BU160" i="25" s="1"/>
  <c r="BF160" i="25"/>
  <c r="BV160" i="25" s="1"/>
  <c r="BF112" i="25"/>
  <c r="BV112" i="25" s="1"/>
  <c r="BE112" i="25"/>
  <c r="BU112" i="25" s="1"/>
  <c r="BD112" i="25"/>
  <c r="BD178" i="25"/>
  <c r="BE178" i="25"/>
  <c r="BU178" i="25" s="1"/>
  <c r="BF178" i="25"/>
  <c r="BV178" i="25" s="1"/>
  <c r="BF115" i="25"/>
  <c r="BV115" i="25" s="1"/>
  <c r="BD115" i="25"/>
  <c r="BE115" i="25"/>
  <c r="BU115" i="25" s="1"/>
  <c r="BF122" i="25"/>
  <c r="BV122" i="25" s="1"/>
  <c r="BD122" i="25"/>
  <c r="BE122" i="25"/>
  <c r="BU122" i="25" s="1"/>
  <c r="BF194" i="25"/>
  <c r="BV194" i="25" s="1"/>
  <c r="BD194" i="25"/>
  <c r="BE194" i="25"/>
  <c r="BU194" i="25" s="1"/>
  <c r="BD121" i="25"/>
  <c r="BE121" i="25"/>
  <c r="BU121" i="25" s="1"/>
  <c r="BF121" i="25"/>
  <c r="BV121" i="25" s="1"/>
  <c r="BE136" i="25"/>
  <c r="BU136" i="25" s="1"/>
  <c r="BD136" i="25"/>
  <c r="BF136" i="25"/>
  <c r="BV136" i="25" s="1"/>
  <c r="BF148" i="25"/>
  <c r="BV148" i="25" s="1"/>
  <c r="BE148" i="25"/>
  <c r="BU148" i="25" s="1"/>
  <c r="BD148" i="25"/>
  <c r="BE175" i="25"/>
  <c r="BU175" i="25" s="1"/>
  <c r="BF175" i="25"/>
  <c r="BV175" i="25" s="1"/>
  <c r="BD175" i="25"/>
  <c r="BF191" i="25"/>
  <c r="BV191" i="25" s="1"/>
  <c r="BD191" i="25"/>
  <c r="BE191" i="25"/>
  <c r="BU191" i="25" s="1"/>
  <c r="BD210" i="25"/>
  <c r="BF210" i="25"/>
  <c r="BV210" i="25" s="1"/>
  <c r="BE210" i="25"/>
  <c r="BU210" i="25" s="1"/>
  <c r="AU122" i="24"/>
  <c r="BC122" i="24" s="1"/>
  <c r="AW167" i="24"/>
  <c r="BG167" i="24" s="1"/>
  <c r="BU167" i="24" s="1"/>
  <c r="AW115" i="24"/>
  <c r="BG115" i="24" s="1"/>
  <c r="BU115" i="24" s="1"/>
  <c r="AW165" i="24"/>
  <c r="BG165" i="24" s="1"/>
  <c r="BU165" i="24" s="1"/>
  <c r="BG120" i="24"/>
  <c r="BU120" i="24" s="1"/>
  <c r="BF120" i="24"/>
  <c r="AY120" i="24"/>
  <c r="AZ120" i="24" s="1"/>
  <c r="BG145" i="24"/>
  <c r="BU145" i="24" s="1"/>
  <c r="AY145" i="24"/>
  <c r="AZ145" i="24" s="1"/>
  <c r="BF145" i="24"/>
  <c r="BF154" i="24"/>
  <c r="BG154" i="24"/>
  <c r="BU154" i="24" s="1"/>
  <c r="AY154" i="24"/>
  <c r="AZ154" i="24" s="1"/>
  <c r="BF122" i="24"/>
  <c r="BG122" i="24"/>
  <c r="BU122" i="24" s="1"/>
  <c r="AY122" i="24"/>
  <c r="AZ122" i="24" s="1"/>
  <c r="BF116" i="24"/>
  <c r="AY116" i="24"/>
  <c r="AZ116" i="24" s="1"/>
  <c r="BG116" i="24"/>
  <c r="BU116" i="24" s="1"/>
  <c r="BF133" i="24"/>
  <c r="BG133" i="24"/>
  <c r="BU133" i="24" s="1"/>
  <c r="AY133" i="24"/>
  <c r="AZ133" i="24" s="1"/>
  <c r="BF139" i="24"/>
  <c r="BG139" i="24"/>
  <c r="BU139" i="24" s="1"/>
  <c r="AY139" i="24"/>
  <c r="AZ139" i="24" s="1"/>
  <c r="BG175" i="24"/>
  <c r="BU175" i="24" s="1"/>
  <c r="AY175" i="24"/>
  <c r="AZ175" i="24" s="1"/>
  <c r="BF175" i="24"/>
  <c r="BG200" i="24"/>
  <c r="BU200" i="24" s="1"/>
  <c r="BF200" i="24"/>
  <c r="AY200" i="24"/>
  <c r="AZ200" i="24" s="1"/>
  <c r="BF183" i="24"/>
  <c r="AY183" i="24"/>
  <c r="AZ183" i="24" s="1"/>
  <c r="BG183" i="24"/>
  <c r="BU183" i="24" s="1"/>
  <c r="BF118" i="24"/>
  <c r="AY118" i="24"/>
  <c r="AZ118" i="24" s="1"/>
  <c r="BG118" i="24"/>
  <c r="BU118" i="24" s="1"/>
  <c r="AY124" i="24"/>
  <c r="AZ124" i="24" s="1"/>
  <c r="BG124" i="24"/>
  <c r="BU124" i="24" s="1"/>
  <c r="BF124" i="24"/>
  <c r="AY158" i="24"/>
  <c r="AZ158" i="24" s="1"/>
  <c r="BF158" i="24"/>
  <c r="BG158" i="24"/>
  <c r="BU158" i="24" s="1"/>
  <c r="BG151" i="24"/>
  <c r="BU151" i="24" s="1"/>
  <c r="AY151" i="24"/>
  <c r="AZ151" i="24" s="1"/>
  <c r="BF151" i="24"/>
  <c r="AY185" i="24"/>
  <c r="AZ185" i="24" s="1"/>
  <c r="BG185" i="24"/>
  <c r="BU185" i="24" s="1"/>
  <c r="BF185" i="24"/>
  <c r="BF131" i="24"/>
  <c r="AY131" i="24"/>
  <c r="AZ131" i="24" s="1"/>
  <c r="BG131" i="24"/>
  <c r="BU131" i="24" s="1"/>
  <c r="BF205" i="24"/>
  <c r="BG205" i="24"/>
  <c r="BU205" i="24" s="1"/>
  <c r="AY205" i="24"/>
  <c r="AZ205" i="24" s="1"/>
  <c r="BF204" i="24"/>
  <c r="BG204" i="24"/>
  <c r="BU204" i="24" s="1"/>
  <c r="AY204" i="24"/>
  <c r="AZ204" i="24" s="1"/>
  <c r="BG132" i="24"/>
  <c r="BU132" i="24" s="1"/>
  <c r="BF132" i="24"/>
  <c r="AY132" i="24"/>
  <c r="AZ132" i="24" s="1"/>
  <c r="BG135" i="24"/>
  <c r="BU135" i="24" s="1"/>
  <c r="BF135" i="24"/>
  <c r="AY135" i="24"/>
  <c r="AZ135" i="24" s="1"/>
  <c r="BF207" i="24"/>
  <c r="BG207" i="24"/>
  <c r="BU207" i="24" s="1"/>
  <c r="AY207" i="24"/>
  <c r="AZ207" i="24" s="1"/>
  <c r="BF163" i="24"/>
  <c r="AY163" i="24"/>
  <c r="AZ163" i="24" s="1"/>
  <c r="BG163" i="24"/>
  <c r="BU163" i="24" s="1"/>
  <c r="BF184" i="24"/>
  <c r="AY184" i="24"/>
  <c r="AZ184" i="24" s="1"/>
  <c r="BG184" i="24"/>
  <c r="BU184" i="24" s="1"/>
  <c r="BF162" i="24"/>
  <c r="BG162" i="24"/>
  <c r="BU162" i="24" s="1"/>
  <c r="AY162" i="24"/>
  <c r="AZ162" i="24" s="1"/>
  <c r="BF117" i="24"/>
  <c r="AY117" i="24"/>
  <c r="AZ117" i="24" s="1"/>
  <c r="BG117" i="24"/>
  <c r="BU117" i="24" s="1"/>
  <c r="BF128" i="24"/>
  <c r="AY128" i="24"/>
  <c r="AZ128" i="24" s="1"/>
  <c r="BG128" i="24"/>
  <c r="BU128" i="24" s="1"/>
  <c r="BG164" i="24"/>
  <c r="BU164" i="24" s="1"/>
  <c r="BF164" i="24"/>
  <c r="AY164" i="24"/>
  <c r="AZ164" i="24" s="1"/>
  <c r="AY179" i="24"/>
  <c r="AZ179" i="24" s="1"/>
  <c r="BF179" i="24"/>
  <c r="BG179" i="24"/>
  <c r="BU179" i="24" s="1"/>
  <c r="BF138" i="24"/>
  <c r="BG138" i="24"/>
  <c r="BU138" i="24" s="1"/>
  <c r="AY138" i="24"/>
  <c r="AZ138" i="24" s="1"/>
  <c r="BF148" i="24"/>
  <c r="AY148" i="24"/>
  <c r="AZ148" i="24" s="1"/>
  <c r="BG148" i="24"/>
  <c r="BU148" i="24" s="1"/>
  <c r="BF111" i="24"/>
  <c r="BG111" i="24"/>
  <c r="BU111" i="24" s="1"/>
  <c r="AY111" i="24"/>
  <c r="AZ111" i="24" s="1"/>
  <c r="BG143" i="24"/>
  <c r="BU143" i="24" s="1"/>
  <c r="BF143" i="24"/>
  <c r="AY143" i="24"/>
  <c r="AZ143" i="24" s="1"/>
  <c r="AY160" i="24"/>
  <c r="AZ160" i="24" s="1"/>
  <c r="BG160" i="24"/>
  <c r="BU160" i="24" s="1"/>
  <c r="BF160" i="24"/>
  <c r="BG153" i="24"/>
  <c r="BU153" i="24" s="1"/>
  <c r="BF153" i="24"/>
  <c r="AY153" i="24"/>
  <c r="AZ153" i="24" s="1"/>
  <c r="AY177" i="24"/>
  <c r="AZ177" i="24" s="1"/>
  <c r="BG177" i="24"/>
  <c r="BU177" i="24" s="1"/>
  <c r="BF177" i="24"/>
  <c r="AY142" i="24"/>
  <c r="AZ142" i="24" s="1"/>
  <c r="BF142" i="24"/>
  <c r="BG142" i="24"/>
  <c r="BU142" i="24" s="1"/>
  <c r="BF178" i="24"/>
  <c r="AY178" i="24"/>
  <c r="AZ178" i="24" s="1"/>
  <c r="BG178" i="24"/>
  <c r="BU178" i="24" s="1"/>
  <c r="BG171" i="24"/>
  <c r="BU171" i="24" s="1"/>
  <c r="BF171" i="24"/>
  <c r="AY171" i="24"/>
  <c r="AZ171" i="24" s="1"/>
  <c r="BG121" i="24"/>
  <c r="BU121" i="24" s="1"/>
  <c r="AY121" i="24"/>
  <c r="AZ121" i="24" s="1"/>
  <c r="BF121" i="24"/>
  <c r="AY180" i="24"/>
  <c r="AZ180" i="24" s="1"/>
  <c r="BG180" i="24"/>
  <c r="BU180" i="24" s="1"/>
  <c r="BF180" i="24"/>
  <c r="AY187" i="24"/>
  <c r="AZ187" i="24" s="1"/>
  <c r="BG187" i="24"/>
  <c r="BU187" i="24" s="1"/>
  <c r="BF187" i="24"/>
  <c r="AY197" i="24"/>
  <c r="AZ197" i="24" s="1"/>
  <c r="BF197" i="24"/>
  <c r="BG197" i="24"/>
  <c r="BU197" i="24" s="1"/>
  <c r="AY190" i="24"/>
  <c r="AZ190" i="24" s="1"/>
  <c r="BF190" i="24"/>
  <c r="BG190" i="24"/>
  <c r="BU190" i="24" s="1"/>
  <c r="AY137" i="24"/>
  <c r="AZ137" i="24" s="1"/>
  <c r="BG137" i="24"/>
  <c r="BU137" i="24" s="1"/>
  <c r="BF137" i="24"/>
  <c r="BF173" i="24"/>
  <c r="BG173" i="24"/>
  <c r="BU173" i="24" s="1"/>
  <c r="AY173" i="24"/>
  <c r="AZ173" i="24" s="1"/>
  <c r="BF125" i="24"/>
  <c r="BG125" i="24"/>
  <c r="BU125" i="24" s="1"/>
  <c r="AY125" i="24"/>
  <c r="AZ125" i="24" s="1"/>
  <c r="BG113" i="24"/>
  <c r="BU113" i="24" s="1"/>
  <c r="AY113" i="24"/>
  <c r="AZ113" i="24" s="1"/>
  <c r="BF113" i="24"/>
  <c r="BF129" i="24"/>
  <c r="BG129" i="24"/>
  <c r="BU129" i="24" s="1"/>
  <c r="AY129" i="24"/>
  <c r="AZ129" i="24" s="1"/>
  <c r="BF201" i="24"/>
  <c r="AY201" i="24"/>
  <c r="AZ201" i="24" s="1"/>
  <c r="BG201" i="24"/>
  <c r="BU201" i="24" s="1"/>
  <c r="BG186" i="24"/>
  <c r="BU186" i="24" s="1"/>
  <c r="AY186" i="24"/>
  <c r="AZ186" i="24" s="1"/>
  <c r="BF186" i="24"/>
  <c r="BF147" i="24"/>
  <c r="AY147" i="24"/>
  <c r="AZ147" i="24" s="1"/>
  <c r="BG147" i="24"/>
  <c r="BU147" i="24" s="1"/>
  <c r="BG152" i="24"/>
  <c r="BU152" i="24" s="1"/>
  <c r="BF152" i="24"/>
  <c r="AY152" i="24"/>
  <c r="AZ152" i="24" s="1"/>
  <c r="BF126" i="24"/>
  <c r="BG126" i="24"/>
  <c r="BU126" i="24" s="1"/>
  <c r="AY126" i="24"/>
  <c r="AZ126" i="24" s="1"/>
  <c r="BG127" i="24"/>
  <c r="BU127" i="24" s="1"/>
  <c r="AY127" i="24"/>
  <c r="AZ127" i="24" s="1"/>
  <c r="BF127" i="24"/>
  <c r="BG140" i="24"/>
  <c r="BU140" i="24" s="1"/>
  <c r="BF140" i="24"/>
  <c r="AY140" i="24"/>
  <c r="AZ140" i="24" s="1"/>
  <c r="BF144" i="24"/>
  <c r="AY144" i="24"/>
  <c r="AZ144" i="24" s="1"/>
  <c r="BG144" i="24"/>
  <c r="BU144" i="24" s="1"/>
  <c r="BG202" i="24"/>
  <c r="BU202" i="24" s="1"/>
  <c r="AY202" i="24"/>
  <c r="AZ202" i="24" s="1"/>
  <c r="BF202" i="24"/>
  <c r="BF196" i="24"/>
  <c r="AY196" i="24"/>
  <c r="AZ196" i="24" s="1"/>
  <c r="BG196" i="24"/>
  <c r="BU196" i="24" s="1"/>
  <c r="AY157" i="24"/>
  <c r="AZ157" i="24" s="1"/>
  <c r="BG157" i="24"/>
  <c r="BU157" i="24" s="1"/>
  <c r="BF157" i="24"/>
  <c r="AY174" i="24"/>
  <c r="AZ174" i="24" s="1"/>
  <c r="BF174" i="24"/>
  <c r="BG174" i="24"/>
  <c r="BU174" i="24" s="1"/>
  <c r="BG198" i="24"/>
  <c r="BU198" i="24" s="1"/>
  <c r="AY198" i="24"/>
  <c r="AZ198" i="24" s="1"/>
  <c r="BF198" i="24"/>
  <c r="BF150" i="24"/>
  <c r="AY150" i="24"/>
  <c r="AZ150" i="24" s="1"/>
  <c r="BG150" i="24"/>
  <c r="BU150" i="24" s="1"/>
  <c r="BG170" i="24"/>
  <c r="BU170" i="24" s="1"/>
  <c r="AY170" i="24"/>
  <c r="AZ170" i="24" s="1"/>
  <c r="BF170" i="24"/>
  <c r="BF146" i="24"/>
  <c r="BG146" i="24"/>
  <c r="BU146" i="24" s="1"/>
  <c r="AY146" i="24"/>
  <c r="AZ146" i="24" s="1"/>
  <c r="BX58" i="24"/>
  <c r="CF58" i="24"/>
  <c r="BD58" i="25"/>
  <c r="BT58" i="25" s="1"/>
  <c r="BE58" i="25"/>
  <c r="AZ69" i="24"/>
  <c r="AZ95" i="24"/>
  <c r="AU152" i="24"/>
  <c r="BC152" i="24" s="1"/>
  <c r="AZ91" i="24"/>
  <c r="AZ78" i="24"/>
  <c r="AX15" i="24"/>
  <c r="BX15" i="24"/>
  <c r="AX88" i="24"/>
  <c r="BX88" i="24"/>
  <c r="BX67" i="24"/>
  <c r="BX103" i="24"/>
  <c r="BX90" i="24"/>
  <c r="BX94" i="24"/>
  <c r="AZ87" i="24"/>
  <c r="AZ105" i="24"/>
  <c r="BX9" i="24"/>
  <c r="AQ99" i="24"/>
  <c r="BX99" i="24"/>
  <c r="AQ102" i="24"/>
  <c r="BX102" i="24"/>
  <c r="AQ13" i="24"/>
  <c r="BX13" i="24"/>
  <c r="BX71" i="24"/>
  <c r="BX93" i="24"/>
  <c r="CF6" i="24"/>
  <c r="BX6" i="24"/>
  <c r="BX77" i="24"/>
  <c r="AU278" i="24"/>
  <c r="BC278" i="24" s="1"/>
  <c r="AU78" i="24"/>
  <c r="BC78" i="24" s="1"/>
  <c r="AU217" i="24"/>
  <c r="BC217" i="24" s="1"/>
  <c r="AW305" i="24"/>
  <c r="AW182" i="24"/>
  <c r="AU70" i="24"/>
  <c r="BC70" i="24" s="1"/>
  <c r="AW193" i="24"/>
  <c r="AZ70" i="24"/>
  <c r="AX49" i="24"/>
  <c r="CF49" i="24"/>
  <c r="AW203" i="24"/>
  <c r="AW260" i="24"/>
  <c r="AU132" i="24"/>
  <c r="BC132" i="24" s="1"/>
  <c r="AZ60" i="24"/>
  <c r="AW238" i="24"/>
  <c r="AW289" i="24"/>
  <c r="AU128" i="24"/>
  <c r="BC128" i="24" s="1"/>
  <c r="AW191" i="24"/>
  <c r="AW73" i="24"/>
  <c r="AY73" i="24" s="1"/>
  <c r="AZ73" i="24" s="1"/>
  <c r="AW33" i="24"/>
  <c r="AY33" i="24" s="1"/>
  <c r="AZ33" i="24" s="1"/>
  <c r="AW176" i="24"/>
  <c r="AW159" i="24"/>
  <c r="AU255" i="24"/>
  <c r="BC255" i="24" s="1"/>
  <c r="AW114" i="24"/>
  <c r="AW242" i="24"/>
  <c r="AU226" i="24"/>
  <c r="BC226" i="24" s="1"/>
  <c r="AW311" i="24"/>
  <c r="AW291" i="24"/>
  <c r="AW312" i="24"/>
  <c r="AU204" i="24"/>
  <c r="BC204" i="24" s="1"/>
  <c r="AW189" i="24"/>
  <c r="AW225" i="24"/>
  <c r="AW209" i="24"/>
  <c r="AU147" i="24"/>
  <c r="BC147" i="24" s="1"/>
  <c r="AU146" i="24"/>
  <c r="BC146" i="24" s="1"/>
  <c r="AU81" i="24"/>
  <c r="BC81" i="24" s="1"/>
  <c r="AZ55" i="24"/>
  <c r="AW181" i="24"/>
  <c r="AW130" i="24"/>
  <c r="AU55" i="24"/>
  <c r="BC55" i="24" s="1"/>
  <c r="AW295" i="24"/>
  <c r="AU170" i="24"/>
  <c r="BC170" i="24" s="1"/>
  <c r="AQ98" i="24"/>
  <c r="CF98" i="24"/>
  <c r="AU25" i="24"/>
  <c r="BC25" i="24" s="1"/>
  <c r="AW206" i="24"/>
  <c r="AW168" i="24"/>
  <c r="AW265" i="24"/>
  <c r="AU308" i="24"/>
  <c r="BC308" i="24" s="1"/>
  <c r="AW188" i="24"/>
  <c r="AU150" i="24"/>
  <c r="BC150" i="24" s="1"/>
  <c r="AU198" i="24"/>
  <c r="BC198" i="24" s="1"/>
  <c r="AW195" i="24"/>
  <c r="AW156" i="24"/>
  <c r="AW284" i="24"/>
  <c r="AW232" i="24"/>
  <c r="AW306" i="24"/>
  <c r="AU162" i="24"/>
  <c r="BC162" i="24" s="1"/>
  <c r="AW112" i="24"/>
  <c r="AU117" i="24"/>
  <c r="BC117" i="24" s="1"/>
  <c r="AU10" i="24"/>
  <c r="BC10" i="24" s="1"/>
  <c r="AU174" i="24"/>
  <c r="BC174" i="24" s="1"/>
  <c r="AW199" i="24"/>
  <c r="BF104" i="24"/>
  <c r="BI104" i="24" s="1"/>
  <c r="BN104" i="24" s="1"/>
  <c r="BO104" i="24" s="1"/>
  <c r="AZ10" i="24"/>
  <c r="AW136" i="24"/>
  <c r="AW51" i="24"/>
  <c r="AY51" i="24" s="1"/>
  <c r="AZ51" i="24" s="1"/>
  <c r="AU205" i="24"/>
  <c r="BC205" i="24" s="1"/>
  <c r="AU60" i="24"/>
  <c r="BC60" i="24" s="1"/>
  <c r="AW123" i="24"/>
  <c r="AU184" i="24"/>
  <c r="BC184" i="24" s="1"/>
  <c r="AU163" i="24"/>
  <c r="BC163" i="24" s="1"/>
  <c r="AW208" i="24"/>
  <c r="AW119" i="24"/>
  <c r="AZ101" i="24"/>
  <c r="AW110" i="24"/>
  <c r="AU196" i="24"/>
  <c r="BC196" i="24" s="1"/>
  <c r="AU95" i="24"/>
  <c r="BC95" i="24" s="1"/>
  <c r="AW141" i="24"/>
  <c r="AU157" i="24"/>
  <c r="BC157" i="24" s="1"/>
  <c r="AW86" i="24"/>
  <c r="AY86" i="24" s="1"/>
  <c r="AZ86" i="24" s="1"/>
  <c r="AW149" i="24"/>
  <c r="AU186" i="24"/>
  <c r="BC186" i="24" s="1"/>
  <c r="AZ41" i="24"/>
  <c r="AU101" i="24"/>
  <c r="BC101" i="24" s="1"/>
  <c r="AW23" i="24"/>
  <c r="AY23" i="24" s="1"/>
  <c r="AZ23" i="24" s="1"/>
  <c r="AW194" i="24"/>
  <c r="AW192" i="24"/>
  <c r="AU131" i="24"/>
  <c r="BC131" i="24" s="1"/>
  <c r="AU41" i="24"/>
  <c r="BC41" i="24" s="1"/>
  <c r="AU105" i="24"/>
  <c r="B127" i="2" s="1"/>
  <c r="AW97" i="24"/>
  <c r="AY97" i="24" s="1"/>
  <c r="AZ97" i="24" s="1"/>
  <c r="AW210" i="24"/>
  <c r="AW172" i="24"/>
  <c r="AW161" i="24"/>
  <c r="AW43" i="24"/>
  <c r="AY43" i="24" s="1"/>
  <c r="AZ43" i="24" s="1"/>
  <c r="AW64" i="24"/>
  <c r="AY64" i="24" s="1"/>
  <c r="AZ64" i="24" s="1"/>
  <c r="BG104" i="24"/>
  <c r="BU104" i="24" s="1"/>
  <c r="AU14" i="24"/>
  <c r="BC14" i="24" s="1"/>
  <c r="AW27" i="24"/>
  <c r="AY27" i="24" s="1"/>
  <c r="AZ27" i="24" s="1"/>
  <c r="AQ88" i="24"/>
  <c r="AU207" i="24"/>
  <c r="BC207" i="24" s="1"/>
  <c r="AZ14" i="24"/>
  <c r="AW155" i="24"/>
  <c r="BL49" i="24"/>
  <c r="AS49" i="24"/>
  <c r="AW49" i="24" s="1"/>
  <c r="AY49" i="24" s="1"/>
  <c r="BL88" i="24"/>
  <c r="BV88" i="24"/>
  <c r="AU50" i="24"/>
  <c r="BC50" i="24" s="1"/>
  <c r="BJ88" i="24"/>
  <c r="AS88" i="24"/>
  <c r="AW88" i="24" s="1"/>
  <c r="AY88" i="24" s="1"/>
  <c r="BK88" i="24"/>
  <c r="AW169" i="24"/>
  <c r="AU91" i="24"/>
  <c r="BC91" i="24" s="1"/>
  <c r="AQ49" i="24"/>
  <c r="BV13" i="24"/>
  <c r="AW134" i="24"/>
  <c r="BJ49" i="24"/>
  <c r="AW65" i="24"/>
  <c r="AY65" i="24" s="1"/>
  <c r="AZ65" i="24" s="1"/>
  <c r="AU110" i="25"/>
  <c r="AS71" i="24"/>
  <c r="BV71" i="24"/>
  <c r="AU87" i="24"/>
  <c r="BC87" i="24" s="1"/>
  <c r="AW35" i="24"/>
  <c r="AY35" i="24" s="1"/>
  <c r="AZ35" i="24" s="1"/>
  <c r="BK49" i="24"/>
  <c r="BK71" i="24"/>
  <c r="BJ71" i="24"/>
  <c r="AW81" i="24"/>
  <c r="AY81" i="24" s="1"/>
  <c r="AZ81" i="24" s="1"/>
  <c r="BV49" i="24"/>
  <c r="AX71" i="24"/>
  <c r="AQ71" i="24"/>
  <c r="AW22" i="24"/>
  <c r="AY22" i="24" s="1"/>
  <c r="AZ22" i="24" s="1"/>
  <c r="AX13" i="24"/>
  <c r="AS13" i="24"/>
  <c r="BJ13" i="24"/>
  <c r="BL13" i="24"/>
  <c r="BF34" i="24"/>
  <c r="BI34" i="24" s="1"/>
  <c r="BN34" i="24" s="1"/>
  <c r="BO34" i="24" s="1"/>
  <c r="AS15" i="24"/>
  <c r="BL15" i="24"/>
  <c r="BK15" i="24"/>
  <c r="AU34" i="24"/>
  <c r="BC34" i="24" s="1"/>
  <c r="BG34" i="24"/>
  <c r="BU34" i="24" s="1"/>
  <c r="BF69" i="24"/>
  <c r="BT69" i="24" s="1"/>
  <c r="BT5" i="24"/>
  <c r="BG69" i="24"/>
  <c r="BU69" i="24" s="1"/>
  <c r="AU69" i="24"/>
  <c r="BC69" i="24" s="1"/>
  <c r="BJ15" i="24"/>
  <c r="BV15" i="24"/>
  <c r="AQ15" i="24"/>
  <c r="AU22" i="24"/>
  <c r="BC22" i="24" s="1"/>
  <c r="BK102" i="24"/>
  <c r="AS102" i="24"/>
  <c r="BJ102" i="24"/>
  <c r="AX102" i="24"/>
  <c r="BL102" i="24"/>
  <c r="BV102" i="24"/>
  <c r="BJ48" i="24"/>
  <c r="AX48" i="24"/>
  <c r="BK48" i="24"/>
  <c r="AQ48" i="24"/>
  <c r="BV48" i="24"/>
  <c r="BL48" i="24"/>
  <c r="AS48" i="24"/>
  <c r="AX93" i="24"/>
  <c r="BK93" i="24"/>
  <c r="AS93" i="24"/>
  <c r="BJ93" i="24"/>
  <c r="BL93" i="24"/>
  <c r="AQ93" i="24"/>
  <c r="BV93" i="24"/>
  <c r="AX8" i="24"/>
  <c r="BL8" i="24"/>
  <c r="AQ8" i="24"/>
  <c r="BK8" i="24"/>
  <c r="AS8" i="24"/>
  <c r="BJ8" i="24"/>
  <c r="BV8" i="24"/>
  <c r="AX37" i="24"/>
  <c r="BK37" i="24"/>
  <c r="AS37" i="24"/>
  <c r="BL37" i="24"/>
  <c r="AQ37" i="24"/>
  <c r="BV37" i="24"/>
  <c r="BJ37" i="24"/>
  <c r="BV94" i="24"/>
  <c r="AX94" i="24"/>
  <c r="AQ94" i="24"/>
  <c r="BJ94" i="24"/>
  <c r="BL94" i="24"/>
  <c r="AS94" i="24"/>
  <c r="BK94" i="24"/>
  <c r="BJ16" i="24"/>
  <c r="BV16" i="24"/>
  <c r="BL16" i="24"/>
  <c r="AQ16" i="24"/>
  <c r="AS16" i="24"/>
  <c r="BK16" i="24"/>
  <c r="AX16" i="24"/>
  <c r="BJ75" i="24"/>
  <c r="BL75" i="24"/>
  <c r="AQ75" i="24"/>
  <c r="AS75" i="24"/>
  <c r="AX75" i="24"/>
  <c r="BK75" i="24"/>
  <c r="BV75" i="24"/>
  <c r="BJ57" i="24"/>
  <c r="BK57" i="24"/>
  <c r="BV57" i="24"/>
  <c r="AS57" i="24"/>
  <c r="AQ57" i="24"/>
  <c r="BL57" i="24"/>
  <c r="AX57" i="24"/>
  <c r="BL47" i="24"/>
  <c r="AQ47" i="24"/>
  <c r="BK47" i="24"/>
  <c r="AX47" i="24"/>
  <c r="BJ47" i="24"/>
  <c r="BV47" i="24"/>
  <c r="AS47" i="24"/>
  <c r="AX99" i="24"/>
  <c r="BJ99" i="24"/>
  <c r="AS99" i="24"/>
  <c r="BV99" i="24"/>
  <c r="BL99" i="24"/>
  <c r="BK99" i="24"/>
  <c r="AX103" i="24"/>
  <c r="AS103" i="24"/>
  <c r="BJ103" i="24"/>
  <c r="BK103" i="24"/>
  <c r="BL103" i="24"/>
  <c r="BV103" i="24"/>
  <c r="BV98" i="24"/>
  <c r="BJ98" i="24"/>
  <c r="BK98" i="24"/>
  <c r="AX98" i="24"/>
  <c r="AS98" i="24"/>
  <c r="BL98" i="24"/>
  <c r="BJ45" i="24"/>
  <c r="AS45" i="24"/>
  <c r="AX45" i="24"/>
  <c r="BV45" i="24"/>
  <c r="BL45" i="24"/>
  <c r="BK45" i="24"/>
  <c r="AQ45" i="24"/>
  <c r="BJ24" i="24"/>
  <c r="BL24" i="24"/>
  <c r="AS24" i="24"/>
  <c r="AX24" i="24"/>
  <c r="AQ24" i="24"/>
  <c r="BV24" i="24"/>
  <c r="BK24" i="24"/>
  <c r="AX58" i="24"/>
  <c r="AS58" i="24"/>
  <c r="BJ58" i="24"/>
  <c r="AQ58" i="24"/>
  <c r="BK58" i="24"/>
  <c r="BL58" i="24"/>
  <c r="BV58" i="24"/>
  <c r="AX84" i="24"/>
  <c r="AQ84" i="24"/>
  <c r="BJ84" i="24"/>
  <c r="BL84" i="24"/>
  <c r="BV84" i="24"/>
  <c r="BK84" i="24"/>
  <c r="AS84" i="24"/>
  <c r="BJ12" i="24"/>
  <c r="BL12" i="24"/>
  <c r="AS12" i="24"/>
  <c r="AX12" i="24"/>
  <c r="BV12" i="24"/>
  <c r="AQ12" i="24"/>
  <c r="BK12" i="24"/>
  <c r="AX38" i="24"/>
  <c r="BK38" i="24"/>
  <c r="AS38" i="24"/>
  <c r="BV38" i="24"/>
  <c r="BL38" i="24"/>
  <c r="AQ38" i="24"/>
  <c r="BJ38" i="24"/>
  <c r="AX9" i="24"/>
  <c r="AS9" i="24"/>
  <c r="BK9" i="24"/>
  <c r="AQ9" i="24"/>
  <c r="BL9" i="24"/>
  <c r="AX67" i="24"/>
  <c r="BJ67" i="24"/>
  <c r="BK67" i="24"/>
  <c r="AS67" i="24"/>
  <c r="BV67" i="24"/>
  <c r="BL67" i="24"/>
  <c r="AQ67" i="24"/>
  <c r="BV80" i="24"/>
  <c r="BJ80" i="24"/>
  <c r="BK80" i="24"/>
  <c r="AS80" i="24"/>
  <c r="AQ80" i="24"/>
  <c r="AX80" i="24"/>
  <c r="BL80" i="24"/>
  <c r="AX26" i="24"/>
  <c r="BV26" i="24"/>
  <c r="BL26" i="24"/>
  <c r="BK26" i="24"/>
  <c r="AQ26" i="24"/>
  <c r="BJ26" i="24"/>
  <c r="AS26" i="24"/>
  <c r="BJ44" i="24"/>
  <c r="BL44" i="24"/>
  <c r="BV44" i="24"/>
  <c r="BK44" i="24"/>
  <c r="AS44" i="24"/>
  <c r="AX44" i="24"/>
  <c r="AQ44" i="24"/>
  <c r="AX77" i="24"/>
  <c r="BL77" i="24"/>
  <c r="AQ77" i="24"/>
  <c r="BJ77" i="24"/>
  <c r="BV77" i="24"/>
  <c r="BK77" i="24"/>
  <c r="AS77" i="24"/>
  <c r="AX39" i="24"/>
  <c r="AS39" i="24"/>
  <c r="BL39" i="24"/>
  <c r="BJ39" i="24"/>
  <c r="BV39" i="24"/>
  <c r="BK39" i="24"/>
  <c r="AQ39" i="24"/>
  <c r="AX52" i="24"/>
  <c r="BJ52" i="24"/>
  <c r="BL52" i="24"/>
  <c r="AQ52" i="24"/>
  <c r="BV52" i="24"/>
  <c r="BK52" i="24"/>
  <c r="AS52" i="24"/>
  <c r="BV90" i="24"/>
  <c r="BL90" i="24"/>
  <c r="AX90" i="24"/>
  <c r="AS90" i="24"/>
  <c r="BK90" i="24"/>
  <c r="AQ90" i="24"/>
  <c r="BJ90" i="24"/>
  <c r="BJ30" i="24"/>
  <c r="AS30" i="24"/>
  <c r="BV30" i="24"/>
  <c r="BK30" i="24"/>
  <c r="BL30" i="24"/>
  <c r="AX30" i="24"/>
  <c r="AQ30" i="24"/>
  <c r="AX62" i="24"/>
  <c r="BJ62" i="24"/>
  <c r="AS62" i="24"/>
  <c r="BV62" i="24"/>
  <c r="BL62" i="24"/>
  <c r="BK62" i="24"/>
  <c r="AQ62" i="24"/>
  <c r="AX11" i="24"/>
  <c r="AS11" i="24"/>
  <c r="BK11" i="24"/>
  <c r="BL11" i="24"/>
  <c r="BV11" i="24"/>
  <c r="AQ11" i="24"/>
  <c r="BJ11" i="24"/>
  <c r="BJ76" i="24"/>
  <c r="BK76" i="24"/>
  <c r="AS76" i="24"/>
  <c r="BV76" i="24"/>
  <c r="AQ76" i="24"/>
  <c r="AX76" i="24"/>
  <c r="BL76" i="24"/>
  <c r="BJ9" i="24"/>
  <c r="AX17" i="24"/>
  <c r="BV17" i="24"/>
  <c r="BK17" i="24"/>
  <c r="BL17" i="24"/>
  <c r="BJ17" i="24"/>
  <c r="AQ17" i="24"/>
  <c r="AS17" i="24"/>
  <c r="AS20" i="24"/>
  <c r="BV20" i="24"/>
  <c r="BL20" i="24"/>
  <c r="BJ20" i="24"/>
  <c r="BK20" i="24"/>
  <c r="AQ20" i="24"/>
  <c r="AX20" i="24"/>
  <c r="BJ66" i="24"/>
  <c r="BK66" i="24"/>
  <c r="AS66" i="24"/>
  <c r="BV66" i="24"/>
  <c r="AX66" i="24"/>
  <c r="BL66" i="24"/>
  <c r="AQ66" i="24"/>
  <c r="AX61" i="24"/>
  <c r="BV61" i="24"/>
  <c r="AS61" i="24"/>
  <c r="BJ61" i="24"/>
  <c r="BK61" i="24"/>
  <c r="AQ61" i="24"/>
  <c r="BL61" i="24"/>
  <c r="BK7" i="24"/>
  <c r="AQ7" i="24"/>
  <c r="AX7" i="24"/>
  <c r="BL7" i="24"/>
  <c r="AS7" i="24"/>
  <c r="BJ7" i="24"/>
  <c r="BV7" i="24"/>
  <c r="AX6" i="24"/>
  <c r="BK6" i="24"/>
  <c r="AS6" i="24"/>
  <c r="BV6" i="24"/>
  <c r="BJ6" i="24"/>
  <c r="AQ6" i="24"/>
  <c r="BL6" i="24"/>
  <c r="BG40" i="24"/>
  <c r="BU40" i="24" s="1"/>
  <c r="BA105" i="25"/>
  <c r="BE8" i="25"/>
  <c r="BF8" i="25"/>
  <c r="BV8" i="25" s="1"/>
  <c r="BE82" i="25"/>
  <c r="BF82" i="25"/>
  <c r="BV82" i="25" s="1"/>
  <c r="BE74" i="25"/>
  <c r="BF74" i="25"/>
  <c r="BV74" i="25" s="1"/>
  <c r="BE45" i="25"/>
  <c r="BF45" i="25"/>
  <c r="BV45" i="25" s="1"/>
  <c r="BE62" i="25"/>
  <c r="BF62" i="25"/>
  <c r="BV62" i="25" s="1"/>
  <c r="BE103" i="25"/>
  <c r="BF103" i="25"/>
  <c r="BV103" i="25" s="1"/>
  <c r="BF44" i="25"/>
  <c r="BV44" i="25" s="1"/>
  <c r="BE44" i="25"/>
  <c r="BF28" i="25"/>
  <c r="BV28" i="25" s="1"/>
  <c r="BE28" i="25"/>
  <c r="BE7" i="25"/>
  <c r="BF7" i="25"/>
  <c r="BV7" i="25" s="1"/>
  <c r="BE101" i="25"/>
  <c r="BF101" i="25"/>
  <c r="BV101" i="25" s="1"/>
  <c r="BE46" i="25"/>
  <c r="BF46" i="25"/>
  <c r="BV46" i="25" s="1"/>
  <c r="BE9" i="25"/>
  <c r="BF9" i="25"/>
  <c r="BV9" i="25" s="1"/>
  <c r="BF78" i="25"/>
  <c r="BV78" i="25" s="1"/>
  <c r="BE78" i="25"/>
  <c r="BE22" i="25"/>
  <c r="BF22" i="25"/>
  <c r="BV22" i="25" s="1"/>
  <c r="BE67" i="25"/>
  <c r="BF67" i="25"/>
  <c r="BV67" i="25" s="1"/>
  <c r="BE51" i="25"/>
  <c r="BF51" i="25"/>
  <c r="BV51" i="25" s="1"/>
  <c r="BE77" i="25"/>
  <c r="BF77" i="25"/>
  <c r="BV77" i="25" s="1"/>
  <c r="BE10" i="25"/>
  <c r="BF10" i="25"/>
  <c r="BV10" i="25" s="1"/>
  <c r="BE30" i="25"/>
  <c r="BF30" i="25"/>
  <c r="BV30" i="25" s="1"/>
  <c r="BE91" i="25"/>
  <c r="BF91" i="25"/>
  <c r="BV91" i="25" s="1"/>
  <c r="BE13" i="25"/>
  <c r="BF13" i="25"/>
  <c r="BV13" i="25" s="1"/>
  <c r="BE31" i="25"/>
  <c r="BF31" i="25"/>
  <c r="BV31" i="25" s="1"/>
  <c r="BE96" i="25"/>
  <c r="BF96" i="25"/>
  <c r="BV96" i="25" s="1"/>
  <c r="BE104" i="25"/>
  <c r="BF104" i="25"/>
  <c r="BV104" i="25" s="1"/>
  <c r="BE25" i="25"/>
  <c r="BF25" i="25"/>
  <c r="BV25" i="25" s="1"/>
  <c r="BF60" i="25"/>
  <c r="BV60" i="25" s="1"/>
  <c r="BE60" i="25"/>
  <c r="BE66" i="25"/>
  <c r="BF66" i="25"/>
  <c r="BV66" i="25" s="1"/>
  <c r="BE73" i="25"/>
  <c r="BF73" i="25"/>
  <c r="BV73" i="25" s="1"/>
  <c r="BE98" i="25"/>
  <c r="BF98" i="25"/>
  <c r="BV98" i="25" s="1"/>
  <c r="BE81" i="25"/>
  <c r="BF81" i="25"/>
  <c r="BV81" i="25" s="1"/>
  <c r="BE34" i="25"/>
  <c r="BF34" i="25"/>
  <c r="BV34" i="25" s="1"/>
  <c r="BE21" i="25"/>
  <c r="BF21" i="25"/>
  <c r="BV21" i="25" s="1"/>
  <c r="BF56" i="25"/>
  <c r="BV56" i="25" s="1"/>
  <c r="BE56" i="25"/>
  <c r="BF86" i="25"/>
  <c r="BV86" i="25" s="1"/>
  <c r="BE86" i="25"/>
  <c r="BE87" i="25"/>
  <c r="BF87" i="25"/>
  <c r="BV87" i="25" s="1"/>
  <c r="BE75" i="25"/>
  <c r="BF75" i="25"/>
  <c r="BV75" i="25" s="1"/>
  <c r="BF36" i="25"/>
  <c r="BV36" i="25" s="1"/>
  <c r="BE36" i="25"/>
  <c r="BE11" i="25"/>
  <c r="BF11" i="25"/>
  <c r="BV11" i="25" s="1"/>
  <c r="BE38" i="25"/>
  <c r="BF38" i="25"/>
  <c r="BV38" i="25" s="1"/>
  <c r="BE69" i="25"/>
  <c r="BF69" i="25"/>
  <c r="BV69" i="25" s="1"/>
  <c r="BE59" i="25"/>
  <c r="BF59" i="25"/>
  <c r="BV59" i="25" s="1"/>
  <c r="BE76" i="25"/>
  <c r="BF76" i="25"/>
  <c r="BV76" i="25" s="1"/>
  <c r="BE27" i="25"/>
  <c r="BF27" i="25"/>
  <c r="BV27" i="25" s="1"/>
  <c r="BE79" i="25"/>
  <c r="BF79" i="25"/>
  <c r="BV79" i="25" s="1"/>
  <c r="BE54" i="25"/>
  <c r="BF54" i="25"/>
  <c r="BV54" i="25" s="1"/>
  <c r="BE71" i="25"/>
  <c r="BF71" i="25"/>
  <c r="BV71" i="25" s="1"/>
  <c r="BE15" i="25"/>
  <c r="BF15" i="25"/>
  <c r="BV15" i="25" s="1"/>
  <c r="BE105" i="25"/>
  <c r="E19" i="1" s="1"/>
  <c r="BF105" i="25"/>
  <c r="BV105" i="25" s="1"/>
  <c r="BE18" i="25"/>
  <c r="BF18" i="25"/>
  <c r="BV18" i="25" s="1"/>
  <c r="BF32" i="25"/>
  <c r="BV32" i="25" s="1"/>
  <c r="BE32" i="25"/>
  <c r="BE57" i="25"/>
  <c r="BF57" i="25"/>
  <c r="BV57" i="25" s="1"/>
  <c r="BE65" i="25"/>
  <c r="BF65" i="25"/>
  <c r="BV65" i="25" s="1"/>
  <c r="BF72" i="25"/>
  <c r="BV72" i="25" s="1"/>
  <c r="BE72" i="25"/>
  <c r="BE29" i="25"/>
  <c r="BF29" i="25"/>
  <c r="BV29" i="25" s="1"/>
  <c r="BE88" i="25"/>
  <c r="BF88" i="25"/>
  <c r="BV88" i="25" s="1"/>
  <c r="BE12" i="25"/>
  <c r="BF12" i="25"/>
  <c r="BV12" i="25" s="1"/>
  <c r="BF64" i="25"/>
  <c r="BV64" i="25" s="1"/>
  <c r="BE64" i="25"/>
  <c r="BE26" i="25"/>
  <c r="BF26" i="25"/>
  <c r="BV26" i="25" s="1"/>
  <c r="BE100" i="25"/>
  <c r="BF100" i="25"/>
  <c r="BV100" i="25" s="1"/>
  <c r="BE97" i="25"/>
  <c r="BF97" i="25"/>
  <c r="BV97" i="25" s="1"/>
  <c r="BE19" i="25"/>
  <c r="BF19" i="25"/>
  <c r="BV19" i="25" s="1"/>
  <c r="BE20" i="25"/>
  <c r="BF20" i="25"/>
  <c r="BV20" i="25" s="1"/>
  <c r="BE17" i="25"/>
  <c r="BF17" i="25"/>
  <c r="BV17" i="25" s="1"/>
  <c r="BE47" i="25"/>
  <c r="BF47" i="25"/>
  <c r="BV47" i="25" s="1"/>
  <c r="BE63" i="25"/>
  <c r="BF63" i="25"/>
  <c r="BV63" i="25" s="1"/>
  <c r="BE53" i="25"/>
  <c r="BF53" i="25"/>
  <c r="BV53" i="25" s="1"/>
  <c r="BE93" i="25"/>
  <c r="BF93" i="25"/>
  <c r="BV93" i="25" s="1"/>
  <c r="BF68" i="25"/>
  <c r="BV68" i="25" s="1"/>
  <c r="BE68" i="25"/>
  <c r="BE24" i="25"/>
  <c r="BF24" i="25"/>
  <c r="BV24" i="25" s="1"/>
  <c r="BF94" i="25"/>
  <c r="BV94" i="25" s="1"/>
  <c r="BE94" i="25"/>
  <c r="BF52" i="25"/>
  <c r="BV52" i="25" s="1"/>
  <c r="BE52" i="25"/>
  <c r="BE92" i="25"/>
  <c r="BF92" i="25"/>
  <c r="BV92" i="25" s="1"/>
  <c r="BE33" i="25"/>
  <c r="BF33" i="25"/>
  <c r="BV33" i="25" s="1"/>
  <c r="BE99" i="25"/>
  <c r="BF99" i="25"/>
  <c r="BV99" i="25" s="1"/>
  <c r="BE95" i="25"/>
  <c r="BF95" i="25"/>
  <c r="BV95" i="25" s="1"/>
  <c r="BE55" i="25"/>
  <c r="BF55" i="25"/>
  <c r="BV55" i="25" s="1"/>
  <c r="BE70" i="25"/>
  <c r="BF70" i="25"/>
  <c r="BV70" i="25" s="1"/>
  <c r="BF102" i="25"/>
  <c r="BV102" i="25" s="1"/>
  <c r="BE102" i="25"/>
  <c r="BE83" i="25"/>
  <c r="BF83" i="25"/>
  <c r="BV83" i="25" s="1"/>
  <c r="BE14" i="25"/>
  <c r="BF14" i="25"/>
  <c r="BV14" i="25" s="1"/>
  <c r="BE80" i="25"/>
  <c r="BF80" i="25"/>
  <c r="BV80" i="25" s="1"/>
  <c r="BE42" i="25"/>
  <c r="BF42" i="25"/>
  <c r="BV42" i="25" s="1"/>
  <c r="BE6" i="25"/>
  <c r="BF6" i="25"/>
  <c r="BV6" i="25" s="1"/>
  <c r="BE49" i="25"/>
  <c r="BF49" i="25"/>
  <c r="BV49" i="25" s="1"/>
  <c r="BE37" i="25"/>
  <c r="BF37" i="25"/>
  <c r="BV37" i="25" s="1"/>
  <c r="BE50" i="25"/>
  <c r="BF50" i="25"/>
  <c r="BV50" i="25" s="1"/>
  <c r="BE89" i="25"/>
  <c r="BF89" i="25"/>
  <c r="BV89" i="25" s="1"/>
  <c r="BF48" i="25"/>
  <c r="BV48" i="25" s="1"/>
  <c r="BE48" i="25"/>
  <c r="BE39" i="25"/>
  <c r="BF39" i="25"/>
  <c r="BV39" i="25" s="1"/>
  <c r="BF40" i="25"/>
  <c r="BV40" i="25" s="1"/>
  <c r="BE40" i="25"/>
  <c r="BE23" i="25"/>
  <c r="BF23" i="25"/>
  <c r="BV23" i="25" s="1"/>
  <c r="BE61" i="25"/>
  <c r="BF61" i="25"/>
  <c r="BV61" i="25" s="1"/>
  <c r="BE16" i="25"/>
  <c r="BF16" i="25"/>
  <c r="BV16" i="25" s="1"/>
  <c r="BE41" i="25"/>
  <c r="BF41" i="25"/>
  <c r="BV41" i="25" s="1"/>
  <c r="BE35" i="25"/>
  <c r="BF35" i="25"/>
  <c r="BV35" i="25" s="1"/>
  <c r="BE90" i="25"/>
  <c r="BF90" i="25"/>
  <c r="BV90" i="25" s="1"/>
  <c r="BE84" i="25"/>
  <c r="BF84" i="25"/>
  <c r="BV84" i="25" s="1"/>
  <c r="BE85" i="25"/>
  <c r="BF85" i="25"/>
  <c r="BV85" i="25" s="1"/>
  <c r="BE43" i="25"/>
  <c r="BF43" i="25"/>
  <c r="BV43" i="25" s="1"/>
  <c r="AT5" i="25"/>
  <c r="AU5" i="25"/>
  <c r="BF40" i="24"/>
  <c r="BI40" i="24" s="1"/>
  <c r="BN40" i="24" s="1"/>
  <c r="BO40" i="24" s="1"/>
  <c r="BD90" i="25"/>
  <c r="BT90" i="25" s="1"/>
  <c r="BD33" i="25"/>
  <c r="BT33" i="25" s="1"/>
  <c r="BD55" i="25"/>
  <c r="BT55" i="25" s="1"/>
  <c r="BD60" i="25"/>
  <c r="BT60" i="25" s="1"/>
  <c r="BD98" i="25"/>
  <c r="BT98" i="25" s="1"/>
  <c r="BD95" i="25"/>
  <c r="BH95" i="25" s="1"/>
  <c r="BM95" i="25" s="1"/>
  <c r="BU58" i="25"/>
  <c r="BD18" i="25"/>
  <c r="BH18" i="25" s="1"/>
  <c r="BM18" i="25" s="1"/>
  <c r="BD65" i="25"/>
  <c r="BT65" i="25" s="1"/>
  <c r="B96" i="2"/>
  <c r="E23" i="1"/>
  <c r="L23" i="1"/>
  <c r="B106" i="2"/>
  <c r="BD43" i="25"/>
  <c r="BT43" i="25" s="1"/>
  <c r="BD32" i="25"/>
  <c r="BT32" i="25" s="1"/>
  <c r="BD73" i="25"/>
  <c r="BT73" i="25" s="1"/>
  <c r="BD57" i="25"/>
  <c r="BH57" i="25" s="1"/>
  <c r="BM57" i="25" s="1"/>
  <c r="BD85" i="25"/>
  <c r="BH85" i="25" s="1"/>
  <c r="BM85" i="25" s="1"/>
  <c r="BD99" i="25"/>
  <c r="BT99" i="25" s="1"/>
  <c r="BD84" i="25"/>
  <c r="BH84" i="25" s="1"/>
  <c r="BM84" i="25" s="1"/>
  <c r="BD66" i="25"/>
  <c r="BH66" i="25" s="1"/>
  <c r="BM66" i="25" s="1"/>
  <c r="BD70" i="25"/>
  <c r="BD81" i="25"/>
  <c r="BD34" i="25"/>
  <c r="BD21" i="25"/>
  <c r="BD56" i="25"/>
  <c r="BD86" i="25"/>
  <c r="BD87" i="25"/>
  <c r="BD6" i="25"/>
  <c r="BD49" i="25"/>
  <c r="BD37" i="25"/>
  <c r="BD50" i="25"/>
  <c r="BD89" i="25"/>
  <c r="BD48" i="25"/>
  <c r="BD39" i="25"/>
  <c r="BD40" i="25"/>
  <c r="BD54" i="25"/>
  <c r="BD71" i="25"/>
  <c r="BD105" i="25"/>
  <c r="BD8" i="25"/>
  <c r="BD29" i="25"/>
  <c r="BD88" i="25"/>
  <c r="BD62" i="25"/>
  <c r="BD103" i="25"/>
  <c r="BD26" i="25"/>
  <c r="BD100" i="25"/>
  <c r="BD28" i="25"/>
  <c r="BD7" i="25"/>
  <c r="BD101" i="25"/>
  <c r="BD46" i="25"/>
  <c r="BD9" i="25"/>
  <c r="BD78" i="25"/>
  <c r="BD22" i="25"/>
  <c r="BD47" i="25"/>
  <c r="BD63" i="25"/>
  <c r="BD51" i="25"/>
  <c r="BD77" i="25"/>
  <c r="BD93" i="25"/>
  <c r="BD68" i="25"/>
  <c r="BD24" i="25"/>
  <c r="BD31" i="25"/>
  <c r="BD96" i="25"/>
  <c r="BD104" i="25"/>
  <c r="BD25" i="25"/>
  <c r="BD102" i="25"/>
  <c r="BD83" i="25"/>
  <c r="BD14" i="25"/>
  <c r="BD80" i="25"/>
  <c r="BD42" i="25"/>
  <c r="BD75" i="25"/>
  <c r="BD36" i="25"/>
  <c r="BD11" i="25"/>
  <c r="BD38" i="25"/>
  <c r="BD69" i="25"/>
  <c r="BD59" i="25"/>
  <c r="BD76" i="25"/>
  <c r="BD27" i="25"/>
  <c r="BD79" i="25"/>
  <c r="BD23" i="25"/>
  <c r="BD61" i="25"/>
  <c r="BD16" i="25"/>
  <c r="BD15" i="25"/>
  <c r="BD41" i="25"/>
  <c r="BD35" i="25"/>
  <c r="BD72" i="25"/>
  <c r="BD82" i="25"/>
  <c r="BD74" i="25"/>
  <c r="BD45" i="25"/>
  <c r="BD12" i="25"/>
  <c r="BD64" i="25"/>
  <c r="BD44" i="25"/>
  <c r="BD97" i="25"/>
  <c r="BD19" i="25"/>
  <c r="BD20" i="25"/>
  <c r="BD17" i="25"/>
  <c r="BD67" i="25"/>
  <c r="BD53" i="25"/>
  <c r="BD10" i="25"/>
  <c r="BD30" i="25"/>
  <c r="BD91" i="25"/>
  <c r="BD13" i="25"/>
  <c r="BD94" i="25"/>
  <c r="BD52" i="25"/>
  <c r="BD92" i="25"/>
  <c r="BT53" i="24"/>
  <c r="BT32" i="24"/>
  <c r="BF85" i="24"/>
  <c r="BI85" i="24" s="1"/>
  <c r="BN85" i="24" s="1"/>
  <c r="BO85" i="24" s="1"/>
  <c r="BG85" i="24"/>
  <c r="BU85" i="24" s="1"/>
  <c r="BF21" i="24"/>
  <c r="BI21" i="24" s="1"/>
  <c r="BN21" i="24" s="1"/>
  <c r="BO21" i="24" s="1"/>
  <c r="BG21" i="24"/>
  <c r="BU21" i="24" s="1"/>
  <c r="BF95" i="24"/>
  <c r="BI95" i="24" s="1"/>
  <c r="BN95" i="24" s="1"/>
  <c r="BO95" i="24" s="1"/>
  <c r="BG95" i="24"/>
  <c r="BU95" i="24" s="1"/>
  <c r="BF68" i="24"/>
  <c r="BI68" i="24" s="1"/>
  <c r="BN68" i="24" s="1"/>
  <c r="BO68" i="24" s="1"/>
  <c r="BG68" i="24"/>
  <c r="BU68" i="24" s="1"/>
  <c r="BF28" i="24"/>
  <c r="BT28" i="24" s="1"/>
  <c r="BG28" i="24"/>
  <c r="BU28" i="24" s="1"/>
  <c r="BF14" i="24"/>
  <c r="BI14" i="24" s="1"/>
  <c r="BN14" i="24" s="1"/>
  <c r="BO14" i="24" s="1"/>
  <c r="BG14" i="24"/>
  <c r="BU14" i="24" s="1"/>
  <c r="BF92" i="24"/>
  <c r="BI92" i="24" s="1"/>
  <c r="BN92" i="24" s="1"/>
  <c r="BO92" i="24" s="1"/>
  <c r="BG92" i="24"/>
  <c r="BU92" i="24" s="1"/>
  <c r="BF55" i="24"/>
  <c r="BT55" i="24" s="1"/>
  <c r="BG55" i="24"/>
  <c r="BU55" i="24" s="1"/>
  <c r="BF105" i="24"/>
  <c r="BI105" i="24" s="1"/>
  <c r="BN105" i="24" s="1"/>
  <c r="BO105" i="24" s="1"/>
  <c r="BG105" i="24"/>
  <c r="BU105" i="24" s="1"/>
  <c r="BF63" i="24"/>
  <c r="BT63" i="24" s="1"/>
  <c r="BG63" i="24"/>
  <c r="BU63" i="24" s="1"/>
  <c r="BF36" i="24"/>
  <c r="BI36" i="24" s="1"/>
  <c r="BN36" i="24" s="1"/>
  <c r="BO36" i="24" s="1"/>
  <c r="BG36" i="24"/>
  <c r="BU36" i="24" s="1"/>
  <c r="BF42" i="24"/>
  <c r="BT42" i="24" s="1"/>
  <c r="BG42" i="24"/>
  <c r="BU42" i="24" s="1"/>
  <c r="BF59" i="24"/>
  <c r="BI59" i="24" s="1"/>
  <c r="BN59" i="24" s="1"/>
  <c r="BO59" i="24" s="1"/>
  <c r="BG59" i="24"/>
  <c r="BU59" i="24" s="1"/>
  <c r="BF19" i="24"/>
  <c r="BT19" i="24" s="1"/>
  <c r="BG19" i="24"/>
  <c r="BU19" i="24" s="1"/>
  <c r="BF54" i="24"/>
  <c r="BI54" i="24" s="1"/>
  <c r="BN54" i="24" s="1"/>
  <c r="BO54" i="24" s="1"/>
  <c r="BG54" i="24"/>
  <c r="BU54" i="24" s="1"/>
  <c r="BF82" i="24"/>
  <c r="BI82" i="24" s="1"/>
  <c r="BN82" i="24" s="1"/>
  <c r="BO82" i="24" s="1"/>
  <c r="BG82" i="24"/>
  <c r="BU82" i="24" s="1"/>
  <c r="BF60" i="24"/>
  <c r="BT60" i="24" s="1"/>
  <c r="BG60" i="24"/>
  <c r="BU60" i="24" s="1"/>
  <c r="BF29" i="24"/>
  <c r="BI29" i="24" s="1"/>
  <c r="BN29" i="24" s="1"/>
  <c r="BO29" i="24" s="1"/>
  <c r="BG29" i="24"/>
  <c r="BU29" i="24" s="1"/>
  <c r="BF18" i="24"/>
  <c r="BT18" i="24" s="1"/>
  <c r="BG18" i="24"/>
  <c r="BU18" i="24" s="1"/>
  <c r="BF100" i="24"/>
  <c r="BT100" i="24" s="1"/>
  <c r="BG100" i="24"/>
  <c r="BU100" i="24" s="1"/>
  <c r="BF46" i="24"/>
  <c r="BT46" i="24" s="1"/>
  <c r="BG46" i="24"/>
  <c r="BU46" i="24" s="1"/>
  <c r="BF31" i="24"/>
  <c r="BT31" i="24" s="1"/>
  <c r="BG31" i="24"/>
  <c r="BU31" i="24" s="1"/>
  <c r="BF41" i="24"/>
  <c r="BI41" i="24" s="1"/>
  <c r="BN41" i="24" s="1"/>
  <c r="BO41" i="24" s="1"/>
  <c r="BG41" i="24"/>
  <c r="BU41" i="24" s="1"/>
  <c r="BF83" i="24"/>
  <c r="BT83" i="24" s="1"/>
  <c r="BG83" i="24"/>
  <c r="BU83" i="24" s="1"/>
  <c r="BF91" i="24"/>
  <c r="BI91" i="24" s="1"/>
  <c r="BN91" i="24" s="1"/>
  <c r="BO91" i="24" s="1"/>
  <c r="BG91" i="24"/>
  <c r="BU91" i="24" s="1"/>
  <c r="BF78" i="24"/>
  <c r="BI78" i="24" s="1"/>
  <c r="BN78" i="24" s="1"/>
  <c r="BO78" i="24" s="1"/>
  <c r="BG78" i="24"/>
  <c r="BU78" i="24" s="1"/>
  <c r="BF96" i="24"/>
  <c r="BI96" i="24" s="1"/>
  <c r="BN96" i="24" s="1"/>
  <c r="BO96" i="24" s="1"/>
  <c r="BG96" i="24"/>
  <c r="BU96" i="24" s="1"/>
  <c r="BF79" i="24"/>
  <c r="BI79" i="24" s="1"/>
  <c r="BN79" i="24" s="1"/>
  <c r="BO79" i="24" s="1"/>
  <c r="BG79" i="24"/>
  <c r="BU79" i="24" s="1"/>
  <c r="BF87" i="24"/>
  <c r="BI87" i="24" s="1"/>
  <c r="BN87" i="24" s="1"/>
  <c r="BO87" i="24" s="1"/>
  <c r="BG87" i="24"/>
  <c r="BU87" i="24" s="1"/>
  <c r="BF72" i="24"/>
  <c r="BT72" i="24" s="1"/>
  <c r="BG72" i="24"/>
  <c r="BU72" i="24" s="1"/>
  <c r="BF74" i="24"/>
  <c r="BI74" i="24" s="1"/>
  <c r="BN74" i="24" s="1"/>
  <c r="BO74" i="24" s="1"/>
  <c r="BG74" i="24"/>
  <c r="BU74" i="24" s="1"/>
  <c r="BF56" i="24"/>
  <c r="BT56" i="24" s="1"/>
  <c r="BG56" i="24"/>
  <c r="BU56" i="24" s="1"/>
  <c r="BF25" i="24"/>
  <c r="BT25" i="24" s="1"/>
  <c r="BG25" i="24"/>
  <c r="BU25" i="24" s="1"/>
  <c r="BF70" i="24"/>
  <c r="BT70" i="24" s="1"/>
  <c r="BG70" i="24"/>
  <c r="BU70" i="24" s="1"/>
  <c r="BF89" i="24"/>
  <c r="BI89" i="24" s="1"/>
  <c r="BN89" i="24" s="1"/>
  <c r="BO89" i="24" s="1"/>
  <c r="BG89" i="24"/>
  <c r="BU89" i="24" s="1"/>
  <c r="BF10" i="24"/>
  <c r="BT10" i="24" s="1"/>
  <c r="BG10" i="24"/>
  <c r="BU10" i="24" s="1"/>
  <c r="BF101" i="24"/>
  <c r="BT101" i="24" s="1"/>
  <c r="BG101" i="24"/>
  <c r="BU101" i="24" s="1"/>
  <c r="BF50" i="24"/>
  <c r="BT50" i="24" s="1"/>
  <c r="BG50" i="24"/>
  <c r="BU50" i="24" s="1"/>
  <c r="F64" i="19"/>
  <c r="F65" i="19"/>
  <c r="BA5" i="25" l="1"/>
  <c r="BB5" i="25"/>
  <c r="BF166" i="24"/>
  <c r="BT166" i="24" s="1"/>
  <c r="BN85" i="25"/>
  <c r="BN95" i="25"/>
  <c r="BN84" i="25"/>
  <c r="BN18" i="25"/>
  <c r="BN66" i="25"/>
  <c r="BN57" i="25"/>
  <c r="BX58" i="25"/>
  <c r="BW70" i="24"/>
  <c r="BW10" i="24"/>
  <c r="BW50" i="24"/>
  <c r="BW18" i="24"/>
  <c r="BW25" i="24"/>
  <c r="BW32" i="24"/>
  <c r="BY32" i="24" s="1"/>
  <c r="BW46" i="24"/>
  <c r="BW28" i="24"/>
  <c r="BW56" i="24"/>
  <c r="BW72" i="24"/>
  <c r="BW83" i="24"/>
  <c r="BW31" i="24"/>
  <c r="BW100" i="24"/>
  <c r="BW19" i="24"/>
  <c r="BW42" i="24"/>
  <c r="BW63" i="24"/>
  <c r="BW55" i="24"/>
  <c r="BW53" i="24"/>
  <c r="BY53" i="24" s="1"/>
  <c r="BW69" i="24"/>
  <c r="BW60" i="24"/>
  <c r="BW101" i="24"/>
  <c r="BW5" i="24"/>
  <c r="BY5" i="24" s="1"/>
  <c r="BG166" i="24"/>
  <c r="BU166" i="24" s="1"/>
  <c r="BF167" i="24"/>
  <c r="BT167" i="24" s="1"/>
  <c r="BY167" i="24" s="1"/>
  <c r="BH191" i="25"/>
  <c r="BT191" i="25"/>
  <c r="BZ191" i="25" s="1"/>
  <c r="BH165" i="25"/>
  <c r="BT165" i="25"/>
  <c r="BZ165" i="25" s="1"/>
  <c r="BH152" i="25"/>
  <c r="BT152" i="25"/>
  <c r="BZ152" i="25" s="1"/>
  <c r="BH168" i="25"/>
  <c r="BT168" i="25"/>
  <c r="BZ168" i="25" s="1"/>
  <c r="BH136" i="25"/>
  <c r="BT136" i="25"/>
  <c r="BZ136" i="25" s="1"/>
  <c r="BH137" i="25"/>
  <c r="BT137" i="25"/>
  <c r="BZ137" i="25" s="1"/>
  <c r="BH159" i="25"/>
  <c r="BT159" i="25"/>
  <c r="BZ159" i="25" s="1"/>
  <c r="BH114" i="25"/>
  <c r="BT114" i="25"/>
  <c r="BZ114" i="25" s="1"/>
  <c r="BH111" i="25"/>
  <c r="BT111" i="25"/>
  <c r="BZ111" i="25" s="1"/>
  <c r="BH206" i="25"/>
  <c r="BT206" i="25"/>
  <c r="BZ206" i="25" s="1"/>
  <c r="BH163" i="25"/>
  <c r="BT163" i="25"/>
  <c r="BZ163" i="25" s="1"/>
  <c r="BH119" i="25"/>
  <c r="BT119" i="25"/>
  <c r="BZ119" i="25" s="1"/>
  <c r="BH158" i="25"/>
  <c r="BT158" i="25"/>
  <c r="BZ158" i="25" s="1"/>
  <c r="BT210" i="25"/>
  <c r="BZ210" i="25" s="1"/>
  <c r="BH210" i="25"/>
  <c r="BH175" i="25"/>
  <c r="BT175" i="25"/>
  <c r="BZ175" i="25" s="1"/>
  <c r="BT122" i="25"/>
  <c r="BZ122" i="25" s="1"/>
  <c r="BH122" i="25"/>
  <c r="BT112" i="25"/>
  <c r="BZ112" i="25" s="1"/>
  <c r="BH112" i="25"/>
  <c r="BH205" i="25"/>
  <c r="BT205" i="25"/>
  <c r="BZ205" i="25" s="1"/>
  <c r="BH189" i="25"/>
  <c r="BT189" i="25"/>
  <c r="BZ189" i="25" s="1"/>
  <c r="BT196" i="25"/>
  <c r="BZ196" i="25" s="1"/>
  <c r="BH196" i="25"/>
  <c r="BT198" i="25"/>
  <c r="BZ198" i="25" s="1"/>
  <c r="BH198" i="25"/>
  <c r="BH170" i="25"/>
  <c r="BT170" i="25"/>
  <c r="BZ170" i="25" s="1"/>
  <c r="BH199" i="25"/>
  <c r="BT199" i="25"/>
  <c r="BZ199" i="25" s="1"/>
  <c r="BH202" i="25"/>
  <c r="BT202" i="25"/>
  <c r="BZ202" i="25" s="1"/>
  <c r="BH186" i="25"/>
  <c r="BT186" i="25"/>
  <c r="BZ186" i="25" s="1"/>
  <c r="BH197" i="25"/>
  <c r="BT197" i="25"/>
  <c r="BZ197" i="25" s="1"/>
  <c r="BH156" i="25"/>
  <c r="BT156" i="25"/>
  <c r="BZ156" i="25" s="1"/>
  <c r="BH164" i="25"/>
  <c r="BT164" i="25"/>
  <c r="BZ164" i="25" s="1"/>
  <c r="BH123" i="25"/>
  <c r="BT123" i="25"/>
  <c r="BZ123" i="25" s="1"/>
  <c r="BH127" i="25"/>
  <c r="BT127" i="25"/>
  <c r="BZ127" i="25" s="1"/>
  <c r="BH143" i="25"/>
  <c r="BT143" i="25"/>
  <c r="BZ143" i="25" s="1"/>
  <c r="BT162" i="25"/>
  <c r="BZ162" i="25" s="1"/>
  <c r="BH162" i="25"/>
  <c r="BH125" i="25"/>
  <c r="BT125" i="25"/>
  <c r="BZ125" i="25" s="1"/>
  <c r="BH116" i="25"/>
  <c r="BT116" i="25"/>
  <c r="BZ116" i="25" s="1"/>
  <c r="BH149" i="25"/>
  <c r="BT149" i="25"/>
  <c r="BZ149" i="25" s="1"/>
  <c r="BH144" i="25"/>
  <c r="BT144" i="25"/>
  <c r="BZ144" i="25" s="1"/>
  <c r="BH181" i="25"/>
  <c r="BT181" i="25"/>
  <c r="BZ181" i="25" s="1"/>
  <c r="BH138" i="25"/>
  <c r="BT138" i="25"/>
  <c r="BZ138" i="25" s="1"/>
  <c r="BH132" i="25"/>
  <c r="BT132" i="25"/>
  <c r="BZ132" i="25" s="1"/>
  <c r="BH193" i="25"/>
  <c r="BT193" i="25"/>
  <c r="BZ193" i="25" s="1"/>
  <c r="BH117" i="25"/>
  <c r="BT117" i="25"/>
  <c r="BZ117" i="25" s="1"/>
  <c r="BH153" i="25"/>
  <c r="BT153" i="25"/>
  <c r="BZ153" i="25" s="1"/>
  <c r="BH133" i="25"/>
  <c r="BT133" i="25"/>
  <c r="BZ133" i="25" s="1"/>
  <c r="BH126" i="25"/>
  <c r="BT126" i="25"/>
  <c r="BZ126" i="25" s="1"/>
  <c r="BH161" i="25"/>
  <c r="BT161" i="25"/>
  <c r="BZ161" i="25" s="1"/>
  <c r="BH192" i="25"/>
  <c r="BT192" i="25"/>
  <c r="BZ192" i="25" s="1"/>
  <c r="BH183" i="25"/>
  <c r="BT183" i="25"/>
  <c r="BZ183" i="25" s="1"/>
  <c r="BH207" i="25"/>
  <c r="BT207" i="25"/>
  <c r="BZ207" i="25" s="1"/>
  <c r="BH173" i="25"/>
  <c r="BT173" i="25"/>
  <c r="BZ173" i="25" s="1"/>
  <c r="BH130" i="25"/>
  <c r="BT130" i="25"/>
  <c r="BZ130" i="25" s="1"/>
  <c r="BT134" i="25"/>
  <c r="BZ134" i="25" s="1"/>
  <c r="BH134" i="25"/>
  <c r="BH208" i="25"/>
  <c r="BT208" i="25"/>
  <c r="BZ208" i="25" s="1"/>
  <c r="BH151" i="25"/>
  <c r="BT151" i="25"/>
  <c r="BZ151" i="25" s="1"/>
  <c r="BT128" i="25"/>
  <c r="BZ128" i="25" s="1"/>
  <c r="BH128" i="25"/>
  <c r="BT182" i="25"/>
  <c r="BZ182" i="25" s="1"/>
  <c r="BH182" i="25"/>
  <c r="BH129" i="25"/>
  <c r="BT129" i="25"/>
  <c r="BZ129" i="25" s="1"/>
  <c r="BH200" i="25"/>
  <c r="BT200" i="25"/>
  <c r="BZ200" i="25" s="1"/>
  <c r="BH179" i="25"/>
  <c r="BT179" i="25"/>
  <c r="BZ179" i="25" s="1"/>
  <c r="BF110" i="25"/>
  <c r="BV110" i="25" s="1"/>
  <c r="BD110" i="25"/>
  <c r="BE110" i="25"/>
  <c r="BU110" i="25" s="1"/>
  <c r="BH148" i="25"/>
  <c r="BT148" i="25"/>
  <c r="BZ148" i="25" s="1"/>
  <c r="BH121" i="25"/>
  <c r="BT121" i="25"/>
  <c r="BZ121" i="25" s="1"/>
  <c r="BH115" i="25"/>
  <c r="BT115" i="25"/>
  <c r="BZ115" i="25" s="1"/>
  <c r="BH178" i="25"/>
  <c r="BT178" i="25"/>
  <c r="BZ178" i="25" s="1"/>
  <c r="BT131" i="25"/>
  <c r="BZ131" i="25" s="1"/>
  <c r="BH131" i="25"/>
  <c r="BH146" i="25"/>
  <c r="BT146" i="25"/>
  <c r="BZ146" i="25" s="1"/>
  <c r="BH118" i="25"/>
  <c r="BT118" i="25"/>
  <c r="BZ118" i="25" s="1"/>
  <c r="BH139" i="25"/>
  <c r="BT139" i="25"/>
  <c r="BZ139" i="25" s="1"/>
  <c r="BT120" i="25"/>
  <c r="BZ120" i="25" s="1"/>
  <c r="BH120" i="25"/>
  <c r="BH209" i="25"/>
  <c r="BT209" i="25"/>
  <c r="BZ209" i="25" s="1"/>
  <c r="BH150" i="25"/>
  <c r="BT150" i="25"/>
  <c r="BZ150" i="25" s="1"/>
  <c r="BH113" i="25"/>
  <c r="BT113" i="25"/>
  <c r="BZ113" i="25" s="1"/>
  <c r="BH177" i="25"/>
  <c r="BT177" i="25"/>
  <c r="BZ177" i="25" s="1"/>
  <c r="BH169" i="25"/>
  <c r="BT169" i="25"/>
  <c r="BZ169" i="25" s="1"/>
  <c r="BT203" i="25"/>
  <c r="BZ203" i="25" s="1"/>
  <c r="BH203" i="25"/>
  <c r="BH167" i="25"/>
  <c r="BT167" i="25"/>
  <c r="BZ167" i="25" s="1"/>
  <c r="BH135" i="25"/>
  <c r="BT135" i="25"/>
  <c r="BZ135" i="25" s="1"/>
  <c r="BH187" i="25"/>
  <c r="BT187" i="25"/>
  <c r="BZ187" i="25" s="1"/>
  <c r="BH172" i="25"/>
  <c r="BT172" i="25"/>
  <c r="BZ172" i="25" s="1"/>
  <c r="BT176" i="25"/>
  <c r="BZ176" i="25" s="1"/>
  <c r="BH176" i="25"/>
  <c r="BT140" i="25"/>
  <c r="BZ140" i="25" s="1"/>
  <c r="BH140" i="25"/>
  <c r="BT124" i="25"/>
  <c r="BZ124" i="25" s="1"/>
  <c r="BH124" i="25"/>
  <c r="BT147" i="25"/>
  <c r="BZ147" i="25" s="1"/>
  <c r="BH147" i="25"/>
  <c r="BH194" i="25"/>
  <c r="BT194" i="25"/>
  <c r="BZ194" i="25" s="1"/>
  <c r="BH160" i="25"/>
  <c r="BN160" i="25" s="1"/>
  <c r="BT160" i="25"/>
  <c r="BZ160" i="25" s="1"/>
  <c r="BH155" i="25"/>
  <c r="BT155" i="25"/>
  <c r="BZ155" i="25" s="1"/>
  <c r="BT157" i="25"/>
  <c r="BZ157" i="25" s="1"/>
  <c r="BH157" i="25"/>
  <c r="BT154" i="25"/>
  <c r="BZ154" i="25" s="1"/>
  <c r="BH154" i="25"/>
  <c r="BH190" i="25"/>
  <c r="BT190" i="25"/>
  <c r="BZ190" i="25" s="1"/>
  <c r="BH188" i="25"/>
  <c r="BT188" i="25"/>
  <c r="BZ188" i="25" s="1"/>
  <c r="BH195" i="25"/>
  <c r="BT195" i="25"/>
  <c r="BZ195" i="25" s="1"/>
  <c r="BT174" i="25"/>
  <c r="BZ174" i="25" s="1"/>
  <c r="BH174" i="25"/>
  <c r="BT204" i="25"/>
  <c r="BZ204" i="25" s="1"/>
  <c r="BH204" i="25"/>
  <c r="BH171" i="25"/>
  <c r="BT171" i="25"/>
  <c r="BZ171" i="25" s="1"/>
  <c r="BT180" i="25"/>
  <c r="BZ180" i="25" s="1"/>
  <c r="BH180" i="25"/>
  <c r="BH201" i="25"/>
  <c r="BT201" i="25"/>
  <c r="BZ201" i="25" s="1"/>
  <c r="BH145" i="25"/>
  <c r="BT145" i="25"/>
  <c r="BZ145" i="25" s="1"/>
  <c r="BH142" i="25"/>
  <c r="BT142" i="25"/>
  <c r="BZ142" i="25" s="1"/>
  <c r="BT141" i="25"/>
  <c r="BZ141" i="25" s="1"/>
  <c r="BH141" i="25"/>
  <c r="BH184" i="25"/>
  <c r="BT184" i="25"/>
  <c r="BZ184" i="25" s="1"/>
  <c r="BH185" i="25"/>
  <c r="BT185" i="25"/>
  <c r="BZ185" i="25" s="1"/>
  <c r="BH166" i="25"/>
  <c r="BT166" i="25"/>
  <c r="BZ166" i="25" s="1"/>
  <c r="AY115" i="24"/>
  <c r="AZ115" i="24" s="1"/>
  <c r="AY167" i="24"/>
  <c r="AZ167" i="24" s="1"/>
  <c r="BF115" i="24"/>
  <c r="BT115" i="24" s="1"/>
  <c r="BY115" i="24" s="1"/>
  <c r="AY165" i="24"/>
  <c r="AZ165" i="24" s="1"/>
  <c r="BF165" i="24"/>
  <c r="BI165" i="24" s="1"/>
  <c r="BG194" i="24"/>
  <c r="BU194" i="24" s="1"/>
  <c r="AY194" i="24"/>
  <c r="AZ194" i="24" s="1"/>
  <c r="BF194" i="24"/>
  <c r="BF141" i="24"/>
  <c r="BG141" i="24"/>
  <c r="BU141" i="24" s="1"/>
  <c r="AY141" i="24"/>
  <c r="AZ141" i="24" s="1"/>
  <c r="BF199" i="24"/>
  <c r="AY199" i="24"/>
  <c r="AZ199" i="24" s="1"/>
  <c r="BG199" i="24"/>
  <c r="BU199" i="24" s="1"/>
  <c r="BG112" i="24"/>
  <c r="BU112" i="24" s="1"/>
  <c r="AY112" i="24"/>
  <c r="AZ112" i="24" s="1"/>
  <c r="BF112" i="24"/>
  <c r="BF203" i="24"/>
  <c r="AY203" i="24"/>
  <c r="AZ203" i="24" s="1"/>
  <c r="BG203" i="24"/>
  <c r="BU203" i="24" s="1"/>
  <c r="AY193" i="24"/>
  <c r="AZ193" i="24" s="1"/>
  <c r="BG193" i="24"/>
  <c r="BU193" i="24" s="1"/>
  <c r="BF193" i="24"/>
  <c r="BT144" i="24"/>
  <c r="BY144" i="24" s="1"/>
  <c r="BI144" i="24"/>
  <c r="BT127" i="24"/>
  <c r="BY127" i="24" s="1"/>
  <c r="BI127" i="24"/>
  <c r="BT152" i="24"/>
  <c r="BY152" i="24" s="1"/>
  <c r="BI152" i="24"/>
  <c r="BT147" i="24"/>
  <c r="BY147" i="24" s="1"/>
  <c r="BI147" i="24"/>
  <c r="BT187" i="24"/>
  <c r="BY187" i="24" s="1"/>
  <c r="BI187" i="24"/>
  <c r="BT128" i="24"/>
  <c r="BY128" i="24" s="1"/>
  <c r="BI128" i="24"/>
  <c r="BT163" i="24"/>
  <c r="BY163" i="24" s="1"/>
  <c r="BI163" i="24"/>
  <c r="BT131" i="24"/>
  <c r="BY131" i="24" s="1"/>
  <c r="BI131" i="24"/>
  <c r="BT151" i="24"/>
  <c r="BY151" i="24" s="1"/>
  <c r="BI151" i="24"/>
  <c r="BT158" i="24"/>
  <c r="BY158" i="24" s="1"/>
  <c r="BI158" i="24"/>
  <c r="BI200" i="24"/>
  <c r="BT200" i="24"/>
  <c r="BY200" i="24" s="1"/>
  <c r="BT116" i="24"/>
  <c r="BY116" i="24" s="1"/>
  <c r="BI116" i="24"/>
  <c r="BF172" i="24"/>
  <c r="AY172" i="24"/>
  <c r="AZ172" i="24" s="1"/>
  <c r="BG172" i="24"/>
  <c r="BU172" i="24" s="1"/>
  <c r="BG149" i="24"/>
  <c r="BU149" i="24" s="1"/>
  <c r="BF149" i="24"/>
  <c r="AY149" i="24"/>
  <c r="AZ149" i="24" s="1"/>
  <c r="BG119" i="24"/>
  <c r="BU119" i="24" s="1"/>
  <c r="BF119" i="24"/>
  <c r="AY119" i="24"/>
  <c r="AZ119" i="24" s="1"/>
  <c r="AY123" i="24"/>
  <c r="AZ123" i="24" s="1"/>
  <c r="BF123" i="24"/>
  <c r="BG123" i="24"/>
  <c r="BU123" i="24" s="1"/>
  <c r="BG136" i="24"/>
  <c r="BU136" i="24" s="1"/>
  <c r="BF136" i="24"/>
  <c r="AY136" i="24"/>
  <c r="AZ136" i="24" s="1"/>
  <c r="BG156" i="24"/>
  <c r="BU156" i="24" s="1"/>
  <c r="BF156" i="24"/>
  <c r="AY156" i="24"/>
  <c r="AZ156" i="24" s="1"/>
  <c r="BF188" i="24"/>
  <c r="AY188" i="24"/>
  <c r="AZ188" i="24" s="1"/>
  <c r="BG188" i="24"/>
  <c r="BU188" i="24" s="1"/>
  <c r="AY206" i="24"/>
  <c r="AZ206" i="24" s="1"/>
  <c r="BF206" i="24"/>
  <c r="BG206" i="24"/>
  <c r="BU206" i="24" s="1"/>
  <c r="AY181" i="24"/>
  <c r="AZ181" i="24" s="1"/>
  <c r="BF181" i="24"/>
  <c r="BG181" i="24"/>
  <c r="BU181" i="24" s="1"/>
  <c r="BG159" i="24"/>
  <c r="BU159" i="24" s="1"/>
  <c r="AY159" i="24"/>
  <c r="AZ159" i="24" s="1"/>
  <c r="BF159" i="24"/>
  <c r="BG191" i="24"/>
  <c r="BU191" i="24" s="1"/>
  <c r="BF191" i="24"/>
  <c r="AY191" i="24"/>
  <c r="AZ191" i="24" s="1"/>
  <c r="BI170" i="24"/>
  <c r="BT170" i="24"/>
  <c r="BY170" i="24" s="1"/>
  <c r="BI157" i="24"/>
  <c r="BT157" i="24"/>
  <c r="BY157" i="24" s="1"/>
  <c r="BT126" i="24"/>
  <c r="BY126" i="24" s="1"/>
  <c r="BI126" i="24"/>
  <c r="BI186" i="24"/>
  <c r="BO186" i="24" s="1"/>
  <c r="BT186" i="24"/>
  <c r="BT129" i="24"/>
  <c r="BY129" i="24" s="1"/>
  <c r="BI129" i="24"/>
  <c r="BT138" i="24"/>
  <c r="BY138" i="24" s="1"/>
  <c r="BI138" i="24"/>
  <c r="BT164" i="24"/>
  <c r="BY164" i="24" s="1"/>
  <c r="BI164" i="24"/>
  <c r="BT184" i="24"/>
  <c r="BY184" i="24" s="1"/>
  <c r="BI184" i="24"/>
  <c r="BT135" i="24"/>
  <c r="BY135" i="24" s="1"/>
  <c r="BI135" i="24"/>
  <c r="BT205" i="24"/>
  <c r="BY205" i="24" s="1"/>
  <c r="BI205" i="24"/>
  <c r="BI185" i="24"/>
  <c r="BO185" i="24" s="1"/>
  <c r="BT185" i="24"/>
  <c r="BT133" i="24"/>
  <c r="BY133" i="24" s="1"/>
  <c r="BI133" i="24"/>
  <c r="BF134" i="24"/>
  <c r="BG134" i="24"/>
  <c r="BU134" i="24" s="1"/>
  <c r="AY134" i="24"/>
  <c r="AZ134" i="24" s="1"/>
  <c r="AY169" i="24"/>
  <c r="AZ169" i="24" s="1"/>
  <c r="BG169" i="24"/>
  <c r="BU169" i="24" s="1"/>
  <c r="BF169" i="24"/>
  <c r="AY210" i="24"/>
  <c r="AZ210" i="24" s="1"/>
  <c r="BF210" i="24"/>
  <c r="BG210" i="24"/>
  <c r="BU210" i="24" s="1"/>
  <c r="AY208" i="24"/>
  <c r="AZ208" i="24" s="1"/>
  <c r="BG208" i="24"/>
  <c r="BU208" i="24" s="1"/>
  <c r="BF208" i="24"/>
  <c r="AY195" i="24"/>
  <c r="AZ195" i="24" s="1"/>
  <c r="BF195" i="24"/>
  <c r="BG195" i="24"/>
  <c r="BU195" i="24" s="1"/>
  <c r="BG209" i="24"/>
  <c r="BU209" i="24" s="1"/>
  <c r="BF209" i="24"/>
  <c r="AY209" i="24"/>
  <c r="AZ209" i="24" s="1"/>
  <c r="BF176" i="24"/>
  <c r="AY176" i="24"/>
  <c r="AZ176" i="24" s="1"/>
  <c r="BG176" i="24"/>
  <c r="BU176" i="24" s="1"/>
  <c r="BF182" i="24"/>
  <c r="AY182" i="24"/>
  <c r="AZ182" i="24" s="1"/>
  <c r="BG182" i="24"/>
  <c r="BU182" i="24" s="1"/>
  <c r="BT150" i="24"/>
  <c r="BY150" i="24" s="1"/>
  <c r="BI150" i="24"/>
  <c r="BI196" i="24"/>
  <c r="BT196" i="24"/>
  <c r="BY196" i="24" s="1"/>
  <c r="BT140" i="24"/>
  <c r="BY140" i="24" s="1"/>
  <c r="BI140" i="24"/>
  <c r="BI201" i="24"/>
  <c r="BT201" i="24"/>
  <c r="BY201" i="24" s="1"/>
  <c r="BT113" i="24"/>
  <c r="BY113" i="24" s="1"/>
  <c r="BI113" i="24"/>
  <c r="BT173" i="24"/>
  <c r="BY173" i="24" s="1"/>
  <c r="BI173" i="24"/>
  <c r="BT197" i="24"/>
  <c r="BY197" i="24" s="1"/>
  <c r="BI197" i="24"/>
  <c r="BT121" i="24"/>
  <c r="BY121" i="24" s="1"/>
  <c r="BI121" i="24"/>
  <c r="BT171" i="24"/>
  <c r="BY171" i="24" s="1"/>
  <c r="BI171" i="24"/>
  <c r="BI178" i="24"/>
  <c r="BT178" i="24"/>
  <c r="BY178" i="24" s="1"/>
  <c r="BT177" i="24"/>
  <c r="BY177" i="24" s="1"/>
  <c r="BI177" i="24"/>
  <c r="BT153" i="24"/>
  <c r="BY153" i="24" s="1"/>
  <c r="BI153" i="24"/>
  <c r="BI166" i="24"/>
  <c r="BT148" i="24"/>
  <c r="BY148" i="24" s="1"/>
  <c r="BI148" i="24"/>
  <c r="BT179" i="24"/>
  <c r="BY179" i="24" s="1"/>
  <c r="BI179" i="24"/>
  <c r="BT162" i="24"/>
  <c r="BY162" i="24" s="1"/>
  <c r="BI162" i="24"/>
  <c r="BT132" i="24"/>
  <c r="BY132" i="24" s="1"/>
  <c r="BI132" i="24"/>
  <c r="BT204" i="24"/>
  <c r="BY204" i="24" s="1"/>
  <c r="BI204" i="24"/>
  <c r="BT124" i="24"/>
  <c r="BY124" i="24" s="1"/>
  <c r="BI124" i="24"/>
  <c r="BT183" i="24"/>
  <c r="BY183" i="24" s="1"/>
  <c r="BI183" i="24"/>
  <c r="BT175" i="24"/>
  <c r="BY175" i="24" s="1"/>
  <c r="BI175" i="24"/>
  <c r="BT154" i="24"/>
  <c r="BY154" i="24" s="1"/>
  <c r="BI154" i="24"/>
  <c r="BT145" i="24"/>
  <c r="BY145" i="24" s="1"/>
  <c r="BI145" i="24"/>
  <c r="BT120" i="24"/>
  <c r="BY120" i="24" s="1"/>
  <c r="BI120" i="24"/>
  <c r="AY161" i="24"/>
  <c r="AZ161" i="24" s="1"/>
  <c r="BG161" i="24"/>
  <c r="BU161" i="24" s="1"/>
  <c r="BF161" i="24"/>
  <c r="BF168" i="24"/>
  <c r="AY168" i="24"/>
  <c r="AZ168" i="24" s="1"/>
  <c r="BG168" i="24"/>
  <c r="BU168" i="24" s="1"/>
  <c r="BG130" i="24"/>
  <c r="BU130" i="24" s="1"/>
  <c r="BF130" i="24"/>
  <c r="AY130" i="24"/>
  <c r="AZ130" i="24" s="1"/>
  <c r="BF189" i="24"/>
  <c r="BG189" i="24"/>
  <c r="BU189" i="24" s="1"/>
  <c r="AY189" i="24"/>
  <c r="AZ189" i="24" s="1"/>
  <c r="BT146" i="24"/>
  <c r="BY146" i="24" s="1"/>
  <c r="BI146" i="24"/>
  <c r="BT142" i="24"/>
  <c r="BY142" i="24" s="1"/>
  <c r="BI142" i="24"/>
  <c r="AY155" i="24"/>
  <c r="AZ155" i="24" s="1"/>
  <c r="BF155" i="24"/>
  <c r="BG155" i="24"/>
  <c r="BU155" i="24" s="1"/>
  <c r="BF192" i="24"/>
  <c r="AY192" i="24"/>
  <c r="AZ192" i="24" s="1"/>
  <c r="BG192" i="24"/>
  <c r="BU192" i="24" s="1"/>
  <c r="AY110" i="24"/>
  <c r="AZ110" i="24" s="1"/>
  <c r="BF110" i="24"/>
  <c r="BG110" i="24"/>
  <c r="BU110" i="24" s="1"/>
  <c r="BF114" i="24"/>
  <c r="BG114" i="24"/>
  <c r="BU114" i="24" s="1"/>
  <c r="AY114" i="24"/>
  <c r="AZ114" i="24" s="1"/>
  <c r="BT198" i="24"/>
  <c r="BY198" i="24" s="1"/>
  <c r="BI198" i="24"/>
  <c r="BI174" i="24"/>
  <c r="BT174" i="24"/>
  <c r="BY174" i="24" s="1"/>
  <c r="BT202" i="24"/>
  <c r="BY202" i="24" s="1"/>
  <c r="BI202" i="24"/>
  <c r="BT125" i="24"/>
  <c r="BY125" i="24" s="1"/>
  <c r="BI125" i="24"/>
  <c r="BT137" i="24"/>
  <c r="BY137" i="24" s="1"/>
  <c r="BI137" i="24"/>
  <c r="BT190" i="24"/>
  <c r="BI190" i="24"/>
  <c r="BO190" i="24" s="1"/>
  <c r="BT180" i="24"/>
  <c r="BY180" i="24" s="1"/>
  <c r="BI180" i="24"/>
  <c r="BT160" i="24"/>
  <c r="BY160" i="24" s="1"/>
  <c r="BI160" i="24"/>
  <c r="BT143" i="24"/>
  <c r="BY143" i="24" s="1"/>
  <c r="BI143" i="24"/>
  <c r="BT111" i="24"/>
  <c r="BY111" i="24" s="1"/>
  <c r="BI111" i="24"/>
  <c r="BT117" i="24"/>
  <c r="BY117" i="24" s="1"/>
  <c r="BI117" i="24"/>
  <c r="BT207" i="24"/>
  <c r="BY207" i="24" s="1"/>
  <c r="BI207" i="24"/>
  <c r="BT118" i="24"/>
  <c r="BY118" i="24" s="1"/>
  <c r="BI118" i="24"/>
  <c r="BT139" i="24"/>
  <c r="BY139" i="24" s="1"/>
  <c r="BI139" i="24"/>
  <c r="BT122" i="24"/>
  <c r="BY122" i="24" s="1"/>
  <c r="BI122" i="24"/>
  <c r="BH58" i="25"/>
  <c r="BM58" i="25" s="1"/>
  <c r="AZ88" i="24"/>
  <c r="AZ49" i="24"/>
  <c r="BF73" i="24"/>
  <c r="BT73" i="24" s="1"/>
  <c r="BG73" i="24"/>
  <c r="BU73" i="24" s="1"/>
  <c r="BG33" i="24"/>
  <c r="BU33" i="24" s="1"/>
  <c r="BF33" i="24"/>
  <c r="BI33" i="24" s="1"/>
  <c r="BN33" i="24" s="1"/>
  <c r="BO33" i="24" s="1"/>
  <c r="BF86" i="24"/>
  <c r="BI86" i="24" s="1"/>
  <c r="BN86" i="24" s="1"/>
  <c r="BO86" i="24" s="1"/>
  <c r="BG43" i="24"/>
  <c r="BU43" i="24" s="1"/>
  <c r="BT104" i="24"/>
  <c r="BG51" i="24"/>
  <c r="BU51" i="24" s="1"/>
  <c r="BF51" i="24"/>
  <c r="BT51" i="24" s="1"/>
  <c r="BG27" i="24"/>
  <c r="BU27" i="24" s="1"/>
  <c r="BF43" i="24"/>
  <c r="BT43" i="24" s="1"/>
  <c r="BF97" i="24"/>
  <c r="BI97" i="24" s="1"/>
  <c r="BN97" i="24" s="1"/>
  <c r="BO97" i="24" s="1"/>
  <c r="BC105" i="24"/>
  <c r="B118" i="2" s="1"/>
  <c r="E16" i="1" s="1"/>
  <c r="BG86" i="24"/>
  <c r="BU86" i="24" s="1"/>
  <c r="BG23" i="24"/>
  <c r="BU23" i="24" s="1"/>
  <c r="BF23" i="24"/>
  <c r="BI23" i="24" s="1"/>
  <c r="BN23" i="24" s="1"/>
  <c r="BO23" i="24" s="1"/>
  <c r="BF64" i="24"/>
  <c r="BI64" i="24" s="1"/>
  <c r="BN64" i="24" s="1"/>
  <c r="BO64" i="24" s="1"/>
  <c r="BG97" i="24"/>
  <c r="BU97" i="24" s="1"/>
  <c r="BG64" i="24"/>
  <c r="BU64" i="24" s="1"/>
  <c r="BG49" i="24"/>
  <c r="BU49" i="24" s="1"/>
  <c r="BF27" i="24"/>
  <c r="BI27" i="24" s="1"/>
  <c r="BN27" i="24" s="1"/>
  <c r="BO27" i="24" s="1"/>
  <c r="AU49" i="24"/>
  <c r="BC49" i="24" s="1"/>
  <c r="BF49" i="24"/>
  <c r="BI49" i="24" s="1"/>
  <c r="BN49" i="24" s="1"/>
  <c r="BO49" i="24" s="1"/>
  <c r="BI69" i="24"/>
  <c r="BN69" i="24" s="1"/>
  <c r="BO69" i="24" s="1"/>
  <c r="BF81" i="24"/>
  <c r="BT81" i="24" s="1"/>
  <c r="BG88" i="24"/>
  <c r="BU88" i="24" s="1"/>
  <c r="AU88" i="24"/>
  <c r="BC88" i="24" s="1"/>
  <c r="BF65" i="24"/>
  <c r="BI65" i="24" s="1"/>
  <c r="BN65" i="24" s="1"/>
  <c r="BO65" i="24" s="1"/>
  <c r="BG65" i="24"/>
  <c r="BU65" i="24" s="1"/>
  <c r="BF88" i="24"/>
  <c r="BI88" i="24" s="1"/>
  <c r="BN88" i="24" s="1"/>
  <c r="BO88" i="24" s="1"/>
  <c r="BG22" i="24"/>
  <c r="BU22" i="24" s="1"/>
  <c r="BF35" i="24"/>
  <c r="BT35" i="24" s="1"/>
  <c r="BG81" i="24"/>
  <c r="BU81" i="24" s="1"/>
  <c r="BG35" i="24"/>
  <c r="BU35" i="24" s="1"/>
  <c r="BT34" i="24"/>
  <c r="AW71" i="24"/>
  <c r="AU71" i="24"/>
  <c r="BC71" i="24" s="1"/>
  <c r="AU13" i="24"/>
  <c r="BC13" i="24" s="1"/>
  <c r="AW13" i="24"/>
  <c r="BF22" i="24"/>
  <c r="BI22" i="24" s="1"/>
  <c r="BN22" i="24" s="1"/>
  <c r="BO22" i="24" s="1"/>
  <c r="AU15" i="24"/>
  <c r="BC15" i="24" s="1"/>
  <c r="AW15" i="24"/>
  <c r="AW102" i="24"/>
  <c r="AU102" i="24"/>
  <c r="BC102" i="24" s="1"/>
  <c r="AU48" i="24"/>
  <c r="BC48" i="24" s="1"/>
  <c r="AW48" i="24"/>
  <c r="AU93" i="24"/>
  <c r="BC93" i="24" s="1"/>
  <c r="AW93" i="24"/>
  <c r="AU94" i="24"/>
  <c r="BC94" i="24" s="1"/>
  <c r="AW94" i="24"/>
  <c r="AW37" i="24"/>
  <c r="AU37" i="24"/>
  <c r="BC37" i="24" s="1"/>
  <c r="AW8" i="24"/>
  <c r="AU8" i="24"/>
  <c r="BC8" i="24" s="1"/>
  <c r="AU44" i="24"/>
  <c r="BC44" i="24" s="1"/>
  <c r="AW44" i="24"/>
  <c r="AU77" i="24"/>
  <c r="BC77" i="24" s="1"/>
  <c r="AW77" i="24"/>
  <c r="AW80" i="24"/>
  <c r="AU80" i="24"/>
  <c r="BC80" i="24" s="1"/>
  <c r="AU38" i="24"/>
  <c r="BC38" i="24" s="1"/>
  <c r="AW38" i="24"/>
  <c r="AU24" i="24"/>
  <c r="BC24" i="24" s="1"/>
  <c r="AW24" i="24"/>
  <c r="AU45" i="24"/>
  <c r="BC45" i="24" s="1"/>
  <c r="AW45" i="24"/>
  <c r="AU103" i="24"/>
  <c r="BC103" i="24" s="1"/>
  <c r="AW103" i="24"/>
  <c r="AW47" i="24"/>
  <c r="AU47" i="24"/>
  <c r="BC47" i="24" s="1"/>
  <c r="AW66" i="24"/>
  <c r="AU66" i="24"/>
  <c r="BC66" i="24" s="1"/>
  <c r="AW62" i="24"/>
  <c r="AU62" i="24"/>
  <c r="BC62" i="24" s="1"/>
  <c r="AW30" i="24"/>
  <c r="AU30" i="24"/>
  <c r="BC30" i="24" s="1"/>
  <c r="AU99" i="24"/>
  <c r="BC99" i="24" s="1"/>
  <c r="AW99" i="24"/>
  <c r="AU75" i="24"/>
  <c r="BC75" i="24" s="1"/>
  <c r="AW75" i="24"/>
  <c r="AW61" i="24"/>
  <c r="AU61" i="24"/>
  <c r="BC61" i="24" s="1"/>
  <c r="AW20" i="24"/>
  <c r="AU20" i="24"/>
  <c r="BC20" i="24" s="1"/>
  <c r="AU90" i="24"/>
  <c r="BC90" i="24" s="1"/>
  <c r="AW90" i="24"/>
  <c r="AU52" i="24"/>
  <c r="BC52" i="24" s="1"/>
  <c r="AW52" i="24"/>
  <c r="AW39" i="24"/>
  <c r="AU39" i="24"/>
  <c r="BC39" i="24" s="1"/>
  <c r="AW26" i="24"/>
  <c r="AU26" i="24"/>
  <c r="BC26" i="24" s="1"/>
  <c r="AU9" i="24"/>
  <c r="BC9" i="24" s="1"/>
  <c r="AW9" i="24"/>
  <c r="AU84" i="24"/>
  <c r="BC84" i="24" s="1"/>
  <c r="AW84" i="24"/>
  <c r="AW58" i="24"/>
  <c r="AU58" i="24"/>
  <c r="BC58" i="24" s="1"/>
  <c r="AU57" i="24"/>
  <c r="BC57" i="24" s="1"/>
  <c r="AW57" i="24"/>
  <c r="AU17" i="24"/>
  <c r="BC17" i="24" s="1"/>
  <c r="AW17" i="24"/>
  <c r="AU76" i="24"/>
  <c r="BC76" i="24" s="1"/>
  <c r="AW76" i="24"/>
  <c r="AU11" i="24"/>
  <c r="BC11" i="24" s="1"/>
  <c r="AW11" i="24"/>
  <c r="AU67" i="24"/>
  <c r="BC67" i="24" s="1"/>
  <c r="AW67" i="24"/>
  <c r="AU12" i="24"/>
  <c r="BC12" i="24" s="1"/>
  <c r="AW12" i="24"/>
  <c r="AU98" i="24"/>
  <c r="BC98" i="24" s="1"/>
  <c r="AW98" i="24"/>
  <c r="AU16" i="24"/>
  <c r="BC16" i="24" s="1"/>
  <c r="AW16" i="24"/>
  <c r="AU6" i="24"/>
  <c r="BC6" i="24" s="1"/>
  <c r="AW6" i="24"/>
  <c r="AW7" i="24"/>
  <c r="AU7" i="24"/>
  <c r="BC7" i="24" s="1"/>
  <c r="BD5" i="25"/>
  <c r="BF5" i="25"/>
  <c r="BV5" i="25" s="1"/>
  <c r="BE5" i="25"/>
  <c r="BT40" i="24"/>
  <c r="BT95" i="25"/>
  <c r="BT85" i="25"/>
  <c r="BT18" i="25"/>
  <c r="BH90" i="25"/>
  <c r="BM90" i="25" s="1"/>
  <c r="BH98" i="25"/>
  <c r="BM98" i="25" s="1"/>
  <c r="BH55" i="25"/>
  <c r="BM55" i="25" s="1"/>
  <c r="BH33" i="25"/>
  <c r="BM33" i="25" s="1"/>
  <c r="BH65" i="25"/>
  <c r="BM65" i="25" s="1"/>
  <c r="BH60" i="25"/>
  <c r="BM60" i="25" s="1"/>
  <c r="BU52" i="25"/>
  <c r="BU74" i="25"/>
  <c r="BU27" i="25"/>
  <c r="BU42" i="25"/>
  <c r="BU102" i="25"/>
  <c r="BU77" i="25"/>
  <c r="BU26" i="25"/>
  <c r="BU105" i="25"/>
  <c r="BU39" i="25"/>
  <c r="BU60" i="25"/>
  <c r="BX60" i="25" s="1"/>
  <c r="BU98" i="25"/>
  <c r="BX98" i="25" s="1"/>
  <c r="BU92" i="25"/>
  <c r="BU94" i="25"/>
  <c r="BU91" i="25"/>
  <c r="BU67" i="25"/>
  <c r="BU64" i="25"/>
  <c r="BU41" i="25"/>
  <c r="BU79" i="25"/>
  <c r="BU76" i="25"/>
  <c r="BU11" i="25"/>
  <c r="BU104" i="25"/>
  <c r="BU96" i="25"/>
  <c r="BU24" i="25"/>
  <c r="BU51" i="25"/>
  <c r="BU47" i="25"/>
  <c r="BU46" i="25"/>
  <c r="BU8" i="25"/>
  <c r="BU50" i="25"/>
  <c r="BU49" i="25"/>
  <c r="BU56" i="25"/>
  <c r="BU34" i="25"/>
  <c r="BU70" i="25"/>
  <c r="BU18" i="25"/>
  <c r="BU65" i="25"/>
  <c r="BX65" i="25" s="1"/>
  <c r="BU57" i="25"/>
  <c r="BU66" i="25"/>
  <c r="BU43" i="25"/>
  <c r="BX43" i="25" s="1"/>
  <c r="BU84" i="25"/>
  <c r="BU13" i="25"/>
  <c r="BU35" i="25"/>
  <c r="BU36" i="25"/>
  <c r="BU25" i="25"/>
  <c r="BU63" i="25"/>
  <c r="BU28" i="25"/>
  <c r="BU40" i="25"/>
  <c r="BU37" i="25"/>
  <c r="BU33" i="25"/>
  <c r="BX33" i="25" s="1"/>
  <c r="BU10" i="25"/>
  <c r="BU20" i="25"/>
  <c r="BU97" i="25"/>
  <c r="BU45" i="25"/>
  <c r="BU82" i="25"/>
  <c r="BU61" i="25"/>
  <c r="BU69" i="25"/>
  <c r="BU75" i="25"/>
  <c r="BU80" i="25"/>
  <c r="BU83" i="25"/>
  <c r="BU93" i="25"/>
  <c r="BU78" i="25"/>
  <c r="BU100" i="25"/>
  <c r="BU103" i="25"/>
  <c r="BU88" i="25"/>
  <c r="BU71" i="25"/>
  <c r="BU48" i="25"/>
  <c r="BU86" i="25"/>
  <c r="BU81" i="25"/>
  <c r="BU90" i="25"/>
  <c r="BX90" i="25" s="1"/>
  <c r="BU95" i="25"/>
  <c r="BU23" i="25"/>
  <c r="BU14" i="25"/>
  <c r="BU68" i="25"/>
  <c r="BU9" i="25"/>
  <c r="BU62" i="25"/>
  <c r="BU87" i="25"/>
  <c r="BU30" i="25"/>
  <c r="BU53" i="25"/>
  <c r="BU17" i="25"/>
  <c r="BU19" i="25"/>
  <c r="BU44" i="25"/>
  <c r="BU12" i="25"/>
  <c r="BU72" i="25"/>
  <c r="BU15" i="25"/>
  <c r="BU16" i="25"/>
  <c r="BU59" i="25"/>
  <c r="BU38" i="25"/>
  <c r="BU31" i="25"/>
  <c r="BU22" i="25"/>
  <c r="BU101" i="25"/>
  <c r="BU29" i="25"/>
  <c r="BU54" i="25"/>
  <c r="BU89" i="25"/>
  <c r="BU21" i="25"/>
  <c r="BU55" i="25"/>
  <c r="BX55" i="25" s="1"/>
  <c r="BU32" i="25"/>
  <c r="BX32" i="25" s="1"/>
  <c r="BU99" i="25"/>
  <c r="BX99" i="25" s="1"/>
  <c r="BU73" i="25"/>
  <c r="BX73" i="25" s="1"/>
  <c r="BU85" i="25"/>
  <c r="BU7" i="25"/>
  <c r="BU6" i="25"/>
  <c r="BH43" i="25"/>
  <c r="BM43" i="25" s="1"/>
  <c r="BT57" i="25"/>
  <c r="BH73" i="25"/>
  <c r="BM73" i="25" s="1"/>
  <c r="BT66" i="25"/>
  <c r="BT84" i="25"/>
  <c r="BH32" i="25"/>
  <c r="BM32" i="25" s="1"/>
  <c r="BH99" i="25"/>
  <c r="BM99" i="25" s="1"/>
  <c r="BT45" i="25"/>
  <c r="BH45" i="25"/>
  <c r="BM45" i="25" s="1"/>
  <c r="BT23" i="25"/>
  <c r="BX23" i="25" s="1"/>
  <c r="BH23" i="25"/>
  <c r="BM23" i="25" s="1"/>
  <c r="BT36" i="25"/>
  <c r="BH36" i="25"/>
  <c r="BM36" i="25" s="1"/>
  <c r="BH6" i="25"/>
  <c r="BM6" i="25" s="1"/>
  <c r="BT6" i="25"/>
  <c r="BT21" i="25"/>
  <c r="BH21" i="25"/>
  <c r="BM21" i="25" s="1"/>
  <c r="BT92" i="25"/>
  <c r="BH92" i="25"/>
  <c r="BM92" i="25" s="1"/>
  <c r="BT94" i="25"/>
  <c r="BH94" i="25"/>
  <c r="BM94" i="25" s="1"/>
  <c r="BT91" i="25"/>
  <c r="BH91" i="25"/>
  <c r="BM91" i="25" s="1"/>
  <c r="BT67" i="25"/>
  <c r="BH67" i="25"/>
  <c r="BM67" i="25" s="1"/>
  <c r="BT19" i="25"/>
  <c r="BH19" i="25"/>
  <c r="BM19" i="25" s="1"/>
  <c r="BT64" i="25"/>
  <c r="BH64" i="25"/>
  <c r="BM64" i="25" s="1"/>
  <c r="BT15" i="25"/>
  <c r="BH15" i="25"/>
  <c r="BM15" i="25" s="1"/>
  <c r="BT59" i="25"/>
  <c r="BH59" i="25"/>
  <c r="BM59" i="25" s="1"/>
  <c r="BT38" i="25"/>
  <c r="BX38" i="25" s="1"/>
  <c r="BH38" i="25"/>
  <c r="BM38" i="25" s="1"/>
  <c r="BT104" i="25"/>
  <c r="BH104" i="25"/>
  <c r="BM104" i="25" s="1"/>
  <c r="BT96" i="25"/>
  <c r="BH96" i="25"/>
  <c r="BM96" i="25" s="1"/>
  <c r="BT24" i="25"/>
  <c r="BH24" i="25"/>
  <c r="BM24" i="25" s="1"/>
  <c r="BT46" i="25"/>
  <c r="BH46" i="25"/>
  <c r="BM46" i="25" s="1"/>
  <c r="BT8" i="25"/>
  <c r="BH8" i="25"/>
  <c r="BM8" i="25" s="1"/>
  <c r="BT54" i="25"/>
  <c r="BH54" i="25"/>
  <c r="BM54" i="25" s="1"/>
  <c r="BT89" i="25"/>
  <c r="BH89" i="25"/>
  <c r="BM89" i="25" s="1"/>
  <c r="BT86" i="25"/>
  <c r="BH86" i="25"/>
  <c r="BM86" i="25" s="1"/>
  <c r="BT81" i="25"/>
  <c r="BH81" i="25"/>
  <c r="BM81" i="25" s="1"/>
  <c r="BT52" i="25"/>
  <c r="BX52" i="25" s="1"/>
  <c r="BH52" i="25"/>
  <c r="BM52" i="25" s="1"/>
  <c r="BT13" i="25"/>
  <c r="BH13" i="25"/>
  <c r="BM13" i="25" s="1"/>
  <c r="BT20" i="25"/>
  <c r="BH20" i="25"/>
  <c r="BM20" i="25" s="1"/>
  <c r="BT97" i="25"/>
  <c r="BH97" i="25"/>
  <c r="BM97" i="25" s="1"/>
  <c r="BT74" i="25"/>
  <c r="BH74" i="25"/>
  <c r="BM74" i="25" s="1"/>
  <c r="BT35" i="25"/>
  <c r="BH35" i="25"/>
  <c r="BM35" i="25" s="1"/>
  <c r="BT61" i="25"/>
  <c r="BX61" i="25" s="1"/>
  <c r="BH61" i="25"/>
  <c r="BM61" i="25" s="1"/>
  <c r="BT69" i="25"/>
  <c r="BH69" i="25"/>
  <c r="BM69" i="25" s="1"/>
  <c r="BT75" i="25"/>
  <c r="BH75" i="25"/>
  <c r="BM75" i="25" s="1"/>
  <c r="BT80" i="25"/>
  <c r="BH80" i="25"/>
  <c r="BM80" i="25" s="1"/>
  <c r="BT83" i="25"/>
  <c r="BH83" i="25"/>
  <c r="BM83" i="25" s="1"/>
  <c r="BT25" i="25"/>
  <c r="BH25" i="25"/>
  <c r="BM25" i="25" s="1"/>
  <c r="BT68" i="25"/>
  <c r="BH68" i="25"/>
  <c r="BM68" i="25" s="1"/>
  <c r="BT77" i="25"/>
  <c r="BH77" i="25"/>
  <c r="BM77" i="25" s="1"/>
  <c r="BT63" i="25"/>
  <c r="BH63" i="25"/>
  <c r="BM63" i="25" s="1"/>
  <c r="BH9" i="25"/>
  <c r="BM9" i="25" s="1"/>
  <c r="BT9" i="25"/>
  <c r="BT28" i="25"/>
  <c r="BH28" i="25"/>
  <c r="BM28" i="25" s="1"/>
  <c r="BT26" i="25"/>
  <c r="BH26" i="25"/>
  <c r="BM26" i="25" s="1"/>
  <c r="BT62" i="25"/>
  <c r="BH62" i="25"/>
  <c r="BM62" i="25" s="1"/>
  <c r="BT105" i="25"/>
  <c r="BH105" i="25"/>
  <c r="BM105" i="25" s="1"/>
  <c r="BT71" i="25"/>
  <c r="BH71" i="25"/>
  <c r="BM71" i="25" s="1"/>
  <c r="BT48" i="25"/>
  <c r="BH48" i="25"/>
  <c r="BM48" i="25" s="1"/>
  <c r="BT56" i="25"/>
  <c r="BH56" i="25"/>
  <c r="BM56" i="25" s="1"/>
  <c r="BT34" i="25"/>
  <c r="BX34" i="25" s="1"/>
  <c r="BH34" i="25"/>
  <c r="BM34" i="25" s="1"/>
  <c r="BT70" i="25"/>
  <c r="BH70" i="25"/>
  <c r="BM70" i="25" s="1"/>
  <c r="BT10" i="25"/>
  <c r="BH10" i="25"/>
  <c r="BM10" i="25" s="1"/>
  <c r="BT82" i="25"/>
  <c r="BH82" i="25"/>
  <c r="BM82" i="25" s="1"/>
  <c r="BT27" i="25"/>
  <c r="BH27" i="25"/>
  <c r="BM27" i="25" s="1"/>
  <c r="BT42" i="25"/>
  <c r="BH42" i="25"/>
  <c r="BM42" i="25" s="1"/>
  <c r="BT14" i="25"/>
  <c r="BH14" i="25"/>
  <c r="BM14" i="25" s="1"/>
  <c r="BT102" i="25"/>
  <c r="BX102" i="25" s="1"/>
  <c r="BH102" i="25"/>
  <c r="BM102" i="25" s="1"/>
  <c r="BT93" i="25"/>
  <c r="BH93" i="25"/>
  <c r="BM93" i="25" s="1"/>
  <c r="BT78" i="25"/>
  <c r="BH78" i="25"/>
  <c r="BM78" i="25" s="1"/>
  <c r="BT100" i="25"/>
  <c r="BH100" i="25"/>
  <c r="BM100" i="25" s="1"/>
  <c r="BT103" i="25"/>
  <c r="BX103" i="25" s="1"/>
  <c r="BH103" i="25"/>
  <c r="BM103" i="25" s="1"/>
  <c r="BT88" i="25"/>
  <c r="BH88" i="25"/>
  <c r="BM88" i="25" s="1"/>
  <c r="BT40" i="25"/>
  <c r="BH40" i="25"/>
  <c r="BM40" i="25" s="1"/>
  <c r="BT39" i="25"/>
  <c r="BH39" i="25"/>
  <c r="BM39" i="25" s="1"/>
  <c r="BT37" i="25"/>
  <c r="BH37" i="25"/>
  <c r="BM37" i="25" s="1"/>
  <c r="BT17" i="25"/>
  <c r="BH17" i="25"/>
  <c r="BM17" i="25" s="1"/>
  <c r="BT16" i="25"/>
  <c r="BH16" i="25"/>
  <c r="BM16" i="25" s="1"/>
  <c r="BT51" i="25"/>
  <c r="BH51" i="25"/>
  <c r="BM51" i="25" s="1"/>
  <c r="BT47" i="25"/>
  <c r="BH47" i="25"/>
  <c r="BM47" i="25" s="1"/>
  <c r="BH7" i="25"/>
  <c r="BM7" i="25" s="1"/>
  <c r="BT7" i="25"/>
  <c r="BT30" i="25"/>
  <c r="BH30" i="25"/>
  <c r="BM30" i="25" s="1"/>
  <c r="BT53" i="25"/>
  <c r="BH53" i="25"/>
  <c r="BM53" i="25" s="1"/>
  <c r="BT44" i="25"/>
  <c r="BH44" i="25"/>
  <c r="BM44" i="25" s="1"/>
  <c r="BT12" i="25"/>
  <c r="BH12" i="25"/>
  <c r="BM12" i="25" s="1"/>
  <c r="BT72" i="25"/>
  <c r="BH72" i="25"/>
  <c r="BM72" i="25" s="1"/>
  <c r="BT41" i="25"/>
  <c r="BH41" i="25"/>
  <c r="BM41" i="25" s="1"/>
  <c r="BT79" i="25"/>
  <c r="BH79" i="25"/>
  <c r="BM79" i="25" s="1"/>
  <c r="BT76" i="25"/>
  <c r="BH76" i="25"/>
  <c r="BM76" i="25" s="1"/>
  <c r="BT11" i="25"/>
  <c r="BH11" i="25"/>
  <c r="BM11" i="25" s="1"/>
  <c r="BT31" i="25"/>
  <c r="BH31" i="25"/>
  <c r="BM31" i="25" s="1"/>
  <c r="BT22" i="25"/>
  <c r="BH22" i="25"/>
  <c r="BM22" i="25" s="1"/>
  <c r="BT101" i="25"/>
  <c r="BH101" i="25"/>
  <c r="BM101" i="25" s="1"/>
  <c r="BT29" i="25"/>
  <c r="BH29" i="25"/>
  <c r="BM29" i="25" s="1"/>
  <c r="BT50" i="25"/>
  <c r="BH50" i="25"/>
  <c r="BM50" i="25" s="1"/>
  <c r="BT49" i="25"/>
  <c r="BX49" i="25" s="1"/>
  <c r="BH49" i="25"/>
  <c r="BM49" i="25" s="1"/>
  <c r="BT87" i="25"/>
  <c r="BH87" i="25"/>
  <c r="BM87" i="25" s="1"/>
  <c r="BT79" i="24"/>
  <c r="BI100" i="24"/>
  <c r="BN100" i="24" s="1"/>
  <c r="BO100" i="24" s="1"/>
  <c r="BT54" i="24"/>
  <c r="BT14" i="24"/>
  <c r="BT95" i="24"/>
  <c r="BI83" i="24"/>
  <c r="BN83" i="24" s="1"/>
  <c r="BO83" i="24" s="1"/>
  <c r="BI50" i="24"/>
  <c r="BN50" i="24" s="1"/>
  <c r="BO50" i="24" s="1"/>
  <c r="BI70" i="24"/>
  <c r="BN70" i="24" s="1"/>
  <c r="BO70" i="24" s="1"/>
  <c r="BI25" i="24"/>
  <c r="BN25" i="24" s="1"/>
  <c r="BO25" i="24" s="1"/>
  <c r="BI60" i="24"/>
  <c r="BN60" i="24" s="1"/>
  <c r="BO60" i="24" s="1"/>
  <c r="BI42" i="24"/>
  <c r="BN42" i="24" s="1"/>
  <c r="BO42" i="24" s="1"/>
  <c r="BI55" i="24"/>
  <c r="BN55" i="24" s="1"/>
  <c r="BO55" i="24" s="1"/>
  <c r="BI28" i="24"/>
  <c r="BN28" i="24" s="1"/>
  <c r="BO28" i="24" s="1"/>
  <c r="BI10" i="24"/>
  <c r="BN10" i="24" s="1"/>
  <c r="BO10" i="24" s="1"/>
  <c r="BI101" i="24"/>
  <c r="BN101" i="24" s="1"/>
  <c r="BO101" i="24" s="1"/>
  <c r="BI19" i="24"/>
  <c r="BN19" i="24" s="1"/>
  <c r="BO19" i="24" s="1"/>
  <c r="BI63" i="24"/>
  <c r="BN63" i="24" s="1"/>
  <c r="BO63" i="24" s="1"/>
  <c r="BT41" i="24"/>
  <c r="BI72" i="24"/>
  <c r="BN72" i="24" s="1"/>
  <c r="BO72" i="24" s="1"/>
  <c r="BI46" i="24"/>
  <c r="BN46" i="24" s="1"/>
  <c r="BO46" i="24" s="1"/>
  <c r="BT91" i="24"/>
  <c r="BT29" i="24"/>
  <c r="BT59" i="24"/>
  <c r="BT85" i="24"/>
  <c r="BT96" i="24"/>
  <c r="BI31" i="24"/>
  <c r="BN31" i="24" s="1"/>
  <c r="BO31" i="24" s="1"/>
  <c r="BI56" i="24"/>
  <c r="BN56" i="24" s="1"/>
  <c r="BO56" i="24" s="1"/>
  <c r="BI18" i="24"/>
  <c r="BN18" i="24" s="1"/>
  <c r="BO18" i="24" s="1"/>
  <c r="BT82" i="24"/>
  <c r="BT36" i="24"/>
  <c r="BT92" i="24"/>
  <c r="BT68" i="24"/>
  <c r="BT87" i="24"/>
  <c r="BT74" i="24"/>
  <c r="BT78" i="24"/>
  <c r="BT105" i="24"/>
  <c r="BT21" i="24"/>
  <c r="BT89" i="24"/>
  <c r="B122" i="2"/>
  <c r="AZ106" i="19"/>
  <c r="BL106" i="19" s="1"/>
  <c r="BM106" i="19" s="1"/>
  <c r="BZ106" i="19" s="1"/>
  <c r="BK106" i="19"/>
  <c r="B257" i="2"/>
  <c r="BI106" i="19"/>
  <c r="BJ106" i="19"/>
  <c r="BC106" i="19"/>
  <c r="BB106" i="19"/>
  <c r="BD106" i="19"/>
  <c r="BG106" i="19"/>
  <c r="BU106" i="19"/>
  <c r="CA106" i="19" s="1"/>
  <c r="BH106" i="19"/>
  <c r="BA106" i="19"/>
  <c r="BF106" i="19"/>
  <c r="BS106" i="19"/>
  <c r="BE106" i="19"/>
  <c r="BX62" i="25" l="1"/>
  <c r="CA62" i="25" s="1"/>
  <c r="CC62" i="25" s="1"/>
  <c r="BX83" i="25"/>
  <c r="BZ83" i="25" s="1"/>
  <c r="BX20" i="25"/>
  <c r="BZ20" i="25" s="1"/>
  <c r="BX86" i="25"/>
  <c r="BZ86" i="25" s="1"/>
  <c r="BX40" i="25"/>
  <c r="BZ40" i="25" s="1"/>
  <c r="BX11" i="25"/>
  <c r="BZ11" i="25" s="1"/>
  <c r="BX42" i="25"/>
  <c r="BZ42" i="25" s="1"/>
  <c r="BX28" i="25"/>
  <c r="CA28" i="25" s="1"/>
  <c r="CC28" i="25" s="1"/>
  <c r="CD28" i="25" s="1"/>
  <c r="BX92" i="25"/>
  <c r="BZ92" i="25" s="1"/>
  <c r="BX41" i="25"/>
  <c r="CA41" i="25" s="1"/>
  <c r="CC41" i="25" s="1"/>
  <c r="CD41" i="25" s="1"/>
  <c r="BX17" i="25"/>
  <c r="CA17" i="25" s="1"/>
  <c r="CC17" i="25" s="1"/>
  <c r="CD17" i="25" s="1"/>
  <c r="BX100" i="25"/>
  <c r="CA100" i="25" s="1"/>
  <c r="CC100" i="25" s="1"/>
  <c r="BX10" i="25"/>
  <c r="CA10" i="25" s="1"/>
  <c r="CC10" i="25" s="1"/>
  <c r="CD10" i="25" s="1"/>
  <c r="BX105" i="25"/>
  <c r="BZ105" i="25" s="1"/>
  <c r="BX80" i="25"/>
  <c r="BZ80" i="25" s="1"/>
  <c r="BX35" i="25"/>
  <c r="BZ35" i="25" s="1"/>
  <c r="BX59" i="25"/>
  <c r="BZ59" i="25" s="1"/>
  <c r="BX64" i="25"/>
  <c r="CA64" i="25" s="1"/>
  <c r="CC64" i="25" s="1"/>
  <c r="CD64" i="25" s="1"/>
  <c r="BX21" i="25"/>
  <c r="BZ21" i="25" s="1"/>
  <c r="BX18" i="25"/>
  <c r="CA18" i="25" s="1"/>
  <c r="CC18" i="25" s="1"/>
  <c r="CD18" i="25" s="1"/>
  <c r="BN65" i="25"/>
  <c r="CA65" i="25"/>
  <c r="CC65" i="25" s="1"/>
  <c r="BN49" i="25"/>
  <c r="CA49" i="25"/>
  <c r="CC49" i="25" s="1"/>
  <c r="CD49" i="25" s="1"/>
  <c r="BN22" i="25"/>
  <c r="BN79" i="25"/>
  <c r="BN44" i="25"/>
  <c r="BN47" i="25"/>
  <c r="BN37" i="25"/>
  <c r="BN78" i="25"/>
  <c r="BN42" i="25"/>
  <c r="BN70" i="25"/>
  <c r="BN71" i="25"/>
  <c r="BN28" i="25"/>
  <c r="BN68" i="25"/>
  <c r="BN75" i="25"/>
  <c r="BN74" i="25"/>
  <c r="CA52" i="25"/>
  <c r="CC52" i="25" s="1"/>
  <c r="BN52" i="25"/>
  <c r="BN54" i="25"/>
  <c r="BN96" i="25"/>
  <c r="BN15" i="25"/>
  <c r="BN91" i="25"/>
  <c r="BX6" i="25"/>
  <c r="BZ6" i="25" s="1"/>
  <c r="CA99" i="25"/>
  <c r="CC99" i="25" s="1"/>
  <c r="CD99" i="25" s="1"/>
  <c r="BN99" i="25"/>
  <c r="BX22" i="25"/>
  <c r="CA22" i="25" s="1"/>
  <c r="CC22" i="25" s="1"/>
  <c r="CD22" i="25" s="1"/>
  <c r="BX44" i="25"/>
  <c r="CA44" i="25" s="1"/>
  <c r="CC44" i="25" s="1"/>
  <c r="BX30" i="25"/>
  <c r="CA30" i="25" s="1"/>
  <c r="CC30" i="25" s="1"/>
  <c r="CD30" i="25" s="1"/>
  <c r="BX16" i="25"/>
  <c r="CA16" i="25" s="1"/>
  <c r="CC16" i="25" s="1"/>
  <c r="CD16" i="25" s="1"/>
  <c r="BX37" i="25"/>
  <c r="CA37" i="25" s="1"/>
  <c r="CC37" i="25" s="1"/>
  <c r="BX71" i="25"/>
  <c r="CA71" i="25" s="1"/>
  <c r="CC71" i="25" s="1"/>
  <c r="BX74" i="25"/>
  <c r="CA74" i="25" s="1"/>
  <c r="CC74" i="25" s="1"/>
  <c r="BX54" i="25"/>
  <c r="CA54" i="25" s="1"/>
  <c r="CC54" i="25" s="1"/>
  <c r="BX46" i="25"/>
  <c r="CA46" i="25" s="1"/>
  <c r="CC46" i="25" s="1"/>
  <c r="BX96" i="25"/>
  <c r="CA96" i="25" s="1"/>
  <c r="CC96" i="25" s="1"/>
  <c r="CD96" i="25" s="1"/>
  <c r="BX15" i="25"/>
  <c r="CA15" i="25" s="1"/>
  <c r="CC15" i="25" s="1"/>
  <c r="CD15" i="25" s="1"/>
  <c r="BX19" i="25"/>
  <c r="BZ19" i="25" s="1"/>
  <c r="BX91" i="25"/>
  <c r="CA91" i="25" s="1"/>
  <c r="CC91" i="25" s="1"/>
  <c r="BN6" i="25"/>
  <c r="CA32" i="25"/>
  <c r="CC32" i="25" s="1"/>
  <c r="BN32" i="25"/>
  <c r="CA55" i="25"/>
  <c r="CC55" i="25" s="1"/>
  <c r="BN55" i="25"/>
  <c r="BN7" i="25"/>
  <c r="BN9" i="25"/>
  <c r="CA90" i="25"/>
  <c r="CC90" i="25" s="1"/>
  <c r="CD90" i="25" s="1"/>
  <c r="BN90" i="25"/>
  <c r="CA58" i="25"/>
  <c r="CC58" i="25" s="1"/>
  <c r="CD58" i="25" s="1"/>
  <c r="BN58" i="25"/>
  <c r="BN29" i="25"/>
  <c r="BN11" i="25"/>
  <c r="BN72" i="25"/>
  <c r="BN30" i="25"/>
  <c r="BN16" i="25"/>
  <c r="BN40" i="25"/>
  <c r="CA103" i="25"/>
  <c r="CC103" i="25" s="1"/>
  <c r="BN103" i="25"/>
  <c r="CA102" i="25"/>
  <c r="CC102" i="25" s="1"/>
  <c r="BN102" i="25"/>
  <c r="BN82" i="25"/>
  <c r="BN56" i="25"/>
  <c r="BN62" i="25"/>
  <c r="BN63" i="25"/>
  <c r="BN83" i="25"/>
  <c r="BN61" i="25"/>
  <c r="CA61" i="25"/>
  <c r="CC61" i="25" s="1"/>
  <c r="BN20" i="25"/>
  <c r="BN86" i="25"/>
  <c r="BN46" i="25"/>
  <c r="CA38" i="25"/>
  <c r="CC38" i="25" s="1"/>
  <c r="CD38" i="25" s="1"/>
  <c r="BN38" i="25"/>
  <c r="BN19" i="25"/>
  <c r="BN92" i="25"/>
  <c r="CA23" i="25"/>
  <c r="CC23" i="25" s="1"/>
  <c r="CD23" i="25" s="1"/>
  <c r="BN23" i="25"/>
  <c r="BN73" i="25"/>
  <c r="CA73" i="25"/>
  <c r="CC73" i="25" s="1"/>
  <c r="BN33" i="25"/>
  <c r="CA33" i="25"/>
  <c r="CC33" i="25" s="1"/>
  <c r="CD33" i="25" s="1"/>
  <c r="BN87" i="25"/>
  <c r="BN50" i="25"/>
  <c r="BN101" i="25"/>
  <c r="BN31" i="25"/>
  <c r="BN76" i="25"/>
  <c r="BN41" i="25"/>
  <c r="BN12" i="25"/>
  <c r="BN53" i="25"/>
  <c r="BX7" i="25"/>
  <c r="BZ7" i="25" s="1"/>
  <c r="BN51" i="25"/>
  <c r="BN17" i="25"/>
  <c r="BN39" i="25"/>
  <c r="BN88" i="25"/>
  <c r="BN100" i="25"/>
  <c r="BN93" i="25"/>
  <c r="BN14" i="25"/>
  <c r="BN27" i="25"/>
  <c r="BN10" i="25"/>
  <c r="CA34" i="25"/>
  <c r="CC34" i="25" s="1"/>
  <c r="CD34" i="25" s="1"/>
  <c r="BN34" i="25"/>
  <c r="BN48" i="25"/>
  <c r="BN105" i="25"/>
  <c r="E45" i="1" s="1"/>
  <c r="E46" i="1" s="1"/>
  <c r="BN26" i="25"/>
  <c r="BN77" i="25"/>
  <c r="BN25" i="25"/>
  <c r="BN80" i="25"/>
  <c r="BN69" i="25"/>
  <c r="BN35" i="25"/>
  <c r="BN97" i="25"/>
  <c r="BN13" i="25"/>
  <c r="BN81" i="25"/>
  <c r="BN89" i="25"/>
  <c r="BN8" i="25"/>
  <c r="BN24" i="25"/>
  <c r="BN104" i="25"/>
  <c r="BN59" i="25"/>
  <c r="BN64" i="25"/>
  <c r="BN67" i="25"/>
  <c r="BN94" i="25"/>
  <c r="BN21" i="25"/>
  <c r="BN36" i="25"/>
  <c r="BN45" i="25"/>
  <c r="CA43" i="25"/>
  <c r="CC43" i="25" s="1"/>
  <c r="CD43" i="25" s="1"/>
  <c r="BN43" i="25"/>
  <c r="CA60" i="25"/>
  <c r="CC60" i="25" s="1"/>
  <c r="BN60" i="25"/>
  <c r="CA98" i="25"/>
  <c r="CC98" i="25" s="1"/>
  <c r="BN98" i="25"/>
  <c r="BZ32" i="25"/>
  <c r="BZ60" i="25"/>
  <c r="BZ49" i="25"/>
  <c r="BZ34" i="25"/>
  <c r="BZ99" i="25"/>
  <c r="BZ90" i="25"/>
  <c r="BZ33" i="25"/>
  <c r="BZ98" i="25"/>
  <c r="BZ103" i="25"/>
  <c r="BZ61" i="25"/>
  <c r="BZ52" i="25"/>
  <c r="BZ38" i="25"/>
  <c r="BZ23" i="25"/>
  <c r="BZ65" i="25"/>
  <c r="BZ55" i="25"/>
  <c r="BZ43" i="25"/>
  <c r="BZ102" i="25"/>
  <c r="BZ73" i="25"/>
  <c r="BZ58" i="25"/>
  <c r="BX50" i="25"/>
  <c r="CA50" i="25" s="1"/>
  <c r="BX51" i="25"/>
  <c r="CA51" i="25" s="1"/>
  <c r="BX78" i="25"/>
  <c r="CA78" i="25" s="1"/>
  <c r="BX63" i="25"/>
  <c r="CA63" i="25" s="1"/>
  <c r="BX75" i="25"/>
  <c r="CA75" i="25" s="1"/>
  <c r="BX101" i="25"/>
  <c r="CA101" i="25" s="1"/>
  <c r="BX76" i="25"/>
  <c r="CA76" i="25" s="1"/>
  <c r="BX12" i="25"/>
  <c r="CA12" i="25" s="1"/>
  <c r="BX53" i="25"/>
  <c r="CA53" i="25" s="1"/>
  <c r="BX82" i="25"/>
  <c r="CA82" i="25" s="1"/>
  <c r="BX70" i="25"/>
  <c r="CA70" i="25" s="1"/>
  <c r="BX9" i="25"/>
  <c r="CA9" i="25" s="1"/>
  <c r="BX57" i="25"/>
  <c r="CA57" i="25" s="1"/>
  <c r="BX68" i="25"/>
  <c r="CA68" i="25" s="1"/>
  <c r="BX27" i="25"/>
  <c r="CA27" i="25" s="1"/>
  <c r="BX26" i="25"/>
  <c r="CA26" i="25" s="1"/>
  <c r="BZ19" i="24"/>
  <c r="CB19" i="24" s="1"/>
  <c r="CC19" i="24" s="1"/>
  <c r="BY19" i="24"/>
  <c r="BZ72" i="24"/>
  <c r="CB72" i="24" s="1"/>
  <c r="CC72" i="24" s="1"/>
  <c r="BY72" i="24"/>
  <c r="BZ10" i="24"/>
  <c r="CB10" i="24" s="1"/>
  <c r="CC10" i="24" s="1"/>
  <c r="BY10" i="24"/>
  <c r="BZ101" i="24"/>
  <c r="CB101" i="24" s="1"/>
  <c r="CC101" i="24" s="1"/>
  <c r="BY101" i="24"/>
  <c r="BZ55" i="24"/>
  <c r="CB55" i="24" s="1"/>
  <c r="CC55" i="24" s="1"/>
  <c r="B255" i="2" s="1"/>
  <c r="BY55" i="24"/>
  <c r="BZ100" i="24"/>
  <c r="CB100" i="24" s="1"/>
  <c r="BY100" i="24"/>
  <c r="BZ56" i="24"/>
  <c r="CB56" i="24" s="1"/>
  <c r="CC56" i="24" s="1"/>
  <c r="BY56" i="24"/>
  <c r="BZ25" i="24"/>
  <c r="CB25" i="24" s="1"/>
  <c r="CC25" i="24" s="1"/>
  <c r="BY25" i="24"/>
  <c r="BZ70" i="24"/>
  <c r="CB70" i="24" s="1"/>
  <c r="BY70" i="24"/>
  <c r="BZ60" i="24"/>
  <c r="CB60" i="24" s="1"/>
  <c r="BY60" i="24"/>
  <c r="BZ63" i="24"/>
  <c r="CB63" i="24" s="1"/>
  <c r="CG63" i="24" s="1"/>
  <c r="BY63" i="24"/>
  <c r="BZ31" i="24"/>
  <c r="CB31" i="24" s="1"/>
  <c r="CC31" i="24" s="1"/>
  <c r="BY31" i="24"/>
  <c r="BZ28" i="24"/>
  <c r="CB28" i="24" s="1"/>
  <c r="CC28" i="24" s="1"/>
  <c r="BY28" i="24"/>
  <c r="BZ18" i="24"/>
  <c r="CB18" i="24" s="1"/>
  <c r="CC18" i="24" s="1"/>
  <c r="BY18" i="24"/>
  <c r="BX48" i="25"/>
  <c r="CA48" i="25" s="1"/>
  <c r="BX66" i="25"/>
  <c r="CA66" i="25" s="1"/>
  <c r="BZ69" i="24"/>
  <c r="CB69" i="24" s="1"/>
  <c r="CC69" i="24" s="1"/>
  <c r="BY69" i="24"/>
  <c r="BZ42" i="24"/>
  <c r="CB42" i="24" s="1"/>
  <c r="CC42" i="24" s="1"/>
  <c r="BY42" i="24"/>
  <c r="BZ83" i="24"/>
  <c r="CB83" i="24" s="1"/>
  <c r="CC83" i="24" s="1"/>
  <c r="BY83" i="24"/>
  <c r="BZ46" i="24"/>
  <c r="CB46" i="24" s="1"/>
  <c r="CC46" i="24" s="1"/>
  <c r="BY46" i="24"/>
  <c r="BZ50" i="24"/>
  <c r="CB50" i="24" s="1"/>
  <c r="BY50" i="24"/>
  <c r="BX87" i="25"/>
  <c r="CA87" i="25" s="1"/>
  <c r="BX56" i="25"/>
  <c r="CA56" i="25" s="1"/>
  <c r="BX85" i="25"/>
  <c r="CA85" i="25" s="1"/>
  <c r="BX39" i="25"/>
  <c r="CA39" i="25" s="1"/>
  <c r="BX88" i="25"/>
  <c r="CA88" i="25" s="1"/>
  <c r="BX93" i="25"/>
  <c r="CA93" i="25" s="1"/>
  <c r="BX14" i="25"/>
  <c r="CA14" i="25" s="1"/>
  <c r="BX77" i="25"/>
  <c r="CA77" i="25" s="1"/>
  <c r="BX25" i="25"/>
  <c r="CA25" i="25" s="1"/>
  <c r="BX69" i="25"/>
  <c r="CA69" i="25" s="1"/>
  <c r="BX97" i="25"/>
  <c r="CA97" i="25" s="1"/>
  <c r="BX13" i="25"/>
  <c r="CA13" i="25" s="1"/>
  <c r="BX81" i="25"/>
  <c r="CA81" i="25" s="1"/>
  <c r="BX89" i="25"/>
  <c r="CA89" i="25" s="1"/>
  <c r="BX8" i="25"/>
  <c r="CA8" i="25" s="1"/>
  <c r="BX24" i="25"/>
  <c r="CA24" i="25" s="1"/>
  <c r="BX104" i="25"/>
  <c r="CA104" i="25" s="1"/>
  <c r="BX67" i="25"/>
  <c r="CA67" i="25" s="1"/>
  <c r="BX94" i="25"/>
  <c r="CA94" i="25" s="1"/>
  <c r="BX36" i="25"/>
  <c r="CA36" i="25" s="1"/>
  <c r="BX45" i="25"/>
  <c r="CA45" i="25" s="1"/>
  <c r="BX84" i="25"/>
  <c r="CA84" i="25" s="1"/>
  <c r="BX95" i="25"/>
  <c r="CA95" i="25" s="1"/>
  <c r="BX31" i="25"/>
  <c r="CA31" i="25" s="1"/>
  <c r="BX29" i="25"/>
  <c r="CA29" i="25" s="1"/>
  <c r="BX79" i="25"/>
  <c r="CA79" i="25" s="1"/>
  <c r="BX72" i="25"/>
  <c r="CA72" i="25" s="1"/>
  <c r="BX47" i="25"/>
  <c r="CA47" i="25" s="1"/>
  <c r="BZ5" i="24"/>
  <c r="CB5" i="24" s="1"/>
  <c r="CC5" i="24" s="1"/>
  <c r="BZ53" i="24"/>
  <c r="CB53" i="24" s="1"/>
  <c r="CC53" i="24" s="1"/>
  <c r="BZ32" i="24"/>
  <c r="CB32" i="24" s="1"/>
  <c r="CC32" i="24" s="1"/>
  <c r="BT22" i="24"/>
  <c r="BW22" i="24" s="1"/>
  <c r="BY22" i="24" s="1"/>
  <c r="BW82" i="24"/>
  <c r="BY82" i="24" s="1"/>
  <c r="BW87" i="24"/>
  <c r="BY87" i="24" s="1"/>
  <c r="BW96" i="24"/>
  <c r="BY96" i="24" s="1"/>
  <c r="BW91" i="24"/>
  <c r="BY91" i="24" s="1"/>
  <c r="BW79" i="24"/>
  <c r="BY79" i="24" s="1"/>
  <c r="BW104" i="24"/>
  <c r="BY104" i="24" s="1"/>
  <c r="BW105" i="24"/>
  <c r="BY105" i="24" s="1"/>
  <c r="BW68" i="24"/>
  <c r="BY68" i="24" s="1"/>
  <c r="BW85" i="24"/>
  <c r="BY85" i="24" s="1"/>
  <c r="BW14" i="24"/>
  <c r="BY14" i="24" s="1"/>
  <c r="BW78" i="24"/>
  <c r="BY78" i="24" s="1"/>
  <c r="BW92" i="24"/>
  <c r="BY92" i="24" s="1"/>
  <c r="BW59" i="24"/>
  <c r="BY59" i="24" s="1"/>
  <c r="BW54" i="24"/>
  <c r="BY54" i="24" s="1"/>
  <c r="BW81" i="24"/>
  <c r="BW51" i="24"/>
  <c r="BW73" i="24"/>
  <c r="BW21" i="24"/>
  <c r="BY21" i="24" s="1"/>
  <c r="BW95" i="24"/>
  <c r="BY95" i="24" s="1"/>
  <c r="BW34" i="24"/>
  <c r="BY34" i="24" s="1"/>
  <c r="BW43" i="24"/>
  <c r="BW89" i="24"/>
  <c r="BY89" i="24" s="1"/>
  <c r="BW74" i="24"/>
  <c r="BY74" i="24" s="1"/>
  <c r="BW36" i="24"/>
  <c r="BY36" i="24" s="1"/>
  <c r="BW29" i="24"/>
  <c r="BW41" i="24"/>
  <c r="BY41" i="24" s="1"/>
  <c r="BW40" i="24"/>
  <c r="BW35" i="24"/>
  <c r="BY166" i="24"/>
  <c r="BT165" i="24"/>
  <c r="BY165" i="24" s="1"/>
  <c r="BI167" i="24"/>
  <c r="BO167" i="24" s="1"/>
  <c r="BN171" i="25"/>
  <c r="CA171" i="25"/>
  <c r="CC171" i="25" s="1"/>
  <c r="BN154" i="25"/>
  <c r="CA154" i="25"/>
  <c r="CC154" i="25" s="1"/>
  <c r="CA147" i="25"/>
  <c r="CC147" i="25" s="1"/>
  <c r="BN147" i="25"/>
  <c r="CA139" i="25"/>
  <c r="CC139" i="25" s="1"/>
  <c r="BN139" i="25"/>
  <c r="CA115" i="25"/>
  <c r="CC115" i="25" s="1"/>
  <c r="CD115" i="25" s="1"/>
  <c r="BN115" i="25"/>
  <c r="CA200" i="25"/>
  <c r="CC200" i="25" s="1"/>
  <c r="BN200" i="25"/>
  <c r="CA134" i="25"/>
  <c r="CC134" i="25" s="1"/>
  <c r="BN134" i="25"/>
  <c r="BN126" i="25"/>
  <c r="CA126" i="25"/>
  <c r="CC126" i="25" s="1"/>
  <c r="CD126" i="25" s="1"/>
  <c r="BN132" i="25"/>
  <c r="CA132" i="25"/>
  <c r="CC132" i="25" s="1"/>
  <c r="CD132" i="25" s="1"/>
  <c r="BN156" i="25"/>
  <c r="CA156" i="25"/>
  <c r="CC156" i="25" s="1"/>
  <c r="CA128" i="25"/>
  <c r="CC128" i="25" s="1"/>
  <c r="BN128" i="25"/>
  <c r="BN173" i="25"/>
  <c r="CA173" i="25"/>
  <c r="CC173" i="25" s="1"/>
  <c r="BN127" i="25"/>
  <c r="CA127" i="25"/>
  <c r="CC127" i="25" s="1"/>
  <c r="BN186" i="25"/>
  <c r="CA186" i="25"/>
  <c r="CC186" i="25" s="1"/>
  <c r="BN166" i="25"/>
  <c r="CA166" i="25"/>
  <c r="CC166" i="25" s="1"/>
  <c r="BN184" i="25"/>
  <c r="CA184" i="25"/>
  <c r="CC184" i="25" s="1"/>
  <c r="BN157" i="25"/>
  <c r="CA157" i="25"/>
  <c r="CC157" i="25" s="1"/>
  <c r="CA124" i="25"/>
  <c r="CC124" i="25" s="1"/>
  <c r="BN124" i="25"/>
  <c r="CA176" i="25"/>
  <c r="CC176" i="25" s="1"/>
  <c r="BN176" i="25"/>
  <c r="BN172" i="25"/>
  <c r="CA172" i="25"/>
  <c r="CC172" i="25" s="1"/>
  <c r="BN203" i="25"/>
  <c r="CA203" i="25"/>
  <c r="CC203" i="25" s="1"/>
  <c r="BN113" i="25"/>
  <c r="CA113" i="25"/>
  <c r="CC113" i="25" s="1"/>
  <c r="CD113" i="25" s="1"/>
  <c r="CA131" i="25"/>
  <c r="CC131" i="25" s="1"/>
  <c r="BN131" i="25"/>
  <c r="BN178" i="25"/>
  <c r="CA178" i="25"/>
  <c r="CC178" i="25" s="1"/>
  <c r="BN121" i="25"/>
  <c r="CA121" i="25"/>
  <c r="CC121" i="25" s="1"/>
  <c r="BT110" i="25"/>
  <c r="BZ110" i="25" s="1"/>
  <c r="BH110" i="25"/>
  <c r="BN129" i="25"/>
  <c r="CA129" i="25"/>
  <c r="CC129" i="25" s="1"/>
  <c r="BN183" i="25"/>
  <c r="CA183" i="25"/>
  <c r="CC183" i="25" s="1"/>
  <c r="CA161" i="25"/>
  <c r="CC161" i="25" s="1"/>
  <c r="BN161" i="25"/>
  <c r="CA133" i="25"/>
  <c r="CC133" i="25" s="1"/>
  <c r="BN133" i="25"/>
  <c r="CA193" i="25"/>
  <c r="CC193" i="25" s="1"/>
  <c r="BN193" i="25"/>
  <c r="BN138" i="25"/>
  <c r="CA138" i="25"/>
  <c r="CC138" i="25" s="1"/>
  <c r="CA144" i="25"/>
  <c r="CC144" i="25" s="1"/>
  <c r="BN144" i="25"/>
  <c r="CA125" i="25"/>
  <c r="CC125" i="25" s="1"/>
  <c r="CD125" i="25" s="1"/>
  <c r="BN125" i="25"/>
  <c r="BN164" i="25"/>
  <c r="CA164" i="25"/>
  <c r="CC164" i="25" s="1"/>
  <c r="CA197" i="25"/>
  <c r="CC197" i="25" s="1"/>
  <c r="BN197" i="25"/>
  <c r="CA112" i="25"/>
  <c r="CC112" i="25" s="1"/>
  <c r="CD112" i="25" s="1"/>
  <c r="BN112" i="25"/>
  <c r="BN119" i="25"/>
  <c r="CA119" i="25"/>
  <c r="CC119" i="25" s="1"/>
  <c r="BN206" i="25"/>
  <c r="CA206" i="25"/>
  <c r="CC206" i="25" s="1"/>
  <c r="CA114" i="25"/>
  <c r="CC114" i="25" s="1"/>
  <c r="BN114" i="25"/>
  <c r="BN137" i="25"/>
  <c r="CA137" i="25"/>
  <c r="CC137" i="25" s="1"/>
  <c r="CA136" i="25"/>
  <c r="CC136" i="25" s="1"/>
  <c r="BN136" i="25"/>
  <c r="BN165" i="25"/>
  <c r="CA165" i="25"/>
  <c r="CC165" i="25" s="1"/>
  <c r="BN185" i="25"/>
  <c r="CA185" i="25"/>
  <c r="CC185" i="25" s="1"/>
  <c r="CA141" i="25"/>
  <c r="CC141" i="25" s="1"/>
  <c r="BN141" i="25"/>
  <c r="BN201" i="25"/>
  <c r="CA201" i="25"/>
  <c r="CC201" i="25" s="1"/>
  <c r="CD201" i="25" s="1"/>
  <c r="CA174" i="25"/>
  <c r="CC174" i="25" s="1"/>
  <c r="BN174" i="25"/>
  <c r="CA140" i="25"/>
  <c r="CC140" i="25" s="1"/>
  <c r="BN140" i="25"/>
  <c r="CA120" i="25"/>
  <c r="CC120" i="25" s="1"/>
  <c r="CD120" i="25" s="1"/>
  <c r="BN120" i="25"/>
  <c r="BN148" i="25"/>
  <c r="CA148" i="25"/>
  <c r="CC148" i="25" s="1"/>
  <c r="CA192" i="25"/>
  <c r="CC192" i="25" s="1"/>
  <c r="BN192" i="25"/>
  <c r="BN117" i="25"/>
  <c r="CA117" i="25"/>
  <c r="CC117" i="25" s="1"/>
  <c r="CA181" i="25"/>
  <c r="CC181" i="25" s="1"/>
  <c r="BN181" i="25"/>
  <c r="CA116" i="25"/>
  <c r="CC116" i="25" s="1"/>
  <c r="BN116" i="25"/>
  <c r="BN123" i="25"/>
  <c r="CA123" i="25"/>
  <c r="CC123" i="25" s="1"/>
  <c r="CD123" i="25" s="1"/>
  <c r="CA170" i="25"/>
  <c r="CC170" i="25" s="1"/>
  <c r="BN170" i="25"/>
  <c r="CA122" i="25"/>
  <c r="CC122" i="25" s="1"/>
  <c r="CD122" i="25" s="1"/>
  <c r="BN122" i="25"/>
  <c r="CA210" i="25"/>
  <c r="CC210" i="25" s="1"/>
  <c r="CD210" i="25" s="1"/>
  <c r="BN210" i="25"/>
  <c r="BN158" i="25"/>
  <c r="CA158" i="25"/>
  <c r="CC158" i="25" s="1"/>
  <c r="BN163" i="25"/>
  <c r="CA163" i="25"/>
  <c r="CC163" i="25" s="1"/>
  <c r="BN111" i="25"/>
  <c r="CA111" i="25"/>
  <c r="CC111" i="25" s="1"/>
  <c r="CD111" i="25" s="1"/>
  <c r="BN159" i="25"/>
  <c r="CA159" i="25"/>
  <c r="CC159" i="25" s="1"/>
  <c r="CA160" i="25"/>
  <c r="CC160" i="25" s="1"/>
  <c r="BN168" i="25"/>
  <c r="CA168" i="25"/>
  <c r="CC168" i="25" s="1"/>
  <c r="BN191" i="25"/>
  <c r="CA191" i="25"/>
  <c r="CC191" i="25" s="1"/>
  <c r="BN142" i="25"/>
  <c r="CA142" i="25"/>
  <c r="CC142" i="25" s="1"/>
  <c r="BN145" i="25"/>
  <c r="CA145" i="25"/>
  <c r="CC145" i="25" s="1"/>
  <c r="CA180" i="25"/>
  <c r="CC180" i="25" s="1"/>
  <c r="BN180" i="25"/>
  <c r="CA204" i="25"/>
  <c r="CC204" i="25" s="1"/>
  <c r="CD204" i="25" s="1"/>
  <c r="BN204" i="25"/>
  <c r="CA188" i="25"/>
  <c r="CC188" i="25" s="1"/>
  <c r="BN188" i="25"/>
  <c r="BN155" i="25"/>
  <c r="CA155" i="25"/>
  <c r="CC155" i="25" s="1"/>
  <c r="CA187" i="25"/>
  <c r="CC187" i="25" s="1"/>
  <c r="BN187" i="25"/>
  <c r="CA167" i="25"/>
  <c r="CC167" i="25" s="1"/>
  <c r="BN167" i="25"/>
  <c r="BN169" i="25"/>
  <c r="CA169" i="25"/>
  <c r="CC169" i="25" s="1"/>
  <c r="CD169" i="25" s="1"/>
  <c r="BN150" i="25"/>
  <c r="CA150" i="25"/>
  <c r="CC150" i="25" s="1"/>
  <c r="BN146" i="25"/>
  <c r="CA146" i="25"/>
  <c r="CC146" i="25" s="1"/>
  <c r="BN179" i="25"/>
  <c r="CA179" i="25"/>
  <c r="CC179" i="25" s="1"/>
  <c r="CA151" i="25"/>
  <c r="CC151" i="25" s="1"/>
  <c r="BN151" i="25"/>
  <c r="CA153" i="25"/>
  <c r="CC153" i="25" s="1"/>
  <c r="BN153" i="25"/>
  <c r="CA149" i="25"/>
  <c r="CC149" i="25" s="1"/>
  <c r="BN149" i="25"/>
  <c r="BN199" i="25"/>
  <c r="CA199" i="25"/>
  <c r="CC199" i="25" s="1"/>
  <c r="CA196" i="25"/>
  <c r="CC196" i="25" s="1"/>
  <c r="CD196" i="25" s="1"/>
  <c r="BN196" i="25"/>
  <c r="CA205" i="25"/>
  <c r="CC205" i="25" s="1"/>
  <c r="CD205" i="25" s="1"/>
  <c r="BN205" i="25"/>
  <c r="BN195" i="25"/>
  <c r="CA195" i="25"/>
  <c r="CC195" i="25" s="1"/>
  <c r="CA190" i="25"/>
  <c r="CC190" i="25" s="1"/>
  <c r="CD190" i="25" s="1"/>
  <c r="BN190" i="25"/>
  <c r="CA194" i="25"/>
  <c r="CC194" i="25" s="1"/>
  <c r="BN194" i="25"/>
  <c r="BN135" i="25"/>
  <c r="CA135" i="25"/>
  <c r="CC135" i="25" s="1"/>
  <c r="BN177" i="25"/>
  <c r="CA177" i="25"/>
  <c r="CC177" i="25" s="1"/>
  <c r="CA209" i="25"/>
  <c r="CC209" i="25" s="1"/>
  <c r="BN209" i="25"/>
  <c r="CA118" i="25"/>
  <c r="CC118" i="25" s="1"/>
  <c r="CD118" i="25" s="1"/>
  <c r="BN118" i="25"/>
  <c r="CA182" i="25"/>
  <c r="CC182" i="25" s="1"/>
  <c r="BN182" i="25"/>
  <c r="CA208" i="25"/>
  <c r="CC208" i="25" s="1"/>
  <c r="CD208" i="25" s="1"/>
  <c r="BN208" i="25"/>
  <c r="CA130" i="25"/>
  <c r="CC130" i="25" s="1"/>
  <c r="CD130" i="25" s="1"/>
  <c r="BN130" i="25"/>
  <c r="BN207" i="25"/>
  <c r="CA207" i="25"/>
  <c r="CC207" i="25" s="1"/>
  <c r="CD207" i="25" s="1"/>
  <c r="CA162" i="25"/>
  <c r="CC162" i="25" s="1"/>
  <c r="BN162" i="25"/>
  <c r="BN143" i="25"/>
  <c r="CA143" i="25"/>
  <c r="CC143" i="25" s="1"/>
  <c r="CA202" i="25"/>
  <c r="CC202" i="25" s="1"/>
  <c r="BN202" i="25"/>
  <c r="CA198" i="25"/>
  <c r="CC198" i="25" s="1"/>
  <c r="BN198" i="25"/>
  <c r="BN189" i="25"/>
  <c r="CA189" i="25"/>
  <c r="CC189" i="25" s="1"/>
  <c r="BN175" i="25"/>
  <c r="CA175" i="25"/>
  <c r="CC175" i="25" s="1"/>
  <c r="BN152" i="25"/>
  <c r="CA152" i="25"/>
  <c r="CC152" i="25" s="1"/>
  <c r="BI115" i="24"/>
  <c r="BO115" i="24" s="1"/>
  <c r="BZ122" i="24"/>
  <c r="CB122" i="24" s="1"/>
  <c r="BO122" i="24"/>
  <c r="BZ118" i="24"/>
  <c r="CB118" i="24" s="1"/>
  <c r="CC118" i="24" s="1"/>
  <c r="BO118" i="24"/>
  <c r="BO111" i="24"/>
  <c r="BZ111" i="24"/>
  <c r="CB111" i="24" s="1"/>
  <c r="CC111" i="24" s="1"/>
  <c r="BZ125" i="24"/>
  <c r="CB125" i="24" s="1"/>
  <c r="BO125" i="24"/>
  <c r="BT110" i="24"/>
  <c r="BY110" i="24" s="1"/>
  <c r="BI110" i="24"/>
  <c r="BT192" i="24"/>
  <c r="BY192" i="24" s="1"/>
  <c r="BI192" i="24"/>
  <c r="BZ142" i="24"/>
  <c r="CB142" i="24" s="1"/>
  <c r="BO142" i="24"/>
  <c r="BT130" i="24"/>
  <c r="BY130" i="24" s="1"/>
  <c r="BI130" i="24"/>
  <c r="BZ120" i="24"/>
  <c r="CB120" i="24" s="1"/>
  <c r="CC120" i="24" s="1"/>
  <c r="BO120" i="24"/>
  <c r="BZ154" i="24"/>
  <c r="CB154" i="24" s="1"/>
  <c r="BO154" i="24"/>
  <c r="BZ204" i="24"/>
  <c r="CB204" i="24" s="1"/>
  <c r="BO204" i="24"/>
  <c r="BZ162" i="24"/>
  <c r="CB162" i="24" s="1"/>
  <c r="CC162" i="24" s="1"/>
  <c r="BO162" i="24"/>
  <c r="BZ121" i="24"/>
  <c r="CB121" i="24" s="1"/>
  <c r="CC121" i="24" s="1"/>
  <c r="BO121" i="24"/>
  <c r="BZ173" i="24"/>
  <c r="CB173" i="24" s="1"/>
  <c r="BO173" i="24"/>
  <c r="BI208" i="24"/>
  <c r="BT208" i="24"/>
  <c r="BY208" i="24" s="1"/>
  <c r="BT210" i="24"/>
  <c r="BY210" i="24" s="1"/>
  <c r="BI210" i="24"/>
  <c r="BZ133" i="24"/>
  <c r="CB133" i="24" s="1"/>
  <c r="CC133" i="24" s="1"/>
  <c r="BO133" i="24"/>
  <c r="BZ184" i="24"/>
  <c r="CB184" i="24" s="1"/>
  <c r="BO184" i="24"/>
  <c r="BZ138" i="24"/>
  <c r="CB138" i="24" s="1"/>
  <c r="BO138" i="24"/>
  <c r="BT206" i="24"/>
  <c r="BY206" i="24" s="1"/>
  <c r="BI206" i="24"/>
  <c r="BT123" i="24"/>
  <c r="BY123" i="24" s="1"/>
  <c r="BI123" i="24"/>
  <c r="BZ200" i="24"/>
  <c r="CB200" i="24" s="1"/>
  <c r="BO200" i="24"/>
  <c r="BT161" i="24"/>
  <c r="BY161" i="24" s="1"/>
  <c r="BI161" i="24"/>
  <c r="BZ178" i="24"/>
  <c r="CB178" i="24" s="1"/>
  <c r="BO178" i="24"/>
  <c r="BZ201" i="24"/>
  <c r="CB201" i="24" s="1"/>
  <c r="CC201" i="24" s="1"/>
  <c r="BO201" i="24"/>
  <c r="BT176" i="24"/>
  <c r="BY176" i="24" s="1"/>
  <c r="BI176" i="24"/>
  <c r="BZ185" i="24"/>
  <c r="CB185" i="24" s="1"/>
  <c r="BY185" i="24"/>
  <c r="BZ170" i="24"/>
  <c r="CB170" i="24" s="1"/>
  <c r="BO170" i="24"/>
  <c r="BT159" i="24"/>
  <c r="BY159" i="24" s="1"/>
  <c r="BI159" i="24"/>
  <c r="BT181" i="24"/>
  <c r="BI181" i="24"/>
  <c r="BO181" i="24" s="1"/>
  <c r="BT136" i="24"/>
  <c r="BY136" i="24" s="1"/>
  <c r="BI136" i="24"/>
  <c r="BZ116" i="24"/>
  <c r="CB116" i="24" s="1"/>
  <c r="CC116" i="24" s="1"/>
  <c r="BO116" i="24"/>
  <c r="BZ158" i="24"/>
  <c r="CB158" i="24" s="1"/>
  <c r="BO158" i="24"/>
  <c r="BO131" i="24"/>
  <c r="BZ131" i="24"/>
  <c r="CB131" i="24" s="1"/>
  <c r="CC131" i="24" s="1"/>
  <c r="BZ128" i="24"/>
  <c r="CB128" i="24" s="1"/>
  <c r="BO128" i="24"/>
  <c r="BO147" i="24"/>
  <c r="BZ147" i="24"/>
  <c r="CB147" i="24" s="1"/>
  <c r="BO127" i="24"/>
  <c r="BZ127" i="24"/>
  <c r="CB127" i="24" s="1"/>
  <c r="CC127" i="24" s="1"/>
  <c r="BT199" i="24"/>
  <c r="BY199" i="24" s="1"/>
  <c r="BI199" i="24"/>
  <c r="BT194" i="24"/>
  <c r="BY194" i="24" s="1"/>
  <c r="BI194" i="24"/>
  <c r="BO139" i="24"/>
  <c r="BZ139" i="24"/>
  <c r="CB139" i="24" s="1"/>
  <c r="BO207" i="24"/>
  <c r="BZ207" i="24"/>
  <c r="CB207" i="24" s="1"/>
  <c r="BO143" i="24"/>
  <c r="BZ143" i="24"/>
  <c r="CB143" i="24" s="1"/>
  <c r="CC143" i="24" s="1"/>
  <c r="BZ180" i="24"/>
  <c r="CB180" i="24" s="1"/>
  <c r="CC180" i="24" s="1"/>
  <c r="BO180" i="24"/>
  <c r="BZ137" i="24"/>
  <c r="CB137" i="24" s="1"/>
  <c r="CC137" i="24" s="1"/>
  <c r="BO137" i="24"/>
  <c r="BZ202" i="24"/>
  <c r="CB202" i="24" s="1"/>
  <c r="BO202" i="24"/>
  <c r="BZ198" i="24"/>
  <c r="CB198" i="24" s="1"/>
  <c r="CC198" i="24" s="1"/>
  <c r="BO198" i="24"/>
  <c r="BT114" i="24"/>
  <c r="BY114" i="24" s="1"/>
  <c r="BI114" i="24"/>
  <c r="BT155" i="24"/>
  <c r="BY155" i="24" s="1"/>
  <c r="BI155" i="24"/>
  <c r="BZ146" i="24"/>
  <c r="CB146" i="24" s="1"/>
  <c r="BO146" i="24"/>
  <c r="BT189" i="24"/>
  <c r="BI189" i="24"/>
  <c r="BO189" i="24" s="1"/>
  <c r="BZ145" i="24"/>
  <c r="CB145" i="24" s="1"/>
  <c r="CC145" i="24" s="1"/>
  <c r="BO145" i="24"/>
  <c r="BO175" i="24"/>
  <c r="BZ175" i="24"/>
  <c r="CB175" i="24" s="1"/>
  <c r="BZ124" i="24"/>
  <c r="CB124" i="24" s="1"/>
  <c r="BO124" i="24"/>
  <c r="BZ132" i="24"/>
  <c r="CB132" i="24" s="1"/>
  <c r="CC132" i="24" s="1"/>
  <c r="BO132" i="24"/>
  <c r="BO179" i="24"/>
  <c r="BZ179" i="24"/>
  <c r="CB179" i="24" s="1"/>
  <c r="BZ166" i="24"/>
  <c r="CB166" i="24" s="1"/>
  <c r="BO166" i="24"/>
  <c r="BZ177" i="24"/>
  <c r="CB177" i="24" s="1"/>
  <c r="CC177" i="24" s="1"/>
  <c r="BO177" i="24"/>
  <c r="BO171" i="24"/>
  <c r="BZ171" i="24"/>
  <c r="CB171" i="24" s="1"/>
  <c r="CC171" i="24" s="1"/>
  <c r="BZ197" i="24"/>
  <c r="CB197" i="24" s="1"/>
  <c r="BO197" i="24"/>
  <c r="BZ113" i="24"/>
  <c r="CB113" i="24" s="1"/>
  <c r="CC113" i="24" s="1"/>
  <c r="BO113" i="24"/>
  <c r="BZ140" i="24"/>
  <c r="CB140" i="24" s="1"/>
  <c r="BO140" i="24"/>
  <c r="BZ150" i="24"/>
  <c r="CB150" i="24" s="1"/>
  <c r="BO150" i="24"/>
  <c r="BT182" i="24"/>
  <c r="BI182" i="24"/>
  <c r="BO182" i="24" s="1"/>
  <c r="BT195" i="24"/>
  <c r="BY195" i="24" s="1"/>
  <c r="BI195" i="24"/>
  <c r="BT169" i="24"/>
  <c r="BY169" i="24" s="1"/>
  <c r="BI169" i="24"/>
  <c r="BO165" i="24"/>
  <c r="BO135" i="24"/>
  <c r="BZ135" i="24"/>
  <c r="CB135" i="24" s="1"/>
  <c r="BZ164" i="24"/>
  <c r="CB164" i="24" s="1"/>
  <c r="BO164" i="24"/>
  <c r="BZ129" i="24"/>
  <c r="CB129" i="24" s="1"/>
  <c r="BO129" i="24"/>
  <c r="BZ126" i="24"/>
  <c r="CB126" i="24" s="1"/>
  <c r="CC126" i="24" s="1"/>
  <c r="BO126" i="24"/>
  <c r="BZ157" i="24"/>
  <c r="CB157" i="24" s="1"/>
  <c r="BO157" i="24"/>
  <c r="BT156" i="24"/>
  <c r="BY156" i="24" s="1"/>
  <c r="BI156" i="24"/>
  <c r="BT149" i="24"/>
  <c r="BY149" i="24" s="1"/>
  <c r="BI149" i="24"/>
  <c r="BT172" i="24"/>
  <c r="BY172" i="24" s="1"/>
  <c r="BI172" i="24"/>
  <c r="BT193" i="24"/>
  <c r="BY193" i="24" s="1"/>
  <c r="BI193" i="24"/>
  <c r="BZ117" i="24"/>
  <c r="CB117" i="24" s="1"/>
  <c r="BO117" i="24"/>
  <c r="BZ160" i="24"/>
  <c r="CB160" i="24" s="1"/>
  <c r="BO160" i="24"/>
  <c r="BT168" i="24"/>
  <c r="BY168" i="24" s="1"/>
  <c r="BI168" i="24"/>
  <c r="BO183" i="24"/>
  <c r="BZ183" i="24"/>
  <c r="CB183" i="24" s="1"/>
  <c r="BZ148" i="24"/>
  <c r="CB148" i="24" s="1"/>
  <c r="BO148" i="24"/>
  <c r="BZ153" i="24"/>
  <c r="CB153" i="24" s="1"/>
  <c r="CC153" i="24" s="1"/>
  <c r="BO153" i="24"/>
  <c r="BZ186" i="24"/>
  <c r="CB186" i="24" s="1"/>
  <c r="CC186" i="24" s="1"/>
  <c r="BY186" i="24"/>
  <c r="BT188" i="24"/>
  <c r="BY188" i="24" s="1"/>
  <c r="BI188" i="24"/>
  <c r="BT112" i="24"/>
  <c r="BY112" i="24" s="1"/>
  <c r="BI112" i="24"/>
  <c r="BT141" i="24"/>
  <c r="BY141" i="24" s="1"/>
  <c r="BI141" i="24"/>
  <c r="BZ190" i="24"/>
  <c r="CB190" i="24" s="1"/>
  <c r="BY190" i="24"/>
  <c r="BZ174" i="24"/>
  <c r="CB174" i="24" s="1"/>
  <c r="CC174" i="24" s="1"/>
  <c r="BO174" i="24"/>
  <c r="BZ196" i="24"/>
  <c r="CB196" i="24" s="1"/>
  <c r="CC196" i="24" s="1"/>
  <c r="BO196" i="24"/>
  <c r="BI209" i="24"/>
  <c r="BT209" i="24"/>
  <c r="BY209" i="24" s="1"/>
  <c r="BT134" i="24"/>
  <c r="BY134" i="24" s="1"/>
  <c r="BI134" i="24"/>
  <c r="BZ205" i="24"/>
  <c r="CB205" i="24" s="1"/>
  <c r="BO205" i="24"/>
  <c r="BT191" i="24"/>
  <c r="BY191" i="24" s="1"/>
  <c r="BI191" i="24"/>
  <c r="BT119" i="24"/>
  <c r="BY119" i="24" s="1"/>
  <c r="BI119" i="24"/>
  <c r="BO151" i="24"/>
  <c r="BZ151" i="24"/>
  <c r="CB151" i="24" s="1"/>
  <c r="BO163" i="24"/>
  <c r="BZ163" i="24"/>
  <c r="CB163" i="24" s="1"/>
  <c r="CC163" i="24" s="1"/>
  <c r="BO187" i="24"/>
  <c r="BZ187" i="24"/>
  <c r="CB187" i="24" s="1"/>
  <c r="BZ152" i="24"/>
  <c r="CB152" i="24" s="1"/>
  <c r="BO152" i="24"/>
  <c r="BZ144" i="24"/>
  <c r="CB144" i="24" s="1"/>
  <c r="CC144" i="24" s="1"/>
  <c r="BO144" i="24"/>
  <c r="BT203" i="24"/>
  <c r="BY203" i="24" s="1"/>
  <c r="BI203" i="24"/>
  <c r="BT86" i="24"/>
  <c r="BI73" i="24"/>
  <c r="BN73" i="24" s="1"/>
  <c r="BO73" i="24" s="1"/>
  <c r="BT33" i="24"/>
  <c r="BI51" i="24"/>
  <c r="BN51" i="24" s="1"/>
  <c r="BO51" i="24" s="1"/>
  <c r="BT97" i="24"/>
  <c r="BI43" i="24"/>
  <c r="BN43" i="24" s="1"/>
  <c r="BO43" i="24" s="1"/>
  <c r="BT64" i="24"/>
  <c r="BT27" i="24"/>
  <c r="BT23" i="24"/>
  <c r="BT49" i="24"/>
  <c r="BT88" i="24"/>
  <c r="BI81" i="24"/>
  <c r="BN81" i="24" s="1"/>
  <c r="BO81" i="24" s="1"/>
  <c r="BT65" i="24"/>
  <c r="BI35" i="24"/>
  <c r="BN35" i="24" s="1"/>
  <c r="BO35" i="24" s="1"/>
  <c r="AY71" i="24"/>
  <c r="AZ71" i="24" s="1"/>
  <c r="BF71" i="24"/>
  <c r="BG71" i="24"/>
  <c r="BU71" i="24" s="1"/>
  <c r="AY13" i="24"/>
  <c r="AZ13" i="24" s="1"/>
  <c r="BF13" i="24"/>
  <c r="BG13" i="24"/>
  <c r="BU13" i="24" s="1"/>
  <c r="AY15" i="24"/>
  <c r="AZ15" i="24" s="1"/>
  <c r="BG15" i="24"/>
  <c r="BU15" i="24" s="1"/>
  <c r="BF15" i="24"/>
  <c r="AY48" i="24"/>
  <c r="AZ48" i="24" s="1"/>
  <c r="BF48" i="24"/>
  <c r="BG48" i="24"/>
  <c r="BU48" i="24" s="1"/>
  <c r="AY102" i="24"/>
  <c r="AZ102" i="24" s="1"/>
  <c r="BF102" i="24"/>
  <c r="BG102" i="24"/>
  <c r="BU102" i="24" s="1"/>
  <c r="AY93" i="24"/>
  <c r="AZ93" i="24" s="1"/>
  <c r="BG93" i="24"/>
  <c r="BU93" i="24" s="1"/>
  <c r="BF93" i="24"/>
  <c r="AY37" i="24"/>
  <c r="AZ37" i="24" s="1"/>
  <c r="BF37" i="24"/>
  <c r="BG37" i="24"/>
  <c r="BU37" i="24" s="1"/>
  <c r="AY94" i="24"/>
  <c r="AZ94" i="24" s="1"/>
  <c r="BG94" i="24"/>
  <c r="BU94" i="24" s="1"/>
  <c r="BF94" i="24"/>
  <c r="AY8" i="24"/>
  <c r="AZ8" i="24" s="1"/>
  <c r="BF8" i="24"/>
  <c r="BG8" i="24"/>
  <c r="BU8" i="24" s="1"/>
  <c r="AY58" i="24"/>
  <c r="AZ58" i="24" s="1"/>
  <c r="BG58" i="24"/>
  <c r="BU58" i="24" s="1"/>
  <c r="BF58" i="24"/>
  <c r="AY90" i="24"/>
  <c r="AZ90" i="24" s="1"/>
  <c r="BF90" i="24"/>
  <c r="BG90" i="24"/>
  <c r="BU90" i="24" s="1"/>
  <c r="AY99" i="24"/>
  <c r="AZ99" i="24" s="1"/>
  <c r="BF99" i="24"/>
  <c r="BG99" i="24"/>
  <c r="BU99" i="24" s="1"/>
  <c r="AY45" i="24"/>
  <c r="AZ45" i="24" s="1"/>
  <c r="BF45" i="24"/>
  <c r="BG45" i="24"/>
  <c r="BU45" i="24" s="1"/>
  <c r="AY38" i="24"/>
  <c r="AZ38" i="24" s="1"/>
  <c r="BF38" i="24"/>
  <c r="BG38" i="24"/>
  <c r="BU38" i="24" s="1"/>
  <c r="AY77" i="24"/>
  <c r="AZ77" i="24" s="1"/>
  <c r="BG77" i="24"/>
  <c r="BU77" i="24" s="1"/>
  <c r="BF77" i="24"/>
  <c r="AY98" i="24"/>
  <c r="AZ98" i="24" s="1"/>
  <c r="BF98" i="24"/>
  <c r="BG98" i="24"/>
  <c r="BU98" i="24" s="1"/>
  <c r="AY62" i="24"/>
  <c r="AZ62" i="24" s="1"/>
  <c r="BF62" i="24"/>
  <c r="BG62" i="24"/>
  <c r="BU62" i="24" s="1"/>
  <c r="AY47" i="24"/>
  <c r="AZ47" i="24" s="1"/>
  <c r="BG47" i="24"/>
  <c r="BU47" i="24" s="1"/>
  <c r="BF47" i="24"/>
  <c r="AY52" i="24"/>
  <c r="AZ52" i="24" s="1"/>
  <c r="BF52" i="24"/>
  <c r="BG52" i="24"/>
  <c r="BU52" i="24" s="1"/>
  <c r="AY75" i="24"/>
  <c r="AZ75" i="24" s="1"/>
  <c r="BG75" i="24"/>
  <c r="BU75" i="24" s="1"/>
  <c r="BF75" i="24"/>
  <c r="AY103" i="24"/>
  <c r="AZ103" i="24" s="1"/>
  <c r="BG103" i="24"/>
  <c r="BU103" i="24" s="1"/>
  <c r="BF103" i="24"/>
  <c r="AY24" i="24"/>
  <c r="AZ24" i="24" s="1"/>
  <c r="BF24" i="24"/>
  <c r="BG24" i="24"/>
  <c r="BU24" i="24" s="1"/>
  <c r="AY44" i="24"/>
  <c r="AZ44" i="24" s="1"/>
  <c r="BG44" i="24"/>
  <c r="BU44" i="24" s="1"/>
  <c r="BF44" i="24"/>
  <c r="AY67" i="24"/>
  <c r="AZ67" i="24" s="1"/>
  <c r="BG67" i="24"/>
  <c r="BU67" i="24" s="1"/>
  <c r="BF67" i="24"/>
  <c r="AY76" i="24"/>
  <c r="AZ76" i="24" s="1"/>
  <c r="BG76" i="24"/>
  <c r="BU76" i="24" s="1"/>
  <c r="BF76" i="24"/>
  <c r="AY57" i="24"/>
  <c r="AZ57" i="24" s="1"/>
  <c r="BG57" i="24"/>
  <c r="BU57" i="24" s="1"/>
  <c r="BF57" i="24"/>
  <c r="AY84" i="24"/>
  <c r="AZ84" i="24" s="1"/>
  <c r="BF84" i="24"/>
  <c r="BG84" i="24"/>
  <c r="BU84" i="24" s="1"/>
  <c r="AY39" i="24"/>
  <c r="AZ39" i="24" s="1"/>
  <c r="BG39" i="24"/>
  <c r="BU39" i="24" s="1"/>
  <c r="BF39" i="24"/>
  <c r="AY61" i="24"/>
  <c r="AZ61" i="24" s="1"/>
  <c r="BG61" i="24"/>
  <c r="BU61" i="24" s="1"/>
  <c r="BF61" i="24"/>
  <c r="AY16" i="24"/>
  <c r="AZ16" i="24" s="1"/>
  <c r="BG16" i="24"/>
  <c r="BU16" i="24" s="1"/>
  <c r="BF16" i="24"/>
  <c r="AY12" i="24"/>
  <c r="AZ12" i="24" s="1"/>
  <c r="BG12" i="24"/>
  <c r="BU12" i="24" s="1"/>
  <c r="BF12" i="24"/>
  <c r="AY11" i="24"/>
  <c r="AZ11" i="24" s="1"/>
  <c r="BG11" i="24"/>
  <c r="BU11" i="24" s="1"/>
  <c r="BF11" i="24"/>
  <c r="AY17" i="24"/>
  <c r="AZ17" i="24" s="1"/>
  <c r="BF17" i="24"/>
  <c r="BG17" i="24"/>
  <c r="BU17" i="24" s="1"/>
  <c r="AY9" i="24"/>
  <c r="AZ9" i="24" s="1"/>
  <c r="BF9" i="24"/>
  <c r="BG9" i="24"/>
  <c r="BU9" i="24" s="1"/>
  <c r="AY26" i="24"/>
  <c r="AZ26" i="24" s="1"/>
  <c r="BF26" i="24"/>
  <c r="BG26" i="24"/>
  <c r="BU26" i="24" s="1"/>
  <c r="AY20" i="24"/>
  <c r="AZ20" i="24" s="1"/>
  <c r="BG20" i="24"/>
  <c r="BU20" i="24" s="1"/>
  <c r="BF20" i="24"/>
  <c r="AY30" i="24"/>
  <c r="AZ30" i="24" s="1"/>
  <c r="BG30" i="24"/>
  <c r="BU30" i="24" s="1"/>
  <c r="BF30" i="24"/>
  <c r="AY66" i="24"/>
  <c r="AZ66" i="24" s="1"/>
  <c r="BG66" i="24"/>
  <c r="BU66" i="24" s="1"/>
  <c r="BF66" i="24"/>
  <c r="AY80" i="24"/>
  <c r="AZ80" i="24" s="1"/>
  <c r="BF80" i="24"/>
  <c r="BG80" i="24"/>
  <c r="BU80" i="24" s="1"/>
  <c r="AY7" i="24"/>
  <c r="AZ7" i="24" s="1"/>
  <c r="BF7" i="24"/>
  <c r="BG7" i="24"/>
  <c r="BU7" i="24" s="1"/>
  <c r="AY6" i="24"/>
  <c r="AZ6" i="24" s="1"/>
  <c r="BG6" i="24"/>
  <c r="BU6" i="24" s="1"/>
  <c r="BF6" i="24"/>
  <c r="BU5" i="25"/>
  <c r="BT5" i="25"/>
  <c r="BH5" i="25"/>
  <c r="BM5" i="25" s="1"/>
  <c r="F66" i="19"/>
  <c r="J9" i="8"/>
  <c r="CD71" i="25" l="1"/>
  <c r="CH71" i="25"/>
  <c r="CA20" i="25"/>
  <c r="CC20" i="25" s="1"/>
  <c r="BZ62" i="25"/>
  <c r="CD152" i="25"/>
  <c r="CH152" i="25"/>
  <c r="CD139" i="25"/>
  <c r="CH139" i="25"/>
  <c r="CC125" i="24"/>
  <c r="CG125" i="24"/>
  <c r="CC124" i="24"/>
  <c r="CG124" i="24"/>
  <c r="CD116" i="25"/>
  <c r="CH116" i="25"/>
  <c r="CA83" i="25"/>
  <c r="CC83" i="25" s="1"/>
  <c r="CA86" i="25"/>
  <c r="CC86" i="25" s="1"/>
  <c r="CD86" i="25" s="1"/>
  <c r="CA40" i="25"/>
  <c r="CC40" i="25" s="1"/>
  <c r="CD40" i="25" s="1"/>
  <c r="BZ28" i="25"/>
  <c r="CD114" i="25"/>
  <c r="CH114" i="25"/>
  <c r="CA6" i="25"/>
  <c r="CC6" i="25" s="1"/>
  <c r="CD156" i="25"/>
  <c r="CH156" i="25"/>
  <c r="CD175" i="25"/>
  <c r="CH175" i="25"/>
  <c r="CC170" i="24"/>
  <c r="CG170" i="24"/>
  <c r="CD37" i="25"/>
  <c r="CH37" i="25"/>
  <c r="CD128" i="25"/>
  <c r="CH128" i="25"/>
  <c r="CC164" i="24"/>
  <c r="CG164" i="24"/>
  <c r="CD140" i="25"/>
  <c r="CH140" i="25"/>
  <c r="CD141" i="25"/>
  <c r="CH141" i="25"/>
  <c r="CC200" i="24"/>
  <c r="CG200" i="24"/>
  <c r="CC128" i="24"/>
  <c r="CG128" i="24"/>
  <c r="CD124" i="25"/>
  <c r="CH124" i="25"/>
  <c r="CD133" i="25"/>
  <c r="CH133" i="25"/>
  <c r="CC187" i="24"/>
  <c r="CG187" i="24"/>
  <c r="CC202" i="24"/>
  <c r="CG202" i="24"/>
  <c r="CD153" i="25"/>
  <c r="CH153" i="25"/>
  <c r="CC173" i="24"/>
  <c r="CG173" i="24"/>
  <c r="CD181" i="25"/>
  <c r="CH181" i="25"/>
  <c r="CA11" i="25"/>
  <c r="CC11" i="25" s="1"/>
  <c r="CD11" i="25" s="1"/>
  <c r="CC166" i="24"/>
  <c r="CG166" i="24"/>
  <c r="CD62" i="25"/>
  <c r="CH62" i="25"/>
  <c r="CD119" i="25"/>
  <c r="CH119" i="25"/>
  <c r="CD117" i="25"/>
  <c r="CH117" i="25"/>
  <c r="CC117" i="24"/>
  <c r="CG117" i="24"/>
  <c r="CC138" i="24"/>
  <c r="CG138" i="24"/>
  <c r="CD134" i="25"/>
  <c r="CH134" i="25"/>
  <c r="CA80" i="25"/>
  <c r="CC80" i="25" s="1"/>
  <c r="CD80" i="25" s="1"/>
  <c r="CA42" i="25"/>
  <c r="CC42" i="25" s="1"/>
  <c r="CC140" i="24"/>
  <c r="CG140" i="24"/>
  <c r="CC142" i="24"/>
  <c r="CG142" i="24"/>
  <c r="CD137" i="25"/>
  <c r="CH137" i="25"/>
  <c r="CC135" i="24"/>
  <c r="CG135" i="24"/>
  <c r="CD131" i="25"/>
  <c r="CH131" i="25"/>
  <c r="CD209" i="25"/>
  <c r="CH209" i="25"/>
  <c r="BZ54" i="25"/>
  <c r="CD185" i="25"/>
  <c r="CH185" i="25"/>
  <c r="BZ30" i="25"/>
  <c r="BZ16" i="25"/>
  <c r="CA21" i="25"/>
  <c r="CC21" i="25" s="1"/>
  <c r="CC129" i="24"/>
  <c r="CG129" i="24"/>
  <c r="CD127" i="25"/>
  <c r="CH127" i="25"/>
  <c r="CD55" i="25"/>
  <c r="CH55" i="25"/>
  <c r="CD73" i="25"/>
  <c r="CH73" i="25"/>
  <c r="CA92" i="25"/>
  <c r="CC92" i="25" s="1"/>
  <c r="CD92" i="25" s="1"/>
  <c r="CC148" i="24"/>
  <c r="CG148" i="24"/>
  <c r="CD138" i="25"/>
  <c r="CH138" i="25"/>
  <c r="CC178" i="24"/>
  <c r="CG178" i="24"/>
  <c r="CD160" i="25"/>
  <c r="CH160" i="25"/>
  <c r="CD100" i="25"/>
  <c r="CH100" i="25"/>
  <c r="CC100" i="24"/>
  <c r="CG100" i="24"/>
  <c r="CC184" i="24"/>
  <c r="CG184" i="24"/>
  <c r="CD155" i="25"/>
  <c r="CH155" i="25"/>
  <c r="CC147" i="24"/>
  <c r="CG147" i="24"/>
  <c r="BZ17" i="25"/>
  <c r="BZ64" i="25"/>
  <c r="BZ41" i="25"/>
  <c r="CA105" i="25"/>
  <c r="CC105" i="25" s="1"/>
  <c r="CD105" i="25" s="1"/>
  <c r="BZ96" i="25"/>
  <c r="CA19" i="25"/>
  <c r="CC19" i="25" s="1"/>
  <c r="CD19" i="25" s="1"/>
  <c r="CC158" i="24"/>
  <c r="CG158" i="24"/>
  <c r="BZ74" i="25"/>
  <c r="CD61" i="25"/>
  <c r="CH61" i="25"/>
  <c r="BZ15" i="25"/>
  <c r="BZ71" i="25"/>
  <c r="BZ44" i="25"/>
  <c r="BZ91" i="25"/>
  <c r="CA59" i="25"/>
  <c r="CC59" i="25" s="1"/>
  <c r="BZ100" i="25"/>
  <c r="BZ18" i="25"/>
  <c r="CA35" i="25"/>
  <c r="CC35" i="25" s="1"/>
  <c r="CD35" i="25" s="1"/>
  <c r="BZ10" i="25"/>
  <c r="CA7" i="25"/>
  <c r="CC7" i="25" s="1"/>
  <c r="CD7" i="25" s="1"/>
  <c r="BN5" i="25"/>
  <c r="CD197" i="25"/>
  <c r="CH197" i="25"/>
  <c r="BZ37" i="25"/>
  <c r="BZ46" i="25"/>
  <c r="BZ22" i="25"/>
  <c r="BZ79" i="25"/>
  <c r="CC79" i="25"/>
  <c r="CD79" i="25" s="1"/>
  <c r="BZ89" i="25"/>
  <c r="BZ56" i="25"/>
  <c r="CC56" i="25"/>
  <c r="CD56" i="25" s="1"/>
  <c r="BZ66" i="25"/>
  <c r="BZ68" i="25"/>
  <c r="CC68" i="25"/>
  <c r="CD68" i="25" s="1"/>
  <c r="BZ82" i="25"/>
  <c r="BZ51" i="25"/>
  <c r="CC51" i="25"/>
  <c r="BZ67" i="25"/>
  <c r="BZ93" i="25"/>
  <c r="CC93" i="25"/>
  <c r="CD93" i="25" s="1"/>
  <c r="BZ45" i="25"/>
  <c r="CC45" i="25"/>
  <c r="CD45" i="25" s="1"/>
  <c r="BZ81" i="25"/>
  <c r="CC81" i="25"/>
  <c r="BZ88" i="25"/>
  <c r="CC88" i="25"/>
  <c r="BZ48" i="25"/>
  <c r="CC48" i="25"/>
  <c r="BZ53" i="25"/>
  <c r="CC53" i="25"/>
  <c r="CD53" i="25" s="1"/>
  <c r="BZ75" i="25"/>
  <c r="CC75" i="25"/>
  <c r="BZ50" i="25"/>
  <c r="CC50" i="25"/>
  <c r="BZ47" i="25"/>
  <c r="BZ31" i="25"/>
  <c r="BZ36" i="25"/>
  <c r="BZ24" i="25"/>
  <c r="BZ13" i="25"/>
  <c r="BZ77" i="25"/>
  <c r="BZ39" i="25"/>
  <c r="BZ26" i="25"/>
  <c r="CC26" i="25"/>
  <c r="CD26" i="25" s="1"/>
  <c r="BZ9" i="25"/>
  <c r="CC9" i="25"/>
  <c r="CD9" i="25" s="1"/>
  <c r="BZ12" i="25"/>
  <c r="CC12" i="25"/>
  <c r="BZ63" i="25"/>
  <c r="CC63" i="25"/>
  <c r="CD63" i="25" s="1"/>
  <c r="BZ84" i="25"/>
  <c r="BZ69" i="25"/>
  <c r="CC69" i="25"/>
  <c r="BZ101" i="25"/>
  <c r="BZ29" i="25"/>
  <c r="CC29" i="25"/>
  <c r="BZ104" i="25"/>
  <c r="CC104" i="25"/>
  <c r="BZ25" i="25"/>
  <c r="CC25" i="25"/>
  <c r="CD25" i="25" s="1"/>
  <c r="BZ87" i="25"/>
  <c r="CC87" i="25"/>
  <c r="CD87" i="25" s="1"/>
  <c r="BZ57" i="25"/>
  <c r="CC57" i="25"/>
  <c r="BZ72" i="25"/>
  <c r="BZ95" i="25"/>
  <c r="BZ94" i="25"/>
  <c r="BZ8" i="25"/>
  <c r="BZ97" i="25"/>
  <c r="BZ14" i="25"/>
  <c r="CC14" i="25"/>
  <c r="BZ85" i="25"/>
  <c r="BZ27" i="25"/>
  <c r="CC27" i="25"/>
  <c r="CD27" i="25" s="1"/>
  <c r="BZ70" i="25"/>
  <c r="CC70" i="25"/>
  <c r="CD70" i="25" s="1"/>
  <c r="BZ76" i="25"/>
  <c r="CC76" i="25"/>
  <c r="BZ78" i="25"/>
  <c r="CC78" i="25"/>
  <c r="CD78" i="25" s="1"/>
  <c r="CD202" i="25"/>
  <c r="CH202" i="25"/>
  <c r="CC84" i="25"/>
  <c r="CD84" i="25" s="1"/>
  <c r="CC67" i="25"/>
  <c r="CD67" i="25" s="1"/>
  <c r="CC101" i="25"/>
  <c r="CD101" i="25" s="1"/>
  <c r="CC82" i="25"/>
  <c r="CD82" i="25" s="1"/>
  <c r="CC66" i="25"/>
  <c r="CD66" i="25" s="1"/>
  <c r="CC89" i="25"/>
  <c r="CD89" i="25" s="1"/>
  <c r="CC72" i="25"/>
  <c r="CD72" i="25" s="1"/>
  <c r="CC85" i="25"/>
  <c r="CD85" i="25" s="1"/>
  <c r="CC97" i="25"/>
  <c r="CC94" i="25"/>
  <c r="CD94" i="25" s="1"/>
  <c r="CC95" i="25"/>
  <c r="CD95" i="25" s="1"/>
  <c r="BZ165" i="24"/>
  <c r="CB165" i="24" s="1"/>
  <c r="CH78" i="25"/>
  <c r="BX5" i="25"/>
  <c r="BZ5" i="25" s="1"/>
  <c r="CD163" i="25"/>
  <c r="CH163" i="25"/>
  <c r="BZ35" i="24"/>
  <c r="CB35" i="24" s="1"/>
  <c r="CC35" i="24" s="1"/>
  <c r="BY35" i="24"/>
  <c r="BZ51" i="24"/>
  <c r="CB51" i="24" s="1"/>
  <c r="BY51" i="24"/>
  <c r="BZ40" i="24"/>
  <c r="CB40" i="24" s="1"/>
  <c r="CC40" i="24" s="1"/>
  <c r="BY40" i="24"/>
  <c r="BZ81" i="24"/>
  <c r="CB81" i="24" s="1"/>
  <c r="BY81" i="24"/>
  <c r="BZ29" i="24"/>
  <c r="CB29" i="24" s="1"/>
  <c r="BY29" i="24"/>
  <c r="BZ43" i="24"/>
  <c r="CB43" i="24" s="1"/>
  <c r="CC43" i="24" s="1"/>
  <c r="BY43" i="24"/>
  <c r="BZ73" i="24"/>
  <c r="CB73" i="24" s="1"/>
  <c r="BY73" i="24"/>
  <c r="CC24" i="25"/>
  <c r="CD24" i="25" s="1"/>
  <c r="CC13" i="25"/>
  <c r="CC36" i="25"/>
  <c r="CD36" i="25" s="1"/>
  <c r="CC8" i="25"/>
  <c r="CD8" i="25" s="1"/>
  <c r="CC77" i="25"/>
  <c r="CC39" i="25"/>
  <c r="CD39" i="25" s="1"/>
  <c r="CC47" i="25"/>
  <c r="CD47" i="25" s="1"/>
  <c r="CC31" i="25"/>
  <c r="CD31" i="25" s="1"/>
  <c r="BZ74" i="24"/>
  <c r="CB74" i="24" s="1"/>
  <c r="CC74" i="24" s="1"/>
  <c r="BZ95" i="24"/>
  <c r="CB95" i="24" s="1"/>
  <c r="CC95" i="24" s="1"/>
  <c r="BZ92" i="24"/>
  <c r="CB92" i="24" s="1"/>
  <c r="CC92" i="24" s="1"/>
  <c r="BZ104" i="24"/>
  <c r="CB104" i="24" s="1"/>
  <c r="BZ91" i="24"/>
  <c r="CB91" i="24" s="1"/>
  <c r="BZ87" i="24"/>
  <c r="CB87" i="24" s="1"/>
  <c r="CC87" i="24" s="1"/>
  <c r="BZ22" i="24"/>
  <c r="CB22" i="24" s="1"/>
  <c r="CC22" i="24" s="1"/>
  <c r="BZ41" i="24"/>
  <c r="CB41" i="24" s="1"/>
  <c r="CC41" i="24" s="1"/>
  <c r="BZ36" i="24"/>
  <c r="CB36" i="24" s="1"/>
  <c r="CC36" i="24" s="1"/>
  <c r="BZ89" i="24"/>
  <c r="CB89" i="24" s="1"/>
  <c r="CC89" i="24" s="1"/>
  <c r="BZ34" i="24"/>
  <c r="CB34" i="24" s="1"/>
  <c r="CC34" i="24" s="1"/>
  <c r="BZ21" i="24"/>
  <c r="CB21" i="24" s="1"/>
  <c r="BZ78" i="24"/>
  <c r="CB78" i="24" s="1"/>
  <c r="CC78" i="24" s="1"/>
  <c r="BZ85" i="24"/>
  <c r="CB85" i="24" s="1"/>
  <c r="CC85" i="24" s="1"/>
  <c r="BZ105" i="24"/>
  <c r="CB105" i="24" s="1"/>
  <c r="CC105" i="24" s="1"/>
  <c r="BZ82" i="24"/>
  <c r="CB82" i="24" s="1"/>
  <c r="CC82" i="24" s="1"/>
  <c r="BZ54" i="24"/>
  <c r="CB54" i="24" s="1"/>
  <c r="CC54" i="24" s="1"/>
  <c r="BZ59" i="24"/>
  <c r="CB59" i="24" s="1"/>
  <c r="BZ79" i="24"/>
  <c r="CB79" i="24" s="1"/>
  <c r="CC79" i="24" s="1"/>
  <c r="BZ96" i="24"/>
  <c r="CB96" i="24" s="1"/>
  <c r="CC96" i="24" s="1"/>
  <c r="BZ14" i="24"/>
  <c r="CB14" i="24" s="1"/>
  <c r="BZ68" i="24"/>
  <c r="CB68" i="24" s="1"/>
  <c r="CC68" i="24" s="1"/>
  <c r="CD198" i="25"/>
  <c r="CH198" i="25"/>
  <c r="CC205" i="24"/>
  <c r="CG205" i="24"/>
  <c r="CD189" i="25"/>
  <c r="CH189" i="25"/>
  <c r="CD194" i="25"/>
  <c r="CH194" i="25"/>
  <c r="BW97" i="24"/>
  <c r="BY97" i="24" s="1"/>
  <c r="BW88" i="24"/>
  <c r="BY88" i="24" s="1"/>
  <c r="BW27" i="24"/>
  <c r="BY27" i="24" s="1"/>
  <c r="BW86" i="24"/>
  <c r="BY86" i="24" s="1"/>
  <c r="BW65" i="24"/>
  <c r="BY65" i="24" s="1"/>
  <c r="BW64" i="24"/>
  <c r="BY64" i="24" s="1"/>
  <c r="BW33" i="24"/>
  <c r="BY33" i="24" s="1"/>
  <c r="BW23" i="24"/>
  <c r="BY23" i="24" s="1"/>
  <c r="BW49" i="24"/>
  <c r="BY49" i="24" s="1"/>
  <c r="CC152" i="24"/>
  <c r="CG152" i="24"/>
  <c r="CH94" i="25"/>
  <c r="CD157" i="25"/>
  <c r="CH157" i="25"/>
  <c r="CD147" i="25"/>
  <c r="CH147" i="25"/>
  <c r="CD91" i="25"/>
  <c r="CH91" i="25"/>
  <c r="CD182" i="25"/>
  <c r="CH182" i="25"/>
  <c r="CD168" i="25"/>
  <c r="CH168" i="25"/>
  <c r="CD191" i="25"/>
  <c r="CH191" i="25"/>
  <c r="CD186" i="25"/>
  <c r="CH186" i="25"/>
  <c r="CD162" i="25"/>
  <c r="CH162" i="25"/>
  <c r="CD172" i="25"/>
  <c r="CH172" i="25"/>
  <c r="CC197" i="24"/>
  <c r="CG197" i="24"/>
  <c r="CD154" i="25"/>
  <c r="CH154" i="25"/>
  <c r="CH93" i="25"/>
  <c r="CD193" i="25"/>
  <c r="CH193" i="25"/>
  <c r="CD192" i="25"/>
  <c r="CH192" i="25"/>
  <c r="CD183" i="25"/>
  <c r="CH183" i="25"/>
  <c r="CH84" i="25"/>
  <c r="CD158" i="25"/>
  <c r="CH158" i="25"/>
  <c r="CH56" i="25"/>
  <c r="CH68" i="25"/>
  <c r="CC183" i="24"/>
  <c r="CG183" i="24"/>
  <c r="CD151" i="25"/>
  <c r="CH151" i="25"/>
  <c r="CD200" i="25"/>
  <c r="CH200" i="25"/>
  <c r="CH82" i="25"/>
  <c r="CD199" i="25"/>
  <c r="CH199" i="25"/>
  <c r="CH45" i="25"/>
  <c r="CC146" i="24"/>
  <c r="CG146" i="24"/>
  <c r="CD195" i="25"/>
  <c r="CH195" i="25"/>
  <c r="CD149" i="25"/>
  <c r="CH149" i="25"/>
  <c r="CD136" i="25"/>
  <c r="CH136" i="25"/>
  <c r="CD32" i="25"/>
  <c r="CH32" i="25"/>
  <c r="CD129" i="25"/>
  <c r="CH129" i="25"/>
  <c r="CH25" i="25"/>
  <c r="CH31" i="25"/>
  <c r="CG89" i="24"/>
  <c r="CD52" i="25"/>
  <c r="CH52" i="25"/>
  <c r="CD60" i="25"/>
  <c r="CH60" i="25"/>
  <c r="CC151" i="24"/>
  <c r="CG151" i="24"/>
  <c r="CC60" i="24"/>
  <c r="CG60" i="24"/>
  <c r="CD145" i="25"/>
  <c r="CH145" i="25"/>
  <c r="CD171" i="25"/>
  <c r="CH171" i="25"/>
  <c r="CC175" i="24"/>
  <c r="CG175" i="24"/>
  <c r="CD159" i="25"/>
  <c r="CH159" i="25"/>
  <c r="CG87" i="24"/>
  <c r="CC157" i="24"/>
  <c r="CG157" i="24"/>
  <c r="CH70" i="25"/>
  <c r="CD150" i="25"/>
  <c r="CH150" i="25"/>
  <c r="CC70" i="24"/>
  <c r="CG70" i="24"/>
  <c r="CD83" i="25"/>
  <c r="CH83" i="25"/>
  <c r="CD46" i="25"/>
  <c r="CH46" i="25"/>
  <c r="CD148" i="25"/>
  <c r="CH148" i="25"/>
  <c r="CD142" i="25"/>
  <c r="CH142" i="25"/>
  <c r="CH40" i="25"/>
  <c r="CG68" i="24"/>
  <c r="CD65" i="25"/>
  <c r="CH65" i="25"/>
  <c r="CD165" i="25"/>
  <c r="CH165" i="25"/>
  <c r="CH87" i="25"/>
  <c r="CD188" i="25"/>
  <c r="CH188" i="25"/>
  <c r="CD180" i="25"/>
  <c r="CH180" i="25"/>
  <c r="CD187" i="25"/>
  <c r="CH187" i="25"/>
  <c r="CD121" i="25"/>
  <c r="CH121" i="25"/>
  <c r="CD20" i="25"/>
  <c r="CH20" i="25"/>
  <c r="CC122" i="24"/>
  <c r="CG122" i="24"/>
  <c r="CG54" i="24"/>
  <c r="CD54" i="25"/>
  <c r="CH54" i="25"/>
  <c r="CH63" i="25"/>
  <c r="CD143" i="25"/>
  <c r="CH143" i="25"/>
  <c r="CH105" i="25"/>
  <c r="CG105" i="24"/>
  <c r="CD161" i="25"/>
  <c r="CH161" i="25"/>
  <c r="CC185" i="24"/>
  <c r="CG185" i="24"/>
  <c r="CD178" i="25"/>
  <c r="CH178" i="25"/>
  <c r="CD184" i="25"/>
  <c r="CH184" i="25"/>
  <c r="CD167" i="25"/>
  <c r="CH167" i="25"/>
  <c r="CD176" i="25"/>
  <c r="CH176" i="25"/>
  <c r="CD179" i="25"/>
  <c r="CH179" i="25"/>
  <c r="CH89" i="25"/>
  <c r="CC204" i="24"/>
  <c r="CG204" i="24"/>
  <c r="CD98" i="25"/>
  <c r="CH98" i="25"/>
  <c r="CD177" i="25"/>
  <c r="CH177" i="25"/>
  <c r="CD203" i="25"/>
  <c r="CH203" i="25"/>
  <c r="CD166" i="25"/>
  <c r="CH166" i="25"/>
  <c r="CC179" i="24"/>
  <c r="CG179" i="24"/>
  <c r="CD74" i="25"/>
  <c r="CH74" i="25"/>
  <c r="CD146" i="25"/>
  <c r="CH146" i="25"/>
  <c r="CC154" i="24"/>
  <c r="CG154" i="24"/>
  <c r="CG74" i="24"/>
  <c r="CD164" i="25"/>
  <c r="CH164" i="25"/>
  <c r="CC190" i="24"/>
  <c r="CG190" i="24"/>
  <c r="CD170" i="25"/>
  <c r="CH170" i="25"/>
  <c r="BZ167" i="24"/>
  <c r="CB167" i="24" s="1"/>
  <c r="CC139" i="24"/>
  <c r="CG139" i="24"/>
  <c r="CC50" i="24"/>
  <c r="CG50" i="24"/>
  <c r="CD44" i="25"/>
  <c r="CH44" i="25"/>
  <c r="CD135" i="25"/>
  <c r="CH135" i="25"/>
  <c r="CH47" i="25"/>
  <c r="CH67" i="25"/>
  <c r="CC160" i="24"/>
  <c r="CG160" i="24"/>
  <c r="CD144" i="25"/>
  <c r="CH144" i="25"/>
  <c r="CD174" i="25"/>
  <c r="CH174" i="25"/>
  <c r="CD103" i="25"/>
  <c r="CH103" i="25"/>
  <c r="CC207" i="24"/>
  <c r="CG207" i="24"/>
  <c r="CD206" i="25"/>
  <c r="CH206" i="25"/>
  <c r="CD173" i="25"/>
  <c r="CH173" i="25"/>
  <c r="CD102" i="25"/>
  <c r="CH102" i="25"/>
  <c r="CC63" i="24"/>
  <c r="BZ115" i="24"/>
  <c r="CB115" i="24" s="1"/>
  <c r="CC115" i="24" s="1"/>
  <c r="CC150" i="24"/>
  <c r="CG150" i="24"/>
  <c r="CA110" i="25"/>
  <c r="CC110" i="25" s="1"/>
  <c r="BN110" i="25"/>
  <c r="BO119" i="24"/>
  <c r="BZ119" i="24"/>
  <c r="CB119" i="24" s="1"/>
  <c r="BZ168" i="24"/>
  <c r="CB168" i="24" s="1"/>
  <c r="BO168" i="24"/>
  <c r="BZ156" i="24"/>
  <c r="CB156" i="24" s="1"/>
  <c r="CC156" i="24" s="1"/>
  <c r="BO156" i="24"/>
  <c r="BO195" i="24"/>
  <c r="BZ195" i="24"/>
  <c r="CB195" i="24" s="1"/>
  <c r="BO155" i="24"/>
  <c r="BZ155" i="24"/>
  <c r="CB155" i="24" s="1"/>
  <c r="BZ181" i="24"/>
  <c r="CB181" i="24" s="1"/>
  <c r="BY181" i="24"/>
  <c r="BZ176" i="24"/>
  <c r="CB176" i="24" s="1"/>
  <c r="BO176" i="24"/>
  <c r="BZ206" i="24"/>
  <c r="CB206" i="24" s="1"/>
  <c r="CC206" i="24" s="1"/>
  <c r="BO206" i="24"/>
  <c r="BZ210" i="24"/>
  <c r="CB210" i="24" s="1"/>
  <c r="BO210" i="24"/>
  <c r="BZ130" i="24"/>
  <c r="CB130" i="24" s="1"/>
  <c r="CC130" i="24" s="1"/>
  <c r="BO130" i="24"/>
  <c r="BZ192" i="24"/>
  <c r="CB192" i="24" s="1"/>
  <c r="BO192" i="24"/>
  <c r="BZ189" i="24"/>
  <c r="CB189" i="24" s="1"/>
  <c r="CC189" i="24" s="1"/>
  <c r="BY189" i="24"/>
  <c r="BZ194" i="24"/>
  <c r="CB194" i="24" s="1"/>
  <c r="BO194" i="24"/>
  <c r="BZ136" i="24"/>
  <c r="CB136" i="24" s="1"/>
  <c r="CC136" i="24" s="1"/>
  <c r="BO136" i="24"/>
  <c r="BO159" i="24"/>
  <c r="BZ159" i="24"/>
  <c r="CB159" i="24" s="1"/>
  <c r="BO203" i="24"/>
  <c r="BZ203" i="24"/>
  <c r="CB203" i="24" s="1"/>
  <c r="BZ141" i="24"/>
  <c r="CB141" i="24" s="1"/>
  <c r="BO141" i="24"/>
  <c r="BZ188" i="24"/>
  <c r="CB188" i="24" s="1"/>
  <c r="BO188" i="24"/>
  <c r="BZ193" i="24"/>
  <c r="CB193" i="24" s="1"/>
  <c r="BO193" i="24"/>
  <c r="BZ149" i="24"/>
  <c r="CB149" i="24" s="1"/>
  <c r="BO149" i="24"/>
  <c r="BZ169" i="24"/>
  <c r="CB169" i="24" s="1"/>
  <c r="BO169" i="24"/>
  <c r="BZ161" i="24"/>
  <c r="CB161" i="24" s="1"/>
  <c r="BO161" i="24"/>
  <c r="BO123" i="24"/>
  <c r="BZ123" i="24"/>
  <c r="CB123" i="24" s="1"/>
  <c r="CC123" i="24" s="1"/>
  <c r="BZ110" i="24"/>
  <c r="CB110" i="24" s="1"/>
  <c r="CC110" i="24" s="1"/>
  <c r="BO110" i="24"/>
  <c r="BZ112" i="24"/>
  <c r="CB112" i="24" s="1"/>
  <c r="CC112" i="24" s="1"/>
  <c r="BO112" i="24"/>
  <c r="BZ172" i="24"/>
  <c r="CB172" i="24" s="1"/>
  <c r="BO172" i="24"/>
  <c r="BO191" i="24"/>
  <c r="BZ191" i="24"/>
  <c r="CB191" i="24" s="1"/>
  <c r="BZ134" i="24"/>
  <c r="CB134" i="24" s="1"/>
  <c r="CC134" i="24" s="1"/>
  <c r="BO134" i="24"/>
  <c r="BZ209" i="24"/>
  <c r="CB209" i="24" s="1"/>
  <c r="BO209" i="24"/>
  <c r="BZ182" i="24"/>
  <c r="CB182" i="24" s="1"/>
  <c r="BY182" i="24"/>
  <c r="BZ114" i="24"/>
  <c r="CB114" i="24" s="1"/>
  <c r="BO114" i="24"/>
  <c r="BO199" i="24"/>
  <c r="BZ199" i="24"/>
  <c r="CB199" i="24" s="1"/>
  <c r="BZ208" i="24"/>
  <c r="CB208" i="24" s="1"/>
  <c r="CC208" i="24" s="1"/>
  <c r="BO208" i="24"/>
  <c r="BI71" i="24"/>
  <c r="BN71" i="24" s="1"/>
  <c r="BO71" i="24" s="1"/>
  <c r="BT71" i="24"/>
  <c r="BI13" i="24"/>
  <c r="BN13" i="24" s="1"/>
  <c r="BO13" i="24" s="1"/>
  <c r="BT13" i="24"/>
  <c r="BI15" i="24"/>
  <c r="BN15" i="24" s="1"/>
  <c r="BO15" i="24" s="1"/>
  <c r="BT15" i="24"/>
  <c r="BI102" i="24"/>
  <c r="BN102" i="24" s="1"/>
  <c r="BO102" i="24" s="1"/>
  <c r="BT102" i="24"/>
  <c r="BI48" i="24"/>
  <c r="BN48" i="24" s="1"/>
  <c r="BO48" i="24" s="1"/>
  <c r="BT48" i="24"/>
  <c r="BI93" i="24"/>
  <c r="BN93" i="24" s="1"/>
  <c r="BO93" i="24" s="1"/>
  <c r="BT93" i="24"/>
  <c r="BT37" i="24"/>
  <c r="BI37" i="24"/>
  <c r="BN37" i="24" s="1"/>
  <c r="BO37" i="24" s="1"/>
  <c r="BI8" i="24"/>
  <c r="BN8" i="24" s="1"/>
  <c r="BO8" i="24" s="1"/>
  <c r="BT8" i="24"/>
  <c r="BI94" i="24"/>
  <c r="BN94" i="24" s="1"/>
  <c r="BO94" i="24" s="1"/>
  <c r="BT94" i="24"/>
  <c r="BI16" i="24"/>
  <c r="BN16" i="24" s="1"/>
  <c r="BO16" i="24" s="1"/>
  <c r="BT16" i="24"/>
  <c r="BI45" i="24"/>
  <c r="BN45" i="24" s="1"/>
  <c r="BO45" i="24" s="1"/>
  <c r="BT45" i="24"/>
  <c r="BI30" i="24"/>
  <c r="BN30" i="24" s="1"/>
  <c r="BO30" i="24" s="1"/>
  <c r="BT30" i="24"/>
  <c r="BI61" i="24"/>
  <c r="BN61" i="24" s="1"/>
  <c r="BO61" i="24" s="1"/>
  <c r="BT61" i="24"/>
  <c r="BI76" i="24"/>
  <c r="BN76" i="24" s="1"/>
  <c r="BO76" i="24" s="1"/>
  <c r="BT76" i="24"/>
  <c r="BI103" i="24"/>
  <c r="BN103" i="24" s="1"/>
  <c r="BO103" i="24" s="1"/>
  <c r="BT103" i="24"/>
  <c r="BT98" i="24"/>
  <c r="BI98" i="24"/>
  <c r="BN98" i="24" s="1"/>
  <c r="BO98" i="24" s="1"/>
  <c r="BI99" i="24"/>
  <c r="BN99" i="24" s="1"/>
  <c r="BO99" i="24" s="1"/>
  <c r="BT99" i="24"/>
  <c r="BI17" i="24"/>
  <c r="BN17" i="24" s="1"/>
  <c r="BO17" i="24" s="1"/>
  <c r="BT17" i="24"/>
  <c r="BI47" i="24"/>
  <c r="BN47" i="24" s="1"/>
  <c r="BO47" i="24" s="1"/>
  <c r="BT47" i="24"/>
  <c r="BI9" i="24"/>
  <c r="BN9" i="24" s="1"/>
  <c r="BO9" i="24" s="1"/>
  <c r="BT9" i="24"/>
  <c r="BI12" i="24"/>
  <c r="BN12" i="24" s="1"/>
  <c r="BO12" i="24" s="1"/>
  <c r="BT12" i="24"/>
  <c r="BT44" i="24"/>
  <c r="BI44" i="24"/>
  <c r="BN44" i="24" s="1"/>
  <c r="BO44" i="24" s="1"/>
  <c r="BI24" i="24"/>
  <c r="BN24" i="24" s="1"/>
  <c r="BO24" i="24" s="1"/>
  <c r="BT24" i="24"/>
  <c r="BI77" i="24"/>
  <c r="BN77" i="24" s="1"/>
  <c r="BO77" i="24" s="1"/>
  <c r="BT77" i="24"/>
  <c r="BT38" i="24"/>
  <c r="BI38" i="24"/>
  <c r="BN38" i="24" s="1"/>
  <c r="BO38" i="24" s="1"/>
  <c r="BT66" i="24"/>
  <c r="BI66" i="24"/>
  <c r="BN66" i="24" s="1"/>
  <c r="BO66" i="24" s="1"/>
  <c r="BI57" i="24"/>
  <c r="BN57" i="24" s="1"/>
  <c r="BO57" i="24" s="1"/>
  <c r="BT57" i="24"/>
  <c r="BI62" i="24"/>
  <c r="BN62" i="24" s="1"/>
  <c r="BO62" i="24" s="1"/>
  <c r="BT62" i="24"/>
  <c r="BT58" i="24"/>
  <c r="BI58" i="24"/>
  <c r="BN58" i="24" s="1"/>
  <c r="BO58" i="24" s="1"/>
  <c r="BI80" i="24"/>
  <c r="BN80" i="24" s="1"/>
  <c r="BO80" i="24" s="1"/>
  <c r="BT80" i="24"/>
  <c r="BT20" i="24"/>
  <c r="BI20" i="24"/>
  <c r="BN20" i="24" s="1"/>
  <c r="BO20" i="24" s="1"/>
  <c r="BI26" i="24"/>
  <c r="BN26" i="24" s="1"/>
  <c r="BO26" i="24" s="1"/>
  <c r="BT26" i="24"/>
  <c r="BI11" i="24"/>
  <c r="BN11" i="24" s="1"/>
  <c r="BO11" i="24" s="1"/>
  <c r="BT11" i="24"/>
  <c r="BI39" i="24"/>
  <c r="BN39" i="24" s="1"/>
  <c r="BO39" i="24" s="1"/>
  <c r="BT39" i="24"/>
  <c r="BI84" i="24"/>
  <c r="BN84" i="24" s="1"/>
  <c r="BO84" i="24" s="1"/>
  <c r="BT84" i="24"/>
  <c r="BI67" i="24"/>
  <c r="BN67" i="24" s="1"/>
  <c r="BO67" i="24" s="1"/>
  <c r="BT67" i="24"/>
  <c r="BI75" i="24"/>
  <c r="BN75" i="24" s="1"/>
  <c r="BO75" i="24" s="1"/>
  <c r="BT75" i="24"/>
  <c r="BI52" i="24"/>
  <c r="BN52" i="24" s="1"/>
  <c r="BO52" i="24" s="1"/>
  <c r="BT52" i="24"/>
  <c r="BT90" i="24"/>
  <c r="BI90" i="24"/>
  <c r="BN90" i="24" s="1"/>
  <c r="BO90" i="24" s="1"/>
  <c r="BI6" i="24"/>
  <c r="BN6" i="24" s="1"/>
  <c r="BO6" i="24" s="1"/>
  <c r="BT6" i="24"/>
  <c r="BI7" i="24"/>
  <c r="BN7" i="24" s="1"/>
  <c r="BO7" i="24" s="1"/>
  <c r="BT7" i="24"/>
  <c r="B167" i="2"/>
  <c r="C44" i="16" s="1"/>
  <c r="CD69" i="25" l="1"/>
  <c r="CH69" i="25"/>
  <c r="CD75" i="25"/>
  <c r="CH75" i="25"/>
  <c r="CD42" i="25"/>
  <c r="CH42" i="25"/>
  <c r="CC182" i="24"/>
  <c r="CG182" i="24"/>
  <c r="CC21" i="24"/>
  <c r="CG21" i="24"/>
  <c r="CD21" i="25"/>
  <c r="CH21" i="25"/>
  <c r="CD6" i="25"/>
  <c r="CH6" i="25"/>
  <c r="CD110" i="25"/>
  <c r="CH110" i="25"/>
  <c r="CH211" i="25" s="1"/>
  <c r="CC114" i="24"/>
  <c r="CG114" i="24"/>
  <c r="CD12" i="25"/>
  <c r="CH12" i="25"/>
  <c r="CD77" i="25"/>
  <c r="CH77" i="25"/>
  <c r="CC161" i="24"/>
  <c r="CG161" i="24"/>
  <c r="CC181" i="24"/>
  <c r="CG181" i="24"/>
  <c r="CC104" i="24"/>
  <c r="CG104" i="24"/>
  <c r="CD104" i="25"/>
  <c r="CH104" i="25"/>
  <c r="CD76" i="25"/>
  <c r="CH76" i="25"/>
  <c r="CC155" i="24"/>
  <c r="CG155" i="24"/>
  <c r="CD51" i="25"/>
  <c r="CH51" i="25"/>
  <c r="CC51" i="24"/>
  <c r="CG51" i="24"/>
  <c r="CC165" i="24"/>
  <c r="CG165" i="24"/>
  <c r="CC159" i="24"/>
  <c r="CG159" i="24"/>
  <c r="CC91" i="24"/>
  <c r="CG91" i="24"/>
  <c r="CD50" i="25"/>
  <c r="CH50" i="25"/>
  <c r="CC193" i="24"/>
  <c r="CG193" i="24"/>
  <c r="CC188" i="24"/>
  <c r="CG188" i="24"/>
  <c r="CD29" i="25"/>
  <c r="CH29" i="25"/>
  <c r="CC29" i="24"/>
  <c r="CG29" i="24"/>
  <c r="CC59" i="24"/>
  <c r="CG59" i="24"/>
  <c r="CC141" i="24"/>
  <c r="CG141" i="24"/>
  <c r="CD59" i="25"/>
  <c r="CH59" i="25"/>
  <c r="CD97" i="25"/>
  <c r="CH97" i="25"/>
  <c r="CC119" i="24"/>
  <c r="CG119" i="24"/>
  <c r="CC14" i="24"/>
  <c r="CG14" i="24"/>
  <c r="CD14" i="25"/>
  <c r="CH14" i="25"/>
  <c r="CD13" i="25"/>
  <c r="CH13" i="25"/>
  <c r="CC81" i="24"/>
  <c r="CG81" i="24"/>
  <c r="CD81" i="25"/>
  <c r="CH81" i="25"/>
  <c r="CD57" i="25"/>
  <c r="CH57" i="25"/>
  <c r="CD48" i="25"/>
  <c r="CH48" i="25"/>
  <c r="CC73" i="24"/>
  <c r="CG73" i="24"/>
  <c r="CD88" i="25"/>
  <c r="CH88" i="25"/>
  <c r="CA5" i="25"/>
  <c r="CC5" i="25" s="1"/>
  <c r="CD5" i="25" s="1"/>
  <c r="BZ49" i="24"/>
  <c r="CB49" i="24" s="1"/>
  <c r="CC49" i="24" s="1"/>
  <c r="BZ33" i="24"/>
  <c r="CB33" i="24" s="1"/>
  <c r="CC33" i="24" s="1"/>
  <c r="BZ65" i="24"/>
  <c r="CB65" i="24" s="1"/>
  <c r="CC65" i="24" s="1"/>
  <c r="BZ27" i="24"/>
  <c r="CB27" i="24" s="1"/>
  <c r="CC27" i="24" s="1"/>
  <c r="BZ86" i="24"/>
  <c r="CB86" i="24" s="1"/>
  <c r="CC86" i="24" s="1"/>
  <c r="BZ23" i="24"/>
  <c r="CB23" i="24" s="1"/>
  <c r="CC23" i="24" s="1"/>
  <c r="BZ64" i="24"/>
  <c r="CB64" i="24" s="1"/>
  <c r="CC64" i="24" s="1"/>
  <c r="BZ88" i="24"/>
  <c r="CB88" i="24" s="1"/>
  <c r="BZ97" i="24"/>
  <c r="CB97" i="24" s="1"/>
  <c r="BW7" i="24"/>
  <c r="BY7" i="24" s="1"/>
  <c r="BW75" i="24"/>
  <c r="BY75" i="24" s="1"/>
  <c r="BW84" i="24"/>
  <c r="BY84" i="24" s="1"/>
  <c r="BW11" i="24"/>
  <c r="BY11" i="24" s="1"/>
  <c r="BW57" i="24"/>
  <c r="BY57" i="24" s="1"/>
  <c r="BW24" i="24"/>
  <c r="BY24" i="24" s="1"/>
  <c r="BW12" i="24"/>
  <c r="BY12" i="24" s="1"/>
  <c r="BW47" i="24"/>
  <c r="BY47" i="24" s="1"/>
  <c r="BW99" i="24"/>
  <c r="BY99" i="24" s="1"/>
  <c r="BW103" i="24"/>
  <c r="BY103" i="24" s="1"/>
  <c r="BW61" i="24"/>
  <c r="BY61" i="24" s="1"/>
  <c r="BW45" i="24"/>
  <c r="BY45" i="24" s="1"/>
  <c r="BW94" i="24"/>
  <c r="BY94" i="24" s="1"/>
  <c r="BW48" i="24"/>
  <c r="BY48" i="24" s="1"/>
  <c r="BW15" i="24"/>
  <c r="BY15" i="24" s="1"/>
  <c r="BW71" i="24"/>
  <c r="BY71" i="24" s="1"/>
  <c r="BW44" i="24"/>
  <c r="BW98" i="24"/>
  <c r="BY98" i="24" s="1"/>
  <c r="BW20" i="24"/>
  <c r="BY20" i="24" s="1"/>
  <c r="BW58" i="24"/>
  <c r="BY58" i="24" s="1"/>
  <c r="BW38" i="24"/>
  <c r="BY38" i="24" s="1"/>
  <c r="BW37" i="24"/>
  <c r="BY37" i="24" s="1"/>
  <c r="BW66" i="24"/>
  <c r="BY66" i="24" s="1"/>
  <c r="BW90" i="24"/>
  <c r="BY90" i="24" s="1"/>
  <c r="BW6" i="24"/>
  <c r="BY6" i="24" s="1"/>
  <c r="BW52" i="24"/>
  <c r="BY52" i="24" s="1"/>
  <c r="BW67" i="24"/>
  <c r="BY67" i="24" s="1"/>
  <c r="BW39" i="24"/>
  <c r="BY39" i="24" s="1"/>
  <c r="BW26" i="24"/>
  <c r="BY26" i="24" s="1"/>
  <c r="BW80" i="24"/>
  <c r="BY80" i="24" s="1"/>
  <c r="BW62" i="24"/>
  <c r="BY62" i="24" s="1"/>
  <c r="BW77" i="24"/>
  <c r="BY77" i="24" s="1"/>
  <c r="BW9" i="24"/>
  <c r="BY9" i="24" s="1"/>
  <c r="BW17" i="24"/>
  <c r="BY17" i="24" s="1"/>
  <c r="BW76" i="24"/>
  <c r="BY76" i="24" s="1"/>
  <c r="BW30" i="24"/>
  <c r="BY30" i="24" s="1"/>
  <c r="BW16" i="24"/>
  <c r="BY16" i="24" s="1"/>
  <c r="BW8" i="24"/>
  <c r="BY8" i="24" s="1"/>
  <c r="BW93" i="24"/>
  <c r="BY93" i="24" s="1"/>
  <c r="BW102" i="24"/>
  <c r="BY102" i="24" s="1"/>
  <c r="BW13" i="24"/>
  <c r="BY13" i="24" s="1"/>
  <c r="CC167" i="24"/>
  <c r="CG167" i="24"/>
  <c r="CC172" i="24"/>
  <c r="CG172" i="24"/>
  <c r="CC176" i="24"/>
  <c r="CG176" i="24"/>
  <c r="CC195" i="24"/>
  <c r="CG195" i="24"/>
  <c r="CC191" i="24"/>
  <c r="CG191" i="24"/>
  <c r="CC203" i="24"/>
  <c r="CG203" i="24"/>
  <c r="CC192" i="24"/>
  <c r="CG192" i="24"/>
  <c r="CC169" i="24"/>
  <c r="CG169" i="24"/>
  <c r="B254" i="2"/>
  <c r="CC149" i="24"/>
  <c r="CG149" i="24"/>
  <c r="CC210" i="24"/>
  <c r="CG210" i="24"/>
  <c r="CC194" i="24"/>
  <c r="CG194" i="24"/>
  <c r="CC209" i="24"/>
  <c r="CG209" i="24"/>
  <c r="CC199" i="24"/>
  <c r="CG199" i="24"/>
  <c r="CC168" i="24"/>
  <c r="CG168" i="24"/>
  <c r="B233" i="2"/>
  <c r="D44" i="16" s="1"/>
  <c r="E33" i="1"/>
  <c r="A233" i="2"/>
  <c r="CC97" i="24" l="1"/>
  <c r="CG97" i="24"/>
  <c r="CC88" i="24"/>
  <c r="CG88" i="24"/>
  <c r="BZ44" i="24"/>
  <c r="CB44" i="24" s="1"/>
  <c r="CC44" i="24" s="1"/>
  <c r="BY44" i="24"/>
  <c r="BZ76" i="24"/>
  <c r="CB76" i="24" s="1"/>
  <c r="BZ9" i="24"/>
  <c r="CB9" i="24" s="1"/>
  <c r="CC9" i="24" s="1"/>
  <c r="BZ62" i="24"/>
  <c r="CB62" i="24" s="1"/>
  <c r="BZ26" i="24"/>
  <c r="CB26" i="24" s="1"/>
  <c r="CC26" i="24" s="1"/>
  <c r="BZ67" i="24"/>
  <c r="CB67" i="24" s="1"/>
  <c r="CC67" i="24" s="1"/>
  <c r="BZ6" i="24"/>
  <c r="CB6" i="24" s="1"/>
  <c r="BZ66" i="24"/>
  <c r="CB66" i="24" s="1"/>
  <c r="CC66" i="24" s="1"/>
  <c r="BZ38" i="24"/>
  <c r="CB38" i="24" s="1"/>
  <c r="CC38" i="24" s="1"/>
  <c r="BZ20" i="24"/>
  <c r="CB20" i="24" s="1"/>
  <c r="CC20" i="24" s="1"/>
  <c r="BZ61" i="24"/>
  <c r="CB61" i="24" s="1"/>
  <c r="BZ99" i="24"/>
  <c r="CB99" i="24" s="1"/>
  <c r="CC99" i="24" s="1"/>
  <c r="BZ12" i="24"/>
  <c r="CB12" i="24" s="1"/>
  <c r="BZ57" i="24"/>
  <c r="CB57" i="24" s="1"/>
  <c r="BZ84" i="24"/>
  <c r="CB84" i="24" s="1"/>
  <c r="BZ7" i="24"/>
  <c r="CB7" i="24" s="1"/>
  <c r="CC7" i="24" s="1"/>
  <c r="BZ30" i="24"/>
  <c r="CB30" i="24" s="1"/>
  <c r="CC30" i="24" s="1"/>
  <c r="BZ17" i="24"/>
  <c r="CB17" i="24" s="1"/>
  <c r="CC17" i="24" s="1"/>
  <c r="BZ15" i="24"/>
  <c r="CB15" i="24" s="1"/>
  <c r="CC15" i="24" s="1"/>
  <c r="B256" i="2" s="1"/>
  <c r="BZ94" i="24"/>
  <c r="CB94" i="24" s="1"/>
  <c r="CC94" i="24" s="1"/>
  <c r="BZ8" i="24"/>
  <c r="CB8" i="24" s="1"/>
  <c r="CC8" i="24" s="1"/>
  <c r="BZ102" i="24"/>
  <c r="CB102" i="24" s="1"/>
  <c r="CC102" i="24" s="1"/>
  <c r="BZ77" i="24"/>
  <c r="CB77" i="24" s="1"/>
  <c r="BZ80" i="24"/>
  <c r="CB80" i="24" s="1"/>
  <c r="CC80" i="24" s="1"/>
  <c r="BZ90" i="24"/>
  <c r="CB90" i="24" s="1"/>
  <c r="CC90" i="24" s="1"/>
  <c r="BZ37" i="24"/>
  <c r="CB37" i="24" s="1"/>
  <c r="BZ58" i="24"/>
  <c r="CB58" i="24" s="1"/>
  <c r="CC58" i="24" s="1"/>
  <c r="BZ45" i="24"/>
  <c r="CB45" i="24" s="1"/>
  <c r="BZ24" i="24"/>
  <c r="CB24" i="24" s="1"/>
  <c r="CC24" i="24" s="1"/>
  <c r="BZ75" i="24"/>
  <c r="CB75" i="24" s="1"/>
  <c r="CC75" i="24" s="1"/>
  <c r="BZ13" i="24"/>
  <c r="CB13" i="24" s="1"/>
  <c r="BZ93" i="24"/>
  <c r="CB93" i="24" s="1"/>
  <c r="CC93" i="24" s="1"/>
  <c r="BZ16" i="24"/>
  <c r="CB16" i="24" s="1"/>
  <c r="CC16" i="24" s="1"/>
  <c r="BZ39" i="24"/>
  <c r="CB39" i="24" s="1"/>
  <c r="CC39" i="24" s="1"/>
  <c r="BZ52" i="24"/>
  <c r="CB52" i="24" s="1"/>
  <c r="CC52" i="24" s="1"/>
  <c r="BZ98" i="24"/>
  <c r="CB98" i="24" s="1"/>
  <c r="CC98" i="24" s="1"/>
  <c r="BZ71" i="24"/>
  <c r="CB71" i="24" s="1"/>
  <c r="CC71" i="24" s="1"/>
  <c r="BZ48" i="24"/>
  <c r="CB48" i="24" s="1"/>
  <c r="BZ103" i="24"/>
  <c r="CB103" i="24" s="1"/>
  <c r="CC103" i="24" s="1"/>
  <c r="BZ47" i="24"/>
  <c r="CB47" i="24" s="1"/>
  <c r="CC47" i="24" s="1"/>
  <c r="BZ11" i="24"/>
  <c r="CB11" i="24" s="1"/>
  <c r="CC11" i="24" s="1"/>
  <c r="CG94" i="24"/>
  <c r="CG93" i="24"/>
  <c r="CG47" i="24"/>
  <c r="CG98" i="24"/>
  <c r="CG20" i="24"/>
  <c r="CH211" i="24"/>
  <c r="L15" i="1" s="1"/>
  <c r="CG67" i="24"/>
  <c r="CC6" i="24" l="1"/>
  <c r="CG6" i="24"/>
  <c r="CC12" i="24"/>
  <c r="CG12" i="24"/>
  <c r="CC77" i="24"/>
  <c r="CG77" i="24"/>
  <c r="CC76" i="24"/>
  <c r="CG76" i="24"/>
  <c r="CC37" i="24"/>
  <c r="CG37" i="24"/>
  <c r="CC62" i="24"/>
  <c r="CG62" i="24"/>
  <c r="CC13" i="24"/>
  <c r="CG13" i="24"/>
  <c r="CC57" i="24"/>
  <c r="CG57" i="24"/>
  <c r="CC48" i="24"/>
  <c r="CG48" i="24"/>
  <c r="CC61" i="24"/>
  <c r="CG61" i="24"/>
  <c r="CC84" i="24"/>
  <c r="CG84" i="24"/>
  <c r="CG45" i="24"/>
  <c r="CC45" i="24"/>
</calcChain>
</file>

<file path=xl/comments1.xml><?xml version="1.0" encoding="utf-8"?>
<comments xmlns="http://schemas.openxmlformats.org/spreadsheetml/2006/main">
  <authors>
    <author>Timothy Hegarty</author>
    <author>Hegarty, Timothy</author>
  </authors>
  <commentList>
    <comment ref="A3" authorId="0">
      <text>
        <r>
          <rPr>
            <b/>
            <sz val="11"/>
            <color indexed="10"/>
            <rFont val="Tahoma"/>
            <family val="2"/>
          </rPr>
          <t>Welcome to the LM5181 Design Tool</t>
        </r>
        <r>
          <rPr>
            <sz val="9"/>
            <color indexed="81"/>
            <rFont val="Tahoma"/>
            <family val="2"/>
          </rPr>
          <t xml:space="preserve">
This stand-alone tool facilitates and assists the power supply engineer with design of an isolated DC/DC regulator based on the </t>
        </r>
        <r>
          <rPr>
            <b/>
            <sz val="9"/>
            <color indexed="81"/>
            <rFont val="Tahoma"/>
            <family val="2"/>
          </rPr>
          <t>LM5181 low I</t>
        </r>
        <r>
          <rPr>
            <b/>
            <vertAlign val="subscript"/>
            <sz val="9"/>
            <color indexed="81"/>
            <rFont val="Tahoma"/>
            <family val="2"/>
          </rPr>
          <t>Q</t>
        </r>
        <r>
          <rPr>
            <b/>
            <sz val="9"/>
            <color indexed="81"/>
            <rFont val="Tahoma"/>
            <family val="2"/>
          </rPr>
          <t xml:space="preserve"> PSR flyback converter</t>
        </r>
        <r>
          <rPr>
            <sz val="9"/>
            <color indexed="81"/>
            <rFont val="Tahoma"/>
            <family val="2"/>
          </rPr>
          <t xml:space="preserve">. As such, the user can expeditiously arrive at an optimized design by virtue of the following:
- Select transformer parameters including turns ratio and mag inductance
- Determine input and output capacitances for specified ripple requirements (1% Vout and 5% Vin)
- Select components for feedback, soft-start, input UVLO, and temperature compensation
- Advise componnets (usually optional) for SW voltage clamp and and flyback diode snubber
- Optimize the design using efficiency and solution size as key performance metrics
- Inspect converter efficiency and switching frequency over load and line
- Analyze efficiency based on selected component parameters
- Review auto-generated schematic and BOM list
</t>
        </r>
        <r>
          <rPr>
            <b/>
            <sz val="9"/>
            <color indexed="81"/>
            <rFont val="Tahoma"/>
            <family val="2"/>
          </rPr>
          <t>IMPORTANT:</t>
        </r>
        <r>
          <rPr>
            <sz val="9"/>
            <color indexed="81"/>
            <rFont val="Tahoma"/>
            <family val="2"/>
          </rPr>
          <t xml:space="preserve"> You must enable macros if Microsoft EXCEL asks as the file is being opened.
U.S. English notation is used throughout.
</t>
        </r>
        <r>
          <rPr>
            <u/>
            <sz val="9"/>
            <color indexed="12"/>
            <rFont val="Tahoma"/>
            <family val="2"/>
          </rPr>
          <t>http://www.ti.com/widevin/</t>
        </r>
        <r>
          <rPr>
            <sz val="9"/>
            <color indexed="81"/>
            <rFont val="Tahoma"/>
            <family val="2"/>
          </rPr>
          <t xml:space="preserve">
</t>
        </r>
        <r>
          <rPr>
            <b/>
            <sz val="9"/>
            <color indexed="81"/>
            <rFont val="Tahoma"/>
            <family val="2"/>
          </rPr>
          <t xml:space="preserve">
Rev 1.0, Timothy Hegarty, Texas Instruments, Inc.</t>
        </r>
      </text>
    </comment>
    <comment ref="U3" authorId="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design tool and recommends that all designs be fully tested and carefully verified. Refer to the LM5180 product datasheet and EVM user's guide for more details.
</t>
        </r>
        <r>
          <rPr>
            <b/>
            <sz val="9"/>
            <color indexed="81"/>
            <rFont val="Tahoma"/>
            <family val="2"/>
          </rPr>
          <t>Rev 1.0, Timothy Hegarty, Texas Instruments, Inc.</t>
        </r>
      </text>
    </comment>
    <comment ref="F6" authorId="0">
      <text>
        <r>
          <rPr>
            <b/>
            <u/>
            <sz val="9"/>
            <color indexed="81"/>
            <rFont val="Tahoma"/>
            <family val="2"/>
          </rPr>
          <t>Minimum Input Voltage</t>
        </r>
        <r>
          <rPr>
            <b/>
            <sz val="9"/>
            <color indexed="81"/>
            <rFont val="Tahoma"/>
            <family val="2"/>
          </rPr>
          <t>:</t>
        </r>
        <r>
          <rPr>
            <sz val="9"/>
            <color indexed="81"/>
            <rFont val="Tahoma"/>
            <family val="2"/>
          </rPr>
          <t xml:space="preserve">
Enter the minimum input operating voltage.
The LM5181 input voltage operating range is 4.5V to 65V.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65V</t>
        </r>
        <r>
          <rPr>
            <sz val="9"/>
            <color indexed="81"/>
            <rFont val="Tahoma"/>
            <family val="2"/>
          </rPr>
          <t xml:space="preserve">
-The input voltage is below </t>
        </r>
        <r>
          <rPr>
            <b/>
            <sz val="9"/>
            <color indexed="10"/>
            <rFont val="Tahoma"/>
            <family val="2"/>
          </rPr>
          <t>4.5V</t>
        </r>
      </text>
    </comment>
    <comment ref="M6" authorId="0">
      <text>
        <r>
          <rPr>
            <b/>
            <u/>
            <sz val="9"/>
            <color indexed="81"/>
            <rFont val="Tahoma"/>
            <family val="2"/>
          </rPr>
          <t>Minimum Magnetizing Inductance</t>
        </r>
        <r>
          <rPr>
            <b/>
            <sz val="9"/>
            <color indexed="81"/>
            <rFont val="Tahoma"/>
            <family val="2"/>
          </rPr>
          <t xml:space="preserve">:
</t>
        </r>
        <r>
          <rPr>
            <sz val="9"/>
            <color indexed="81"/>
            <rFont val="Tahoma"/>
            <family val="2"/>
          </rPr>
          <t>The minimum magnetizing inductance is set by the off-time constraint at light loads (in FFM). The requirement is that the magnetizing current must not decrease to zero in less than 500ns.</t>
        </r>
      </text>
    </comment>
    <comment ref="F7" authorId="0">
      <text>
        <r>
          <rPr>
            <b/>
            <u/>
            <sz val="9"/>
            <color indexed="81"/>
            <rFont val="Tahoma"/>
            <family val="2"/>
          </rPr>
          <t>Nominal Input Voltage</t>
        </r>
        <r>
          <rPr>
            <b/>
            <sz val="9"/>
            <color indexed="81"/>
            <rFont val="Tahoma"/>
            <family val="2"/>
          </rPr>
          <t>:</t>
        </r>
        <r>
          <rPr>
            <sz val="9"/>
            <color indexed="81"/>
            <rFont val="Tahoma"/>
            <family val="2"/>
          </rPr>
          <t xml:space="preserve">
Enter the nominal input operating voltage.
The LM5181 input voltage operating range is 4.5V to 65V.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65V</t>
        </r>
        <r>
          <rPr>
            <sz val="9"/>
            <color indexed="81"/>
            <rFont val="Tahoma"/>
            <family val="2"/>
          </rPr>
          <t xml:space="preserve">
-The input voltage is below </t>
        </r>
        <r>
          <rPr>
            <b/>
            <sz val="9"/>
            <color indexed="10"/>
            <rFont val="Tahoma"/>
            <family val="2"/>
          </rPr>
          <t>4.5V</t>
        </r>
      </text>
    </comment>
    <comment ref="M7" authorId="0">
      <text>
        <r>
          <rPr>
            <b/>
            <u/>
            <sz val="9"/>
            <color indexed="81"/>
            <rFont val="Tahoma"/>
            <family val="2"/>
          </rPr>
          <t>Magnetizing Inductance</t>
        </r>
        <r>
          <rPr>
            <b/>
            <sz val="9"/>
            <color indexed="81"/>
            <rFont val="Tahoma"/>
            <family val="2"/>
          </rPr>
          <t xml:space="preserve">:
</t>
        </r>
        <r>
          <rPr>
            <sz val="9"/>
            <color indexed="81"/>
            <rFont val="Tahoma"/>
            <family val="2"/>
          </rPr>
          <t xml:space="preserve">Enter the transformer mag inductance here.
Lower inductance provides an earlier transition from FFM to DCM but pushes out (or entirely eliminates) BCM operation. The main priviso is that the rated output current is achieved at nominal input voltage.
</t>
        </r>
        <r>
          <rPr>
            <b/>
            <sz val="9"/>
            <color indexed="81"/>
            <rFont val="Tahoma"/>
            <family val="2"/>
          </rPr>
          <t xml:space="preserve">This cell is flagged </t>
        </r>
        <r>
          <rPr>
            <b/>
            <sz val="9"/>
            <color indexed="10"/>
            <rFont val="Tahoma"/>
            <family val="2"/>
          </rPr>
          <t>RED</t>
        </r>
        <r>
          <rPr>
            <b/>
            <sz val="9"/>
            <color indexed="81"/>
            <rFont val="Tahoma"/>
            <family val="2"/>
          </rPr>
          <t xml:space="preserve"> if:</t>
        </r>
        <r>
          <rPr>
            <b/>
            <sz val="9"/>
            <color indexed="39"/>
            <rFont val="Tahoma"/>
            <family val="2"/>
          </rPr>
          <t xml:space="preserve">
</t>
        </r>
        <r>
          <rPr>
            <b/>
            <sz val="9"/>
            <color indexed="10"/>
            <rFont val="Tahoma"/>
            <family val="2"/>
          </rPr>
          <t>-The chosen inductance causes the peak current at max input voltage...</t>
        </r>
      </text>
    </comment>
    <comment ref="F8" authorId="0">
      <text>
        <r>
          <rPr>
            <b/>
            <u/>
            <sz val="9"/>
            <color indexed="81"/>
            <rFont val="Tahoma"/>
            <family val="2"/>
          </rPr>
          <t>Maximum Input Voltage</t>
        </r>
        <r>
          <rPr>
            <b/>
            <sz val="9"/>
            <color indexed="81"/>
            <rFont val="Tahoma"/>
            <family val="2"/>
          </rPr>
          <t>:</t>
        </r>
        <r>
          <rPr>
            <sz val="9"/>
            <color indexed="81"/>
            <rFont val="Tahoma"/>
            <family val="2"/>
          </rPr>
          <t xml:space="preserve">
Enter the maximum input operating voltage.
The LM5181 input voltage operating range is 4.5V to 65V.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65V</t>
        </r>
        <r>
          <rPr>
            <sz val="9"/>
            <color indexed="81"/>
            <rFont val="Tahoma"/>
            <family val="2"/>
          </rPr>
          <t xml:space="preserve">
-The input voltage is below </t>
        </r>
        <r>
          <rPr>
            <b/>
            <sz val="9"/>
            <color indexed="10"/>
            <rFont val="Tahoma"/>
            <family val="2"/>
          </rPr>
          <t>4.5V</t>
        </r>
      </text>
    </comment>
    <comment ref="M8" authorId="0">
      <text>
        <r>
          <rPr>
            <b/>
            <u/>
            <sz val="9"/>
            <color indexed="81"/>
            <rFont val="Tahoma"/>
            <family val="2"/>
          </rPr>
          <t>Primary Winding DCR</t>
        </r>
        <r>
          <rPr>
            <b/>
            <sz val="9"/>
            <color indexed="81"/>
            <rFont val="Tahoma"/>
            <family val="2"/>
          </rPr>
          <t xml:space="preserve">:
</t>
        </r>
        <r>
          <rPr>
            <sz val="9"/>
            <color indexed="81"/>
            <rFont val="Tahoma"/>
            <family val="2"/>
          </rPr>
          <t>Enter the primary winding DC resistance (DCR) here. This is typically specified in the transformer datasheet at 25°C copper temperature.</t>
        </r>
      </text>
    </comment>
    <comment ref="M9" authorId="0">
      <text>
        <r>
          <rPr>
            <b/>
            <u/>
            <sz val="9"/>
            <color indexed="81"/>
            <rFont val="Tahoma"/>
            <family val="2"/>
          </rPr>
          <t>Secondary Winding DCR</t>
        </r>
        <r>
          <rPr>
            <b/>
            <sz val="9"/>
            <color indexed="81"/>
            <rFont val="Tahoma"/>
            <family val="2"/>
          </rPr>
          <t xml:space="preserve">:
</t>
        </r>
        <r>
          <rPr>
            <sz val="9"/>
            <color indexed="81"/>
            <rFont val="Tahoma"/>
            <family val="2"/>
          </rPr>
          <t>Enter the secondary winding DCR here. This is typically specified in the transformer datasheet at 25°C copper temperature.</t>
        </r>
      </text>
    </comment>
    <comment ref="F10" authorId="0">
      <text>
        <r>
          <rPr>
            <b/>
            <u/>
            <sz val="9"/>
            <color indexed="81"/>
            <rFont val="Tahoma"/>
            <family val="2"/>
          </rPr>
          <t>Output Voltage</t>
        </r>
        <r>
          <rPr>
            <b/>
            <sz val="9"/>
            <color indexed="81"/>
            <rFont val="Tahoma"/>
            <family val="2"/>
          </rPr>
          <t xml:space="preserve">:
</t>
        </r>
        <r>
          <rPr>
            <sz val="9"/>
            <color indexed="81"/>
            <rFont val="Tahoma"/>
            <family val="2"/>
          </rPr>
          <t xml:space="preserve">Enter the desired </t>
        </r>
        <r>
          <rPr>
            <sz val="9"/>
            <color indexed="8"/>
            <rFont val="Tahoma"/>
            <family val="2"/>
          </rPr>
          <t>output</t>
        </r>
        <r>
          <rPr>
            <sz val="9"/>
            <color indexed="81"/>
            <rFont val="Tahoma"/>
            <family val="2"/>
          </rPr>
          <t xml:space="preserve"> voltage here.</t>
        </r>
      </text>
    </comment>
    <comment ref="F11" authorId="0">
      <text>
        <r>
          <rPr>
            <b/>
            <u/>
            <sz val="9"/>
            <color indexed="81"/>
            <rFont val="Tahoma"/>
            <family val="2"/>
          </rPr>
          <t>Output Current</t>
        </r>
        <r>
          <rPr>
            <b/>
            <sz val="9"/>
            <color indexed="81"/>
            <rFont val="Tahoma"/>
            <family val="2"/>
          </rPr>
          <t xml:space="preserve">:
</t>
        </r>
        <r>
          <rPr>
            <sz val="9"/>
            <color indexed="81"/>
            <rFont val="Tahoma"/>
            <family val="2"/>
          </rPr>
          <t>Enter the desired output current here.</t>
        </r>
        <r>
          <rPr>
            <b/>
            <sz val="9"/>
            <color indexed="81"/>
            <rFont val="Tahoma"/>
            <family val="2"/>
          </rPr>
          <t xml:space="preserve">
</t>
        </r>
        <r>
          <rPr>
            <sz val="9"/>
            <color indexed="81"/>
            <rFont val="Tahoma"/>
            <family val="2"/>
          </rPr>
          <t xml:space="preserve">The text in this cell is </t>
        </r>
        <r>
          <rPr>
            <b/>
            <sz val="9"/>
            <color indexed="10"/>
            <rFont val="Tahoma"/>
            <family val="2"/>
          </rPr>
          <t>RED</t>
        </r>
        <r>
          <rPr>
            <sz val="9"/>
            <color indexed="81"/>
            <rFont val="Tahoma"/>
            <family val="2"/>
          </rPr>
          <t xml:space="preserve"> if:</t>
        </r>
        <r>
          <rPr>
            <b/>
            <sz val="9"/>
            <color indexed="81"/>
            <rFont val="Tahoma"/>
            <family val="2"/>
          </rPr>
          <t xml:space="preserve">
</t>
        </r>
        <r>
          <rPr>
            <b/>
            <sz val="9"/>
            <color indexed="39"/>
            <rFont val="Tahoma"/>
            <family val="2"/>
          </rPr>
          <t xml:space="preserve">-The output current is below </t>
        </r>
        <r>
          <rPr>
            <b/>
            <sz val="9"/>
            <color indexed="10"/>
            <rFont val="Tahoma"/>
            <family val="2"/>
          </rPr>
          <t xml:space="preserve">1mA
</t>
        </r>
      </text>
    </comment>
    <comment ref="M14" authorId="0">
      <text>
        <r>
          <rPr>
            <b/>
            <u/>
            <sz val="9"/>
            <color indexed="81"/>
            <rFont val="Tahoma"/>
            <family val="2"/>
          </rPr>
          <t>Max Duty Cycle</t>
        </r>
        <r>
          <rPr>
            <b/>
            <sz val="9"/>
            <color indexed="81"/>
            <rFont val="Tahoma"/>
            <family val="2"/>
          </rPr>
          <t xml:space="preserve">:
</t>
        </r>
        <r>
          <rPr>
            <sz val="9"/>
            <color indexed="81"/>
            <rFont val="Tahoma"/>
            <family val="2"/>
          </rPr>
          <t>The max operating duty cycle is preferably kept below 75% to prevent high peak/rms currents in the flyback diode(s) and secondary winding(s).</t>
        </r>
      </text>
    </comment>
    <comment ref="M15" authorId="0">
      <text>
        <r>
          <rPr>
            <b/>
            <u/>
            <sz val="9"/>
            <color indexed="81"/>
            <rFont val="Tahoma"/>
            <family val="2"/>
          </rPr>
          <t>Max Output Current at VIN(min)</t>
        </r>
        <r>
          <rPr>
            <b/>
            <sz val="9"/>
            <color indexed="81"/>
            <rFont val="Tahoma"/>
            <family val="2"/>
          </rPr>
          <t xml:space="preserve">:
</t>
        </r>
        <r>
          <rPr>
            <sz val="9"/>
            <color indexed="81"/>
            <rFont val="Tahoma"/>
            <family val="2"/>
          </rPr>
          <t>The output power is most limited at minimum input operating voltage. Adjust the transformer turns ratio if needed.</t>
        </r>
      </text>
    </comment>
    <comment ref="F16" authorId="0">
      <text>
        <r>
          <rPr>
            <b/>
            <u/>
            <sz val="9"/>
            <color indexed="81"/>
            <rFont val="Tahoma"/>
            <family val="2"/>
          </rPr>
          <t>Minimum Recommended Cin</t>
        </r>
        <r>
          <rPr>
            <b/>
            <sz val="9"/>
            <color indexed="81"/>
            <rFont val="Tahoma"/>
            <family val="2"/>
          </rPr>
          <t xml:space="preserve">:
</t>
        </r>
        <r>
          <rPr>
            <sz val="9"/>
            <color indexed="81"/>
            <rFont val="Tahoma"/>
            <family val="2"/>
          </rPr>
          <t xml:space="preserve">This is the minimum input cap based on 10% pk-pk voltage ripple at the input.
</t>
        </r>
        <r>
          <rPr>
            <sz val="9"/>
            <color indexed="39"/>
            <rFont val="Tahoma"/>
            <family val="2"/>
          </rPr>
          <t xml:space="preserve">
</t>
        </r>
        <r>
          <rPr>
            <b/>
            <sz val="9"/>
            <color indexed="39"/>
            <rFont val="Tahoma"/>
            <family val="2"/>
          </rPr>
          <t>This condition is derived at VIN(nom).</t>
        </r>
        <r>
          <rPr>
            <b/>
            <sz val="9"/>
            <color indexed="81"/>
            <rFont val="Tahoma"/>
            <family val="2"/>
          </rPr>
          <t xml:space="preserve">
</t>
        </r>
      </text>
    </comment>
    <comment ref="F17" authorId="0">
      <text>
        <r>
          <rPr>
            <b/>
            <u/>
            <sz val="9"/>
            <color indexed="81"/>
            <rFont val="Tahoma"/>
            <family val="2"/>
          </rPr>
          <t>Input Capacitance</t>
        </r>
        <r>
          <rPr>
            <b/>
            <sz val="9"/>
            <color indexed="81"/>
            <rFont val="Tahoma"/>
            <family val="2"/>
          </rPr>
          <t xml:space="preserve">:
</t>
        </r>
        <r>
          <rPr>
            <sz val="9"/>
            <color indexed="81"/>
            <rFont val="Tahoma"/>
            <family val="2"/>
          </rPr>
          <t xml:space="preserve">Enter the input capacitance here based on the minimum calculated result. Ensure that the nominal capacitance is appropriately derated for applied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input capacitor is smaller than the minimum ideal capacitance.</t>
        </r>
      </text>
    </comment>
    <comment ref="F18" authorId="0">
      <text>
        <r>
          <rPr>
            <b/>
            <u/>
            <sz val="9"/>
            <color indexed="81"/>
            <rFont val="Tahoma"/>
            <family val="2"/>
          </rPr>
          <t>Input Capacitor ESR</t>
        </r>
        <r>
          <rPr>
            <b/>
            <sz val="9"/>
            <color indexed="81"/>
            <rFont val="Tahoma"/>
            <family val="2"/>
          </rPr>
          <t xml:space="preserve">:
</t>
        </r>
        <r>
          <rPr>
            <sz val="9"/>
            <color indexed="81"/>
            <rFont val="Tahoma"/>
            <family val="2"/>
          </rPr>
          <t>Enter the input capacitor ESR here based on the maximum allowed input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0" authorId="0">
      <text>
        <r>
          <rPr>
            <b/>
            <u/>
            <sz val="9"/>
            <color indexed="81"/>
            <rFont val="Tahoma"/>
            <family val="2"/>
          </rPr>
          <t>Minimum Recommneded Cout</t>
        </r>
        <r>
          <rPr>
            <b/>
            <sz val="9"/>
            <color indexed="81"/>
            <rFont val="Tahoma"/>
            <family val="2"/>
          </rPr>
          <t xml:space="preserve">:
</t>
        </r>
        <r>
          <rPr>
            <sz val="9"/>
            <color indexed="81"/>
            <rFont val="Tahoma"/>
            <family val="2"/>
          </rPr>
          <t xml:space="preserve">This is the minimum output cap based on 1% ripple at Vin(nom), full load
</t>
        </r>
        <r>
          <rPr>
            <sz val="9"/>
            <color indexed="39"/>
            <rFont val="Tahoma"/>
            <family val="2"/>
          </rPr>
          <t xml:space="preserve">
</t>
        </r>
        <r>
          <rPr>
            <b/>
            <sz val="9"/>
            <color indexed="39"/>
            <rFont val="Tahoma"/>
            <family val="2"/>
          </rPr>
          <t>NB: this condition is derived at VIN(nom).</t>
        </r>
        <r>
          <rPr>
            <b/>
            <sz val="9"/>
            <color indexed="81"/>
            <rFont val="Tahoma"/>
            <family val="2"/>
          </rPr>
          <t xml:space="preserve">
</t>
        </r>
      </text>
    </comment>
    <comment ref="F21" authorId="0">
      <text>
        <r>
          <rPr>
            <b/>
            <u/>
            <sz val="9"/>
            <color indexed="81"/>
            <rFont val="Tahoma"/>
            <family val="2"/>
          </rPr>
          <t>Output Capacitance</t>
        </r>
        <r>
          <rPr>
            <b/>
            <sz val="9"/>
            <color indexed="81"/>
            <rFont val="Tahoma"/>
            <family val="2"/>
          </rPr>
          <t>:</t>
        </r>
        <r>
          <rPr>
            <sz val="9"/>
            <color indexed="81"/>
            <rFont val="Tahoma"/>
            <family val="2"/>
          </rPr>
          <t xml:space="preserve">
Enter the output capacitance here based on the minimum calculated result. Make sure that the nominal capacitance is appropriately derated for applied voltage, particularly with </t>
        </r>
        <r>
          <rPr>
            <sz val="9"/>
            <color indexed="39"/>
            <rFont val="Tahoma"/>
            <family val="2"/>
          </rPr>
          <t>ceramics</t>
        </r>
        <r>
          <rPr>
            <sz val="9"/>
            <color indexed="81"/>
            <rFont val="Tahoma"/>
            <family val="2"/>
          </rPr>
          <t xml:space="preserve">.
</t>
        </r>
        <r>
          <rPr>
            <b/>
            <sz val="9"/>
            <color indexed="81"/>
            <rFont val="Tahoma"/>
            <family val="2"/>
          </rPr>
          <t>The text in this cell is flagged red if:</t>
        </r>
        <r>
          <rPr>
            <sz val="9"/>
            <color indexed="81"/>
            <rFont val="Tahoma"/>
            <family val="2"/>
          </rPr>
          <t xml:space="preserve">
</t>
        </r>
        <r>
          <rPr>
            <b/>
            <sz val="9"/>
            <color indexed="10"/>
            <rFont val="Tahoma"/>
            <family val="2"/>
          </rPr>
          <t>-The chosen output capacitor is smaller than the minimum ideal capacitance.</t>
        </r>
      </text>
    </comment>
    <comment ref="F22" authorId="0">
      <text>
        <r>
          <rPr>
            <b/>
            <u/>
            <sz val="9"/>
            <color indexed="81"/>
            <rFont val="Tahoma"/>
            <family val="2"/>
          </rPr>
          <t>Output Capacitor ESR</t>
        </r>
        <r>
          <rPr>
            <b/>
            <sz val="9"/>
            <color indexed="81"/>
            <rFont val="Tahoma"/>
            <family val="2"/>
          </rPr>
          <t xml:space="preserve">:
</t>
        </r>
        <r>
          <rPr>
            <sz val="9"/>
            <color indexed="81"/>
            <rFont val="Tahoma"/>
            <family val="2"/>
          </rPr>
          <t>Enter the output capacitor ESR here based on the maximum allowed output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8" authorId="0">
      <text>
        <r>
          <rPr>
            <b/>
            <u/>
            <sz val="9"/>
            <color indexed="81"/>
            <rFont val="Tahoma"/>
            <family val="2"/>
          </rPr>
          <t>Soft-Start Time</t>
        </r>
        <r>
          <rPr>
            <b/>
            <sz val="9"/>
            <color indexed="81"/>
            <rFont val="Tahoma"/>
            <family val="2"/>
          </rPr>
          <t xml:space="preserve">:
</t>
        </r>
        <r>
          <rPr>
            <sz val="9"/>
            <color indexed="81"/>
            <rFont val="Tahoma"/>
            <family val="2"/>
          </rPr>
          <t xml:space="preserve">Enter the </t>
        </r>
        <r>
          <rPr>
            <b/>
            <sz val="9"/>
            <color indexed="39"/>
            <rFont val="Tahoma"/>
            <family val="2"/>
          </rPr>
          <t>desired soft-start time</t>
        </r>
        <r>
          <rPr>
            <sz val="9"/>
            <color indexed="81"/>
            <rFont val="Tahoma"/>
            <family val="2"/>
          </rPr>
          <t xml:space="preserve"> as required (must be greater than 6ms).
Leave the </t>
        </r>
        <r>
          <rPr>
            <b/>
            <sz val="9"/>
            <color indexed="39"/>
            <rFont val="Tahoma"/>
            <family val="2"/>
          </rPr>
          <t>SS/BIAS pin open circuit</t>
        </r>
        <r>
          <rPr>
            <sz val="9"/>
            <color indexed="81"/>
            <rFont val="Tahoma"/>
            <family val="2"/>
          </rPr>
          <t xml:space="preserve"> to provide a soft-start time of </t>
        </r>
        <r>
          <rPr>
            <b/>
            <sz val="9"/>
            <color indexed="81"/>
            <rFont val="Tahoma"/>
            <family val="2"/>
          </rPr>
          <t>6ms</t>
        </r>
        <r>
          <rPr>
            <sz val="9"/>
            <color indexed="81"/>
            <rFont val="Tahoma"/>
            <family val="2"/>
          </rPr>
          <t>.
Connect an auxiliary bias rail to SS/BIAS to reduce quiescent current and bias power dissipation (use a 22nF cap from SS/BIAS to GND).</t>
        </r>
        <r>
          <rPr>
            <b/>
            <sz val="9"/>
            <color indexed="81"/>
            <rFont val="Tahoma"/>
            <family val="2"/>
          </rPr>
          <t xml:space="preserve">
The text in the cell below becomes red if:
</t>
        </r>
        <r>
          <rPr>
            <b/>
            <sz val="9"/>
            <color indexed="10"/>
            <rFont val="Tahoma"/>
            <family val="2"/>
          </rPr>
          <t>-The specified programmable soft-start time is less than 6ms.</t>
        </r>
        <r>
          <rPr>
            <sz val="9"/>
            <color indexed="81"/>
            <rFont val="Tahoma"/>
            <family val="2"/>
          </rPr>
          <t xml:space="preserve">
</t>
        </r>
      </text>
    </comment>
    <comment ref="F34" authorId="0">
      <text>
        <r>
          <rPr>
            <b/>
            <u/>
            <sz val="9"/>
            <color indexed="81"/>
            <rFont val="Tahoma"/>
            <family val="2"/>
          </rPr>
          <t>Nominal Input UVLO Turn-On/Off Threshold Levels</t>
        </r>
        <r>
          <rPr>
            <b/>
            <sz val="9"/>
            <color indexed="81"/>
            <rFont val="Tahoma"/>
            <family val="2"/>
          </rPr>
          <t>:</t>
        </r>
        <r>
          <rPr>
            <sz val="9"/>
            <color indexed="81"/>
            <rFont val="Tahoma"/>
            <family val="2"/>
          </rPr>
          <t xml:space="preserve">
Enter the nominal input voltages for UVLO turn-on and turn-off. 
Note that the LM5180 input operating voltage range is</t>
        </r>
        <r>
          <rPr>
            <b/>
            <sz val="9"/>
            <color indexed="81"/>
            <rFont val="Tahoma"/>
            <family val="2"/>
          </rPr>
          <t xml:space="preserve"> 4.5V to 65V</t>
        </r>
        <r>
          <rPr>
            <sz val="9"/>
            <color indexed="81"/>
            <rFont val="Tahoma"/>
            <family val="2"/>
          </rPr>
          <t xml:space="preserve">.
</t>
        </r>
        <r>
          <rPr>
            <b/>
            <sz val="9"/>
            <color indexed="81"/>
            <rFont val="Tahoma"/>
            <family val="2"/>
          </rPr>
          <t>The text in the cell below becomes red if:</t>
        </r>
        <r>
          <rPr>
            <sz val="9"/>
            <color indexed="81"/>
            <rFont val="Tahoma"/>
            <family val="2"/>
          </rPr>
          <t xml:space="preserve">
-The input voltage UVLO turn-on is above </t>
        </r>
        <r>
          <rPr>
            <b/>
            <sz val="9"/>
            <color indexed="10"/>
            <rFont val="Tahoma"/>
            <family val="2"/>
          </rPr>
          <t>65V</t>
        </r>
        <r>
          <rPr>
            <sz val="9"/>
            <color indexed="81"/>
            <rFont val="Tahoma"/>
            <family val="2"/>
          </rPr>
          <t xml:space="preserve">
-The input voltage UVLO turn-on is below </t>
        </r>
        <r>
          <rPr>
            <b/>
            <sz val="9"/>
            <color indexed="10"/>
            <rFont val="Tahoma"/>
            <family val="2"/>
          </rPr>
          <t xml:space="preserve">4.5V
</t>
        </r>
        <r>
          <rPr>
            <sz val="9"/>
            <color indexed="81"/>
            <rFont val="Tahoma"/>
            <family val="2"/>
          </rPr>
          <t>-The input voltage UVLO turn-off is below</t>
        </r>
        <r>
          <rPr>
            <b/>
            <sz val="9"/>
            <color indexed="10"/>
            <rFont val="Tahoma"/>
            <family val="2"/>
          </rPr>
          <t xml:space="preserve"> 3.5V
</t>
        </r>
        <r>
          <rPr>
            <b/>
            <sz val="9"/>
            <color indexed="39"/>
            <rFont val="Tahoma"/>
            <family val="2"/>
          </rPr>
          <t>If the internal UVLO is sufficient, connect EN to logic high or VIN.</t>
        </r>
      </text>
    </comment>
    <comment ref="F41" authorId="1">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no load, 25°C (used for feedback resistor calculation)</t>
        </r>
      </text>
    </comment>
    <comment ref="F42" authorId="1">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full load, 25°C (used for power loss calculations)</t>
        </r>
      </text>
    </comment>
    <comment ref="F43" authorId="0">
      <text>
        <r>
          <rPr>
            <b/>
            <u/>
            <sz val="9"/>
            <color indexed="81"/>
            <rFont val="Tahoma"/>
            <family val="2"/>
          </rPr>
          <t>Estimated Thermal Impedance</t>
        </r>
        <r>
          <rPr>
            <b/>
            <sz val="9"/>
            <color indexed="81"/>
            <rFont val="Tahoma"/>
            <family val="2"/>
          </rPr>
          <t xml:space="preserve">:
</t>
        </r>
        <r>
          <rPr>
            <sz val="9"/>
            <color indexed="81"/>
            <rFont val="Tahoma"/>
            <family val="2"/>
          </rPr>
          <t xml:space="preserve">Enter the LM5180's junction-to-ambient thermal impedance, which relates to PCB copper weight and area for heatsinking, local ariflow rate, and other factors.
</t>
        </r>
      </text>
    </comment>
    <comment ref="F44" authorId="0">
      <text>
        <r>
          <rPr>
            <b/>
            <u/>
            <sz val="9"/>
            <color indexed="81"/>
            <rFont val="Tahoma"/>
            <family val="2"/>
          </rPr>
          <t>Ambient Operating Temperature</t>
        </r>
        <r>
          <rPr>
            <b/>
            <sz val="9"/>
            <color indexed="81"/>
            <rFont val="Tahoma"/>
            <family val="2"/>
          </rPr>
          <t xml:space="preserve">:
</t>
        </r>
        <r>
          <rPr>
            <sz val="9"/>
            <color indexed="81"/>
            <rFont val="Tahoma"/>
            <family val="2"/>
          </rPr>
          <t>Enter the LM5181's local ambient temperature (T</t>
        </r>
        <r>
          <rPr>
            <vertAlign val="subscript"/>
            <sz val="9"/>
            <color indexed="81"/>
            <rFont val="Tahoma"/>
            <family val="2"/>
          </rPr>
          <t>A</t>
        </r>
        <r>
          <rPr>
            <sz val="9"/>
            <color indexed="81"/>
            <rFont val="Tahoma"/>
            <family val="2"/>
          </rPr>
          <t xml:space="preserve">) here.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ambient temperature is below -40°C or above 150°C.</t>
        </r>
      </text>
    </comment>
    <comment ref="F46" authorId="0">
      <text>
        <r>
          <rPr>
            <b/>
            <u/>
            <sz val="9"/>
            <color indexed="81"/>
            <rFont val="Tahoma"/>
            <family val="2"/>
          </rPr>
          <t>Operating Junction Temperature</t>
        </r>
        <r>
          <rPr>
            <b/>
            <sz val="9"/>
            <color indexed="81"/>
            <rFont val="Tahoma"/>
            <family val="2"/>
          </rPr>
          <t xml:space="preserve">:
</t>
        </r>
        <r>
          <rPr>
            <sz val="9"/>
            <color indexed="81"/>
            <rFont val="Tahoma"/>
            <family val="2"/>
          </rPr>
          <t>Here is an estimate of the LM5181's opertaing junction temperature (T</t>
        </r>
        <r>
          <rPr>
            <vertAlign val="subscript"/>
            <sz val="9"/>
            <color indexed="81"/>
            <rFont val="Tahoma"/>
            <family val="2"/>
          </rPr>
          <t>J</t>
        </r>
        <r>
          <rPr>
            <sz val="9"/>
            <color indexed="81"/>
            <rFont val="Tahoma"/>
            <family val="2"/>
          </rPr>
          <t xml:space="preserve">) at full load and nominal input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calculated junction temperature is below -40°C or above 150°C.</t>
        </r>
      </text>
    </comment>
  </commentList>
</comments>
</file>

<file path=xl/comments2.xml><?xml version="1.0" encoding="utf-8"?>
<comments xmlns="http://schemas.openxmlformats.org/spreadsheetml/2006/main">
  <authors>
    <author>Timothy Hegarty</author>
  </authors>
  <commentList>
    <comment ref="A1" authorId="0">
      <text>
        <r>
          <rPr>
            <sz val="11"/>
            <color indexed="81"/>
            <rFont val="Tahoma"/>
            <family val="2"/>
          </rPr>
          <t>This efficiency calculator is aimed towards low current, COT-type architectures. Specifically, the "On Time" is programmed by the timing resistor, Rt. Meanwhile, the "Off Time" is determined by zero crossing of the inductor current crosses (in DCM) or when FB touches VREF (in CCM). In the DCM configuration, it is assumed that the effective switching frequency is proportional to output current.</t>
        </r>
      </text>
    </comment>
    <comment ref="G2" authorId="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LM5165 product datasheet and EVM user guides for more details.
</t>
        </r>
        <r>
          <rPr>
            <b/>
            <sz val="9"/>
            <color indexed="81"/>
            <rFont val="Tahoma"/>
            <family val="2"/>
          </rPr>
          <t>Rev. 1, Timothy Hegarty, Texas Instruments, Inc.</t>
        </r>
      </text>
    </comment>
  </commentList>
</comments>
</file>

<file path=xl/sharedStrings.xml><?xml version="1.0" encoding="utf-8"?>
<sst xmlns="http://schemas.openxmlformats.org/spreadsheetml/2006/main" count="1308" uniqueCount="713">
  <si>
    <t>V</t>
  </si>
  <si>
    <t>A</t>
  </si>
  <si>
    <t>kHz</t>
  </si>
  <si>
    <t>Vin</t>
  </si>
  <si>
    <t>Vout</t>
  </si>
  <si>
    <t>Iout</t>
  </si>
  <si>
    <t>Value</t>
  </si>
  <si>
    <t>STD Units</t>
  </si>
  <si>
    <t>Hz</t>
  </si>
  <si>
    <t>Notes</t>
  </si>
  <si>
    <t>Nominal input voltage</t>
  </si>
  <si>
    <t>H</t>
  </si>
  <si>
    <t>Coutmin</t>
  </si>
  <si>
    <t>F</t>
  </si>
  <si>
    <t>Cout</t>
  </si>
  <si>
    <t>pF</t>
  </si>
  <si>
    <t>Pi</t>
  </si>
  <si>
    <t>Rfb2</t>
  </si>
  <si>
    <t>Vref</t>
  </si>
  <si>
    <t>Variable Name</t>
  </si>
  <si>
    <t>mΩ</t>
  </si>
  <si>
    <t>kΩ</t>
  </si>
  <si>
    <t>TERMS OF USE</t>
  </si>
  <si>
    <t>Currents</t>
  </si>
  <si>
    <t>IQ</t>
  </si>
  <si>
    <t>Step</t>
  </si>
  <si>
    <t>Design</t>
  </si>
  <si>
    <t>L</t>
  </si>
  <si>
    <t>Cin</t>
  </si>
  <si>
    <t>Components</t>
  </si>
  <si>
    <t>mA</t>
  </si>
  <si>
    <t>nC</t>
  </si>
  <si>
    <t>ns</t>
  </si>
  <si>
    <t>Units</t>
  </si>
  <si>
    <t>Outputs</t>
  </si>
  <si>
    <t>LTc</t>
  </si>
  <si>
    <t>Ta</t>
  </si>
  <si>
    <t>RCinEsr</t>
  </si>
  <si>
    <t>Tr</t>
  </si>
  <si>
    <t>Tf</t>
  </si>
  <si>
    <t>Ambient Temperature</t>
  </si>
  <si>
    <t>Description</t>
  </si>
  <si>
    <t>Input Parameters</t>
  </si>
  <si>
    <t>Input Value</t>
  </si>
  <si>
    <t>Power Dis</t>
  </si>
  <si>
    <t>W</t>
  </si>
  <si>
    <t>Temp rise</t>
  </si>
  <si>
    <t>Efficiency</t>
  </si>
  <si>
    <t>Duty Cycle</t>
  </si>
  <si>
    <t xml:space="preserve">IQ </t>
  </si>
  <si>
    <t>Quiescent Current Of Controller (Not Switching!)</t>
  </si>
  <si>
    <t>s</t>
  </si>
  <si>
    <t>Part Characteristics</t>
  </si>
  <si>
    <t>Rfb2_u</t>
  </si>
  <si>
    <t>CoutEsr</t>
  </si>
  <si>
    <t>Step 5: Input Capacitor</t>
  </si>
  <si>
    <t>nF</t>
  </si>
  <si>
    <t>VIN</t>
  </si>
  <si>
    <t>Icinrms</t>
  </si>
  <si>
    <t>= Input Box</t>
  </si>
  <si>
    <t>Input capacitance</t>
  </si>
  <si>
    <t>Step 1: Operational Specs</t>
  </si>
  <si>
    <t>Step 6: Soft Start</t>
  </si>
  <si>
    <t>ms</t>
  </si>
  <si>
    <t>Tss</t>
  </si>
  <si>
    <t>Iss</t>
  </si>
  <si>
    <t>Css</t>
  </si>
  <si>
    <t>Part Number</t>
  </si>
  <si>
    <t>Capacitors</t>
  </si>
  <si>
    <t>(pF)</t>
  </si>
  <si>
    <t>Standard Result</t>
  </si>
  <si>
    <t>Inputs</t>
  </si>
  <si>
    <t>Css_u</t>
  </si>
  <si>
    <t>Resistors</t>
  </si>
  <si>
    <t>inputs</t>
  </si>
  <si>
    <t>Cb</t>
  </si>
  <si>
    <t>Rs</t>
  </si>
  <si>
    <t xml:space="preserve">                </t>
  </si>
  <si>
    <t xml:space="preserve"> </t>
  </si>
  <si>
    <t>Rc1ea</t>
  </si>
  <si>
    <t>Blank out</t>
  </si>
  <si>
    <t>Input from user =</t>
  </si>
  <si>
    <t>Constant</t>
  </si>
  <si>
    <t>Step 8: Efficiency</t>
  </si>
  <si>
    <t>°C/W</t>
  </si>
  <si>
    <t>SCHEMATIC LABELS</t>
  </si>
  <si>
    <t>OUTPUT CURRENT</t>
  </si>
  <si>
    <t>Current (switching)</t>
  </si>
  <si>
    <t>Qrr Current</t>
  </si>
  <si>
    <t>Diode Current</t>
  </si>
  <si>
    <t>Std Units</t>
  </si>
  <si>
    <t>Total Application Switching IQ</t>
  </si>
  <si>
    <t>GND</t>
  </si>
  <si>
    <t>FB</t>
  </si>
  <si>
    <t>SW</t>
  </si>
  <si>
    <t>CIN</t>
  </si>
  <si>
    <t>µH</t>
  </si>
  <si>
    <t>µF</t>
  </si>
  <si>
    <t>Cinmin</t>
  </si>
  <si>
    <t>CinEsrMax</t>
  </si>
  <si>
    <t>Output =</t>
  </si>
  <si>
    <t>Step 1: Operating Specifications</t>
  </si>
  <si>
    <t>°C</t>
  </si>
  <si>
    <r>
      <t>mV</t>
    </r>
    <r>
      <rPr>
        <vertAlign val="subscript"/>
        <sz val="10"/>
        <rFont val="Arial"/>
        <family val="2"/>
      </rPr>
      <t>pk-pk</t>
    </r>
  </si>
  <si>
    <t xml:space="preserve">Input Capacitor ESR </t>
  </si>
  <si>
    <t>About</t>
  </si>
  <si>
    <t>xx</t>
  </si>
  <si>
    <t>Max ESR before ripple exceeds Vripple1</t>
  </si>
  <si>
    <t>Chosen ESR</t>
  </si>
  <si>
    <t>Input capacitance series resistance (ESR)</t>
  </si>
  <si>
    <r>
      <t>VIN</t>
    </r>
    <r>
      <rPr>
        <vertAlign val="subscript"/>
        <sz val="10"/>
        <rFont val="Arial"/>
        <family val="2"/>
      </rPr>
      <t>UVLO_ON</t>
    </r>
  </si>
  <si>
    <t>Rising UVLO/EN Threshold</t>
  </si>
  <si>
    <t>Falling UVLO/EN Threshold</t>
  </si>
  <si>
    <t>kΩ</t>
  </si>
  <si>
    <r>
      <t>VIN</t>
    </r>
    <r>
      <rPr>
        <vertAlign val="subscript"/>
        <sz val="10"/>
        <rFont val="Arial"/>
        <family val="2"/>
      </rPr>
      <t>UVLO_ON_ACTUAL</t>
    </r>
  </si>
  <si>
    <r>
      <t>VIN</t>
    </r>
    <r>
      <rPr>
        <vertAlign val="subscript"/>
        <sz val="10"/>
        <rFont val="Arial"/>
        <family val="2"/>
      </rPr>
      <t>UVLO_OFF_ACTUAL</t>
    </r>
  </si>
  <si>
    <t>Size</t>
  </si>
  <si>
    <t>MFR</t>
  </si>
  <si>
    <t>Std</t>
  </si>
  <si>
    <t>0603</t>
  </si>
  <si>
    <r>
      <t>C</t>
    </r>
    <r>
      <rPr>
        <vertAlign val="subscript"/>
        <sz val="10"/>
        <rFont val="Arial"/>
        <family val="2"/>
      </rPr>
      <t>IN</t>
    </r>
  </si>
  <si>
    <r>
      <t>C</t>
    </r>
    <r>
      <rPr>
        <vertAlign val="subscript"/>
        <sz val="10"/>
        <rFont val="Arial"/>
        <family val="2"/>
      </rPr>
      <t>OUT</t>
    </r>
  </si>
  <si>
    <t>Ref Des</t>
  </si>
  <si>
    <t>Count</t>
  </si>
  <si>
    <t>Various</t>
  </si>
  <si>
    <t>-</t>
  </si>
  <si>
    <r>
      <t>R</t>
    </r>
    <r>
      <rPr>
        <vertAlign val="subscript"/>
        <sz val="10"/>
        <rFont val="Arial"/>
        <family val="2"/>
      </rPr>
      <t>UV1</t>
    </r>
  </si>
  <si>
    <r>
      <t>R</t>
    </r>
    <r>
      <rPr>
        <vertAlign val="subscript"/>
        <sz val="10"/>
        <rFont val="Arial"/>
        <family val="2"/>
      </rPr>
      <t>UV2</t>
    </r>
  </si>
  <si>
    <r>
      <t>U</t>
    </r>
    <r>
      <rPr>
        <b/>
        <vertAlign val="subscript"/>
        <sz val="10"/>
        <rFont val="Arial"/>
        <family val="2"/>
      </rPr>
      <t>1</t>
    </r>
  </si>
  <si>
    <t>Rpgood</t>
  </si>
  <si>
    <t>Ruv1</t>
  </si>
  <si>
    <t>Ruv2</t>
  </si>
  <si>
    <t># of input caps</t>
  </si>
  <si>
    <t>Capacitance per component (Cin)</t>
  </si>
  <si>
    <t>Capacitance per component (Cout)</t>
  </si>
  <si>
    <t># of output caps</t>
  </si>
  <si>
    <t>Ω</t>
  </si>
  <si>
    <r>
      <rPr>
        <b/>
        <u/>
        <sz val="10"/>
        <rFont val="Arial"/>
        <family val="2"/>
      </rPr>
      <t>NOTES</t>
    </r>
    <r>
      <rPr>
        <b/>
        <sz val="10"/>
        <rFont val="Arial"/>
        <family val="2"/>
      </rPr>
      <t>:</t>
    </r>
  </si>
  <si>
    <t>%/°C</t>
  </si>
  <si>
    <t>Rt</t>
  </si>
  <si>
    <r>
      <t>Output Capacitance, C</t>
    </r>
    <r>
      <rPr>
        <b/>
        <vertAlign val="subscript"/>
        <sz val="10"/>
        <rFont val="Arial"/>
        <family val="2"/>
      </rPr>
      <t>OUT</t>
    </r>
    <r>
      <rPr>
        <b/>
        <sz val="10"/>
        <rFont val="Arial"/>
        <family val="2"/>
      </rPr>
      <t xml:space="preserve"> </t>
    </r>
  </si>
  <si>
    <r>
      <t>Input Capacitance, C</t>
    </r>
    <r>
      <rPr>
        <b/>
        <vertAlign val="subscript"/>
        <sz val="10"/>
        <color theme="1"/>
        <rFont val="Arial"/>
        <family val="2"/>
      </rPr>
      <t>IN</t>
    </r>
    <r>
      <rPr>
        <b/>
        <sz val="10"/>
        <color theme="1"/>
        <rFont val="Arial"/>
        <family val="2"/>
      </rPr>
      <t xml:space="preserve"> </t>
    </r>
  </si>
  <si>
    <r>
      <t>Soft-Start Capacitance, C</t>
    </r>
    <r>
      <rPr>
        <vertAlign val="subscript"/>
        <sz val="10"/>
        <rFont val="Arial"/>
        <family val="2"/>
      </rPr>
      <t>SS</t>
    </r>
    <r>
      <rPr>
        <sz val="10"/>
        <rFont val="Arial"/>
        <family val="2"/>
      </rPr>
      <t xml:space="preserve"> </t>
    </r>
  </si>
  <si>
    <t>VIN_nom</t>
  </si>
  <si>
    <t>VIN_max</t>
  </si>
  <si>
    <t>VIN_min</t>
  </si>
  <si>
    <t>Minimum input voltage</t>
  </si>
  <si>
    <t>Maximum input voltage</t>
  </si>
  <si>
    <t>Voltage Hysteresis</t>
  </si>
  <si>
    <t>mV</t>
  </si>
  <si>
    <t>Don_Vinmin</t>
  </si>
  <si>
    <t>Don_Vinmax</t>
  </si>
  <si>
    <t>Lf</t>
  </si>
  <si>
    <t>Pout</t>
  </si>
  <si>
    <t>Iin_Vinmin</t>
  </si>
  <si>
    <t>Iin_Vinnom</t>
  </si>
  <si>
    <t>Iin_Vinmax</t>
  </si>
  <si>
    <t>Pin</t>
  </si>
  <si>
    <t>Don_Vinnom</t>
  </si>
  <si>
    <t>Output power</t>
  </si>
  <si>
    <t>Input currents at min, nom, max Vin</t>
  </si>
  <si>
    <t>Cslope_ideal</t>
  </si>
  <si>
    <t>mΩ</t>
  </si>
  <si>
    <t>Rshunt</t>
  </si>
  <si>
    <t>Output Cap RMS current</t>
  </si>
  <si>
    <t>Icoutrms_VINmin</t>
  </si>
  <si>
    <t>Icoutrms_VINnom</t>
  </si>
  <si>
    <t>Icoutrms_VINmax</t>
  </si>
  <si>
    <t>Chosen Output Capacitance</t>
  </si>
  <si>
    <t>Rout</t>
  </si>
  <si>
    <t>Load resistance</t>
  </si>
  <si>
    <t>p</t>
  </si>
  <si>
    <t>EXCEL Variables Names/Calculations</t>
  </si>
  <si>
    <t>IC Power Disipation</t>
  </si>
  <si>
    <t>Iteration</t>
  </si>
  <si>
    <t>Output Ripple Spec (pk-pk)</t>
  </si>
  <si>
    <t>Estimate of efficiency</t>
  </si>
  <si>
    <t>Soft-start time</t>
  </si>
  <si>
    <r>
      <rPr>
        <sz val="10"/>
        <rFont val="Calibri"/>
        <family val="2"/>
      </rPr>
      <t>θ</t>
    </r>
    <r>
      <rPr>
        <vertAlign val="subscript"/>
        <sz val="10"/>
        <rFont val="Arial"/>
        <family val="2"/>
      </rPr>
      <t>CA</t>
    </r>
  </si>
  <si>
    <t>Input Capacitor ESR</t>
  </si>
  <si>
    <t>RESULTS</t>
  </si>
  <si>
    <t>Reported Cinmin</t>
  </si>
  <si>
    <t>Reported Cout ESR max</t>
  </si>
  <si>
    <t>Reported Cin ESR max</t>
  </si>
  <si>
    <t>Full-load efficiency</t>
  </si>
  <si>
    <t>sec</t>
  </si>
  <si>
    <t>Toff_Vinmax</t>
  </si>
  <si>
    <t>Ton_Vinmin</t>
  </si>
  <si>
    <t>VIN range</t>
  </si>
  <si>
    <t>Current Limit</t>
  </si>
  <si>
    <t>Miscellaneous</t>
  </si>
  <si>
    <t>Inductor</t>
  </si>
  <si>
    <t xml:space="preserve">High-side MOSFET Losses </t>
  </si>
  <si>
    <t xml:space="preserve">Low-side MOSFET Losses </t>
  </si>
  <si>
    <t>Diode</t>
  </si>
  <si>
    <t>Iout (A)</t>
  </si>
  <si>
    <t>Ripple Current pk-pk (A)</t>
  </si>
  <si>
    <t>Off Time (sec)</t>
  </si>
  <si>
    <t>Switching Frequency (Hz)</t>
  </si>
  <si>
    <t>Active Mode Duration (sec)</t>
  </si>
  <si>
    <t>Sleep Mode Duration (sec)</t>
  </si>
  <si>
    <t>Irms (A)</t>
  </si>
  <si>
    <t>Inductor DCR Loss @ 25°C (W)</t>
  </si>
  <si>
    <t>Inductor Core Loss  (W)</t>
  </si>
  <si>
    <t>Total Inductor Loss (W)</t>
  </si>
  <si>
    <t>Cout ESR Loss (W)</t>
  </si>
  <si>
    <t>Total Cout Loss (W)</t>
  </si>
  <si>
    <t>Cin ESR Loss (W)</t>
  </si>
  <si>
    <t>Total Cin Loss (W)</t>
  </si>
  <si>
    <t>Rdson HS Loss @ 25°C (W)</t>
  </si>
  <si>
    <t xml:space="preserve">HS Gate Qg Loss (W)     </t>
  </si>
  <si>
    <t>HS Switching  Loss (W)</t>
  </si>
  <si>
    <t>Coss Loss (W)</t>
  </si>
  <si>
    <t>Total HS FET Loss (W)</t>
  </si>
  <si>
    <t>Rdson LS Loss @ 25°C (W)</t>
  </si>
  <si>
    <t>LS Gate Qg Loss (W)</t>
  </si>
  <si>
    <t>Reverse Recovery &amp; Leakage Losses</t>
  </si>
  <si>
    <t>DeadTime Loss @ 25°C (W)</t>
  </si>
  <si>
    <t>Total LS FET Loss (W)</t>
  </si>
  <si>
    <t>Quiescent Loss (W)</t>
  </si>
  <si>
    <t>LDO + Quiescent Loss (W)</t>
  </si>
  <si>
    <t>Total Gate Drive Loss (W)</t>
  </si>
  <si>
    <t>Total Power Loss in IC (W)</t>
  </si>
  <si>
    <t>Total Converter Power Loss (W)</t>
  </si>
  <si>
    <t>Pout (W)</t>
  </si>
  <si>
    <t>EFF (%)</t>
  </si>
  <si>
    <t>High-side MOSFET Rdson %</t>
  </si>
  <si>
    <t>Low-side MOSFET Rdson %</t>
  </si>
  <si>
    <t>Gate Drive (Qg) Loss from Vin %</t>
  </si>
  <si>
    <t>High-side MOSFET Switching Loss %</t>
  </si>
  <si>
    <t>Reverse Recovery &amp; Leakage Loss %</t>
  </si>
  <si>
    <t>Deadtime Loss %</t>
  </si>
  <si>
    <t>Inductor Cu Loss %</t>
  </si>
  <si>
    <t>Inductor Core Loss %</t>
  </si>
  <si>
    <t>Cin Cout ESR %</t>
  </si>
  <si>
    <t>Quiescent Current Loss %</t>
  </si>
  <si>
    <t>Total Loss %</t>
  </si>
  <si>
    <t>Overall Eff</t>
  </si>
  <si>
    <t>Current (mA)</t>
  </si>
  <si>
    <t>Keep for "previous" data series</t>
  </si>
  <si>
    <t>Frequency (kHz)</t>
  </si>
  <si>
    <t>Coss</t>
  </si>
  <si>
    <t>Iout(max)</t>
  </si>
  <si>
    <r>
      <rPr>
        <sz val="10"/>
        <rFont val="Arial"/>
        <family val="2"/>
      </rPr>
      <t>k</t>
    </r>
    <r>
      <rPr>
        <sz val="10"/>
        <rFont val="Symbol"/>
        <family val="1"/>
        <charset val="2"/>
      </rPr>
      <t>W</t>
    </r>
  </si>
  <si>
    <t>Tamb</t>
  </si>
  <si>
    <t>Ambient temperature</t>
  </si>
  <si>
    <t>VDD</t>
  </si>
  <si>
    <t>On-Time</t>
  </si>
  <si>
    <t>µs</t>
  </si>
  <si>
    <t>On Time - fixed</t>
  </si>
  <si>
    <t>Off Time</t>
  </si>
  <si>
    <t>Off Time - depends on Vout, L, Iout, DCR, etc.</t>
  </si>
  <si>
    <r>
      <rPr>
        <sz val="10"/>
        <rFont val="Symbol"/>
        <family val="1"/>
        <charset val="2"/>
      </rPr>
      <t>D</t>
    </r>
    <r>
      <rPr>
        <sz val="10"/>
        <rFont val="Arial"/>
        <family val="2"/>
      </rPr>
      <t>I</t>
    </r>
    <r>
      <rPr>
        <vertAlign val="subscript"/>
        <sz val="10"/>
        <rFont val="Arial"/>
        <family val="2"/>
      </rPr>
      <t>L</t>
    </r>
  </si>
  <si>
    <t>Inductor pk-pk ripple current in CCM</t>
  </si>
  <si>
    <t>CCM Freq</t>
  </si>
  <si>
    <t>Frequency in CCM</t>
  </si>
  <si>
    <t>Switch rise time</t>
  </si>
  <si>
    <t>Switch fall time</t>
  </si>
  <si>
    <t>Filter inductance</t>
  </si>
  <si>
    <r>
      <rPr>
        <sz val="10"/>
        <rFont val="Arial"/>
        <family val="2"/>
      </rPr>
      <t>m</t>
    </r>
    <r>
      <rPr>
        <sz val="10"/>
        <rFont val="Symbol"/>
        <family val="1"/>
        <charset val="2"/>
      </rPr>
      <t>W</t>
    </r>
  </si>
  <si>
    <t>Kcore</t>
  </si>
  <si>
    <t>RCinESR</t>
  </si>
  <si>
    <t>Input capacitor ESR</t>
  </si>
  <si>
    <t>Output capacitance</t>
  </si>
  <si>
    <t>RCoutESR</t>
  </si>
  <si>
    <t>Output capacitor ESR</t>
  </si>
  <si>
    <t>µA</t>
  </si>
  <si>
    <t>FOM</t>
  </si>
  <si>
    <r>
      <t>m</t>
    </r>
    <r>
      <rPr>
        <sz val="10"/>
        <rFont val="Times New Roman"/>
        <family val="1"/>
      </rPr>
      <t>Ω*</t>
    </r>
    <r>
      <rPr>
        <sz val="10"/>
        <rFont val="Arial"/>
        <family val="2"/>
      </rPr>
      <t>nC</t>
    </r>
  </si>
  <si>
    <t>BDserR</t>
  </si>
  <si>
    <t>Series resistance of body diode</t>
  </si>
  <si>
    <t>Reverse recovery charge of body diode at 100mA</t>
  </si>
  <si>
    <t>Reverse recovery time of body diode (not used)</t>
  </si>
  <si>
    <t>μA</t>
  </si>
  <si>
    <t>Leakage current of low-side device</t>
  </si>
  <si>
    <t>Eff (%)</t>
  </si>
  <si>
    <t>Iout (mA)</t>
  </si>
  <si>
    <t>min_I</t>
  </si>
  <si>
    <t>max_I</t>
  </si>
  <si>
    <t>100mA</t>
  </si>
  <si>
    <t>rr</t>
  </si>
  <si>
    <t>1mA</t>
  </si>
  <si>
    <t>Overall Eff %</t>
  </si>
  <si>
    <t>Total Inductor Loss (mW)</t>
  </si>
  <si>
    <t>Total Power Loss in IC (mW)</t>
  </si>
  <si>
    <t>LDO + Quiescent Loss (mW)</t>
  </si>
  <si>
    <t>Vdd</t>
  </si>
  <si>
    <t>MODE</t>
  </si>
  <si>
    <t>MODE_ILIM</t>
  </si>
  <si>
    <t>MODE_SS</t>
  </si>
  <si>
    <t>COT / PFM Overall Eff</t>
  </si>
  <si>
    <t>COT / PFM Total Inductor Loss (mW)</t>
  </si>
  <si>
    <t>COT / PFM LDO + Quiescent Loss (mW)</t>
  </si>
  <si>
    <t>Soft-Start Configuration</t>
  </si>
  <si>
    <t>mW</t>
  </si>
  <si>
    <r>
      <t>Lower UVLO Resistor, R</t>
    </r>
    <r>
      <rPr>
        <vertAlign val="subscript"/>
        <sz val="10"/>
        <rFont val="Arial"/>
        <family val="2"/>
      </rPr>
      <t>UV2</t>
    </r>
  </si>
  <si>
    <r>
      <t>VIN</t>
    </r>
    <r>
      <rPr>
        <vertAlign val="subscript"/>
        <sz val="10"/>
        <rFont val="Arial"/>
        <family val="2"/>
      </rPr>
      <t>UVLO_OFF</t>
    </r>
  </si>
  <si>
    <t>Rhys</t>
  </si>
  <si>
    <t>Soft Start</t>
  </si>
  <si>
    <t>Step 3: Input &amp; Output Capacitors</t>
  </si>
  <si>
    <t>PLOT_TYPE</t>
  </si>
  <si>
    <t>FB resistor ref des shown or not?</t>
  </si>
  <si>
    <t>SHORT_ILIM</t>
  </si>
  <si>
    <t>ILIM pin shorted if 240mA selected</t>
  </si>
  <si>
    <t>ILIM resistor needed (60/120/180mA)</t>
  </si>
  <si>
    <t>Show Rt resistor ref des?</t>
  </si>
  <si>
    <r>
      <t xml:space="preserve">Estimated Thermal Impedance, </t>
    </r>
    <r>
      <rPr>
        <b/>
        <sz val="11"/>
        <rFont val="Symbol"/>
        <family val="1"/>
        <charset val="2"/>
      </rPr>
      <t>J</t>
    </r>
    <r>
      <rPr>
        <b/>
        <vertAlign val="subscript"/>
        <sz val="10"/>
        <rFont val="Arial"/>
        <family val="2"/>
      </rPr>
      <t>JA</t>
    </r>
  </si>
  <si>
    <t>Input UVLO Configuration</t>
  </si>
  <si>
    <t>MODE_UVLO</t>
  </si>
  <si>
    <t>Adjustable UVLO?</t>
  </si>
  <si>
    <t>Soft-start current</t>
  </si>
  <si>
    <t>10% load efficiency</t>
  </si>
  <si>
    <t>Required soft-start cap</t>
  </si>
  <si>
    <t>User selected SS cap</t>
  </si>
  <si>
    <t>100kΩ</t>
  </si>
  <si>
    <t>1% load efficiency</t>
  </si>
  <si>
    <t>linear scale only</t>
  </si>
  <si>
    <t>log scale only</t>
  </si>
  <si>
    <t xml:space="preserve">Minimum Input Capacitance </t>
  </si>
  <si>
    <t>Terms Of Use</t>
  </si>
  <si>
    <r>
      <rPr>
        <b/>
        <sz val="10"/>
        <rFont val="Arial"/>
        <family val="2"/>
      </rPr>
      <t>Iout</t>
    </r>
    <r>
      <rPr>
        <sz val="10"/>
        <rFont val="Arial"/>
        <family val="2"/>
      </rPr>
      <t xml:space="preserve"> Linear Axis</t>
    </r>
  </si>
  <si>
    <r>
      <rPr>
        <b/>
        <sz val="10"/>
        <rFont val="Arial"/>
        <family val="2"/>
      </rPr>
      <t>Iout</t>
    </r>
    <r>
      <rPr>
        <sz val="10"/>
        <rFont val="Arial"/>
        <family val="2"/>
      </rPr>
      <t xml:space="preserve"> Log Axis</t>
    </r>
  </si>
  <si>
    <t>UVLO</t>
  </si>
  <si>
    <t>n</t>
  </si>
  <si>
    <r>
      <t>Pk-to-Pk Ripple Current at V</t>
    </r>
    <r>
      <rPr>
        <vertAlign val="subscript"/>
        <sz val="10"/>
        <rFont val="Arial"/>
        <family val="2"/>
      </rPr>
      <t>IN(nom)</t>
    </r>
    <r>
      <rPr>
        <sz val="10"/>
        <rFont val="Arial"/>
        <family val="2"/>
      </rPr>
      <t xml:space="preserve">, </t>
    </r>
    <r>
      <rPr>
        <sz val="10"/>
        <rFont val="Symbol"/>
        <family val="1"/>
        <charset val="2"/>
      </rPr>
      <t>D</t>
    </r>
    <r>
      <rPr>
        <sz val="10"/>
        <rFont val="Arial"/>
        <family val="2"/>
      </rPr>
      <t>IL</t>
    </r>
  </si>
  <si>
    <t>SW Fall Time (ns)</t>
  </si>
  <si>
    <t>Peak Current (A)</t>
  </si>
  <si>
    <t>Valley Current (A)</t>
  </si>
  <si>
    <t>SW Rise Time (ns)</t>
  </si>
  <si>
    <t>Csw</t>
  </si>
  <si>
    <t>Capacitance (Coss)</t>
  </si>
  <si>
    <t>Operating Quiescent Current (A)</t>
  </si>
  <si>
    <t>6.3V</t>
  </si>
  <si>
    <t>10V</t>
  </si>
  <si>
    <t>16V</t>
  </si>
  <si>
    <t>25V</t>
  </si>
  <si>
    <t>Cout Voltage Rating</t>
  </si>
  <si>
    <t>Vout&lt;=5V</t>
  </si>
  <si>
    <t>Vout&lt;=20V</t>
  </si>
  <si>
    <t>Vout&lt;=8V</t>
  </si>
  <si>
    <t>Vout&lt;=12V</t>
  </si>
  <si>
    <t>50V</t>
  </si>
  <si>
    <t>Vout&gt;20V</t>
  </si>
  <si>
    <t>BOM display</t>
  </si>
  <si>
    <t>COT / PFM Total Power Loss in IC (mW)</t>
  </si>
  <si>
    <t>0402</t>
  </si>
  <si>
    <t>0805</t>
  </si>
  <si>
    <t>1206</t>
  </si>
  <si>
    <t>1210</t>
  </si>
  <si>
    <t>Component Size</t>
  </si>
  <si>
    <t>Footprint (mm)</t>
  </si>
  <si>
    <t>1.0 x 0.5</t>
  </si>
  <si>
    <t>6mm x 6mm</t>
  </si>
  <si>
    <t>7mm x 7mm</t>
  </si>
  <si>
    <t>3.2 x 1.6</t>
  </si>
  <si>
    <t>1.6 x 0.8</t>
  </si>
  <si>
    <t>2.0 x 1.25</t>
  </si>
  <si>
    <t>3.2 x 2.5</t>
  </si>
  <si>
    <t>4.0 x 4.0</t>
  </si>
  <si>
    <r>
      <t>Area (mm</t>
    </r>
    <r>
      <rPr>
        <b/>
        <vertAlign val="superscript"/>
        <sz val="10"/>
        <color theme="0"/>
        <rFont val="Arial"/>
        <family val="2"/>
      </rPr>
      <t>2</t>
    </r>
    <r>
      <rPr>
        <b/>
        <sz val="10"/>
        <color theme="0"/>
        <rFont val="Arial"/>
        <family val="2"/>
      </rPr>
      <t>)</t>
    </r>
  </si>
  <si>
    <t>TI</t>
  </si>
  <si>
    <r>
      <t>in</t>
    </r>
    <r>
      <rPr>
        <b/>
        <vertAlign val="superscript"/>
        <sz val="12"/>
        <color rgb="FFFF0000"/>
        <rFont val="Arial"/>
        <family val="2"/>
      </rPr>
      <t>2</t>
    </r>
  </si>
  <si>
    <t>Total Solution Size (buffered by 25%)</t>
  </si>
  <si>
    <t>** Appropriately derate effective input and output capacitances for applied voltage and temperature, particularly with ceramics **</t>
  </si>
  <si>
    <r>
      <t>mm</t>
    </r>
    <r>
      <rPr>
        <b/>
        <vertAlign val="superscript"/>
        <sz val="12"/>
        <color rgb="FFFF0000"/>
        <rFont val="Arial"/>
        <family val="2"/>
      </rPr>
      <t>2</t>
    </r>
    <r>
      <rPr>
        <b/>
        <sz val="12"/>
        <color rgb="FFFF0000"/>
        <rFont val="Arial"/>
        <family val="2"/>
      </rPr>
      <t xml:space="preserve">  =</t>
    </r>
  </si>
  <si>
    <t>Std Value Lower Feedback Resistance</t>
  </si>
  <si>
    <t>Step 2: Flyback Transformer</t>
  </si>
  <si>
    <t>SINGLE/DUAL OUTPUT</t>
  </si>
  <si>
    <t>SINGLE</t>
  </si>
  <si>
    <t>DUAL</t>
  </si>
  <si>
    <r>
      <t>LM5180 Power Dissipation at Full Load, P</t>
    </r>
    <r>
      <rPr>
        <vertAlign val="subscript"/>
        <sz val="10"/>
        <rFont val="Arial"/>
        <family val="2"/>
      </rPr>
      <t>D</t>
    </r>
  </si>
  <si>
    <t>YES</t>
  </si>
  <si>
    <t>NO</t>
  </si>
  <si>
    <r>
      <t>Magnetizing Inductance, L</t>
    </r>
    <r>
      <rPr>
        <b/>
        <vertAlign val="subscript"/>
        <sz val="10"/>
        <color theme="1"/>
        <rFont val="Arial"/>
        <family val="2"/>
      </rPr>
      <t>MAG</t>
    </r>
    <r>
      <rPr>
        <b/>
        <sz val="10"/>
        <color theme="1"/>
        <rFont val="Arial"/>
        <family val="2"/>
      </rPr>
      <t xml:space="preserve"> </t>
    </r>
  </si>
  <si>
    <t>Single Output or Dual Outputs</t>
  </si>
  <si>
    <r>
      <t>Input Voltage – Min, V</t>
    </r>
    <r>
      <rPr>
        <b/>
        <vertAlign val="subscript"/>
        <sz val="10"/>
        <color theme="1"/>
        <rFont val="Arial"/>
        <family val="2"/>
      </rPr>
      <t>IN(min)</t>
    </r>
    <r>
      <rPr>
        <b/>
        <sz val="10"/>
        <color theme="1"/>
        <rFont val="Arial"/>
        <family val="2"/>
      </rPr>
      <t xml:space="preserve"> </t>
    </r>
  </si>
  <si>
    <r>
      <t>Input Voltage – Nom, V</t>
    </r>
    <r>
      <rPr>
        <b/>
        <vertAlign val="subscript"/>
        <sz val="10"/>
        <color theme="1"/>
        <rFont val="Arial"/>
        <family val="2"/>
      </rPr>
      <t>IN(nom)</t>
    </r>
  </si>
  <si>
    <r>
      <t>Input Voltage – Max, V</t>
    </r>
    <r>
      <rPr>
        <b/>
        <vertAlign val="subscript"/>
        <sz val="10"/>
        <color theme="1"/>
        <rFont val="Arial"/>
        <family val="2"/>
      </rPr>
      <t>IN(max)</t>
    </r>
  </si>
  <si>
    <r>
      <t>Selected Feedback Resistor, R</t>
    </r>
    <r>
      <rPr>
        <b/>
        <vertAlign val="subscript"/>
        <sz val="10"/>
        <rFont val="Arial"/>
        <family val="2"/>
      </rPr>
      <t>FB</t>
    </r>
  </si>
  <si>
    <t>Recommended Feedback Resistor</t>
  </si>
  <si>
    <t>Current Hysteresis</t>
  </si>
  <si>
    <t>Current after UVLO (rising)</t>
  </si>
  <si>
    <t>Current before UVLO (rising)</t>
  </si>
  <si>
    <r>
      <t>Upper UVLO Resistor, R</t>
    </r>
    <r>
      <rPr>
        <vertAlign val="subscript"/>
        <sz val="10"/>
        <rFont val="Arial"/>
        <family val="2"/>
      </rPr>
      <t>UV1</t>
    </r>
  </si>
  <si>
    <t>12.1 kΩ</t>
  </si>
  <si>
    <t>Show TC resistor ref des?</t>
  </si>
  <si>
    <t>TC YES/NO</t>
  </si>
  <si>
    <t>MODE_TC</t>
  </si>
  <si>
    <t>Rtc</t>
  </si>
  <si>
    <t>RSET resistor</t>
  </si>
  <si>
    <t>SS Cap</t>
  </si>
  <si>
    <t>mV/°C</t>
  </si>
  <si>
    <t>VOUT Thermal Compensation</t>
  </si>
  <si>
    <r>
      <t>Thermal Compensation Resistor, R</t>
    </r>
    <r>
      <rPr>
        <vertAlign val="subscript"/>
        <sz val="10"/>
        <rFont val="Arial"/>
        <family val="2"/>
      </rPr>
      <t>TC</t>
    </r>
  </si>
  <si>
    <t>Step 4: Feedback, Soft-start, TC, UVLO</t>
  </si>
  <si>
    <t>FB resistor</t>
  </si>
  <si>
    <t>Turns Ratio</t>
  </si>
  <si>
    <t>Rdcr_pri</t>
  </si>
  <si>
    <t>Rfb</t>
  </si>
  <si>
    <r>
      <t>Internal P</t>
    </r>
    <r>
      <rPr>
        <vertAlign val="subscript"/>
        <sz val="10"/>
        <rFont val="Arial"/>
        <family val="2"/>
      </rPr>
      <t>DISS</t>
    </r>
    <r>
      <rPr>
        <sz val="10"/>
        <rFont val="Arial"/>
        <family val="2"/>
      </rPr>
      <t xml:space="preserve"> at Full Load</t>
    </r>
  </si>
  <si>
    <t>Turns_Ratio</t>
  </si>
  <si>
    <t>Transformer Turns Ratio</t>
  </si>
  <si>
    <t>Schematic variable defined:</t>
  </si>
  <si>
    <t>Flyback MOSFET</t>
  </si>
  <si>
    <t>Rdson</t>
  </si>
  <si>
    <t>Qg</t>
  </si>
  <si>
    <t>Converter</t>
  </si>
  <si>
    <t>Gate charge of MOSFET @ VDD</t>
  </si>
  <si>
    <t>Drain-source resistance of MOSFET @ VDD, 25°C</t>
  </si>
  <si>
    <t>Flyback Diode</t>
  </si>
  <si>
    <t>Peak switch current</t>
  </si>
  <si>
    <t>Isw_max</t>
  </si>
  <si>
    <t>Qrr_Dfly</t>
  </si>
  <si>
    <t>Trr_Dfly</t>
  </si>
  <si>
    <t>Pout-max (W)</t>
  </si>
  <si>
    <t>Iout-max (A)</t>
  </si>
  <si>
    <t>Pout-max (W) at Vin-nom</t>
  </si>
  <si>
    <t>Iout-max (A) at Vin-nom</t>
  </si>
  <si>
    <t>Vsw-max (V) at Vin-nom</t>
  </si>
  <si>
    <t>Isw_min</t>
  </si>
  <si>
    <t>Min peak switch current</t>
  </si>
  <si>
    <t>Efficiency estimate</t>
  </si>
  <si>
    <t>Fsw_max</t>
  </si>
  <si>
    <t>Max Fsw</t>
  </si>
  <si>
    <t>Vin (V)</t>
  </si>
  <si>
    <t>Vsw-max (V)</t>
  </si>
  <si>
    <t>Isw (A)</t>
  </si>
  <si>
    <t>Ton-BCM (us)</t>
  </si>
  <si>
    <t>Toff-BCM (us)</t>
  </si>
  <si>
    <t>Ipri-min-BCM (A)</t>
  </si>
  <si>
    <t>Vout-Reflected (V)</t>
  </si>
  <si>
    <t>Fsw-BCM (kHz) at Iout-max</t>
  </si>
  <si>
    <t>Fsw-max-BCM (kHz)</t>
  </si>
  <si>
    <t>Voltages</t>
  </si>
  <si>
    <t>Toff-min-BCM (us)</t>
  </si>
  <si>
    <t>Iout-min-BCM (A)</t>
  </si>
  <si>
    <t>Toff-FFB (us)</t>
  </si>
  <si>
    <t xml:space="preserve">Fsw-BCM (kHz) </t>
  </si>
  <si>
    <t>Fsw-FFB (kHz)</t>
  </si>
  <si>
    <t>Iout-max-FFB (A)</t>
  </si>
  <si>
    <t>Fsw_DCM</t>
  </si>
  <si>
    <t>Ipri-DCM (A)</t>
  </si>
  <si>
    <t>Ipri (A)</t>
  </si>
  <si>
    <t>COMP (V)</t>
  </si>
  <si>
    <t>Fsw (kHz)</t>
  </si>
  <si>
    <t>Vout-actual (V)</t>
  </si>
  <si>
    <t>VIN-min</t>
  </si>
  <si>
    <t>VIN-max</t>
  </si>
  <si>
    <t>Vout_ripple</t>
  </si>
  <si>
    <t>Actual Output Ripple</t>
  </si>
  <si>
    <t>Ton at Full Load, Vin-nom</t>
  </si>
  <si>
    <t>Input voltage ripple spec (pk-pk) at Vin(nom) = 5%</t>
  </si>
  <si>
    <t>Input voltage ripple - Vinripple2</t>
  </si>
  <si>
    <t>Input current, full load, Vin(nom)</t>
  </si>
  <si>
    <t>Toff, Vin(nom)</t>
  </si>
  <si>
    <t>mVpk-pk</t>
  </si>
  <si>
    <t>Vpk-pk</t>
  </si>
  <si>
    <t>Peak primary current, full load, Vin(nom)</t>
  </si>
  <si>
    <t>Vinripple2</t>
  </si>
  <si>
    <t>Nps</t>
  </si>
  <si>
    <t>Rdcr_sec</t>
  </si>
  <si>
    <t>Rdcr_sec2</t>
  </si>
  <si>
    <t>Primary winding DCR</t>
  </si>
  <si>
    <t>Secondary winding DCR</t>
  </si>
  <si>
    <t>Chosen mag inductance</t>
  </si>
  <si>
    <t>Transformer Size</t>
  </si>
  <si>
    <t>1% Vout ripple spec</t>
  </si>
  <si>
    <t>Calculate input power assuming initial efficiency estimate</t>
  </si>
  <si>
    <t>Ipri-rms (A)</t>
  </si>
  <si>
    <t>Isec-rms (A)</t>
  </si>
  <si>
    <t>PCu-pri (W)</t>
  </si>
  <si>
    <t>PCu-sec (W)</t>
  </si>
  <si>
    <t>On/Off Times and Eff Duty Cycle</t>
  </si>
  <si>
    <t>Ton (µs)</t>
  </si>
  <si>
    <t>Toff (µs)</t>
  </si>
  <si>
    <t>Toff-FFB (µs)</t>
  </si>
  <si>
    <t>Toff-min-BCM (µs)</t>
  </si>
  <si>
    <t>Toff-BCM (µs)</t>
  </si>
  <si>
    <t>Ton-BCM (µs)</t>
  </si>
  <si>
    <t>Tsw (µs)</t>
  </si>
  <si>
    <t>Core Loss (W)</t>
  </si>
  <si>
    <t>P-FET-Coss (W)</t>
  </si>
  <si>
    <t>Cin / Cout</t>
  </si>
  <si>
    <t>RMS Currents</t>
  </si>
  <si>
    <t>Effective SW node capacitance (Ctr + Cdiode_refl)</t>
  </si>
  <si>
    <t>P-FET-Qg (W)</t>
  </si>
  <si>
    <t>P-FET-Cond (W)</t>
  </si>
  <si>
    <t>P-FET-Sw (W)</t>
  </si>
  <si>
    <t>P-Diode-Cond (W)</t>
  </si>
  <si>
    <t>P-Diode-Leak (W)</t>
  </si>
  <si>
    <r>
      <t>P-I</t>
    </r>
    <r>
      <rPr>
        <b/>
        <vertAlign val="subscript"/>
        <sz val="10"/>
        <rFont val="Arial"/>
        <family val="2"/>
      </rPr>
      <t>Q</t>
    </r>
    <r>
      <rPr>
        <b/>
        <sz val="10"/>
        <rFont val="Arial"/>
        <family val="2"/>
      </rPr>
      <t xml:space="preserve"> (W)</t>
    </r>
  </si>
  <si>
    <t>Core loss constant - consult transformer vendor</t>
  </si>
  <si>
    <t>Transformer primary winding DCR at 25°C</t>
  </si>
  <si>
    <t>LM5180 quiescent current</t>
  </si>
  <si>
    <t>Cout (µF) for 1% ripple</t>
  </si>
  <si>
    <t>P-Loss-Total (W)</t>
  </si>
  <si>
    <t>P-Diode-Snubber (W)</t>
  </si>
  <si>
    <t>P-LeakL-Clamp/Snub (W)</t>
  </si>
  <si>
    <t>Efficiency (%)</t>
  </si>
  <si>
    <t>P-Trans-Total (W)</t>
  </si>
  <si>
    <t>P-Diode-Total (W)</t>
  </si>
  <si>
    <t>I_LEAK</t>
  </si>
  <si>
    <t>Flyback Diode Loss</t>
  </si>
  <si>
    <t>Transformer Loss</t>
  </si>
  <si>
    <t>P-IC-Total (mW)</t>
  </si>
  <si>
    <t>Half-load efficiency</t>
  </si>
  <si>
    <t>IC Loss</t>
  </si>
  <si>
    <t>Nps1</t>
  </si>
  <si>
    <t>Nps2</t>
  </si>
  <si>
    <t>Step 5: Power Losses &amp; Thermals</t>
  </si>
  <si>
    <t xml:space="preserve">Resulting Input Voltage Ripple </t>
  </si>
  <si>
    <t>Check Iout-max</t>
  </si>
  <si>
    <t>Iout2</t>
  </si>
  <si>
    <t>Rout2</t>
  </si>
  <si>
    <t>Pout2</t>
  </si>
  <si>
    <t>Load resistance #2</t>
  </si>
  <si>
    <t>Output power #2</t>
  </si>
  <si>
    <t xml:space="preserve">Total Output Power </t>
  </si>
  <si>
    <t>Total power</t>
  </si>
  <si>
    <t>LM5180 Parameters</t>
  </si>
  <si>
    <r>
      <t>Ambient Temperature, T</t>
    </r>
    <r>
      <rPr>
        <b/>
        <vertAlign val="subscript"/>
        <sz val="10"/>
        <rFont val="Arial"/>
        <family val="2"/>
      </rPr>
      <t>A</t>
    </r>
  </si>
  <si>
    <t>BIPOLAR</t>
  </si>
  <si>
    <t>Vinripple1 - Input ripple spec</t>
  </si>
  <si>
    <t>OUTPUT CURRENT #2 - BIPOLAR</t>
  </si>
  <si>
    <t>OUTPUT CURRENT #2 - DUAL</t>
  </si>
  <si>
    <t>Output Cap(s)</t>
  </si>
  <si>
    <t>Input Cap(s)</t>
  </si>
  <si>
    <t>Diode Ref Des</t>
  </si>
  <si>
    <r>
      <t>D</t>
    </r>
    <r>
      <rPr>
        <vertAlign val="subscript"/>
        <sz val="10"/>
        <rFont val="Arial"/>
        <family val="2"/>
      </rPr>
      <t>FLY1</t>
    </r>
  </si>
  <si>
    <t>Cin (µF) for 5% ripple</t>
  </si>
  <si>
    <t>Calculations are performed at Vin(nom), Vin(min) and Vin(max) below</t>
  </si>
  <si>
    <r>
      <t>R</t>
    </r>
    <r>
      <rPr>
        <vertAlign val="subscript"/>
        <sz val="10"/>
        <rFont val="Arial"/>
        <family val="2"/>
      </rPr>
      <t>TC</t>
    </r>
  </si>
  <si>
    <t>Feedback Resistance - chosen by user</t>
  </si>
  <si>
    <t>Step 8: FB and TC Resistors</t>
  </si>
  <si>
    <t>Selected Rfb</t>
  </si>
  <si>
    <t>Feedback Resistance - recommneded to user</t>
  </si>
  <si>
    <t>Diode TC</t>
  </si>
  <si>
    <t>Standard Value RTC</t>
  </si>
  <si>
    <t>WSON-8</t>
  </si>
  <si>
    <r>
      <t>Low I</t>
    </r>
    <r>
      <rPr>
        <b/>
        <vertAlign val="subscript"/>
        <sz val="16"/>
        <rFont val="Arial"/>
        <family val="2"/>
      </rPr>
      <t>Q</t>
    </r>
    <r>
      <rPr>
        <b/>
        <sz val="16"/>
        <rFont val="Arial"/>
        <family val="2"/>
      </rPr>
      <t>, High Efficiency, PSR Flyback Converter BOM</t>
    </r>
  </si>
  <si>
    <r>
      <t>T</t>
    </r>
    <r>
      <rPr>
        <vertAlign val="subscript"/>
        <sz val="10"/>
        <rFont val="Arial"/>
        <family val="2"/>
      </rPr>
      <t>1</t>
    </r>
  </si>
  <si>
    <r>
      <t>R</t>
    </r>
    <r>
      <rPr>
        <vertAlign val="subscript"/>
        <sz val="10"/>
        <rFont val="Arial"/>
        <family val="2"/>
      </rPr>
      <t>FB</t>
    </r>
  </si>
  <si>
    <r>
      <t>LM5180 Junction Temperature at Full Load, T</t>
    </r>
    <r>
      <rPr>
        <vertAlign val="subscript"/>
        <sz val="10"/>
        <rFont val="Arial"/>
        <family val="2"/>
      </rPr>
      <t>J</t>
    </r>
  </si>
  <si>
    <t>Primary Winding DCR</t>
  </si>
  <si>
    <t>FUNCTIONAL</t>
  </si>
  <si>
    <t>BASIC</t>
  </si>
  <si>
    <t>REINFORCED</t>
  </si>
  <si>
    <t>Isolation Grade</t>
  </si>
  <si>
    <t>Output #1</t>
  </si>
  <si>
    <t>Output #2</t>
  </si>
  <si>
    <t>12.1kΩ</t>
  </si>
  <si>
    <r>
      <t>Output Capacitance, C</t>
    </r>
    <r>
      <rPr>
        <b/>
        <vertAlign val="subscript"/>
        <sz val="10"/>
        <rFont val="Arial"/>
        <family val="2"/>
      </rPr>
      <t>OUT2</t>
    </r>
    <r>
      <rPr>
        <b/>
        <sz val="10"/>
        <rFont val="Arial"/>
        <family val="2"/>
      </rPr>
      <t xml:space="preserve"> </t>
    </r>
  </si>
  <si>
    <t>Output Capacitor ESR</t>
  </si>
  <si>
    <t>Adjustable</t>
  </si>
  <si>
    <t>Internal</t>
  </si>
  <si>
    <t>Primary winding DCR at hot</t>
  </si>
  <si>
    <t>Secondary winding DCR at hot</t>
  </si>
  <si>
    <t>Secondary winding #2 DCR at hot</t>
  </si>
  <si>
    <t>Temp - Hot</t>
  </si>
  <si>
    <t>Secondary winding #2 DCR</t>
  </si>
  <si>
    <t>Output Ripple Spec (pk-pk) #2</t>
  </si>
  <si>
    <t>Cout2</t>
  </si>
  <si>
    <t>Coutmin2</t>
  </si>
  <si>
    <t>Reported Cout ESR max #2</t>
  </si>
  <si>
    <t>CoutEsr2</t>
  </si>
  <si>
    <t>1% Vout2 ripple spec</t>
  </si>
  <si>
    <t>Vout_ripple2</t>
  </si>
  <si>
    <t>Check min Ton and Toff times</t>
  </si>
  <si>
    <t>Transformer DCR Temp Co</t>
  </si>
  <si>
    <t>Transformer Core-to-Ambient Thermal Resistance</t>
  </si>
  <si>
    <r>
      <t>D</t>
    </r>
    <r>
      <rPr>
        <vertAlign val="subscript"/>
        <sz val="10"/>
        <rFont val="Arial"/>
        <family val="2"/>
      </rPr>
      <t>FLY2</t>
    </r>
    <r>
      <rPr>
        <sz val="11"/>
        <color theme="1"/>
        <rFont val="Arial"/>
        <family val="2"/>
      </rPr>
      <t/>
    </r>
  </si>
  <si>
    <t>EN/UVLO</t>
  </si>
  <si>
    <t>SS/BIAS</t>
  </si>
  <si>
    <t>TC</t>
  </si>
  <si>
    <t>RSET</t>
  </si>
  <si>
    <t>Step 7: UVLO Resistors</t>
  </si>
  <si>
    <t>Step 2: Circuit Configuration for Single/Dual Output, Int/Adj UVLO, Int/Adj SS, Yes/No TC</t>
  </si>
  <si>
    <t>Step 3: Flyback Transformer</t>
  </si>
  <si>
    <t>Step 3: Output Capacitor(s)</t>
  </si>
  <si>
    <t>DUAL OUTPUT</t>
  </si>
  <si>
    <t>check Ton for dual output…</t>
  </si>
  <si>
    <t>check Vripple variable name…</t>
  </si>
  <si>
    <t>Output voltage</t>
  </si>
  <si>
    <t>Maximum output current #2</t>
  </si>
  <si>
    <t>Output voltage #2</t>
  </si>
  <si>
    <t>DCM switching frequency</t>
  </si>
  <si>
    <t>Reference voltage</t>
  </si>
  <si>
    <t>Feedback resistor</t>
  </si>
  <si>
    <t>Power dissipation</t>
  </si>
  <si>
    <t>check…</t>
  </si>
  <si>
    <t>Turns_Ratio2</t>
  </si>
  <si>
    <t>Single Output or Dual 1st Output</t>
  </si>
  <si>
    <t>SEC1 to SEC2</t>
  </si>
  <si>
    <t>Nsec1sec2</t>
  </si>
  <si>
    <t>Scale</t>
  </si>
  <si>
    <t>PRI : SEC1 : SEC2</t>
  </si>
  <si>
    <t>Turns Ratio, PRI : SEC2</t>
  </si>
  <si>
    <t>TR primary-secondary2 (dual output) = Np/Nsec2</t>
  </si>
  <si>
    <t>TR sec1-sec2 (dual output) = Nsec1/Nsec2</t>
  </si>
  <si>
    <t>Iout2 (A)</t>
  </si>
  <si>
    <t>Iout1 (A)</t>
  </si>
  <si>
    <t>Pout1 (W)</t>
  </si>
  <si>
    <t>Pout2 (W)</t>
  </si>
  <si>
    <t>Iout1-max (A)</t>
  </si>
  <si>
    <t>Iout2-max (A)</t>
  </si>
  <si>
    <t>Vout1-actual (V)</t>
  </si>
  <si>
    <t>Vout1-Reflected (V)</t>
  </si>
  <si>
    <t>Iout1-min-BCM (A)</t>
  </si>
  <si>
    <t>Iout1-max-FFB (A)</t>
  </si>
  <si>
    <t>Turns Ratio, SEC1 : SEC2</t>
  </si>
  <si>
    <t>Pout1-max (W)</t>
  </si>
  <si>
    <t>Cout1 (µF) for 1% ripple</t>
  </si>
  <si>
    <t>Cout2 (µF) for 1% ripple</t>
  </si>
  <si>
    <t>Min 1uF</t>
  </si>
  <si>
    <t>Vripple1_spec</t>
  </si>
  <si>
    <t>Vripple2_actual</t>
  </si>
  <si>
    <t>Vripple1_actual</t>
  </si>
  <si>
    <t>Vripple2_spec</t>
  </si>
  <si>
    <t>Isec2-rms (A)</t>
  </si>
  <si>
    <t>Isec1-rms (A)</t>
  </si>
  <si>
    <t>P-Diode2-Cond (W)</t>
  </si>
  <si>
    <t>P-Diode1-Cond (W)</t>
  </si>
  <si>
    <t>PCu-sec2 (W)</t>
  </si>
  <si>
    <t>PCu-sec1 (W)</t>
  </si>
  <si>
    <t>Iout1 (%)</t>
  </si>
  <si>
    <r>
      <t>Max Output Power at V</t>
    </r>
    <r>
      <rPr>
        <vertAlign val="subscript"/>
        <sz val="10"/>
        <rFont val="Arial"/>
        <family val="2"/>
      </rPr>
      <t>IN(min)</t>
    </r>
  </si>
  <si>
    <t>Pout2-max (W)</t>
  </si>
  <si>
    <t>Max Pout at Vin-min</t>
  </si>
  <si>
    <t>Vout2 - absolute value</t>
  </si>
  <si>
    <t>Vout2 - with polarity</t>
  </si>
  <si>
    <t xml:space="preserve">Diode reverse voltage </t>
  </si>
  <si>
    <t>8mm x 8mm</t>
  </si>
  <si>
    <t>9mm x 9mm</t>
  </si>
  <si>
    <t>10mm x 10mm</t>
  </si>
  <si>
    <t>10mm x 12mm</t>
  </si>
  <si>
    <t>11mm x 13mm</t>
  </si>
  <si>
    <t>10 x 12</t>
  </si>
  <si>
    <t>10 x 10</t>
  </si>
  <si>
    <t>9 x 9</t>
  </si>
  <si>
    <t>8 x 8</t>
  </si>
  <si>
    <t>7 x 7</t>
  </si>
  <si>
    <t>6 x 6</t>
  </si>
  <si>
    <t>11 x 13</t>
  </si>
  <si>
    <r>
      <t>D</t>
    </r>
    <r>
      <rPr>
        <vertAlign val="subscript"/>
        <sz val="10"/>
        <rFont val="Arial"/>
        <family val="2"/>
      </rPr>
      <t>CLAMP</t>
    </r>
  </si>
  <si>
    <t>24V</t>
  </si>
  <si>
    <r>
      <t>C</t>
    </r>
    <r>
      <rPr>
        <vertAlign val="subscript"/>
        <sz val="10"/>
        <rFont val="Arial"/>
        <family val="2"/>
      </rPr>
      <t>OUT2</t>
    </r>
  </si>
  <si>
    <r>
      <t>D</t>
    </r>
    <r>
      <rPr>
        <vertAlign val="subscript"/>
        <sz val="10"/>
        <rFont val="Arial"/>
        <family val="2"/>
      </rPr>
      <t>FLY2</t>
    </r>
  </si>
  <si>
    <r>
      <t>D</t>
    </r>
    <r>
      <rPr>
        <vertAlign val="subscript"/>
        <sz val="10"/>
        <rFont val="Arial"/>
        <family val="2"/>
      </rPr>
      <t>FLY</t>
    </r>
  </si>
  <si>
    <r>
      <t>D</t>
    </r>
    <r>
      <rPr>
        <vertAlign val="subscript"/>
        <sz val="10"/>
        <rFont val="Arial"/>
        <family val="2"/>
      </rPr>
      <t>F</t>
    </r>
    <r>
      <rPr>
        <sz val="11"/>
        <color theme="1"/>
        <rFont val="Arial"/>
        <family val="2"/>
      </rPr>
      <t/>
    </r>
  </si>
  <si>
    <r>
      <t>R</t>
    </r>
    <r>
      <rPr>
        <vertAlign val="subscript"/>
        <sz val="10"/>
        <rFont val="Arial"/>
        <family val="2"/>
      </rPr>
      <t>SET</t>
    </r>
  </si>
  <si>
    <t>*** Use primary-side RC snubber from SW to VIN to dampen leakage inductance spike ***</t>
  </si>
  <si>
    <t>**** Use flyback diode RC snubber to dampen ringing if needed ****</t>
  </si>
  <si>
    <t>SOD323</t>
  </si>
  <si>
    <t>SOD123</t>
  </si>
  <si>
    <t>SMA</t>
  </si>
  <si>
    <t>Footprint</t>
  </si>
  <si>
    <t>Area</t>
  </si>
  <si>
    <t>Diode Size</t>
  </si>
  <si>
    <r>
      <t>D</t>
    </r>
    <r>
      <rPr>
        <vertAlign val="subscript"/>
        <sz val="10"/>
        <rFont val="Arial"/>
        <family val="2"/>
      </rPr>
      <t>OUT</t>
    </r>
  </si>
  <si>
    <t>5.0 x 2.5</t>
  </si>
  <si>
    <t>3.6 x 1.8</t>
  </si>
  <si>
    <t>2.5 x 1.25</t>
  </si>
  <si>
    <t>SOD523</t>
  </si>
  <si>
    <t>Flyback Diode - forward current rating</t>
  </si>
  <si>
    <t>Flyback Diode - reverse voltage rating</t>
  </si>
  <si>
    <t>***** Use output zener to clamp the output at no load *****</t>
  </si>
  <si>
    <r>
      <t>Flyback Diode Voltage Drop, V</t>
    </r>
    <r>
      <rPr>
        <b/>
        <vertAlign val="subscript"/>
        <sz val="10"/>
        <rFont val="Arial"/>
        <family val="2"/>
      </rPr>
      <t>D(no-load)</t>
    </r>
  </si>
  <si>
    <r>
      <t>Flyback Diode Voltage Drop, V</t>
    </r>
    <r>
      <rPr>
        <b/>
        <vertAlign val="subscript"/>
        <sz val="10"/>
        <rFont val="Arial"/>
        <family val="2"/>
      </rPr>
      <t>D(full-load)</t>
    </r>
  </si>
  <si>
    <t>Flyback diode forward voltage at full load</t>
  </si>
  <si>
    <t>Flyback diode forward voltage at no load</t>
  </si>
  <si>
    <t>Vfwd1</t>
  </si>
  <si>
    <t>Vfwd2</t>
  </si>
  <si>
    <t>Transformer secondary winding DCR at 25°C</t>
  </si>
  <si>
    <t>Iout2_actual</t>
  </si>
  <si>
    <t>Maximum output current #1</t>
  </si>
  <si>
    <t>6ms Fixed</t>
  </si>
  <si>
    <t>Iout actual (A)</t>
  </si>
  <si>
    <t>Pout actual (W)</t>
  </si>
  <si>
    <t>Vout actual (V)</t>
  </si>
  <si>
    <t>Ton-diode (µs)</t>
  </si>
  <si>
    <t>Iout-actual</t>
  </si>
  <si>
    <t>Vout-actual -?</t>
  </si>
  <si>
    <t>Pout-actual (W)</t>
  </si>
  <si>
    <t>Vout-calc?</t>
  </si>
  <si>
    <r>
      <t>Duty Cycle at V</t>
    </r>
    <r>
      <rPr>
        <vertAlign val="subscript"/>
        <sz val="10"/>
        <rFont val="Arial"/>
        <family val="2"/>
      </rPr>
      <t>IN(min)</t>
    </r>
  </si>
  <si>
    <t>%</t>
  </si>
  <si>
    <t>Minimum Magnetizing Inductance</t>
  </si>
  <si>
    <t>Lmin</t>
  </si>
  <si>
    <t>Lleak</t>
  </si>
  <si>
    <t>nH</t>
  </si>
  <si>
    <t>Pri-Sec Leakage Inductance</t>
  </si>
  <si>
    <t>LM5180EVM-DUAL PCB design, 2.1" x 1.5" (55mm x 38mm)</t>
  </si>
  <si>
    <t>Check Fsw at  Iout-max</t>
  </si>
  <si>
    <t>Check Pout-max at  Iout-max</t>
  </si>
  <si>
    <t>LM5180EVM-S05 PCB Design, 2" x 1.4" (50mm x 35mm)</t>
  </si>
  <si>
    <t>P-Transforer (W)</t>
  </si>
  <si>
    <t>P-Trans-Total (mW)</t>
  </si>
  <si>
    <t>P-IC-Total (W)</t>
  </si>
  <si>
    <t>RdsonTC</t>
  </si>
  <si>
    <t>ppm/°C</t>
  </si>
  <si>
    <t>Drain to Source Resistance Temp Co</t>
  </si>
  <si>
    <t>IC thermal impedance</t>
  </si>
  <si>
    <t>ThetaJA</t>
  </si>
  <si>
    <t>P-trans (W)</t>
  </si>
  <si>
    <t>* Choose a transformer with saturation current rating higher than the max peak current limit setting (1.65A) for all operating temperatures *</t>
  </si>
  <si>
    <t xml:space="preserve">                            LM5181 PSR Flyback Converter Design Tool  </t>
  </si>
  <si>
    <t>LM5181</t>
  </si>
  <si>
    <r>
      <t>IC, LM5181, PSR Flyback Converter, 4.5V</t>
    </r>
    <r>
      <rPr>
        <b/>
        <sz val="10"/>
        <rFont val="Calibri"/>
        <family val="2"/>
      </rPr>
      <t>–</t>
    </r>
    <r>
      <rPr>
        <b/>
        <sz val="10"/>
        <rFont val="Arial"/>
        <family val="2"/>
      </rPr>
      <t>65V Input</t>
    </r>
  </si>
  <si>
    <t xml:space="preserve"> LM5181 PSR Flyback Converter Design Tool</t>
  </si>
  <si>
    <t>Output Pk-Pk Ripple (mV)</t>
  </si>
  <si>
    <t>Input Pk-Pk Ripple (mV)</t>
  </si>
  <si>
    <t>Output #1 Pk-Pk Ripple (mV)</t>
  </si>
  <si>
    <t>Output #2 Pk-Pk Ripple (mV)</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</si>
</sst>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_(* \(#,##0.00\);_(* &quot;-&quot;??_);_(@_)"/>
    <numFmt numFmtId="164" formatCode="0.00000"/>
    <numFmt numFmtId="165" formatCode="0.0000"/>
    <numFmt numFmtId="166" formatCode="0.000"/>
    <numFmt numFmtId="167" formatCode="0.0"/>
    <numFmt numFmtId="168" formatCode="0.000E+00"/>
    <numFmt numFmtId="169" formatCode="#0.0#"/>
    <numFmt numFmtId="170" formatCode="General&quot;k&quot;"/>
    <numFmt numFmtId="171" formatCode="General&quot;µF&quot;"/>
    <numFmt numFmtId="172" formatCode="General&quot;µH&quot;"/>
    <numFmt numFmtId="173" formatCode="&quot;Inductor, &quot;General&quot;-µH, 10%&quot;"/>
    <numFmt numFmtId="174" formatCode="&quot;Resistor, Chip, &quot;General&quot;-kΩ, 1/16W, 1%&quot;"/>
    <numFmt numFmtId="175" formatCode="0.E+00"/>
    <numFmt numFmtId="176" formatCode="0.0E+00"/>
    <numFmt numFmtId="177" formatCode="&quot;Capacitor, Ceramic, &quot;General&quot;-µF, 100V, X7R, 20%&quot;"/>
    <numFmt numFmtId="178" formatCode="0.000%"/>
    <numFmt numFmtId="179" formatCode="&quot;Capacitor, Ceramic, &quot;General&quot;-µF, 16V, X7R, 20%&quot;"/>
    <numFmt numFmtId="180" formatCode="&quot;Resistor, Chip, &quot;General&quot; kΩ, 1/16W, 1%&quot;"/>
    <numFmt numFmtId="181" formatCode="General&quot;M&quot;"/>
    <numFmt numFmtId="182" formatCode="&quot;Resistor, Chip, &quot;General&quot;kΩ, 1/16W, 1%&quot;"/>
    <numFmt numFmtId="183" formatCode="0E+00"/>
  </numFmts>
  <fonts count="82"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b/>
      <sz val="22"/>
      <color indexed="44"/>
      <name val="Arial"/>
      <family val="2"/>
    </font>
    <font>
      <sz val="8"/>
      <name val="Arial"/>
      <family val="2"/>
    </font>
    <font>
      <b/>
      <i/>
      <sz val="10"/>
      <name val="Arial"/>
      <family val="2"/>
    </font>
    <font>
      <sz val="10"/>
      <name val="Arial"/>
      <family val="2"/>
    </font>
    <font>
      <vertAlign val="subscript"/>
      <sz val="10"/>
      <name val="Arial"/>
      <family val="2"/>
    </font>
    <font>
      <u/>
      <sz val="10"/>
      <color indexed="12"/>
      <name val="Arial"/>
      <family val="2"/>
    </font>
    <font>
      <b/>
      <sz val="16"/>
      <name val="Arial"/>
      <family val="2"/>
    </font>
    <font>
      <sz val="10"/>
      <color indexed="44"/>
      <name val="Arial"/>
      <family val="2"/>
    </font>
    <font>
      <b/>
      <sz val="28"/>
      <color indexed="44"/>
      <name val="Arial"/>
      <family val="2"/>
    </font>
    <font>
      <b/>
      <sz val="10"/>
      <color indexed="44"/>
      <name val="Arial"/>
      <family val="2"/>
    </font>
    <font>
      <sz val="10"/>
      <color indexed="8"/>
      <name val="Arial"/>
      <family val="2"/>
    </font>
    <font>
      <b/>
      <sz val="24"/>
      <color indexed="44"/>
      <name val="Arial"/>
      <family val="2"/>
    </font>
    <font>
      <sz val="10"/>
      <name val="Calibri"/>
      <family val="2"/>
    </font>
    <font>
      <b/>
      <sz val="10"/>
      <name val="Calibri"/>
      <family val="2"/>
    </font>
    <font>
      <sz val="10"/>
      <color indexed="55"/>
      <name val="Calibri"/>
      <family val="2"/>
    </font>
    <font>
      <b/>
      <sz val="10"/>
      <color indexed="9"/>
      <name val="Calibri"/>
      <family val="2"/>
    </font>
    <font>
      <b/>
      <sz val="12"/>
      <color indexed="48"/>
      <name val="Arial"/>
      <family val="2"/>
    </font>
    <font>
      <b/>
      <sz val="12"/>
      <color indexed="12"/>
      <name val="Arial"/>
      <family val="2"/>
    </font>
    <font>
      <b/>
      <sz val="12"/>
      <color indexed="9"/>
      <name val="Calibri"/>
      <family val="2"/>
    </font>
    <font>
      <b/>
      <sz val="22"/>
      <color indexed="9"/>
      <name val="Calibri"/>
      <family val="2"/>
    </font>
    <font>
      <b/>
      <sz val="10"/>
      <color indexed="13"/>
      <name val="Calibri"/>
      <family val="2"/>
    </font>
    <font>
      <sz val="10"/>
      <color indexed="56"/>
      <name val="Calibri"/>
      <family val="2"/>
    </font>
    <font>
      <sz val="10"/>
      <color indexed="8"/>
      <name val="Arial"/>
      <family val="2"/>
    </font>
    <font>
      <b/>
      <sz val="14"/>
      <color indexed="9"/>
      <name val="Calibri"/>
      <family val="2"/>
    </font>
    <font>
      <sz val="11"/>
      <color indexed="81"/>
      <name val="Tahoma"/>
      <family val="2"/>
    </font>
    <font>
      <b/>
      <i/>
      <sz val="14"/>
      <color indexed="12"/>
      <name val="Calibri"/>
      <family val="2"/>
    </font>
    <font>
      <b/>
      <sz val="9"/>
      <color indexed="81"/>
      <name val="Tahoma"/>
      <family val="2"/>
    </font>
    <font>
      <sz val="9"/>
      <color indexed="81"/>
      <name val="Tahoma"/>
      <family val="2"/>
    </font>
    <font>
      <b/>
      <u/>
      <sz val="9"/>
      <color indexed="81"/>
      <name val="Tahoma"/>
      <family val="2"/>
    </font>
    <font>
      <sz val="11"/>
      <color indexed="10"/>
      <name val="Tahoma"/>
      <family val="2"/>
    </font>
    <font>
      <b/>
      <sz val="11"/>
      <color indexed="10"/>
      <name val="Tahoma"/>
      <family val="2"/>
    </font>
    <font>
      <b/>
      <sz val="9"/>
      <color indexed="10"/>
      <name val="Tahoma"/>
      <family val="2"/>
    </font>
    <font>
      <sz val="9"/>
      <color indexed="39"/>
      <name val="Tahoma"/>
      <family val="2"/>
    </font>
    <font>
      <b/>
      <sz val="9"/>
      <color indexed="39"/>
      <name val="Tahoma"/>
      <family val="2"/>
    </font>
    <font>
      <b/>
      <vertAlign val="subscript"/>
      <sz val="9"/>
      <color indexed="81"/>
      <name val="Tahoma"/>
      <family val="2"/>
    </font>
    <font>
      <sz val="36"/>
      <color rgb="FFFF0000"/>
      <name val="Arial"/>
      <family val="2"/>
    </font>
    <font>
      <b/>
      <u/>
      <sz val="11"/>
      <color indexed="10"/>
      <name val="Tahoma"/>
      <family val="2"/>
    </font>
    <font>
      <sz val="16"/>
      <color theme="0"/>
      <name val="Arial"/>
      <family val="2"/>
    </font>
    <font>
      <b/>
      <vertAlign val="subscript"/>
      <sz val="10"/>
      <name val="Arial"/>
      <family val="2"/>
    </font>
    <font>
      <sz val="10"/>
      <color indexed="23"/>
      <name val="Arial"/>
      <family val="2"/>
    </font>
    <font>
      <sz val="10"/>
      <color indexed="55"/>
      <name val="Arial"/>
      <family val="2"/>
    </font>
    <font>
      <b/>
      <i/>
      <sz val="10"/>
      <color indexed="55"/>
      <name val="Arial"/>
      <family val="2"/>
    </font>
    <font>
      <b/>
      <i/>
      <sz val="14"/>
      <color indexed="12"/>
      <name val="Arial"/>
      <family val="2"/>
    </font>
    <font>
      <b/>
      <sz val="10"/>
      <color rgb="FFFF0000"/>
      <name val="Arial"/>
      <family val="2"/>
    </font>
    <font>
      <sz val="10"/>
      <color theme="1"/>
      <name val="Arial"/>
      <family val="2"/>
    </font>
    <font>
      <b/>
      <sz val="10"/>
      <color theme="1"/>
      <name val="Arial"/>
      <family val="2"/>
    </font>
    <font>
      <b/>
      <vertAlign val="subscript"/>
      <sz val="10"/>
      <color theme="1"/>
      <name val="Arial"/>
      <family val="2"/>
    </font>
    <font>
      <b/>
      <sz val="12"/>
      <color rgb="FF003366"/>
      <name val="Calibri"/>
      <family val="2"/>
    </font>
    <font>
      <sz val="10"/>
      <name val="Symbol"/>
      <family val="1"/>
      <charset val="2"/>
    </font>
    <font>
      <b/>
      <sz val="10"/>
      <color indexed="9"/>
      <name val="Arial"/>
      <family val="2"/>
    </font>
    <font>
      <b/>
      <sz val="12"/>
      <color rgb="FF0000FF"/>
      <name val="Arial"/>
      <family val="2"/>
    </font>
    <font>
      <b/>
      <u/>
      <sz val="10"/>
      <name val="Arial"/>
      <family val="2"/>
    </font>
    <font>
      <u/>
      <sz val="9"/>
      <color indexed="12"/>
      <name val="Tahoma"/>
      <family val="2"/>
    </font>
    <font>
      <sz val="10"/>
      <color rgb="FFFF0000"/>
      <name val="Arial"/>
      <family val="2"/>
    </font>
    <font>
      <sz val="10"/>
      <color theme="0"/>
      <name val="Arial"/>
      <family val="2"/>
    </font>
    <font>
      <sz val="30"/>
      <color theme="0"/>
      <name val="Arial"/>
      <family val="2"/>
    </font>
    <font>
      <sz val="10"/>
      <name val="Cambria"/>
      <family val="1"/>
      <scheme val="major"/>
    </font>
    <font>
      <b/>
      <sz val="10"/>
      <color indexed="8"/>
      <name val="Arial"/>
      <family val="2"/>
    </font>
    <font>
      <sz val="10"/>
      <name val="Times New Roman"/>
      <family val="1"/>
    </font>
    <font>
      <sz val="18"/>
      <name val="Arial"/>
      <family val="2"/>
    </font>
    <font>
      <b/>
      <sz val="11"/>
      <name val="Symbol"/>
      <family val="1"/>
      <charset val="2"/>
    </font>
    <font>
      <b/>
      <sz val="10"/>
      <color rgb="FF0000FF"/>
      <name val="Arial"/>
      <family val="2"/>
    </font>
    <font>
      <u/>
      <sz val="10"/>
      <color theme="0" tint="-0.499984740745262"/>
      <name val="Arial"/>
      <family val="2"/>
    </font>
    <font>
      <vertAlign val="subscript"/>
      <sz val="9"/>
      <color indexed="81"/>
      <name val="Tahoma"/>
      <family val="2"/>
    </font>
    <font>
      <b/>
      <vertAlign val="subscript"/>
      <sz val="16"/>
      <name val="Arial"/>
      <family val="2"/>
    </font>
    <font>
      <b/>
      <sz val="10"/>
      <color rgb="FF33CC33"/>
      <name val="Arial"/>
      <family val="2"/>
    </font>
    <font>
      <sz val="10"/>
      <name val="Arial"/>
      <family val="2"/>
    </font>
    <font>
      <sz val="9"/>
      <color indexed="8"/>
      <name val="Tahoma"/>
      <family val="2"/>
    </font>
    <font>
      <b/>
      <sz val="10"/>
      <color theme="0"/>
      <name val="Arial"/>
      <family val="2"/>
    </font>
    <font>
      <b/>
      <vertAlign val="superscript"/>
      <sz val="10"/>
      <color theme="0"/>
      <name val="Arial"/>
      <family val="2"/>
    </font>
    <font>
      <b/>
      <sz val="11"/>
      <color rgb="FFFF0000"/>
      <name val="Arial"/>
      <family val="2"/>
    </font>
    <font>
      <b/>
      <sz val="12"/>
      <color rgb="FFFF0000"/>
      <name val="Arial"/>
      <family val="2"/>
    </font>
    <font>
      <b/>
      <vertAlign val="superscript"/>
      <sz val="12"/>
      <color rgb="FFFF0000"/>
      <name val="Arial"/>
      <family val="2"/>
    </font>
    <font>
      <sz val="34"/>
      <color theme="0"/>
      <name val="Arial"/>
      <family val="2"/>
    </font>
    <font>
      <b/>
      <sz val="10"/>
      <color theme="6" tint="-0.249977111117893"/>
      <name val="Arial"/>
      <family val="2"/>
    </font>
    <font>
      <sz val="10"/>
      <color rgb="FF0000FF"/>
      <name val="Arial"/>
      <family val="2"/>
    </font>
    <font>
      <b/>
      <sz val="10"/>
      <color theme="9" tint="-0.249977111117893"/>
      <name val="Arial"/>
      <family val="2"/>
    </font>
  </fonts>
  <fills count="29">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indexed="43"/>
        <bgColor indexed="64"/>
      </patternFill>
    </fill>
    <fill>
      <patternFill patternType="solid">
        <fgColor rgb="FFFFFF99"/>
        <bgColor indexed="64"/>
      </patternFill>
    </fill>
    <fill>
      <patternFill patternType="solid">
        <fgColor rgb="FFFF9900"/>
        <bgColor indexed="64"/>
      </patternFill>
    </fill>
    <fill>
      <patternFill patternType="solid">
        <fgColor rgb="FF99CC00"/>
        <bgColor indexed="64"/>
      </patternFill>
    </fill>
    <fill>
      <patternFill patternType="solid">
        <fgColor rgb="FFC0C0C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33CC33"/>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FF"/>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55"/>
      </top>
      <bottom/>
      <diagonal/>
    </border>
    <border>
      <left/>
      <right/>
      <top/>
      <bottom style="medium">
        <color indexed="55"/>
      </bottom>
      <diagonal/>
    </border>
    <border>
      <left/>
      <right style="medium">
        <color indexed="55"/>
      </right>
      <top style="medium">
        <color indexed="55"/>
      </top>
      <bottom/>
      <diagonal/>
    </border>
    <border>
      <left/>
      <right style="medium">
        <color indexed="55"/>
      </right>
      <top/>
      <bottom/>
      <diagonal/>
    </border>
    <border>
      <left/>
      <right style="medium">
        <color indexed="55"/>
      </right>
      <top/>
      <bottom style="medium">
        <color indexed="55"/>
      </bottom>
      <diagonal/>
    </border>
    <border>
      <left style="medium">
        <color indexed="55"/>
      </left>
      <right/>
      <top style="medium">
        <color indexed="55"/>
      </top>
      <bottom/>
      <diagonal/>
    </border>
    <border>
      <left style="medium">
        <color indexed="55"/>
      </left>
      <right/>
      <top/>
      <bottom/>
      <diagonal/>
    </border>
    <border>
      <left style="medium">
        <color indexed="55"/>
      </left>
      <right/>
      <top/>
      <bottom style="medium">
        <color indexed="55"/>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55"/>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2" fillId="0" borderId="0"/>
    <xf numFmtId="43" fontId="2" fillId="0" borderId="0" applyFont="0" applyFill="0" applyBorder="0" applyAlignment="0" applyProtection="0"/>
    <xf numFmtId="9" fontId="71" fillId="0" borderId="0" applyFont="0" applyFill="0" applyBorder="0" applyAlignment="0" applyProtection="0"/>
  </cellStyleXfs>
  <cellXfs count="701">
    <xf numFmtId="0" fontId="0" fillId="0" borderId="0" xfId="0"/>
    <xf numFmtId="0" fontId="76" fillId="8" borderId="0" xfId="4" applyFont="1" applyFill="1" applyAlignment="1">
      <alignment horizontal="right" wrapText="1"/>
    </xf>
    <xf numFmtId="0" fontId="23" fillId="24" borderId="0" xfId="0" applyFont="1" applyFill="1" applyBorder="1" applyAlignment="1" applyProtection="1">
      <alignment horizontal="center" vertical="center"/>
    </xf>
    <xf numFmtId="0" fontId="7" fillId="0" borderId="0" xfId="0" applyFont="1"/>
    <xf numFmtId="0" fontId="4" fillId="0" borderId="0" xfId="0" applyFont="1"/>
    <xf numFmtId="0" fontId="8" fillId="0" borderId="0" xfId="0" applyFont="1"/>
    <xf numFmtId="2" fontId="0" fillId="0" borderId="0" xfId="0" applyNumberFormat="1"/>
    <xf numFmtId="0" fontId="4" fillId="2" borderId="0" xfId="0" applyFont="1" applyFill="1"/>
    <xf numFmtId="0" fontId="0" fillId="0" borderId="0" xfId="0" applyBorder="1"/>
    <xf numFmtId="2" fontId="0" fillId="0" borderId="0" xfId="0" applyNumberFormat="1" applyBorder="1"/>
    <xf numFmtId="0" fontId="0" fillId="4" borderId="2" xfId="0" applyFill="1" applyBorder="1"/>
    <xf numFmtId="0" fontId="0" fillId="4" borderId="0" xfId="0" applyFill="1" applyBorder="1"/>
    <xf numFmtId="0" fontId="0" fillId="0" borderId="0" xfId="0" applyFill="1"/>
    <xf numFmtId="0" fontId="0" fillId="0" borderId="0" xfId="0" applyFill="1" applyBorder="1"/>
    <xf numFmtId="0" fontId="15" fillId="0" borderId="0" xfId="0" applyFont="1" applyFill="1" applyBorder="1"/>
    <xf numFmtId="0" fontId="4" fillId="0" borderId="0" xfId="0" applyFont="1" applyFill="1" applyBorder="1"/>
    <xf numFmtId="0" fontId="0" fillId="9" borderId="0" xfId="0" applyFill="1"/>
    <xf numFmtId="0" fontId="0" fillId="0" borderId="0" xfId="0" applyAlignment="1">
      <alignment horizontal="right"/>
    </xf>
    <xf numFmtId="0" fontId="17" fillId="0" borderId="0" xfId="0" applyFont="1"/>
    <xf numFmtId="11" fontId="7" fillId="0" borderId="0" xfId="0" applyNumberFormat="1" applyFont="1"/>
    <xf numFmtId="0" fontId="4" fillId="0"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169" fontId="17" fillId="3" borderId="0" xfId="0" applyNumberFormat="1" applyFont="1" applyFill="1" applyBorder="1" applyAlignment="1" applyProtection="1">
      <alignment horizontal="center"/>
    </xf>
    <xf numFmtId="0" fontId="0" fillId="0" borderId="22" xfId="0" applyBorder="1"/>
    <xf numFmtId="0" fontId="0" fillId="0" borderId="23" xfId="0" applyBorder="1"/>
    <xf numFmtId="0" fontId="8" fillId="0" borderId="22" xfId="0" applyFont="1" applyBorder="1"/>
    <xf numFmtId="0" fontId="0" fillId="11" borderId="0" xfId="0" applyFill="1" applyBorder="1"/>
    <xf numFmtId="0" fontId="0" fillId="0" borderId="24" xfId="0" applyBorder="1"/>
    <xf numFmtId="0" fontId="0" fillId="0" borderId="25" xfId="0" applyBorder="1"/>
    <xf numFmtId="0" fontId="0" fillId="0" borderId="26" xfId="0" applyBorder="1"/>
    <xf numFmtId="0" fontId="0" fillId="0" borderId="2" xfId="0" applyBorder="1"/>
    <xf numFmtId="0" fontId="0" fillId="0" borderId="3" xfId="0" applyBorder="1"/>
    <xf numFmtId="0" fontId="7" fillId="0" borderId="22" xfId="0" applyFont="1" applyBorder="1"/>
    <xf numFmtId="0" fontId="4" fillId="0" borderId="22" xfId="0" applyFont="1" applyBorder="1"/>
    <xf numFmtId="11" fontId="0" fillId="11" borderId="0" xfId="0" applyNumberFormat="1" applyFill="1" applyBorder="1"/>
    <xf numFmtId="0" fontId="0" fillId="10" borderId="0" xfId="0" applyFill="1" applyBorder="1"/>
    <xf numFmtId="0" fontId="0" fillId="0" borderId="0" xfId="0" applyBorder="1" applyAlignment="1">
      <alignment horizontal="right"/>
    </xf>
    <xf numFmtId="0" fontId="0" fillId="0" borderId="25" xfId="0" applyBorder="1" applyAlignment="1">
      <alignment horizontal="right"/>
    </xf>
    <xf numFmtId="0" fontId="7" fillId="0" borderId="0" xfId="0" applyFont="1" applyBorder="1"/>
    <xf numFmtId="0" fontId="4" fillId="0" borderId="0" xfId="0" applyFont="1" applyBorder="1"/>
    <xf numFmtId="11" fontId="7" fillId="0" borderId="25" xfId="0" applyNumberFormat="1" applyFont="1" applyBorder="1"/>
    <xf numFmtId="11" fontId="0" fillId="4" borderId="0" xfId="0" applyNumberFormat="1" applyFill="1" applyBorder="1"/>
    <xf numFmtId="0" fontId="4" fillId="0" borderId="0" xfId="0" applyFont="1" applyFill="1" applyBorder="1" applyAlignment="1"/>
    <xf numFmtId="0" fontId="8" fillId="0" borderId="0" xfId="0" applyFont="1" applyFill="1" applyBorder="1" applyAlignment="1"/>
    <xf numFmtId="0" fontId="8" fillId="0" borderId="0" xfId="0" applyFont="1" applyFill="1" applyBorder="1"/>
    <xf numFmtId="0" fontId="17" fillId="3" borderId="0" xfId="0" applyFont="1" applyFill="1" applyBorder="1" applyProtection="1"/>
    <xf numFmtId="0" fontId="17" fillId="3" borderId="0" xfId="0" applyFont="1" applyFill="1" applyProtection="1"/>
    <xf numFmtId="0" fontId="18" fillId="8" borderId="0" xfId="0" applyFont="1" applyFill="1" applyBorder="1" applyAlignment="1" applyProtection="1"/>
    <xf numFmtId="0" fontId="18" fillId="8" borderId="0" xfId="0" applyFont="1" applyFill="1" applyBorder="1" applyAlignment="1" applyProtection="1">
      <alignment horizontal="right"/>
    </xf>
    <xf numFmtId="0" fontId="17" fillId="8" borderId="0" xfId="0" applyFont="1" applyFill="1" applyBorder="1" applyProtection="1"/>
    <xf numFmtId="0" fontId="21" fillId="0" borderId="0" xfId="0" applyFont="1" applyBorder="1"/>
    <xf numFmtId="0" fontId="4" fillId="0" borderId="0" xfId="0" applyFont="1" applyBorder="1" applyAlignment="1">
      <alignment horizontal="center"/>
    </xf>
    <xf numFmtId="0" fontId="0" fillId="0" borderId="1" xfId="0" applyBorder="1"/>
    <xf numFmtId="0" fontId="0" fillId="0" borderId="2" xfId="0" applyBorder="1" applyAlignment="1">
      <alignment horizontal="right"/>
    </xf>
    <xf numFmtId="0" fontId="22" fillId="0" borderId="0" xfId="0" applyFont="1" applyBorder="1"/>
    <xf numFmtId="0" fontId="4" fillId="0" borderId="22" xfId="0" applyFont="1" applyFill="1" applyBorder="1"/>
    <xf numFmtId="0" fontId="8" fillId="0" borderId="22" xfId="0" applyFont="1" applyFill="1" applyBorder="1"/>
    <xf numFmtId="0" fontId="0" fillId="0" borderId="2" xfId="0" applyBorder="1" applyAlignment="1"/>
    <xf numFmtId="0" fontId="27" fillId="0" borderId="0" xfId="0" applyFont="1" applyBorder="1"/>
    <xf numFmtId="0" fontId="27" fillId="4" borderId="0" xfId="0" applyFont="1" applyFill="1" applyBorder="1"/>
    <xf numFmtId="0" fontId="0" fillId="0" borderId="0" xfId="0" applyFont="1" applyFill="1" applyBorder="1"/>
    <xf numFmtId="0" fontId="21" fillId="0" borderId="32" xfId="0" applyFont="1" applyBorder="1"/>
    <xf numFmtId="0" fontId="0" fillId="0" borderId="27" xfId="0" applyBorder="1"/>
    <xf numFmtId="0" fontId="0" fillId="0" borderId="29" xfId="0" applyBorder="1"/>
    <xf numFmtId="0" fontId="8" fillId="0" borderId="33" xfId="0" applyFont="1" applyBorder="1"/>
    <xf numFmtId="0" fontId="0" fillId="0" borderId="30" xfId="0" applyBorder="1"/>
    <xf numFmtId="0" fontId="27" fillId="0" borderId="33" xfId="0" applyFont="1" applyBorder="1"/>
    <xf numFmtId="0" fontId="27" fillId="0" borderId="33" xfId="0" applyFont="1" applyFill="1" applyBorder="1"/>
    <xf numFmtId="0" fontId="27" fillId="0" borderId="34" xfId="0" applyFont="1" applyBorder="1"/>
    <xf numFmtId="0" fontId="27" fillId="0" borderId="28" xfId="0" applyFont="1" applyBorder="1"/>
    <xf numFmtId="0" fontId="0" fillId="0" borderId="28" xfId="0" applyBorder="1"/>
    <xf numFmtId="0" fontId="0" fillId="0" borderId="31" xfId="0" applyBorder="1"/>
    <xf numFmtId="0" fontId="19" fillId="8" borderId="0" xfId="0" applyFont="1" applyFill="1" applyBorder="1" applyProtection="1"/>
    <xf numFmtId="2" fontId="17" fillId="8" borderId="0" xfId="0" applyNumberFormat="1" applyFont="1" applyFill="1" applyBorder="1" applyProtection="1"/>
    <xf numFmtId="165" fontId="17" fillId="8" borderId="0" xfId="0" applyNumberFormat="1" applyFont="1" applyFill="1" applyBorder="1" applyProtection="1"/>
    <xf numFmtId="0" fontId="17" fillId="12" borderId="0" xfId="0" applyFont="1" applyFill="1" applyProtection="1"/>
    <xf numFmtId="0" fontId="3" fillId="0" borderId="0" xfId="0" applyFont="1"/>
    <xf numFmtId="0" fontId="3" fillId="0" borderId="0" xfId="0" applyFont="1" applyBorder="1"/>
    <xf numFmtId="0" fontId="0" fillId="0" borderId="0" xfId="0" applyBorder="1" applyAlignment="1">
      <alignment horizontal="left"/>
    </xf>
    <xf numFmtId="0" fontId="3" fillId="0" borderId="2" xfId="0" applyFont="1" applyBorder="1"/>
    <xf numFmtId="0" fontId="3" fillId="0" borderId="25" xfId="0" applyFont="1" applyBorder="1"/>
    <xf numFmtId="0" fontId="30" fillId="8" borderId="0" xfId="0" applyFont="1" applyFill="1" applyBorder="1" applyAlignment="1" applyProtection="1"/>
    <xf numFmtId="0" fontId="17" fillId="12" borderId="0" xfId="0" applyFont="1" applyFill="1" applyBorder="1" applyProtection="1"/>
    <xf numFmtId="0" fontId="20" fillId="15" borderId="0" xfId="0" applyFont="1" applyFill="1" applyBorder="1" applyAlignment="1" applyProtection="1">
      <alignment vertical="center"/>
    </xf>
    <xf numFmtId="0" fontId="0" fillId="14" borderId="0" xfId="0" applyFill="1"/>
    <xf numFmtId="0" fontId="42" fillId="14" borderId="0" xfId="0" applyFont="1" applyFill="1"/>
    <xf numFmtId="0" fontId="4" fillId="8" borderId="0" xfId="0" applyFont="1" applyFill="1" applyBorder="1" applyAlignment="1" applyProtection="1">
      <alignment horizontal="right"/>
    </xf>
    <xf numFmtId="0" fontId="3" fillId="8" borderId="0" xfId="0" applyFont="1" applyFill="1" applyBorder="1" applyAlignment="1" applyProtection="1">
      <alignment horizontal="right"/>
    </xf>
    <xf numFmtId="0" fontId="3" fillId="8" borderId="22" xfId="0" applyFont="1" applyFill="1" applyBorder="1" applyProtection="1"/>
    <xf numFmtId="0" fontId="3" fillId="8" borderId="0" xfId="0" applyFont="1" applyFill="1" applyBorder="1" applyProtection="1"/>
    <xf numFmtId="0" fontId="45" fillId="8" borderId="0" xfId="0" applyFont="1" applyFill="1" applyBorder="1" applyProtection="1"/>
    <xf numFmtId="0" fontId="46" fillId="8" borderId="0" xfId="0" applyFont="1" applyFill="1" applyBorder="1" applyProtection="1"/>
    <xf numFmtId="0" fontId="47" fillId="8" borderId="0" xfId="0" applyFont="1" applyFill="1" applyBorder="1" applyAlignment="1" applyProtection="1"/>
    <xf numFmtId="0" fontId="4" fillId="8" borderId="0" xfId="0" applyFont="1" applyFill="1" applyBorder="1" applyAlignment="1" applyProtection="1"/>
    <xf numFmtId="167" fontId="4" fillId="8" borderId="0" xfId="0" applyNumberFormat="1" applyFont="1" applyFill="1" applyBorder="1" applyAlignment="1" applyProtection="1"/>
    <xf numFmtId="0" fontId="47" fillId="8" borderId="0" xfId="0" applyFont="1" applyFill="1" applyBorder="1" applyProtection="1"/>
    <xf numFmtId="0" fontId="4" fillId="8" borderId="0" xfId="0" applyFont="1" applyFill="1" applyBorder="1" applyProtection="1"/>
    <xf numFmtId="0" fontId="4" fillId="8" borderId="22" xfId="0" applyFont="1" applyFill="1" applyBorder="1" applyProtection="1"/>
    <xf numFmtId="0" fontId="4" fillId="15" borderId="0" xfId="0" applyFont="1" applyFill="1" applyBorder="1" applyProtection="1">
      <protection locked="0"/>
    </xf>
    <xf numFmtId="1" fontId="44" fillId="8" borderId="0" xfId="0" applyNumberFormat="1" applyFont="1" applyFill="1" applyBorder="1" applyAlignment="1" applyProtection="1">
      <alignment horizontal="right"/>
    </xf>
    <xf numFmtId="0" fontId="50" fillId="8" borderId="0" xfId="0" applyFont="1" applyFill="1" applyBorder="1" applyAlignment="1" applyProtection="1">
      <alignment horizontal="right"/>
    </xf>
    <xf numFmtId="0" fontId="3" fillId="8" borderId="24" xfId="0" applyFont="1" applyFill="1" applyBorder="1" applyProtection="1"/>
    <xf numFmtId="0" fontId="3" fillId="8" borderId="25" xfId="0" applyFont="1" applyFill="1" applyBorder="1" applyProtection="1"/>
    <xf numFmtId="0" fontId="3" fillId="8" borderId="23" xfId="0" applyFont="1" applyFill="1" applyBorder="1" applyProtection="1"/>
    <xf numFmtId="0" fontId="3" fillId="8" borderId="39" xfId="0" applyFont="1" applyFill="1" applyBorder="1" applyProtection="1"/>
    <xf numFmtId="0" fontId="3" fillId="8" borderId="40" xfId="0" applyFont="1" applyFill="1" applyBorder="1" applyProtection="1"/>
    <xf numFmtId="0" fontId="22" fillId="8" borderId="22" xfId="0" applyFont="1" applyFill="1" applyBorder="1" applyAlignment="1" applyProtection="1">
      <alignment vertical="center"/>
    </xf>
    <xf numFmtId="0" fontId="17" fillId="3" borderId="22" xfId="0" applyFont="1" applyFill="1" applyBorder="1" applyProtection="1"/>
    <xf numFmtId="0" fontId="4" fillId="8" borderId="39" xfId="0" applyFont="1" applyFill="1" applyBorder="1" applyProtection="1"/>
    <xf numFmtId="0" fontId="3" fillId="0" borderId="1" xfId="0" applyFont="1" applyBorder="1"/>
    <xf numFmtId="0" fontId="3" fillId="0" borderId="22" xfId="0" applyFont="1" applyBorder="1"/>
    <xf numFmtId="0" fontId="3" fillId="0" borderId="0" xfId="0" applyFont="1" applyFill="1" applyBorder="1"/>
    <xf numFmtId="2" fontId="0" fillId="0" borderId="0" xfId="0" applyNumberFormat="1" applyBorder="1" applyAlignment="1">
      <alignment horizontal="right"/>
    </xf>
    <xf numFmtId="0" fontId="53" fillId="0" borderId="0" xfId="0" applyFont="1" applyBorder="1"/>
    <xf numFmtId="0" fontId="3" fillId="8" borderId="0" xfId="4" applyFill="1"/>
    <xf numFmtId="0" fontId="11" fillId="8" borderId="0" xfId="4" applyFont="1" applyFill="1" applyAlignment="1">
      <alignment vertical="center"/>
    </xf>
    <xf numFmtId="0" fontId="3" fillId="16" borderId="17" xfId="4" applyFill="1" applyBorder="1" applyAlignment="1">
      <alignment horizontal="center" vertical="center"/>
    </xf>
    <xf numFmtId="0" fontId="3" fillId="8" borderId="0" xfId="4" applyFill="1" applyAlignment="1">
      <alignment vertical="center"/>
    </xf>
    <xf numFmtId="0" fontId="3" fillId="17" borderId="17" xfId="4" applyFill="1" applyBorder="1" applyAlignment="1">
      <alignment horizontal="center" vertical="center"/>
    </xf>
    <xf numFmtId="0" fontId="3" fillId="17" borderId="11" xfId="4" applyFill="1" applyBorder="1" applyAlignment="1">
      <alignment vertical="center" wrapText="1"/>
    </xf>
    <xf numFmtId="170" fontId="3" fillId="17" borderId="11" xfId="4" applyNumberFormat="1" applyFill="1" applyBorder="1" applyAlignment="1">
      <alignment horizontal="center" vertical="center"/>
    </xf>
    <xf numFmtId="0" fontId="3" fillId="17" borderId="11" xfId="4" quotePrefix="1" applyFill="1" applyBorder="1" applyAlignment="1">
      <alignment horizontal="left" vertical="center"/>
    </xf>
    <xf numFmtId="0" fontId="3" fillId="17" borderId="11" xfId="4" applyFill="1" applyBorder="1" applyAlignment="1">
      <alignment horizontal="left" vertical="center"/>
    </xf>
    <xf numFmtId="0" fontId="3" fillId="12" borderId="17" xfId="4" applyFill="1" applyBorder="1" applyAlignment="1">
      <alignment horizontal="center" vertical="center"/>
    </xf>
    <xf numFmtId="0" fontId="3" fillId="12" borderId="11" xfId="4" applyFill="1" applyBorder="1" applyAlignment="1">
      <alignment vertical="center" wrapText="1"/>
    </xf>
    <xf numFmtId="170" fontId="3" fillId="12" borderId="11" xfId="4" applyNumberFormat="1" applyFill="1" applyBorder="1" applyAlignment="1">
      <alignment horizontal="center" vertical="center"/>
    </xf>
    <xf numFmtId="0" fontId="3" fillId="12" borderId="11" xfId="4" quotePrefix="1" applyFill="1" applyBorder="1" applyAlignment="1">
      <alignment horizontal="left" vertical="center"/>
    </xf>
    <xf numFmtId="0" fontId="3" fillId="12" borderId="11" xfId="4" applyFill="1" applyBorder="1" applyAlignment="1">
      <alignment horizontal="left" vertical="center"/>
    </xf>
    <xf numFmtId="0" fontId="3" fillId="16" borderId="11" xfId="4" applyFill="1" applyBorder="1" applyAlignment="1">
      <alignment vertical="center" wrapText="1"/>
    </xf>
    <xf numFmtId="0" fontId="3" fillId="16" borderId="11" xfId="4" quotePrefix="1" applyFill="1" applyBorder="1" applyAlignment="1">
      <alignment horizontal="left" vertical="center"/>
    </xf>
    <xf numFmtId="0" fontId="3" fillId="16" borderId="11" xfId="4" applyFill="1" applyBorder="1" applyAlignment="1">
      <alignment horizontal="left" vertical="center"/>
    </xf>
    <xf numFmtId="171" fontId="3" fillId="16" borderId="11" xfId="4" applyNumberFormat="1" applyFill="1" applyBorder="1" applyAlignment="1">
      <alignment horizontal="center" vertical="center"/>
    </xf>
    <xf numFmtId="0" fontId="3" fillId="12" borderId="0" xfId="4" applyFill="1"/>
    <xf numFmtId="1" fontId="0" fillId="4" borderId="0" xfId="0" applyNumberFormat="1" applyFill="1" applyBorder="1"/>
    <xf numFmtId="0" fontId="3" fillId="8" borderId="0" xfId="0" applyFont="1" applyFill="1" applyBorder="1" applyAlignment="1" applyProtection="1">
      <alignment vertical="center"/>
    </xf>
    <xf numFmtId="0" fontId="3" fillId="8" borderId="22" xfId="0" applyFont="1" applyFill="1" applyBorder="1" applyAlignment="1" applyProtection="1">
      <alignment vertical="center"/>
    </xf>
    <xf numFmtId="0" fontId="3" fillId="8" borderId="0" xfId="0" applyFont="1" applyFill="1" applyBorder="1" applyAlignment="1" applyProtection="1">
      <alignment horizontal="right" vertical="center"/>
    </xf>
    <xf numFmtId="0" fontId="3" fillId="8" borderId="23" xfId="0" applyFont="1" applyFill="1" applyBorder="1" applyAlignment="1" applyProtection="1">
      <alignment vertical="center"/>
    </xf>
    <xf numFmtId="0" fontId="3" fillId="8" borderId="24" xfId="0" applyFont="1" applyFill="1" applyBorder="1" applyAlignment="1" applyProtection="1">
      <alignment vertical="center"/>
    </xf>
    <xf numFmtId="0" fontId="3" fillId="8" borderId="25" xfId="0" applyFont="1" applyFill="1" applyBorder="1" applyAlignment="1" applyProtection="1">
      <alignment vertical="center"/>
    </xf>
    <xf numFmtId="0" fontId="3" fillId="8" borderId="26" xfId="0" applyFont="1" applyFill="1" applyBorder="1" applyAlignment="1" applyProtection="1">
      <alignment vertical="center"/>
    </xf>
    <xf numFmtId="0" fontId="3" fillId="8" borderId="37" xfId="0" applyFont="1" applyFill="1" applyBorder="1" applyAlignment="1" applyProtection="1">
      <alignment vertical="center"/>
    </xf>
    <xf numFmtId="0" fontId="3" fillId="8" borderId="2" xfId="0" applyFont="1" applyFill="1" applyBorder="1" applyAlignment="1" applyProtection="1">
      <alignment vertical="center"/>
    </xf>
    <xf numFmtId="0" fontId="3" fillId="8" borderId="2" xfId="0" applyFont="1" applyFill="1" applyBorder="1" applyAlignment="1" applyProtection="1">
      <alignment horizontal="right" vertical="center"/>
    </xf>
    <xf numFmtId="0" fontId="50" fillId="8" borderId="2" xfId="0" applyFont="1" applyFill="1" applyBorder="1" applyAlignment="1" applyProtection="1">
      <alignment horizontal="right" vertical="center"/>
    </xf>
    <xf numFmtId="0" fontId="4" fillId="15" borderId="2" xfId="0" applyNumberFormat="1" applyFont="1" applyFill="1" applyBorder="1" applyAlignment="1" applyProtection="1">
      <alignment vertical="center"/>
      <protection locked="0"/>
    </xf>
    <xf numFmtId="0" fontId="50"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vertical="center"/>
      <protection locked="0"/>
    </xf>
    <xf numFmtId="0" fontId="4" fillId="8" borderId="23" xfId="0" applyFont="1" applyFill="1" applyBorder="1" applyAlignment="1" applyProtection="1">
      <alignment vertical="center"/>
    </xf>
    <xf numFmtId="1" fontId="3" fillId="8" borderId="0" xfId="0" applyNumberFormat="1" applyFont="1" applyFill="1" applyBorder="1" applyAlignment="1" applyProtection="1">
      <alignment horizontal="right" vertical="center"/>
    </xf>
    <xf numFmtId="0" fontId="50" fillId="12" borderId="0" xfId="0" applyFont="1" applyFill="1" applyBorder="1" applyAlignment="1" applyProtection="1">
      <alignment horizontal="right" vertical="center"/>
    </xf>
    <xf numFmtId="0" fontId="4" fillId="15" borderId="0" xfId="0" applyFont="1" applyFill="1" applyBorder="1" applyAlignment="1" applyProtection="1">
      <alignment vertical="center"/>
      <protection locked="0"/>
    </xf>
    <xf numFmtId="0" fontId="4" fillId="8" borderId="0" xfId="0" applyFont="1" applyFill="1" applyBorder="1" applyAlignment="1" applyProtection="1">
      <alignment vertical="center"/>
    </xf>
    <xf numFmtId="0" fontId="4"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horizontal="right" vertical="center"/>
      <protection locked="0"/>
    </xf>
    <xf numFmtId="0" fontId="3" fillId="8" borderId="39" xfId="0" applyFont="1" applyFill="1" applyBorder="1" applyAlignment="1" applyProtection="1">
      <alignment vertical="center"/>
    </xf>
    <xf numFmtId="0" fontId="0" fillId="0" borderId="35" xfId="0" applyBorder="1"/>
    <xf numFmtId="0" fontId="0" fillId="18" borderId="0" xfId="0" applyFill="1" applyBorder="1"/>
    <xf numFmtId="0" fontId="3" fillId="0" borderId="0" xfId="0" applyFont="1" applyBorder="1" applyAlignment="1">
      <alignment horizontal="right"/>
    </xf>
    <xf numFmtId="0" fontId="4" fillId="0" borderId="35" xfId="0" applyFont="1" applyBorder="1" applyAlignment="1">
      <alignment horizontal="right"/>
    </xf>
    <xf numFmtId="0" fontId="4" fillId="0" borderId="25" xfId="0" applyFont="1" applyBorder="1" applyAlignment="1">
      <alignment horizontal="right"/>
    </xf>
    <xf numFmtId="0" fontId="4" fillId="0" borderId="0" xfId="0" applyFont="1" applyAlignment="1">
      <alignment horizontal="right"/>
    </xf>
    <xf numFmtId="0" fontId="4" fillId="0" borderId="35" xfId="0" applyFont="1" applyBorder="1"/>
    <xf numFmtId="0" fontId="4" fillId="0" borderId="25" xfId="0" applyFont="1" applyBorder="1"/>
    <xf numFmtId="0" fontId="4" fillId="0" borderId="0" xfId="0" applyFont="1" applyBorder="1" applyAlignment="1">
      <alignment horizontal="left"/>
    </xf>
    <xf numFmtId="166" fontId="7" fillId="10" borderId="0" xfId="0" applyNumberFormat="1" applyFont="1" applyFill="1" applyBorder="1"/>
    <xf numFmtId="2" fontId="0" fillId="18" borderId="0" xfId="0" applyNumberFormat="1" applyFill="1" applyBorder="1"/>
    <xf numFmtId="1" fontId="0" fillId="10" borderId="0" xfId="0" applyNumberFormat="1" applyFill="1" applyBorder="1"/>
    <xf numFmtId="0" fontId="3" fillId="0" borderId="35" xfId="0" applyFont="1" applyFill="1" applyBorder="1"/>
    <xf numFmtId="0" fontId="3" fillId="0" borderId="24" xfId="0" applyFont="1" applyBorder="1"/>
    <xf numFmtId="0" fontId="7" fillId="0" borderId="25" xfId="0" applyFont="1" applyFill="1" applyBorder="1"/>
    <xf numFmtId="167" fontId="0" fillId="0" borderId="0" xfId="0" applyNumberFormat="1" applyFill="1" applyBorder="1"/>
    <xf numFmtId="0" fontId="4" fillId="0" borderId="45" xfId="0" applyFont="1" applyFill="1" applyBorder="1"/>
    <xf numFmtId="0" fontId="0" fillId="20" borderId="0" xfId="0" applyFill="1" applyBorder="1"/>
    <xf numFmtId="0" fontId="3" fillId="0" borderId="0" xfId="4"/>
    <xf numFmtId="0" fontId="3" fillId="0" borderId="11" xfId="4" applyBorder="1"/>
    <xf numFmtId="2" fontId="3" fillId="0" borderId="0" xfId="4" applyNumberFormat="1"/>
    <xf numFmtId="166" fontId="0" fillId="0" borderId="0" xfId="0" applyNumberFormat="1"/>
    <xf numFmtId="1" fontId="7" fillId="10" borderId="0" xfId="0" applyNumberFormat="1" applyFont="1" applyFill="1" applyBorder="1"/>
    <xf numFmtId="0" fontId="3" fillId="0" borderId="49" xfId="0" applyFont="1" applyBorder="1"/>
    <xf numFmtId="166" fontId="3" fillId="0" borderId="50" xfId="0" applyNumberFormat="1" applyFont="1" applyFill="1" applyBorder="1"/>
    <xf numFmtId="11" fontId="7" fillId="0" borderId="50" xfId="0" applyNumberFormat="1" applyFont="1" applyBorder="1"/>
    <xf numFmtId="0" fontId="53" fillId="0" borderId="50" xfId="0" applyFont="1" applyBorder="1"/>
    <xf numFmtId="0" fontId="49" fillId="0" borderId="0" xfId="0" applyFont="1"/>
    <xf numFmtId="0" fontId="0" fillId="0" borderId="39" xfId="0" applyBorder="1"/>
    <xf numFmtId="0" fontId="50" fillId="0" borderId="0" xfId="0" applyFont="1"/>
    <xf numFmtId="0" fontId="48" fillId="0" borderId="0" xfId="0" applyFont="1" applyFill="1" applyBorder="1"/>
    <xf numFmtId="165" fontId="7" fillId="10" borderId="0" xfId="0" applyNumberFormat="1" applyFont="1" applyFill="1" applyBorder="1"/>
    <xf numFmtId="0" fontId="0" fillId="20" borderId="0" xfId="0" applyFill="1" applyBorder="1" applyAlignment="1">
      <alignment horizontal="right"/>
    </xf>
    <xf numFmtId="166" fontId="27" fillId="18" borderId="0" xfId="0" applyNumberFormat="1" applyFont="1" applyFill="1" applyBorder="1"/>
    <xf numFmtId="0" fontId="0" fillId="19" borderId="0" xfId="0" applyFill="1" applyBorder="1" applyAlignment="1">
      <alignment horizontal="right"/>
    </xf>
    <xf numFmtId="2" fontId="0" fillId="18" borderId="0" xfId="0" applyNumberFormat="1" applyFill="1" applyBorder="1" applyAlignment="1">
      <alignment horizontal="right"/>
    </xf>
    <xf numFmtId="0" fontId="3" fillId="0" borderId="11" xfId="4" applyFill="1" applyBorder="1"/>
    <xf numFmtId="0" fontId="3" fillId="0" borderId="0" xfId="4" applyFont="1"/>
    <xf numFmtId="166" fontId="3" fillId="0" borderId="11" xfId="4" applyNumberFormat="1" applyBorder="1"/>
    <xf numFmtId="0" fontId="0" fillId="19" borderId="0" xfId="0" applyFill="1" applyBorder="1"/>
    <xf numFmtId="2" fontId="3" fillId="0" borderId="0" xfId="0" applyNumberFormat="1" applyFont="1" applyFill="1" applyBorder="1"/>
    <xf numFmtId="0" fontId="3" fillId="20" borderId="0" xfId="0" applyFont="1" applyFill="1" applyBorder="1"/>
    <xf numFmtId="0" fontId="3" fillId="0" borderId="8" xfId="4" applyBorder="1"/>
    <xf numFmtId="176" fontId="0" fillId="10" borderId="0" xfId="0" applyNumberFormat="1" applyFill="1" applyBorder="1"/>
    <xf numFmtId="176" fontId="0" fillId="4" borderId="25" xfId="0" applyNumberFormat="1" applyFill="1" applyBorder="1"/>
    <xf numFmtId="1" fontId="3" fillId="0" borderId="0" xfId="4" applyNumberFormat="1"/>
    <xf numFmtId="0" fontId="0" fillId="0" borderId="0" xfId="0" applyNumberFormat="1" applyBorder="1"/>
    <xf numFmtId="0" fontId="0" fillId="0" borderId="0" xfId="0" applyBorder="1" applyAlignment="1"/>
    <xf numFmtId="0" fontId="15" fillId="0" borderId="33" xfId="0" applyFont="1" applyBorder="1"/>
    <xf numFmtId="0" fontId="15" fillId="0" borderId="0" xfId="0" applyFont="1" applyBorder="1"/>
    <xf numFmtId="0" fontId="54" fillId="3" borderId="43" xfId="4" applyFont="1" applyFill="1" applyBorder="1" applyAlignment="1">
      <alignment horizontal="center" vertical="center"/>
    </xf>
    <xf numFmtId="0" fontId="54" fillId="3" borderId="44" xfId="4" applyFont="1" applyFill="1" applyBorder="1" applyAlignment="1">
      <alignment horizontal="center" vertical="center"/>
    </xf>
    <xf numFmtId="11" fontId="49" fillId="0" borderId="0" xfId="0" applyNumberFormat="1" applyFont="1"/>
    <xf numFmtId="0" fontId="59" fillId="0" borderId="0" xfId="0" applyFont="1" applyFill="1" applyBorder="1"/>
    <xf numFmtId="0" fontId="3" fillId="8" borderId="35" xfId="0" applyFont="1" applyFill="1" applyBorder="1" applyAlignment="1" applyProtection="1">
      <alignment horizontal="right" vertical="center"/>
    </xf>
    <xf numFmtId="0" fontId="3" fillId="0" borderId="24" xfId="0" applyFont="1" applyFill="1" applyBorder="1"/>
    <xf numFmtId="0" fontId="3" fillId="8" borderId="39" xfId="0" applyFont="1" applyFill="1" applyBorder="1" applyAlignment="1" applyProtection="1">
      <alignment horizontal="right"/>
    </xf>
    <xf numFmtId="1" fontId="3" fillId="8" borderId="39" xfId="0" applyNumberFormat="1" applyFont="1" applyFill="1" applyBorder="1" applyProtection="1"/>
    <xf numFmtId="166" fontId="17" fillId="12" borderId="0" xfId="0" applyNumberFormat="1" applyFont="1" applyFill="1" applyBorder="1" applyProtection="1"/>
    <xf numFmtId="0" fontId="3" fillId="12" borderId="0" xfId="0" applyNumberFormat="1" applyFont="1" applyFill="1" applyBorder="1" applyAlignment="1" applyProtection="1">
      <alignment horizontal="right" vertical="center"/>
    </xf>
    <xf numFmtId="165" fontId="17" fillId="12" borderId="0" xfId="0" applyNumberFormat="1" applyFont="1" applyFill="1" applyBorder="1" applyProtection="1"/>
    <xf numFmtId="0" fontId="3" fillId="12" borderId="0" xfId="0" applyFont="1" applyFill="1" applyBorder="1" applyAlignment="1" applyProtection="1">
      <alignment vertical="center"/>
    </xf>
    <xf numFmtId="0" fontId="4" fillId="12" borderId="0" xfId="0" applyFont="1" applyFill="1" applyBorder="1" applyAlignment="1" applyProtection="1">
      <alignment vertical="center"/>
    </xf>
    <xf numFmtId="0" fontId="61" fillId="8" borderId="0" xfId="0" applyFont="1" applyFill="1" applyBorder="1" applyAlignment="1" applyProtection="1">
      <alignment horizontal="right" vertical="center"/>
    </xf>
    <xf numFmtId="165" fontId="3" fillId="0" borderId="0" xfId="4" applyNumberFormat="1"/>
    <xf numFmtId="166" fontId="3" fillId="0" borderId="0" xfId="4" applyNumberFormat="1"/>
    <xf numFmtId="164" fontId="3" fillId="0" borderId="0" xfId="4" applyNumberFormat="1"/>
    <xf numFmtId="10" fontId="3" fillId="0" borderId="0" xfId="4" applyNumberFormat="1"/>
    <xf numFmtId="0" fontId="4" fillId="4" borderId="49" xfId="4" applyFont="1" applyFill="1" applyBorder="1" applyAlignment="1"/>
    <xf numFmtId="0" fontId="7" fillId="4" borderId="35" xfId="4" applyFont="1" applyFill="1" applyBorder="1" applyAlignment="1"/>
    <xf numFmtId="165" fontId="3" fillId="4" borderId="52" xfId="4" applyNumberFormat="1" applyFill="1" applyBorder="1"/>
    <xf numFmtId="165" fontId="4" fillId="4" borderId="49" xfId="4" applyNumberFormat="1" applyFont="1" applyFill="1" applyBorder="1" applyAlignment="1"/>
    <xf numFmtId="165" fontId="7" fillId="4" borderId="50" xfId="4" applyNumberFormat="1" applyFont="1" applyFill="1" applyBorder="1" applyAlignment="1"/>
    <xf numFmtId="0" fontId="7" fillId="4" borderId="50" xfId="4" applyFont="1" applyFill="1" applyBorder="1" applyAlignment="1"/>
    <xf numFmtId="165" fontId="15" fillId="4" borderId="52" xfId="4" applyNumberFormat="1" applyFont="1" applyFill="1" applyBorder="1"/>
    <xf numFmtId="166" fontId="4" fillId="4" borderId="50" xfId="4" applyNumberFormat="1" applyFont="1" applyFill="1" applyBorder="1" applyAlignment="1">
      <alignment horizontal="left"/>
    </xf>
    <xf numFmtId="165" fontId="7" fillId="4" borderId="50" xfId="4" applyNumberFormat="1" applyFont="1" applyFill="1" applyBorder="1" applyAlignment="1">
      <alignment horizontal="center"/>
    </xf>
    <xf numFmtId="165" fontId="4" fillId="4" borderId="49" xfId="4" applyNumberFormat="1" applyFont="1" applyFill="1" applyBorder="1"/>
    <xf numFmtId="164" fontId="3" fillId="4" borderId="50" xfId="4" applyNumberFormat="1" applyFill="1" applyBorder="1"/>
    <xf numFmtId="164" fontId="3" fillId="4" borderId="52" xfId="4" applyNumberFormat="1" applyFill="1" applyBorder="1"/>
    <xf numFmtId="165" fontId="4" fillId="4" borderId="41" xfId="4" applyNumberFormat="1" applyFont="1" applyFill="1" applyBorder="1"/>
    <xf numFmtId="165" fontId="3" fillId="4" borderId="42" xfId="4" applyNumberFormat="1" applyFill="1" applyBorder="1"/>
    <xf numFmtId="165" fontId="4" fillId="4" borderId="41" xfId="4" applyNumberFormat="1" applyFont="1" applyFill="1" applyBorder="1" applyAlignment="1">
      <alignment horizontal="left"/>
    </xf>
    <xf numFmtId="165" fontId="4" fillId="4" borderId="42" xfId="4" applyNumberFormat="1" applyFont="1" applyFill="1" applyBorder="1" applyAlignment="1">
      <alignment horizontal="left"/>
    </xf>
    <xf numFmtId="165" fontId="3" fillId="4" borderId="54" xfId="4" applyNumberFormat="1" applyFill="1" applyBorder="1"/>
    <xf numFmtId="0" fontId="16" fillId="3" borderId="4" xfId="4" applyFont="1" applyFill="1" applyBorder="1" applyAlignment="1">
      <alignment vertical="center"/>
    </xf>
    <xf numFmtId="0" fontId="16" fillId="3" borderId="4" xfId="4" applyFont="1" applyFill="1" applyBorder="1" applyAlignment="1"/>
    <xf numFmtId="0" fontId="12" fillId="3" borderId="0" xfId="4" applyFont="1" applyFill="1"/>
    <xf numFmtId="0" fontId="3" fillId="3" borderId="0" xfId="4" applyFill="1"/>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165" fontId="4" fillId="2" borderId="7" xfId="4" applyNumberFormat="1" applyFont="1" applyFill="1" applyBorder="1" applyAlignment="1">
      <alignment horizontal="center" vertical="center" wrapText="1"/>
    </xf>
    <xf numFmtId="165" fontId="4" fillId="2" borderId="6" xfId="4" applyNumberFormat="1" applyFont="1" applyFill="1" applyBorder="1" applyAlignment="1">
      <alignment horizontal="center" vertical="center" wrapText="1"/>
    </xf>
    <xf numFmtId="1" fontId="4" fillId="2" borderId="55" xfId="4" applyNumberFormat="1" applyFont="1" applyFill="1" applyBorder="1" applyAlignment="1">
      <alignment horizontal="center" vertical="center" wrapText="1"/>
    </xf>
    <xf numFmtId="1" fontId="4" fillId="2" borderId="6" xfId="4" applyNumberFormat="1"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166" fontId="4" fillId="2" borderId="20" xfId="4" applyNumberFormat="1" applyFont="1" applyFill="1" applyBorder="1" applyAlignment="1">
      <alignment horizontal="center" vertical="center" wrapText="1"/>
    </xf>
    <xf numFmtId="164" fontId="4" fillId="2" borderId="6" xfId="4" applyNumberFormat="1" applyFont="1" applyFill="1" applyBorder="1" applyAlignment="1">
      <alignment horizontal="center" vertical="center" wrapText="1"/>
    </xf>
    <xf numFmtId="164" fontId="4" fillId="2" borderId="7" xfId="4" applyNumberFormat="1" applyFont="1" applyFill="1" applyBorder="1" applyAlignment="1">
      <alignment horizontal="center" vertical="center" wrapText="1"/>
    </xf>
    <xf numFmtId="165" fontId="4" fillId="2" borderId="19" xfId="4" applyNumberFormat="1" applyFont="1" applyFill="1" applyBorder="1" applyAlignment="1">
      <alignment horizontal="center" vertical="center" wrapText="1"/>
    </xf>
    <xf numFmtId="165" fontId="4" fillId="2" borderId="21" xfId="4" applyNumberFormat="1" applyFont="1" applyFill="1" applyBorder="1" applyAlignment="1">
      <alignment horizontal="center" vertical="center" wrapText="1"/>
    </xf>
    <xf numFmtId="165" fontId="4" fillId="2" borderId="56" xfId="4" applyNumberFormat="1" applyFont="1" applyFill="1" applyBorder="1" applyAlignment="1">
      <alignment horizontal="center" vertical="center" wrapText="1"/>
    </xf>
    <xf numFmtId="165" fontId="4" fillId="2" borderId="57" xfId="4" applyNumberFormat="1" applyFont="1" applyFill="1" applyBorder="1" applyAlignment="1">
      <alignment horizontal="center" vertical="center" wrapText="1"/>
    </xf>
    <xf numFmtId="165" fontId="4" fillId="2" borderId="58" xfId="4" applyNumberFormat="1" applyFont="1" applyFill="1" applyBorder="1" applyAlignment="1">
      <alignment horizontal="center" vertical="center" wrapText="1"/>
    </xf>
    <xf numFmtId="2" fontId="4" fillId="7" borderId="14" xfId="4" applyNumberFormat="1" applyFont="1" applyFill="1" applyBorder="1" applyAlignment="1">
      <alignment horizontal="center" vertical="center" wrapText="1"/>
    </xf>
    <xf numFmtId="0" fontId="4" fillId="2" borderId="53" xfId="4" applyFont="1" applyFill="1" applyBorder="1" applyAlignment="1">
      <alignment horizontal="center" vertical="center" wrapText="1"/>
    </xf>
    <xf numFmtId="1" fontId="4" fillId="2" borderId="0" xfId="4" quotePrefix="1" applyNumberFormat="1" applyFont="1" applyFill="1" applyBorder="1" applyAlignment="1">
      <alignment horizontal="center" vertical="center" wrapText="1"/>
    </xf>
    <xf numFmtId="0" fontId="3" fillId="0" borderId="0" xfId="4" quotePrefix="1"/>
    <xf numFmtId="0" fontId="4" fillId="2" borderId="0" xfId="4" applyFont="1" applyFill="1" applyBorder="1" applyAlignment="1">
      <alignment horizontal="center" vertical="center" wrapText="1"/>
    </xf>
    <xf numFmtId="0" fontId="4" fillId="5" borderId="8" xfId="4" applyFont="1" applyFill="1" applyBorder="1" applyAlignment="1"/>
    <xf numFmtId="0" fontId="4" fillId="5" borderId="9" xfId="4" applyFont="1" applyFill="1" applyBorder="1" applyAlignment="1"/>
    <xf numFmtId="0" fontId="4" fillId="5" borderId="10" xfId="4" applyFont="1" applyFill="1" applyBorder="1" applyAlignment="1"/>
    <xf numFmtId="0" fontId="4" fillId="5" borderId="10" xfId="4" applyFont="1" applyFill="1" applyBorder="1"/>
    <xf numFmtId="0" fontId="4" fillId="5" borderId="11" xfId="4" applyFont="1" applyFill="1" applyBorder="1"/>
    <xf numFmtId="0" fontId="4" fillId="0" borderId="0" xfId="4" applyFont="1" applyFill="1" applyBorder="1"/>
    <xf numFmtId="168" fontId="3" fillId="0" borderId="0" xfId="4" applyNumberFormat="1"/>
    <xf numFmtId="11" fontId="3" fillId="0" borderId="0" xfId="4" applyNumberFormat="1"/>
    <xf numFmtId="2" fontId="3" fillId="0" borderId="11" xfId="4" applyNumberFormat="1" applyBorder="1"/>
    <xf numFmtId="1" fontId="3" fillId="0" borderId="0" xfId="4" applyNumberFormat="1" applyFont="1" applyProtection="1">
      <protection locked="0"/>
    </xf>
    <xf numFmtId="10" fontId="3" fillId="0" borderId="0" xfId="4" applyNumberFormat="1" applyFont="1" applyProtection="1">
      <protection locked="0"/>
    </xf>
    <xf numFmtId="10" fontId="3" fillId="0" borderId="0" xfId="4" applyNumberFormat="1" applyProtection="1">
      <protection locked="0"/>
    </xf>
    <xf numFmtId="0" fontId="4" fillId="6" borderId="12" xfId="4" applyFont="1" applyFill="1" applyBorder="1"/>
    <xf numFmtId="0" fontId="3" fillId="2" borderId="11" xfId="4" applyFont="1" applyFill="1" applyBorder="1" applyProtection="1">
      <protection locked="0"/>
    </xf>
    <xf numFmtId="0" fontId="3" fillId="0" borderId="11" xfId="4" applyFont="1" applyBorder="1"/>
    <xf numFmtId="0" fontId="4" fillId="6" borderId="11" xfId="4" applyFont="1" applyFill="1" applyBorder="1"/>
    <xf numFmtId="0" fontId="3" fillId="0" borderId="11" xfId="4" applyFont="1" applyFill="1" applyBorder="1"/>
    <xf numFmtId="0" fontId="53" fillId="0" borderId="11" xfId="4" applyFont="1" applyBorder="1"/>
    <xf numFmtId="0" fontId="3" fillId="4" borderId="11" xfId="4" applyFont="1" applyFill="1" applyBorder="1"/>
    <xf numFmtId="0" fontId="3" fillId="4" borderId="11" xfId="4" applyFont="1" applyFill="1" applyBorder="1" applyProtection="1">
      <protection locked="0"/>
    </xf>
    <xf numFmtId="0" fontId="14" fillId="3" borderId="0" xfId="4" applyFont="1" applyFill="1"/>
    <xf numFmtId="0" fontId="4" fillId="5" borderId="8" xfId="4" applyFont="1" applyFill="1" applyBorder="1"/>
    <xf numFmtId="0" fontId="4" fillId="5" borderId="9" xfId="4" applyFont="1" applyFill="1" applyBorder="1"/>
    <xf numFmtId="0" fontId="4" fillId="5" borderId="15" xfId="4" applyFont="1" applyFill="1" applyBorder="1"/>
    <xf numFmtId="0" fontId="3" fillId="4" borderId="11" xfId="4" applyFill="1" applyBorder="1"/>
    <xf numFmtId="166" fontId="15" fillId="22" borderId="11" xfId="4" applyNumberFormat="1" applyFont="1" applyFill="1" applyBorder="1"/>
    <xf numFmtId="0" fontId="3" fillId="0" borderId="15" xfId="4" applyFont="1" applyBorder="1"/>
    <xf numFmtId="11" fontId="3" fillId="0" borderId="8" xfId="4" applyNumberFormat="1" applyBorder="1"/>
    <xf numFmtId="11" fontId="3" fillId="0" borderId="11" xfId="4" applyNumberFormat="1" applyBorder="1"/>
    <xf numFmtId="1" fontId="15" fillId="22" borderId="11" xfId="4" applyNumberFormat="1" applyFont="1" applyFill="1" applyBorder="1"/>
    <xf numFmtId="1" fontId="62" fillId="22" borderId="11" xfId="4" applyNumberFormat="1" applyFont="1" applyFill="1" applyBorder="1"/>
    <xf numFmtId="1" fontId="3" fillId="0" borderId="8" xfId="4" applyNumberFormat="1" applyBorder="1"/>
    <xf numFmtId="0" fontId="3" fillId="23" borderId="11" xfId="4" applyFill="1" applyBorder="1"/>
    <xf numFmtId="1" fontId="15" fillId="22" borderId="11" xfId="4" applyNumberFormat="1" applyFont="1" applyFill="1" applyBorder="1" applyProtection="1">
      <protection locked="0"/>
    </xf>
    <xf numFmtId="175" fontId="3" fillId="0" borderId="11" xfId="4" applyNumberFormat="1" applyBorder="1"/>
    <xf numFmtId="0" fontId="4" fillId="6" borderId="8" xfId="4" applyFont="1" applyFill="1" applyBorder="1"/>
    <xf numFmtId="0" fontId="4" fillId="0" borderId="0" xfId="4" applyFont="1" applyFill="1" applyBorder="1" applyAlignment="1">
      <alignment horizontal="right"/>
    </xf>
    <xf numFmtId="0" fontId="3" fillId="6" borderId="8" xfId="4" applyFill="1" applyBorder="1"/>
    <xf numFmtId="0" fontId="3" fillId="0" borderId="47" xfId="4" applyFont="1" applyFill="1" applyBorder="1"/>
    <xf numFmtId="0" fontId="53" fillId="0" borderId="15" xfId="4" applyFont="1" applyBorder="1"/>
    <xf numFmtId="0" fontId="3" fillId="6" borderId="8" xfId="4" applyFont="1" applyFill="1" applyBorder="1"/>
    <xf numFmtId="176" fontId="3" fillId="0" borderId="47" xfId="4" applyNumberFormat="1" applyFont="1" applyFill="1" applyBorder="1"/>
    <xf numFmtId="175" fontId="3" fillId="0" borderId="11" xfId="4" applyNumberFormat="1" applyFont="1" applyFill="1" applyBorder="1"/>
    <xf numFmtId="0" fontId="4" fillId="0" borderId="11" xfId="4" applyFont="1" applyFill="1" applyBorder="1"/>
    <xf numFmtId="0" fontId="4" fillId="6" borderId="48" xfId="4" applyFont="1" applyFill="1" applyBorder="1"/>
    <xf numFmtId="0" fontId="3" fillId="0" borderId="16" xfId="4" applyFont="1" applyBorder="1"/>
    <xf numFmtId="11" fontId="3" fillId="0" borderId="48" xfId="4" applyNumberFormat="1" applyBorder="1"/>
    <xf numFmtId="0" fontId="3" fillId="0" borderId="12" xfId="4" applyFont="1" applyFill="1" applyBorder="1"/>
    <xf numFmtId="0" fontId="4" fillId="5" borderId="0" xfId="4" applyFont="1" applyFill="1"/>
    <xf numFmtId="0" fontId="4" fillId="5" borderId="0" xfId="4" applyFont="1" applyFill="1" applyBorder="1"/>
    <xf numFmtId="0" fontId="4" fillId="5" borderId="14" xfId="4" applyFont="1" applyFill="1" applyBorder="1"/>
    <xf numFmtId="0" fontId="3" fillId="0" borderId="11" xfId="4" applyFont="1" applyFill="1" applyBorder="1" applyProtection="1">
      <protection locked="0"/>
    </xf>
    <xf numFmtId="0" fontId="3" fillId="6" borderId="9" xfId="4" applyFill="1" applyBorder="1"/>
    <xf numFmtId="0" fontId="3" fillId="0" borderId="47" xfId="4" applyFont="1" applyFill="1" applyBorder="1" applyProtection="1">
      <protection locked="0"/>
    </xf>
    <xf numFmtId="0" fontId="4" fillId="5" borderId="4" xfId="4" applyFont="1" applyFill="1" applyBorder="1" applyAlignment="1"/>
    <xf numFmtId="0" fontId="4" fillId="5" borderId="12" xfId="4" applyFont="1" applyFill="1" applyBorder="1"/>
    <xf numFmtId="0" fontId="3" fillId="6" borderId="11" xfId="4" applyFill="1" applyBorder="1"/>
    <xf numFmtId="0" fontId="3" fillId="0" borderId="51" xfId="4" applyFont="1" applyFill="1" applyBorder="1" applyProtection="1">
      <protection locked="0"/>
    </xf>
    <xf numFmtId="0" fontId="3" fillId="21" borderId="51" xfId="4" applyFont="1" applyFill="1" applyBorder="1" applyProtection="1">
      <protection locked="0"/>
    </xf>
    <xf numFmtId="0" fontId="3" fillId="0" borderId="0" xfId="4" applyFont="1" applyFill="1" applyBorder="1"/>
    <xf numFmtId="176" fontId="3" fillId="0" borderId="11" xfId="4" applyNumberFormat="1" applyBorder="1"/>
    <xf numFmtId="0" fontId="4" fillId="5" borderId="0" xfId="4" applyFont="1" applyFill="1" applyBorder="1" applyAlignment="1" applyProtection="1">
      <protection locked="0"/>
    </xf>
    <xf numFmtId="0" fontId="4" fillId="5" borderId="13" xfId="4" applyFont="1" applyFill="1" applyBorder="1"/>
    <xf numFmtId="0" fontId="3" fillId="6" borderId="11" xfId="4" applyFont="1" applyFill="1" applyBorder="1"/>
    <xf numFmtId="0" fontId="4" fillId="0" borderId="0" xfId="4" applyFont="1" applyAlignment="1">
      <alignment horizontal="right"/>
    </xf>
    <xf numFmtId="167" fontId="58" fillId="0" borderId="0" xfId="4" applyNumberFormat="1" applyFont="1"/>
    <xf numFmtId="0" fontId="58" fillId="0" borderId="0" xfId="4" applyFont="1"/>
    <xf numFmtId="0" fontId="48" fillId="0" borderId="0" xfId="4" applyNumberFormat="1" applyFont="1"/>
    <xf numFmtId="166" fontId="3" fillId="0" borderId="0" xfId="4" applyNumberFormat="1" applyFont="1"/>
    <xf numFmtId="165" fontId="3" fillId="0" borderId="0" xfId="4" applyNumberFormat="1" applyFont="1"/>
    <xf numFmtId="0" fontId="4" fillId="0" borderId="0" xfId="4" applyNumberFormat="1" applyFont="1"/>
    <xf numFmtId="2" fontId="4" fillId="0" borderId="0" xfId="4" applyNumberFormat="1" applyFont="1"/>
    <xf numFmtId="0" fontId="4" fillId="0" borderId="0" xfId="4" applyFont="1"/>
    <xf numFmtId="165" fontId="48" fillId="0" borderId="0" xfId="4" applyNumberFormat="1" applyFont="1"/>
    <xf numFmtId="1" fontId="4" fillId="0" borderId="0" xfId="4" applyNumberFormat="1" applyFont="1"/>
    <xf numFmtId="165" fontId="4" fillId="0" borderId="0" xfId="4" applyNumberFormat="1" applyFont="1"/>
    <xf numFmtId="1" fontId="4" fillId="0" borderId="0" xfId="4" applyNumberFormat="1" applyFont="1" applyBorder="1"/>
    <xf numFmtId="0" fontId="3" fillId="0" borderId="0" xfId="4" applyNumberFormat="1"/>
    <xf numFmtId="2" fontId="7" fillId="4" borderId="50" xfId="4" applyNumberFormat="1" applyFont="1" applyFill="1" applyBorder="1" applyAlignment="1"/>
    <xf numFmtId="2" fontId="4" fillId="2" borderId="53" xfId="4" applyNumberFormat="1" applyFont="1" applyFill="1" applyBorder="1" applyAlignment="1">
      <alignment horizontal="center" vertical="center" wrapText="1"/>
    </xf>
    <xf numFmtId="2" fontId="7" fillId="4" borderId="52" xfId="4" applyNumberFormat="1" applyFont="1" applyFill="1" applyBorder="1" applyAlignment="1"/>
    <xf numFmtId="2" fontId="4" fillId="2" borderId="18" xfId="4" applyNumberFormat="1" applyFont="1" applyFill="1" applyBorder="1" applyAlignment="1">
      <alignment horizontal="center" vertical="center" wrapText="1"/>
    </xf>
    <xf numFmtId="166" fontId="7" fillId="4" borderId="50" xfId="4" applyNumberFormat="1" applyFont="1" applyFill="1" applyBorder="1" applyAlignment="1"/>
    <xf numFmtId="166" fontId="4" fillId="2" borderId="42" xfId="4" applyNumberFormat="1" applyFont="1" applyFill="1" applyBorder="1" applyAlignment="1">
      <alignment horizontal="center" vertical="center" wrapText="1"/>
    </xf>
    <xf numFmtId="178" fontId="3" fillId="0" borderId="0" xfId="4" applyNumberFormat="1"/>
    <xf numFmtId="178" fontId="7" fillId="4" borderId="50" xfId="4" applyNumberFormat="1" applyFont="1" applyFill="1" applyBorder="1" applyAlignment="1"/>
    <xf numFmtId="178" fontId="4" fillId="2" borderId="6" xfId="4" applyNumberFormat="1" applyFont="1" applyFill="1" applyBorder="1" applyAlignment="1">
      <alignment horizontal="center" vertical="center" wrapText="1"/>
    </xf>
    <xf numFmtId="178" fontId="4" fillId="2" borderId="19" xfId="4" applyNumberFormat="1" applyFont="1" applyFill="1" applyBorder="1" applyAlignment="1">
      <alignment horizontal="center" vertical="center" wrapText="1"/>
    </xf>
    <xf numFmtId="178" fontId="4" fillId="2" borderId="41" xfId="4" applyNumberFormat="1" applyFont="1" applyFill="1" applyBorder="1" applyAlignment="1">
      <alignment horizontal="center" vertical="center" wrapText="1"/>
    </xf>
    <xf numFmtId="178" fontId="4" fillId="2" borderId="53" xfId="4" applyNumberFormat="1" applyFont="1" applyFill="1" applyBorder="1" applyAlignment="1">
      <alignment horizontal="center" vertical="center" wrapText="1"/>
    </xf>
    <xf numFmtId="178" fontId="4" fillId="2" borderId="42" xfId="4" applyNumberFormat="1" applyFont="1" applyFill="1" applyBorder="1" applyAlignment="1">
      <alignment horizontal="center" vertical="center" wrapText="1"/>
    </xf>
    <xf numFmtId="178" fontId="4" fillId="0" borderId="0" xfId="4" applyNumberFormat="1" applyFont="1"/>
    <xf numFmtId="0" fontId="0" fillId="0" borderId="0" xfId="0" applyNumberFormat="1" applyBorder="1" applyAlignment="1">
      <alignment horizontal="left"/>
    </xf>
    <xf numFmtId="2" fontId="4" fillId="2" borderId="58" xfId="4" applyNumberFormat="1" applyFont="1" applyFill="1" applyBorder="1" applyAlignment="1">
      <alignment horizontal="center" vertical="center" wrapText="1"/>
    </xf>
    <xf numFmtId="2" fontId="4" fillId="2" borderId="21" xfId="4" applyNumberFormat="1" applyFont="1" applyFill="1" applyBorder="1" applyAlignment="1">
      <alignment horizontal="center" vertical="center" wrapText="1"/>
    </xf>
    <xf numFmtId="0" fontId="4" fillId="8" borderId="0" xfId="0" applyFont="1" applyFill="1" applyBorder="1" applyAlignment="1" applyProtection="1">
      <alignment vertical="top"/>
    </xf>
    <xf numFmtId="167" fontId="3" fillId="2" borderId="11" xfId="4" applyNumberFormat="1" applyFont="1" applyFill="1" applyBorder="1" applyProtection="1">
      <protection locked="0"/>
    </xf>
    <xf numFmtId="1" fontId="3" fillId="0" borderId="47" xfId="4" applyNumberFormat="1" applyFont="1" applyFill="1" applyBorder="1"/>
    <xf numFmtId="165" fontId="4" fillId="0" borderId="0" xfId="4" applyNumberFormat="1" applyFont="1" applyFill="1" applyBorder="1"/>
    <xf numFmtId="0" fontId="0" fillId="12" borderId="0" xfId="0" applyFill="1"/>
    <xf numFmtId="0" fontId="0" fillId="12" borderId="0" xfId="0" applyFill="1" applyBorder="1"/>
    <xf numFmtId="0" fontId="0" fillId="12" borderId="0" xfId="0" applyFill="1" applyAlignment="1"/>
    <xf numFmtId="0" fontId="0" fillId="0" borderId="0" xfId="0" applyAlignment="1"/>
    <xf numFmtId="0" fontId="64" fillId="0" borderId="0" xfId="0" applyFont="1" applyFill="1"/>
    <xf numFmtId="0" fontId="0" fillId="0" borderId="0" xfId="0" applyFill="1" applyAlignment="1"/>
    <xf numFmtId="0" fontId="15" fillId="0" borderId="0" xfId="0" applyFont="1" applyFill="1"/>
    <xf numFmtId="0" fontId="62" fillId="0" borderId="0" xfId="1" applyFont="1" applyFill="1"/>
    <xf numFmtId="0" fontId="0" fillId="0" borderId="0" xfId="0" applyAlignment="1">
      <alignment horizontal="left"/>
    </xf>
    <xf numFmtId="1" fontId="15" fillId="4" borderId="0" xfId="0" applyNumberFormat="1" applyFont="1" applyFill="1" applyBorder="1" applyAlignment="1">
      <alignment horizontal="right"/>
    </xf>
    <xf numFmtId="1" fontId="49" fillId="8" borderId="0" xfId="0" applyNumberFormat="1" applyFont="1" applyFill="1" applyBorder="1" applyAlignment="1" applyProtection="1">
      <alignment horizontal="right"/>
    </xf>
    <xf numFmtId="1" fontId="0" fillId="0" borderId="0" xfId="0" applyNumberFormat="1" applyFill="1" applyBorder="1"/>
    <xf numFmtId="2" fontId="0" fillId="0" borderId="0" xfId="0" applyNumberFormat="1" applyFill="1" applyBorder="1"/>
    <xf numFmtId="0" fontId="3" fillId="8" borderId="25" xfId="0" applyFont="1" applyFill="1" applyBorder="1" applyAlignment="1" applyProtection="1">
      <alignment horizontal="right"/>
    </xf>
    <xf numFmtId="1" fontId="50" fillId="15" borderId="0" xfId="0" applyNumberFormat="1" applyFont="1" applyFill="1" applyBorder="1" applyAlignment="1" applyProtection="1">
      <alignment horizontal="right"/>
      <protection locked="0"/>
    </xf>
    <xf numFmtId="0" fontId="48" fillId="0" borderId="0" xfId="0" applyFont="1" applyBorder="1" applyAlignment="1">
      <alignment horizontal="left"/>
    </xf>
    <xf numFmtId="0" fontId="48" fillId="0" borderId="0" xfId="0" applyFont="1" applyBorder="1" applyAlignment="1">
      <alignment horizontal="right"/>
    </xf>
    <xf numFmtId="0" fontId="0" fillId="0" borderId="22" xfId="0" applyBorder="1" applyAlignment="1">
      <alignment horizontal="right"/>
    </xf>
    <xf numFmtId="0" fontId="4" fillId="0" borderId="0" xfId="0" applyFont="1" applyBorder="1" applyAlignment="1">
      <alignment horizontal="right"/>
    </xf>
    <xf numFmtId="0" fontId="48" fillId="0" borderId="0" xfId="4" applyFont="1" applyBorder="1" applyAlignment="1">
      <alignment horizontal="left"/>
    </xf>
    <xf numFmtId="0" fontId="48" fillId="0" borderId="0" xfId="0" applyFont="1" applyBorder="1" applyAlignment="1">
      <alignment horizontal="center"/>
    </xf>
    <xf numFmtId="0" fontId="21" fillId="0" borderId="49" xfId="0" applyFont="1" applyBorder="1"/>
    <xf numFmtId="0" fontId="0" fillId="0" borderId="50" xfId="0" applyBorder="1"/>
    <xf numFmtId="0" fontId="4" fillId="0" borderId="50" xfId="0" applyFont="1" applyBorder="1"/>
    <xf numFmtId="0" fontId="4" fillId="0" borderId="22" xfId="4" applyFont="1" applyBorder="1" applyAlignment="1">
      <alignment horizontal="right"/>
    </xf>
    <xf numFmtId="0" fontId="3" fillId="0" borderId="22" xfId="4" applyBorder="1" applyAlignment="1">
      <alignment horizontal="right"/>
    </xf>
    <xf numFmtId="0" fontId="3" fillId="12" borderId="49" xfId="0" applyFont="1" applyFill="1" applyBorder="1" applyProtection="1"/>
    <xf numFmtId="0" fontId="3" fillId="0" borderId="0" xfId="0" applyFont="1" applyBorder="1" applyAlignment="1">
      <alignment horizontal="left"/>
    </xf>
    <xf numFmtId="0" fontId="3" fillId="12" borderId="0" xfId="0" applyFont="1" applyFill="1" applyBorder="1"/>
    <xf numFmtId="1" fontId="3" fillId="8" borderId="25" xfId="0" applyNumberFormat="1" applyFont="1" applyFill="1" applyBorder="1" applyAlignment="1" applyProtection="1">
      <alignment horizontal="right" vertical="center"/>
    </xf>
    <xf numFmtId="0" fontId="3" fillId="8" borderId="59" xfId="0" applyFont="1" applyFill="1" applyBorder="1" applyAlignment="1" applyProtection="1">
      <alignment vertical="center"/>
    </xf>
    <xf numFmtId="0" fontId="3" fillId="8" borderId="60" xfId="0" applyFont="1" applyFill="1" applyBorder="1" applyAlignment="1" applyProtection="1">
      <alignment vertical="center"/>
    </xf>
    <xf numFmtId="0" fontId="3" fillId="8" borderId="60" xfId="0" applyFont="1" applyFill="1" applyBorder="1" applyAlignment="1" applyProtection="1">
      <alignment horizontal="right" vertical="center"/>
    </xf>
    <xf numFmtId="0" fontId="4" fillId="8" borderId="60" xfId="0" applyFont="1" applyFill="1" applyBorder="1" applyAlignment="1" applyProtection="1">
      <alignment horizontal="right" vertical="center"/>
    </xf>
    <xf numFmtId="0" fontId="3" fillId="8" borderId="60" xfId="0" applyNumberFormat="1" applyFont="1" applyFill="1" applyBorder="1" applyAlignment="1" applyProtection="1">
      <alignment horizontal="right" vertical="center"/>
    </xf>
    <xf numFmtId="0" fontId="3" fillId="8" borderId="61" xfId="0" applyFont="1" applyFill="1" applyBorder="1" applyAlignment="1" applyProtection="1">
      <alignment vertical="center"/>
    </xf>
    <xf numFmtId="0" fontId="3" fillId="0" borderId="0" xfId="0" applyFont="1" applyAlignment="1">
      <alignment horizontal="right"/>
    </xf>
    <xf numFmtId="0" fontId="66" fillId="0" borderId="22" xfId="0" applyFont="1" applyBorder="1"/>
    <xf numFmtId="0" fontId="3" fillId="15" borderId="0" xfId="0" applyFont="1" applyFill="1" applyBorder="1"/>
    <xf numFmtId="0" fontId="24" fillId="24" borderId="22" xfId="0" applyFont="1" applyFill="1" applyBorder="1" applyAlignment="1" applyProtection="1">
      <alignment horizontal="left"/>
    </xf>
    <xf numFmtId="0" fontId="24" fillId="24" borderId="0" xfId="0" applyFont="1" applyFill="1" applyBorder="1" applyAlignment="1" applyProtection="1">
      <alignment horizontal="left"/>
    </xf>
    <xf numFmtId="0" fontId="23" fillId="24" borderId="22" xfId="0" applyFont="1" applyFill="1" applyBorder="1" applyAlignment="1" applyProtection="1">
      <alignment horizontal="left" vertical="center"/>
    </xf>
    <xf numFmtId="0" fontId="23" fillId="24" borderId="0" xfId="0" applyFont="1" applyFill="1" applyBorder="1" applyAlignment="1" applyProtection="1">
      <alignment horizontal="left" vertical="center"/>
    </xf>
    <xf numFmtId="0" fontId="52" fillId="24" borderId="0" xfId="0" applyFont="1" applyFill="1" applyBorder="1" applyAlignment="1" applyProtection="1">
      <alignment horizontal="left" vertical="center"/>
    </xf>
    <xf numFmtId="0" fontId="20" fillId="24" borderId="0" xfId="0" applyFont="1" applyFill="1" applyBorder="1" applyAlignment="1" applyProtection="1">
      <alignment vertical="center"/>
    </xf>
    <xf numFmtId="0" fontId="23" fillId="24" borderId="0" xfId="0" quotePrefix="1" applyFont="1" applyFill="1" applyBorder="1" applyAlignment="1" applyProtection="1">
      <alignment vertical="center"/>
    </xf>
    <xf numFmtId="0" fontId="26" fillId="24" borderId="0" xfId="0" applyFont="1" applyFill="1" applyBorder="1" applyAlignment="1" applyProtection="1">
      <alignment vertical="center"/>
    </xf>
    <xf numFmtId="0" fontId="26" fillId="24" borderId="0" xfId="0" applyFont="1" applyFill="1" applyBorder="1" applyProtection="1"/>
    <xf numFmtId="0" fontId="17" fillId="24" borderId="0" xfId="0" applyFont="1" applyFill="1" applyBorder="1" applyProtection="1"/>
    <xf numFmtId="0" fontId="28" fillId="24" borderId="24" xfId="0" applyFont="1" applyFill="1" applyBorder="1" applyProtection="1"/>
    <xf numFmtId="0" fontId="28" fillId="24" borderId="25" xfId="0" applyFont="1" applyFill="1" applyBorder="1" applyProtection="1"/>
    <xf numFmtId="0" fontId="20" fillId="24" borderId="25" xfId="0" applyFont="1" applyFill="1" applyBorder="1" applyProtection="1"/>
    <xf numFmtId="0" fontId="25" fillId="24" borderId="25" xfId="0" applyFont="1" applyFill="1" applyBorder="1" applyProtection="1"/>
    <xf numFmtId="0" fontId="67" fillId="24" borderId="0" xfId="3" applyFont="1" applyFill="1" applyAlignment="1" applyProtection="1"/>
    <xf numFmtId="0" fontId="67" fillId="24" borderId="0" xfId="3" applyFont="1" applyFill="1" applyBorder="1" applyAlignment="1" applyProtection="1">
      <alignment horizontal="left" vertical="center"/>
    </xf>
    <xf numFmtId="169" fontId="17" fillId="24" borderId="0" xfId="0" applyNumberFormat="1" applyFont="1" applyFill="1" applyBorder="1" applyAlignment="1" applyProtection="1">
      <alignment horizontal="center"/>
    </xf>
    <xf numFmtId="0" fontId="20" fillId="24" borderId="37" xfId="0" applyFont="1" applyFill="1" applyBorder="1" applyProtection="1"/>
    <xf numFmtId="0" fontId="20" fillId="24" borderId="35" xfId="0" applyFont="1" applyFill="1" applyBorder="1" applyProtection="1"/>
    <xf numFmtId="0" fontId="17" fillId="24" borderId="35" xfId="0" applyFont="1" applyFill="1" applyBorder="1" applyProtection="1"/>
    <xf numFmtId="0" fontId="4" fillId="5" borderId="48" xfId="4" applyFont="1" applyFill="1" applyBorder="1" applyAlignment="1"/>
    <xf numFmtId="166" fontId="0" fillId="10" borderId="2" xfId="0" applyNumberFormat="1" applyFill="1" applyBorder="1"/>
    <xf numFmtId="166" fontId="0" fillId="18" borderId="0" xfId="0" applyNumberFormat="1" applyFill="1" applyBorder="1"/>
    <xf numFmtId="166" fontId="27" fillId="10" borderId="0" xfId="0" applyNumberFormat="1" applyFont="1" applyFill="1" applyBorder="1"/>
    <xf numFmtId="0" fontId="3" fillId="8" borderId="62" xfId="0" applyFont="1" applyFill="1" applyBorder="1" applyProtection="1"/>
    <xf numFmtId="0" fontId="3" fillId="8" borderId="63" xfId="0" applyFont="1" applyFill="1" applyBorder="1" applyProtection="1"/>
    <xf numFmtId="0" fontId="3" fillId="8" borderId="63" xfId="0" applyFont="1" applyFill="1" applyBorder="1" applyAlignment="1" applyProtection="1">
      <alignment horizontal="right"/>
    </xf>
    <xf numFmtId="0" fontId="17" fillId="12" borderId="22" xfId="0" applyFont="1" applyFill="1" applyBorder="1" applyProtection="1"/>
    <xf numFmtId="166" fontId="27" fillId="0" borderId="0" xfId="0" applyNumberFormat="1" applyFont="1" applyFill="1" applyBorder="1"/>
    <xf numFmtId="0" fontId="50" fillId="12" borderId="61" xfId="0" applyNumberFormat="1" applyFont="1" applyFill="1" applyBorder="1" applyAlignment="1" applyProtection="1">
      <alignment vertical="center"/>
    </xf>
    <xf numFmtId="0" fontId="4" fillId="12" borderId="23" xfId="0" applyNumberFormat="1" applyFont="1" applyFill="1" applyBorder="1" applyAlignment="1" applyProtection="1">
      <alignment vertical="center"/>
    </xf>
    <xf numFmtId="1" fontId="3" fillId="0" borderId="64" xfId="0" applyNumberFormat="1" applyFont="1" applyFill="1" applyBorder="1" applyAlignment="1" applyProtection="1">
      <alignment vertical="center"/>
    </xf>
    <xf numFmtId="0" fontId="4" fillId="12" borderId="23" xfId="0" applyFont="1" applyFill="1" applyBorder="1" applyProtection="1"/>
    <xf numFmtId="0" fontId="4" fillId="12" borderId="23" xfId="0" applyFont="1" applyFill="1" applyBorder="1" applyAlignment="1" applyProtection="1">
      <alignment vertical="center"/>
    </xf>
    <xf numFmtId="0" fontId="3" fillId="12" borderId="26" xfId="0" applyFont="1" applyFill="1" applyBorder="1" applyProtection="1"/>
    <xf numFmtId="0" fontId="4"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horizontal="right" vertical="center"/>
      <protection locked="0"/>
    </xf>
    <xf numFmtId="0" fontId="4" fillId="8" borderId="26" xfId="0" applyFont="1" applyFill="1" applyBorder="1" applyAlignment="1" applyProtection="1">
      <alignment vertical="center"/>
    </xf>
    <xf numFmtId="1" fontId="3" fillId="8" borderId="0" xfId="0" applyNumberFormat="1" applyFont="1" applyFill="1" applyBorder="1" applyAlignment="1" applyProtection="1"/>
    <xf numFmtId="0" fontId="0" fillId="0" borderId="63" xfId="0" applyBorder="1"/>
    <xf numFmtId="0" fontId="4" fillId="0" borderId="0" xfId="4" applyFont="1" applyBorder="1" applyAlignment="1">
      <alignment horizontal="left"/>
    </xf>
    <xf numFmtId="0" fontId="48" fillId="0" borderId="0" xfId="4" applyFont="1" applyBorder="1" applyAlignment="1">
      <alignment horizontal="center"/>
    </xf>
    <xf numFmtId="0" fontId="48" fillId="0" borderId="0" xfId="0" applyFont="1" applyAlignment="1">
      <alignment horizontal="center"/>
    </xf>
    <xf numFmtId="0" fontId="70" fillId="0" borderId="0" xfId="4" applyFont="1" applyBorder="1" applyAlignment="1">
      <alignment horizontal="right"/>
    </xf>
    <xf numFmtId="0" fontId="70" fillId="0" borderId="22" xfId="4" applyFont="1" applyBorder="1" applyAlignment="1">
      <alignment horizontal="right"/>
    </xf>
    <xf numFmtId="0" fontId="70" fillId="0" borderId="0" xfId="0" applyFont="1" applyAlignment="1">
      <alignment horizontal="right"/>
    </xf>
    <xf numFmtId="0" fontId="70" fillId="0" borderId="0" xfId="0" applyFont="1" applyBorder="1" applyAlignment="1">
      <alignment horizontal="right"/>
    </xf>
    <xf numFmtId="0" fontId="66" fillId="0" borderId="0" xfId="0" applyFont="1"/>
    <xf numFmtId="165" fontId="7" fillId="4" borderId="63" xfId="4" applyNumberFormat="1" applyFont="1" applyFill="1" applyBorder="1" applyAlignment="1"/>
    <xf numFmtId="167" fontId="3" fillId="0" borderId="0" xfId="4" applyNumberFormat="1"/>
    <xf numFmtId="0" fontId="4" fillId="2" borderId="20" xfId="4" applyFont="1" applyFill="1" applyBorder="1" applyAlignment="1">
      <alignment horizontal="center" vertical="center" wrapText="1"/>
    </xf>
    <xf numFmtId="0" fontId="48" fillId="0" borderId="0" xfId="0" applyFont="1"/>
    <xf numFmtId="2" fontId="4" fillId="2" borderId="56" xfId="4" applyNumberFormat="1" applyFont="1" applyFill="1" applyBorder="1" applyAlignment="1">
      <alignment horizontal="center" vertical="center" wrapText="1"/>
    </xf>
    <xf numFmtId="2" fontId="4" fillId="2" borderId="57" xfId="4" applyNumberFormat="1" applyFont="1" applyFill="1" applyBorder="1" applyAlignment="1">
      <alignment horizontal="center" vertical="center" wrapText="1"/>
    </xf>
    <xf numFmtId="2" fontId="7" fillId="4" borderId="41" xfId="4" applyNumberFormat="1" applyFont="1" applyFill="1" applyBorder="1" applyAlignment="1"/>
    <xf numFmtId="2" fontId="7" fillId="4" borderId="67" xfId="4" applyNumberFormat="1" applyFont="1" applyFill="1" applyBorder="1" applyAlignment="1"/>
    <xf numFmtId="2" fontId="7" fillId="4" borderId="18" xfId="4" applyNumberFormat="1" applyFont="1" applyFill="1" applyBorder="1" applyAlignment="1"/>
    <xf numFmtId="165" fontId="4" fillId="4" borderId="41" xfId="4" applyNumberFormat="1" applyFont="1" applyFill="1" applyBorder="1" applyAlignment="1"/>
    <xf numFmtId="165" fontId="3" fillId="4" borderId="67" xfId="4" applyNumberFormat="1" applyFill="1" applyBorder="1"/>
    <xf numFmtId="0" fontId="3" fillId="8" borderId="23" xfId="0" applyFont="1" applyFill="1" applyBorder="1" applyAlignment="1" applyProtection="1"/>
    <xf numFmtId="0" fontId="3" fillId="8" borderId="62" xfId="0" applyFont="1" applyFill="1" applyBorder="1" applyAlignment="1" applyProtection="1">
      <alignment vertical="center"/>
    </xf>
    <xf numFmtId="0" fontId="22" fillId="8" borderId="24" xfId="0" applyFont="1" applyFill="1" applyBorder="1" applyAlignment="1" applyProtection="1">
      <alignment vertical="center"/>
    </xf>
    <xf numFmtId="181" fontId="3" fillId="17" borderId="11" xfId="4" applyNumberFormat="1" applyFill="1" applyBorder="1" applyAlignment="1">
      <alignment horizontal="center" vertical="center"/>
    </xf>
    <xf numFmtId="164" fontId="3" fillId="0" borderId="0" xfId="7" applyNumberFormat="1" applyFont="1"/>
    <xf numFmtId="0" fontId="3" fillId="0" borderId="0" xfId="0" quotePrefix="1" applyFont="1"/>
    <xf numFmtId="0" fontId="48" fillId="0" borderId="0" xfId="0" applyFont="1" applyAlignment="1">
      <alignment horizontal="left"/>
    </xf>
    <xf numFmtId="0" fontId="4" fillId="8" borderId="11" xfId="4" applyFont="1" applyFill="1" applyBorder="1" applyAlignment="1">
      <alignment horizontal="center" vertical="center"/>
    </xf>
    <xf numFmtId="167" fontId="0" fillId="0" borderId="0" xfId="0" applyNumberFormat="1"/>
    <xf numFmtId="0" fontId="3" fillId="8" borderId="0" xfId="4" applyFill="1" applyAlignment="1">
      <alignment horizontal="left"/>
    </xf>
    <xf numFmtId="49" fontId="3" fillId="8" borderId="0" xfId="4" applyNumberFormat="1" applyFill="1" applyAlignment="1">
      <alignment horizontal="left"/>
    </xf>
    <xf numFmtId="0" fontId="3" fillId="8" borderId="0" xfId="4" applyFill="1" applyAlignment="1">
      <alignment horizontal="left" vertical="center"/>
    </xf>
    <xf numFmtId="0" fontId="4" fillId="8" borderId="11" xfId="4" applyFont="1" applyFill="1" applyBorder="1" applyAlignment="1">
      <alignment vertical="center"/>
    </xf>
    <xf numFmtId="0" fontId="4" fillId="8" borderId="11" xfId="4" applyFont="1" applyFill="1" applyBorder="1" applyAlignment="1">
      <alignment vertical="center" wrapText="1"/>
    </xf>
    <xf numFmtId="0" fontId="4" fillId="8" borderId="8" xfId="4" applyFont="1" applyFill="1" applyBorder="1" applyAlignment="1">
      <alignment vertical="center"/>
    </xf>
    <xf numFmtId="0" fontId="4" fillId="8" borderId="9" xfId="4" applyFont="1" applyFill="1" applyBorder="1" applyAlignment="1">
      <alignment vertical="center"/>
    </xf>
    <xf numFmtId="0" fontId="4" fillId="8" borderId="15" xfId="4" applyFont="1" applyFill="1" applyBorder="1" applyAlignment="1">
      <alignment vertical="center"/>
    </xf>
    <xf numFmtId="0" fontId="3" fillId="12" borderId="0" xfId="4" applyFill="1" applyAlignment="1">
      <alignment horizontal="left"/>
    </xf>
    <xf numFmtId="49" fontId="3" fillId="12" borderId="0" xfId="4" applyNumberFormat="1" applyFill="1" applyAlignment="1">
      <alignment horizontal="left"/>
    </xf>
    <xf numFmtId="167" fontId="3" fillId="8" borderId="0" xfId="4" applyNumberFormat="1" applyFill="1" applyAlignment="1">
      <alignment horizontal="left"/>
    </xf>
    <xf numFmtId="0" fontId="4" fillId="8" borderId="0" xfId="4" applyFont="1" applyFill="1" applyAlignment="1">
      <alignment vertical="center"/>
    </xf>
    <xf numFmtId="167" fontId="3" fillId="8" borderId="0" xfId="4" applyNumberFormat="1" applyFill="1" applyAlignment="1">
      <alignment horizontal="right" vertical="center"/>
    </xf>
    <xf numFmtId="0" fontId="3" fillId="0" borderId="0" xfId="0" applyFont="1" applyAlignment="1">
      <alignment horizontal="left"/>
    </xf>
    <xf numFmtId="0" fontId="3" fillId="16" borderId="8" xfId="4" applyFill="1" applyBorder="1" applyAlignment="1">
      <alignment horizontal="left" vertical="center"/>
    </xf>
    <xf numFmtId="0" fontId="3" fillId="17" borderId="8" xfId="4" applyFill="1" applyBorder="1" applyAlignment="1">
      <alignment horizontal="left" vertical="center"/>
    </xf>
    <xf numFmtId="0" fontId="3" fillId="12" borderId="8" xfId="4" applyFill="1" applyBorder="1" applyAlignment="1">
      <alignment horizontal="left" vertical="center"/>
    </xf>
    <xf numFmtId="0" fontId="75" fillId="8" borderId="0" xfId="4" applyFont="1" applyFill="1"/>
    <xf numFmtId="167" fontId="75" fillId="8" borderId="0" xfId="4" applyNumberFormat="1" applyFont="1" applyFill="1" applyAlignment="1">
      <alignment horizontal="right"/>
    </xf>
    <xf numFmtId="0" fontId="75" fillId="8" borderId="0" xfId="4" applyFont="1" applyFill="1" applyAlignment="1">
      <alignment horizontal="left" vertical="center"/>
    </xf>
    <xf numFmtId="165" fontId="75" fillId="8" borderId="0" xfId="4" applyNumberFormat="1" applyFont="1" applyFill="1"/>
    <xf numFmtId="167" fontId="3" fillId="17" borderId="11" xfId="4" applyNumberFormat="1" applyFill="1" applyBorder="1" applyAlignment="1">
      <alignment horizontal="center" vertical="center"/>
    </xf>
    <xf numFmtId="167" fontId="3" fillId="8" borderId="11" xfId="4" applyNumberFormat="1" applyFill="1" applyBorder="1" applyAlignment="1">
      <alignment horizontal="center" vertical="center"/>
    </xf>
    <xf numFmtId="0" fontId="3" fillId="17" borderId="70" xfId="4" applyFill="1" applyBorder="1" applyAlignment="1">
      <alignment horizontal="center" vertical="center"/>
    </xf>
    <xf numFmtId="0" fontId="3" fillId="8" borderId="70" xfId="4" applyFill="1" applyBorder="1" applyAlignment="1">
      <alignment horizontal="center" vertical="center"/>
    </xf>
    <xf numFmtId="0" fontId="48" fillId="8" borderId="11" xfId="4" applyFont="1" applyFill="1" applyBorder="1" applyAlignment="1">
      <alignment horizontal="center" vertical="center"/>
    </xf>
    <xf numFmtId="0" fontId="59" fillId="8" borderId="0" xfId="4" applyFont="1" applyFill="1" applyAlignment="1">
      <alignment horizontal="left" vertical="center"/>
    </xf>
    <xf numFmtId="0" fontId="54" fillId="3" borderId="69" xfId="4" applyFont="1" applyFill="1" applyBorder="1" applyAlignment="1">
      <alignment horizontal="center" vertical="center"/>
    </xf>
    <xf numFmtId="49" fontId="73" fillId="14" borderId="68" xfId="4" applyNumberFormat="1" applyFont="1" applyFill="1" applyBorder="1" applyAlignment="1">
      <alignment horizontal="center" vertical="center"/>
    </xf>
    <xf numFmtId="0" fontId="73" fillId="14" borderId="47" xfId="4" applyFont="1" applyFill="1" applyBorder="1" applyAlignment="1">
      <alignment horizontal="center" vertical="center"/>
    </xf>
    <xf numFmtId="167" fontId="76" fillId="0" borderId="0" xfId="4" applyNumberFormat="1" applyFont="1" applyFill="1" applyAlignment="1">
      <alignment horizontal="right" vertical="center"/>
    </xf>
    <xf numFmtId="165" fontId="76" fillId="8" borderId="0" xfId="4" applyNumberFormat="1" applyFont="1" applyFill="1" applyAlignment="1">
      <alignment vertical="center"/>
    </xf>
    <xf numFmtId="49" fontId="59" fillId="8" borderId="0" xfId="4" applyNumberFormat="1" applyFont="1" applyFill="1" applyAlignment="1" applyProtection="1">
      <alignment horizontal="left" vertical="center"/>
      <protection locked="0" hidden="1"/>
    </xf>
    <xf numFmtId="0" fontId="59" fillId="8" borderId="0" xfId="4" applyFont="1" applyFill="1" applyAlignment="1" applyProtection="1">
      <alignment horizontal="left" vertical="center"/>
      <protection locked="0" hidden="1"/>
    </xf>
    <xf numFmtId="0" fontId="3" fillId="8" borderId="0" xfId="4" applyFont="1" applyFill="1" applyAlignment="1" applyProtection="1">
      <alignment vertical="center"/>
      <protection locked="0" hidden="1"/>
    </xf>
    <xf numFmtId="0" fontId="55" fillId="12" borderId="0" xfId="0" applyFont="1" applyFill="1" applyAlignment="1"/>
    <xf numFmtId="0" fontId="59" fillId="8" borderId="0" xfId="4" applyFont="1" applyFill="1"/>
    <xf numFmtId="0" fontId="76" fillId="8" borderId="0" xfId="4" applyFont="1" applyFill="1" applyAlignment="1">
      <alignment horizontal="left"/>
    </xf>
    <xf numFmtId="0" fontId="48" fillId="0" borderId="22" xfId="0" applyFont="1" applyBorder="1"/>
    <xf numFmtId="0" fontId="17" fillId="24" borderId="0" xfId="0" applyFont="1" applyFill="1" applyProtection="1"/>
    <xf numFmtId="0" fontId="17" fillId="12" borderId="35" xfId="0" applyFont="1" applyFill="1" applyBorder="1" applyProtection="1"/>
    <xf numFmtId="169" fontId="17" fillId="12" borderId="39" xfId="0" applyNumberFormat="1" applyFont="1" applyFill="1" applyBorder="1" applyAlignment="1" applyProtection="1">
      <alignment horizontal="center"/>
    </xf>
    <xf numFmtId="0" fontId="17" fillId="12" borderId="39" xfId="0" applyFont="1" applyFill="1" applyBorder="1" applyProtection="1"/>
    <xf numFmtId="0" fontId="17" fillId="8" borderId="39" xfId="0" applyFont="1" applyFill="1" applyBorder="1" applyProtection="1"/>
    <xf numFmtId="0" fontId="17" fillId="12" borderId="36" xfId="0" applyFont="1" applyFill="1" applyBorder="1" applyProtection="1"/>
    <xf numFmtId="0" fontId="17" fillId="12" borderId="23" xfId="0" applyFont="1" applyFill="1" applyBorder="1" applyProtection="1"/>
    <xf numFmtId="0" fontId="3" fillId="8" borderId="39" xfId="0" applyFont="1" applyFill="1" applyBorder="1" applyAlignment="1" applyProtection="1">
      <alignment horizontal="right" vertical="center"/>
    </xf>
    <xf numFmtId="0" fontId="3" fillId="8" borderId="39" xfId="0" applyNumberFormat="1" applyFont="1" applyFill="1" applyBorder="1" applyAlignment="1" applyProtection="1">
      <alignment horizontal="right" vertical="center"/>
    </xf>
    <xf numFmtId="0" fontId="3" fillId="8" borderId="35" xfId="0" applyFont="1" applyFill="1" applyBorder="1" applyAlignment="1" applyProtection="1">
      <alignment vertical="center"/>
    </xf>
    <xf numFmtId="0" fontId="3" fillId="8" borderId="35" xfId="0" applyFont="1" applyFill="1" applyBorder="1" applyAlignment="1" applyProtection="1">
      <alignment horizontal="right"/>
    </xf>
    <xf numFmtId="0" fontId="3" fillId="8" borderId="35" xfId="0" applyNumberFormat="1" applyFont="1" applyFill="1" applyBorder="1" applyAlignment="1" applyProtection="1">
      <alignment horizontal="right"/>
    </xf>
    <xf numFmtId="0" fontId="3" fillId="8" borderId="35" xfId="0" applyFont="1" applyFill="1" applyBorder="1" applyAlignment="1" applyProtection="1"/>
    <xf numFmtId="0" fontId="50"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vertical="center"/>
      <protection locked="0"/>
    </xf>
    <xf numFmtId="0" fontId="4" fillId="12" borderId="26" xfId="0" applyNumberFormat="1" applyFont="1" applyFill="1" applyBorder="1" applyAlignment="1" applyProtection="1">
      <alignment vertical="center"/>
    </xf>
    <xf numFmtId="0" fontId="3" fillId="8" borderId="35" xfId="0" applyFont="1" applyFill="1" applyBorder="1" applyAlignment="1" applyProtection="1">
      <alignment horizontal="left"/>
    </xf>
    <xf numFmtId="1" fontId="49" fillId="8" borderId="25" xfId="0" applyNumberFormat="1" applyFont="1" applyFill="1" applyBorder="1" applyAlignment="1" applyProtection="1">
      <alignment horizontal="right"/>
    </xf>
    <xf numFmtId="0" fontId="3" fillId="8" borderId="36" xfId="0" applyFont="1" applyFill="1" applyBorder="1" applyAlignment="1" applyProtection="1">
      <alignment vertical="center"/>
    </xf>
    <xf numFmtId="0" fontId="60" fillId="13" borderId="35" xfId="0" applyFont="1" applyFill="1" applyBorder="1" applyAlignment="1" applyProtection="1">
      <alignment vertical="center"/>
    </xf>
    <xf numFmtId="0" fontId="17" fillId="13" borderId="35" xfId="0" applyFont="1" applyFill="1" applyBorder="1" applyProtection="1"/>
    <xf numFmtId="0" fontId="78" fillId="13" borderId="62" xfId="0" applyFont="1" applyFill="1" applyBorder="1" applyAlignment="1" applyProtection="1">
      <alignment vertical="center"/>
    </xf>
    <xf numFmtId="0" fontId="23" fillId="24" borderId="0" xfId="0" applyFont="1" applyFill="1" applyBorder="1" applyAlignment="1" applyProtection="1">
      <alignment horizontal="right" vertical="center"/>
    </xf>
    <xf numFmtId="20" fontId="0" fillId="0" borderId="0" xfId="0" applyNumberFormat="1"/>
    <xf numFmtId="166" fontId="0" fillId="0" borderId="0" xfId="0" applyNumberFormat="1" applyFill="1" applyBorder="1"/>
    <xf numFmtId="183" fontId="0" fillId="0" borderId="0" xfId="0" applyNumberFormat="1" applyBorder="1" applyAlignment="1">
      <alignment horizontal="right"/>
    </xf>
    <xf numFmtId="183" fontId="0" fillId="19" borderId="0" xfId="0" applyNumberFormat="1" applyFill="1" applyBorder="1" applyAlignment="1">
      <alignment horizontal="right"/>
    </xf>
    <xf numFmtId="0" fontId="0" fillId="0" borderId="22" xfId="0" applyBorder="1" applyAlignment="1">
      <alignment horizontal="left"/>
    </xf>
    <xf numFmtId="1" fontId="3" fillId="8" borderId="39" xfId="0" applyNumberFormat="1" applyFont="1" applyFill="1" applyBorder="1" applyAlignment="1" applyProtection="1">
      <alignment horizontal="right" vertical="center"/>
    </xf>
    <xf numFmtId="0" fontId="3" fillId="8" borderId="40" xfId="0" applyFont="1" applyFill="1" applyBorder="1" applyAlignment="1" applyProtection="1">
      <alignment vertical="center"/>
    </xf>
    <xf numFmtId="165" fontId="3" fillId="4" borderId="35" xfId="4" applyNumberFormat="1" applyFill="1" applyBorder="1"/>
    <xf numFmtId="165" fontId="3" fillId="27" borderId="0" xfId="4" applyNumberFormat="1" applyFill="1" applyAlignment="1">
      <alignment horizontal="center" vertical="center" wrapText="1"/>
    </xf>
    <xf numFmtId="9" fontId="3" fillId="0" borderId="47" xfId="4" applyNumberFormat="1" applyFont="1" applyFill="1" applyBorder="1" applyProtection="1">
      <protection locked="0"/>
    </xf>
    <xf numFmtId="165" fontId="4" fillId="26" borderId="0" xfId="4" applyNumberFormat="1" applyFont="1" applyFill="1" applyAlignment="1">
      <alignment horizontal="center" vertical="center" wrapText="1"/>
    </xf>
    <xf numFmtId="165" fontId="0" fillId="0" borderId="0" xfId="0" applyNumberFormat="1"/>
    <xf numFmtId="2" fontId="3" fillId="0" borderId="0" xfId="7" applyNumberFormat="1" applyFont="1"/>
    <xf numFmtId="2" fontId="4" fillId="0" borderId="0" xfId="0" applyNumberFormat="1" applyFont="1"/>
    <xf numFmtId="167" fontId="4" fillId="0" borderId="0" xfId="4" applyNumberFormat="1" applyFont="1"/>
    <xf numFmtId="166" fontId="4" fillId="0" borderId="0" xfId="4" applyNumberFormat="1" applyFont="1"/>
    <xf numFmtId="0" fontId="4" fillId="4" borderId="0" xfId="4" applyFont="1" applyFill="1" applyBorder="1" applyAlignment="1">
      <alignment horizontal="left"/>
    </xf>
    <xf numFmtId="2" fontId="3" fillId="0" borderId="0" xfId="0" applyNumberFormat="1" applyFont="1"/>
    <xf numFmtId="167" fontId="3" fillId="0" borderId="0" xfId="4" applyNumberFormat="1" applyFont="1"/>
    <xf numFmtId="2" fontId="3" fillId="0" borderId="0" xfId="4" applyNumberFormat="1" applyFont="1"/>
    <xf numFmtId="1" fontId="3" fillId="0" borderId="0" xfId="4" applyNumberFormat="1" applyFont="1"/>
    <xf numFmtId="166" fontId="3" fillId="0" borderId="0" xfId="0" applyNumberFormat="1" applyFont="1"/>
    <xf numFmtId="166" fontId="4" fillId="0" borderId="0" xfId="0" applyNumberFormat="1" applyFont="1"/>
    <xf numFmtId="0" fontId="4" fillId="4" borderId="35" xfId="4" applyFont="1" applyFill="1" applyBorder="1" applyAlignment="1"/>
    <xf numFmtId="167" fontId="3" fillId="0" borderId="0" xfId="7" applyNumberFormat="1" applyFont="1"/>
    <xf numFmtId="1" fontId="4" fillId="17" borderId="6" xfId="4" applyNumberFormat="1" applyFont="1" applyFill="1" applyBorder="1" applyAlignment="1">
      <alignment horizontal="center" vertical="center" wrapText="1"/>
    </xf>
    <xf numFmtId="1" fontId="4" fillId="25" borderId="55" xfId="4" applyNumberFormat="1" applyFont="1" applyFill="1" applyBorder="1" applyAlignment="1">
      <alignment horizontal="center" vertical="center" wrapText="1"/>
    </xf>
    <xf numFmtId="1" fontId="4" fillId="0" borderId="55" xfId="4" applyNumberFormat="1" applyFont="1" applyFill="1" applyBorder="1" applyAlignment="1">
      <alignment horizontal="center" vertical="center" wrapText="1"/>
    </xf>
    <xf numFmtId="1" fontId="0" fillId="0" borderId="0" xfId="0" applyNumberFormat="1"/>
    <xf numFmtId="1" fontId="4" fillId="0" borderId="0" xfId="0" applyNumberFormat="1" applyFont="1"/>
    <xf numFmtId="1" fontId="4" fillId="17" borderId="55" xfId="4" applyNumberFormat="1" applyFont="1" applyFill="1" applyBorder="1" applyAlignment="1">
      <alignment horizontal="center" vertical="center" wrapText="1"/>
    </xf>
    <xf numFmtId="1" fontId="4" fillId="28" borderId="55" xfId="4" applyNumberFormat="1" applyFont="1" applyFill="1" applyBorder="1" applyAlignment="1">
      <alignment horizontal="center" vertical="center" wrapText="1"/>
    </xf>
    <xf numFmtId="1" fontId="4" fillId="12" borderId="55" xfId="4" applyNumberFormat="1" applyFont="1" applyFill="1" applyBorder="1" applyAlignment="1">
      <alignment horizontal="center" vertical="center" wrapText="1"/>
    </xf>
    <xf numFmtId="1" fontId="3" fillId="20" borderId="0" xfId="0" applyNumberFormat="1" applyFont="1" applyFill="1" applyBorder="1"/>
    <xf numFmtId="167" fontId="15" fillId="18" borderId="0" xfId="0" applyNumberFormat="1" applyFont="1" applyFill="1" applyBorder="1" applyAlignment="1">
      <alignment horizontal="right"/>
    </xf>
    <xf numFmtId="176" fontId="27" fillId="0" borderId="0" xfId="0" applyNumberFormat="1" applyFont="1" applyFill="1" applyBorder="1"/>
    <xf numFmtId="0" fontId="3" fillId="0" borderId="33" xfId="0" applyFont="1" applyBorder="1"/>
    <xf numFmtId="167" fontId="27" fillId="4" borderId="0" xfId="0" applyNumberFormat="1" applyFont="1" applyFill="1" applyBorder="1"/>
    <xf numFmtId="165" fontId="27" fillId="0" borderId="0" xfId="0" applyNumberFormat="1" applyFont="1" applyFill="1" applyBorder="1"/>
    <xf numFmtId="166" fontId="3" fillId="5" borderId="0" xfId="0" applyNumberFormat="1" applyFont="1" applyFill="1" applyBorder="1"/>
    <xf numFmtId="2" fontId="0" fillId="0" borderId="0" xfId="0" applyNumberFormat="1" applyFill="1" applyBorder="1" applyAlignment="1">
      <alignment horizontal="right"/>
    </xf>
    <xf numFmtId="1" fontId="4" fillId="2" borderId="73" xfId="4" applyNumberFormat="1" applyFont="1" applyFill="1" applyBorder="1" applyAlignment="1">
      <alignment horizontal="center" vertical="center" wrapText="1"/>
    </xf>
    <xf numFmtId="0" fontId="4" fillId="4" borderId="22" xfId="4" applyFont="1" applyFill="1" applyBorder="1" applyAlignment="1">
      <alignment horizontal="left"/>
    </xf>
    <xf numFmtId="0" fontId="4" fillId="4" borderId="74" xfId="4" applyFont="1" applyFill="1" applyBorder="1" applyAlignment="1">
      <alignment horizontal="left"/>
    </xf>
    <xf numFmtId="0" fontId="3" fillId="12" borderId="39" xfId="0" applyFont="1" applyFill="1" applyBorder="1" applyProtection="1"/>
    <xf numFmtId="0" fontId="17" fillId="12" borderId="40" xfId="0" applyFont="1" applyFill="1" applyBorder="1" applyProtection="1"/>
    <xf numFmtId="0" fontId="3" fillId="0" borderId="0" xfId="0" applyNumberFormat="1" applyFont="1"/>
    <xf numFmtId="0" fontId="79" fillId="0" borderId="0" xfId="0" applyFont="1" applyAlignment="1">
      <alignment horizontal="right"/>
    </xf>
    <xf numFmtId="1" fontId="3" fillId="0" borderId="0" xfId="0" applyNumberFormat="1" applyFont="1"/>
    <xf numFmtId="167" fontId="3" fillId="0" borderId="0" xfId="0" applyNumberFormat="1" applyFont="1"/>
    <xf numFmtId="1" fontId="50" fillId="15" borderId="0" xfId="0" applyNumberFormat="1" applyFont="1" applyFill="1" applyBorder="1" applyAlignment="1" applyProtection="1">
      <alignment horizontal="right" vertical="center"/>
      <protection locked="0"/>
    </xf>
    <xf numFmtId="0" fontId="17" fillId="12" borderId="62" xfId="0" applyFont="1" applyFill="1" applyBorder="1" applyProtection="1"/>
    <xf numFmtId="0" fontId="4" fillId="12" borderId="35" xfId="0" applyFont="1" applyFill="1" applyBorder="1" applyAlignment="1" applyProtection="1">
      <alignment horizontal="right"/>
    </xf>
    <xf numFmtId="0" fontId="4" fillId="12" borderId="64" xfId="0" applyFont="1" applyFill="1" applyBorder="1" applyProtection="1"/>
    <xf numFmtId="0" fontId="80" fillId="0" borderId="0" xfId="0" applyFont="1" applyAlignment="1">
      <alignment vertical="center" wrapText="1"/>
    </xf>
    <xf numFmtId="0" fontId="3" fillId="0" borderId="0" xfId="0" applyNumberFormat="1" applyFont="1" applyFill="1" applyBorder="1" applyAlignment="1" applyProtection="1">
      <alignment horizontal="right" vertical="center"/>
    </xf>
    <xf numFmtId="0" fontId="4" fillId="15" borderId="35" xfId="0" applyFont="1" applyFill="1" applyBorder="1" applyProtection="1">
      <protection locked="0"/>
    </xf>
    <xf numFmtId="0" fontId="0" fillId="18" borderId="0" xfId="0" applyNumberFormat="1" applyFill="1" applyBorder="1"/>
    <xf numFmtId="0" fontId="0" fillId="4" borderId="0" xfId="0" applyNumberFormat="1" applyFill="1" applyBorder="1"/>
    <xf numFmtId="0" fontId="0" fillId="23" borderId="0" xfId="0" applyNumberFormat="1" applyFill="1" applyBorder="1"/>
    <xf numFmtId="0" fontId="4" fillId="8" borderId="35" xfId="0" applyFont="1" applyFill="1" applyBorder="1" applyProtection="1"/>
    <xf numFmtId="0" fontId="3" fillId="8" borderId="35" xfId="0" applyFont="1" applyFill="1" applyBorder="1" applyProtection="1"/>
    <xf numFmtId="0" fontId="4" fillId="0" borderId="0" xfId="0" applyFont="1" applyAlignment="1">
      <alignment horizontal="left"/>
    </xf>
    <xf numFmtId="49" fontId="3" fillId="0" borderId="0" xfId="0" applyNumberFormat="1" applyFont="1" applyBorder="1" applyAlignment="1">
      <alignment horizontal="left"/>
    </xf>
    <xf numFmtId="167" fontId="49" fillId="12" borderId="35" xfId="0" applyNumberFormat="1" applyFont="1" applyFill="1" applyBorder="1" applyAlignment="1" applyProtection="1">
      <alignment vertical="center"/>
    </xf>
    <xf numFmtId="165" fontId="3" fillId="0" borderId="0" xfId="0" applyNumberFormat="1" applyFont="1"/>
    <xf numFmtId="1" fontId="4" fillId="12" borderId="0" xfId="0" applyNumberFormat="1" applyFont="1" applyFill="1" applyBorder="1" applyAlignment="1" applyProtection="1">
      <alignment vertical="center"/>
    </xf>
    <xf numFmtId="1" fontId="66" fillId="0" borderId="0" xfId="0" applyNumberFormat="1" applyFont="1" applyFill="1" applyBorder="1" applyAlignment="1" applyProtection="1">
      <alignment horizontal="right" vertical="center"/>
    </xf>
    <xf numFmtId="167" fontId="4" fillId="15" borderId="0" xfId="0" applyNumberFormat="1" applyFont="1" applyFill="1" applyBorder="1" applyAlignment="1" applyProtection="1">
      <alignment horizontal="right" vertical="center"/>
      <protection locked="0"/>
    </xf>
    <xf numFmtId="0" fontId="22" fillId="8" borderId="67" xfId="0" applyFont="1" applyFill="1" applyBorder="1" applyAlignment="1" applyProtection="1">
      <alignment vertical="center"/>
    </xf>
    <xf numFmtId="0" fontId="17" fillId="8" borderId="35" xfId="0" applyFont="1" applyFill="1" applyBorder="1" applyProtection="1"/>
    <xf numFmtId="0" fontId="45" fillId="8" borderId="75" xfId="0" applyFont="1" applyFill="1" applyBorder="1" applyProtection="1"/>
    <xf numFmtId="0" fontId="45" fillId="8" borderId="76" xfId="0" applyFont="1" applyFill="1" applyBorder="1" applyProtection="1"/>
    <xf numFmtId="0" fontId="45" fillId="8" borderId="77" xfId="0" applyFont="1" applyFill="1" applyBorder="1" applyProtection="1"/>
    <xf numFmtId="2" fontId="3" fillId="18" borderId="0" xfId="0" applyNumberFormat="1" applyFont="1" applyFill="1" applyBorder="1"/>
    <xf numFmtId="0" fontId="0" fillId="18" borderId="0" xfId="0" applyNumberFormat="1" applyFill="1"/>
    <xf numFmtId="2" fontId="4" fillId="0" borderId="0" xfId="0" applyNumberFormat="1" applyFont="1" applyBorder="1" applyAlignment="1">
      <alignment horizontal="right"/>
    </xf>
    <xf numFmtId="1" fontId="3" fillId="4" borderId="0" xfId="0" applyNumberFormat="1" applyFont="1" applyFill="1" applyBorder="1"/>
    <xf numFmtId="2" fontId="4" fillId="0" borderId="0" xfId="0" applyNumberFormat="1" applyFont="1" applyFill="1" applyBorder="1"/>
    <xf numFmtId="0" fontId="3" fillId="0" borderId="22" xfId="0" applyFont="1" applyFill="1" applyBorder="1"/>
    <xf numFmtId="2" fontId="7" fillId="0" borderId="2" xfId="0" applyNumberFormat="1" applyFont="1" applyFill="1" applyBorder="1"/>
    <xf numFmtId="166" fontId="4" fillId="0" borderId="2" xfId="0" applyNumberFormat="1" applyFont="1" applyFill="1" applyBorder="1"/>
    <xf numFmtId="0" fontId="81" fillId="0" borderId="22" xfId="0" applyFont="1" applyBorder="1"/>
    <xf numFmtId="0" fontId="48" fillId="0" borderId="0" xfId="0" applyFont="1" applyBorder="1"/>
    <xf numFmtId="0" fontId="27" fillId="18" borderId="0" xfId="0" applyNumberFormat="1" applyFont="1" applyFill="1" applyBorder="1" applyAlignment="1">
      <alignment horizontal="right"/>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0" fontId="3" fillId="8" borderId="0" xfId="0" applyFont="1" applyFill="1" applyBorder="1" applyAlignment="1" applyProtection="1">
      <alignment horizontal="right" vertical="top"/>
    </xf>
    <xf numFmtId="0" fontId="3" fillId="8" borderId="38" xfId="0" applyFont="1" applyFill="1" applyBorder="1" applyAlignment="1" applyProtection="1">
      <alignment horizontal="right"/>
    </xf>
    <xf numFmtId="0" fontId="48" fillId="0" borderId="0" xfId="0" applyFont="1" applyAlignment="1">
      <alignment horizontal="right"/>
    </xf>
    <xf numFmtId="0" fontId="4" fillId="2" borderId="19" xfId="4" applyFont="1" applyFill="1" applyBorder="1" applyAlignment="1">
      <alignment horizontal="center" vertical="center" wrapText="1"/>
    </xf>
    <xf numFmtId="165" fontId="4" fillId="26" borderId="19" xfId="4" applyNumberFormat="1" applyFont="1" applyFill="1" applyBorder="1" applyAlignment="1">
      <alignment horizontal="center" vertical="center" wrapText="1"/>
    </xf>
    <xf numFmtId="165" fontId="4" fillId="26" borderId="20" xfId="4" applyNumberFormat="1" applyFont="1" applyFill="1" applyBorder="1" applyAlignment="1">
      <alignment horizontal="center" vertical="center" wrapText="1"/>
    </xf>
    <xf numFmtId="165" fontId="4" fillId="26" borderId="73" xfId="4" applyNumberFormat="1" applyFont="1" applyFill="1" applyBorder="1" applyAlignment="1">
      <alignment horizontal="center" vertical="center" wrapText="1"/>
    </xf>
    <xf numFmtId="165" fontId="4" fillId="26" borderId="39" xfId="4" applyNumberFormat="1" applyFont="1" applyFill="1" applyBorder="1" applyAlignment="1">
      <alignment horizontal="center" vertical="center" wrapText="1"/>
    </xf>
    <xf numFmtId="1" fontId="4" fillId="15" borderId="55" xfId="4" applyNumberFormat="1" applyFont="1" applyFill="1" applyBorder="1" applyAlignment="1">
      <alignment horizontal="center" vertical="center" wrapText="1"/>
    </xf>
    <xf numFmtId="1" fontId="4" fillId="15" borderId="6" xfId="4" applyNumberFormat="1" applyFont="1" applyFill="1" applyBorder="1" applyAlignment="1">
      <alignment horizontal="center" vertical="center" wrapText="1"/>
    </xf>
    <xf numFmtId="167" fontId="3" fillId="8" borderId="35" xfId="0" applyNumberFormat="1" applyFont="1" applyFill="1" applyBorder="1" applyAlignment="1" applyProtection="1">
      <alignment horizontal="right" vertical="center"/>
    </xf>
    <xf numFmtId="2" fontId="48" fillId="0" borderId="0" xfId="0" applyNumberFormat="1" applyFont="1" applyAlignment="1">
      <alignment horizontal="left"/>
    </xf>
    <xf numFmtId="2" fontId="48" fillId="0" borderId="0" xfId="0" applyNumberFormat="1" applyFont="1" applyAlignment="1">
      <alignment horizontal="right"/>
    </xf>
    <xf numFmtId="166" fontId="4" fillId="0" borderId="0" xfId="0" applyNumberFormat="1" applyFont="1" applyAlignment="1">
      <alignment horizontal="right"/>
    </xf>
    <xf numFmtId="166" fontId="0" fillId="0" borderId="0" xfId="0" applyNumberFormat="1" applyAlignment="1">
      <alignment horizontal="right"/>
    </xf>
    <xf numFmtId="0" fontId="3" fillId="23" borderId="0" xfId="0" applyNumberFormat="1" applyFont="1" applyFill="1" applyBorder="1"/>
    <xf numFmtId="9" fontId="0" fillId="19" borderId="0" xfId="0" applyNumberFormat="1" applyFill="1" applyBorder="1"/>
    <xf numFmtId="172" fontId="3" fillId="12" borderId="11" xfId="4" applyNumberFormat="1" applyFill="1" applyBorder="1" applyAlignment="1">
      <alignment horizontal="center" vertical="center"/>
    </xf>
    <xf numFmtId="0" fontId="3" fillId="12" borderId="70" xfId="4" applyFill="1" applyBorder="1" applyAlignment="1">
      <alignment horizontal="center" vertical="center"/>
    </xf>
    <xf numFmtId="167" fontId="3" fillId="12" borderId="11" xfId="4" applyNumberFormat="1" applyFill="1" applyBorder="1" applyAlignment="1">
      <alignment horizontal="center" vertical="center"/>
    </xf>
    <xf numFmtId="0" fontId="59" fillId="12" borderId="0" xfId="4" applyFont="1" applyFill="1" applyAlignment="1">
      <alignment horizontal="left" vertical="center"/>
    </xf>
    <xf numFmtId="0" fontId="3" fillId="12" borderId="0" xfId="4" applyFill="1" applyAlignment="1">
      <alignment vertical="center"/>
    </xf>
    <xf numFmtId="0" fontId="59" fillId="12" borderId="0" xfId="4" applyFont="1" applyFill="1" applyAlignment="1" applyProtection="1">
      <alignment horizontal="left" vertical="center"/>
      <protection locked="0" hidden="1"/>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0" fontId="3" fillId="17" borderId="11" xfId="4" applyNumberFormat="1" applyFill="1" applyBorder="1" applyAlignment="1">
      <alignment horizontal="center" vertical="center"/>
    </xf>
    <xf numFmtId="1" fontId="3" fillId="12" borderId="11" xfId="4" applyNumberFormat="1" applyFill="1" applyBorder="1" applyAlignment="1">
      <alignment horizontal="center" vertical="center"/>
    </xf>
    <xf numFmtId="0" fontId="4" fillId="12" borderId="0" xfId="0" applyFont="1" applyFill="1" applyBorder="1" applyAlignment="1" applyProtection="1">
      <alignment horizontal="right"/>
    </xf>
    <xf numFmtId="166" fontId="48" fillId="0" borderId="0" xfId="0" applyNumberFormat="1" applyFont="1" applyAlignment="1">
      <alignment horizontal="left"/>
    </xf>
    <xf numFmtId="167" fontId="3" fillId="8" borderId="63" xfId="0" applyNumberFormat="1" applyFont="1" applyFill="1" applyBorder="1" applyAlignment="1" applyProtection="1">
      <alignment horizontal="right" vertical="center"/>
    </xf>
    <xf numFmtId="1" fontId="49" fillId="8" borderId="35" xfId="2" applyNumberFormat="1" applyFont="1" applyFill="1" applyBorder="1" applyAlignment="1" applyProtection="1">
      <alignment horizontal="right" vertical="center"/>
    </xf>
    <xf numFmtId="0" fontId="3" fillId="8" borderId="0" xfId="0" applyNumberFormat="1" applyFont="1" applyFill="1" applyBorder="1" applyAlignment="1" applyProtection="1"/>
    <xf numFmtId="2" fontId="7" fillId="10" borderId="0" xfId="0" applyNumberFormat="1" applyFont="1" applyFill="1" applyBorder="1"/>
    <xf numFmtId="0" fontId="3" fillId="12" borderId="64" xfId="0" applyNumberFormat="1" applyFont="1" applyFill="1" applyBorder="1" applyAlignment="1" applyProtection="1">
      <alignment vertical="center"/>
    </xf>
    <xf numFmtId="164" fontId="0" fillId="0" borderId="0" xfId="0" applyNumberFormat="1"/>
    <xf numFmtId="0" fontId="3" fillId="12" borderId="23" xfId="0" applyNumberFormat="1" applyFont="1" applyFill="1" applyBorder="1" applyAlignment="1" applyProtection="1"/>
    <xf numFmtId="0" fontId="3" fillId="12" borderId="40" xfId="0" applyNumberFormat="1" applyFont="1" applyFill="1" applyBorder="1" applyAlignment="1" applyProtection="1"/>
    <xf numFmtId="2" fontId="3" fillId="8" borderId="39" xfId="0" applyNumberFormat="1" applyFont="1" applyFill="1" applyBorder="1" applyAlignment="1" applyProtection="1">
      <alignment horizontal="right"/>
    </xf>
    <xf numFmtId="168" fontId="7" fillId="0" borderId="0" xfId="0" applyNumberFormat="1" applyFont="1" applyFill="1" applyBorder="1"/>
    <xf numFmtId="11" fontId="7" fillId="0" borderId="0" xfId="0" applyNumberFormat="1" applyFont="1" applyFill="1" applyBorder="1"/>
    <xf numFmtId="0" fontId="3" fillId="0" borderId="11" xfId="0" applyFont="1" applyBorder="1"/>
    <xf numFmtId="0" fontId="0" fillId="0" borderId="11" xfId="0" applyFill="1" applyBorder="1"/>
    <xf numFmtId="1" fontId="3" fillId="12" borderId="0" xfId="0" applyNumberFormat="1" applyFont="1" applyFill="1" applyAlignment="1" applyProtection="1">
      <alignment horizontal="right"/>
    </xf>
    <xf numFmtId="0" fontId="3" fillId="0" borderId="0" xfId="4" applyFill="1"/>
    <xf numFmtId="166" fontId="3" fillId="0" borderId="0" xfId="4" applyNumberFormat="1" applyFill="1"/>
    <xf numFmtId="167" fontId="3" fillId="0" borderId="0" xfId="0" applyNumberFormat="1" applyFont="1" applyFill="1" applyBorder="1"/>
    <xf numFmtId="167" fontId="27" fillId="18" borderId="0" xfId="0" applyNumberFormat="1" applyFont="1" applyFill="1" applyBorder="1"/>
    <xf numFmtId="177" fontId="3" fillId="16" borderId="8" xfId="4" applyNumberFormat="1" applyFill="1" applyBorder="1" applyAlignment="1">
      <alignment horizontal="left" vertical="center"/>
    </xf>
    <xf numFmtId="177" fontId="3" fillId="16" borderId="9" xfId="4" applyNumberFormat="1" applyFill="1" applyBorder="1" applyAlignment="1">
      <alignment horizontal="left" vertical="center"/>
    </xf>
    <xf numFmtId="0" fontId="54" fillId="3" borderId="69" xfId="4" applyFont="1" applyFill="1" applyBorder="1" applyAlignment="1">
      <alignment horizontal="center" vertical="center"/>
    </xf>
    <xf numFmtId="0" fontId="54" fillId="3" borderId="71" xfId="4" applyFont="1" applyFill="1" applyBorder="1" applyAlignment="1">
      <alignment horizontal="center" vertical="center"/>
    </xf>
    <xf numFmtId="0" fontId="54" fillId="3" borderId="72" xfId="4" applyFont="1" applyFill="1" applyBorder="1" applyAlignment="1">
      <alignment horizontal="center" vertical="center"/>
    </xf>
    <xf numFmtId="182" fontId="3" fillId="17" borderId="8" xfId="4" applyNumberFormat="1" applyFill="1" applyBorder="1" applyAlignment="1">
      <alignment horizontal="left" vertical="center"/>
    </xf>
    <xf numFmtId="182" fontId="3" fillId="17" borderId="9" xfId="4" applyNumberFormat="1" applyFill="1" applyBorder="1" applyAlignment="1">
      <alignment horizontal="left" vertical="center"/>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174" fontId="3" fillId="12" borderId="8" xfId="4" applyNumberFormat="1" applyFill="1" applyBorder="1" applyAlignment="1">
      <alignment horizontal="left" vertical="center"/>
    </xf>
    <xf numFmtId="174" fontId="3" fillId="12" borderId="9" xfId="4" applyNumberFormat="1" applyFill="1" applyBorder="1" applyAlignment="1">
      <alignment horizontal="left" vertical="center"/>
    </xf>
    <xf numFmtId="173" fontId="3" fillId="12" borderId="8" xfId="4" applyNumberFormat="1" applyFill="1" applyBorder="1" applyAlignment="1">
      <alignment horizontal="left" vertical="center" wrapText="1"/>
    </xf>
    <xf numFmtId="173" fontId="3" fillId="12" borderId="9" xfId="4" applyNumberFormat="1" applyFill="1" applyBorder="1" applyAlignment="1">
      <alignment horizontal="left" vertical="center" wrapText="1"/>
    </xf>
    <xf numFmtId="173" fontId="3" fillId="12" borderId="15" xfId="4" applyNumberFormat="1" applyFill="1" applyBorder="1" applyAlignment="1">
      <alignment horizontal="left" vertical="center" wrapText="1"/>
    </xf>
    <xf numFmtId="180" fontId="3" fillId="17" borderId="8" xfId="4" applyNumberFormat="1" applyFill="1" applyBorder="1" applyAlignment="1">
      <alignment horizontal="left" vertical="center"/>
    </xf>
    <xf numFmtId="180" fontId="3" fillId="17" borderId="9" xfId="4" applyNumberFormat="1" applyFill="1" applyBorder="1" applyAlignment="1">
      <alignment horizontal="left" vertical="center"/>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174" fontId="3" fillId="17" borderId="8" xfId="4" applyNumberFormat="1" applyFill="1" applyBorder="1" applyAlignment="1">
      <alignment horizontal="left" vertical="center"/>
    </xf>
    <xf numFmtId="174" fontId="3" fillId="17" borderId="9" xfId="4" applyNumberFormat="1" applyFill="1" applyBorder="1" applyAlignment="1">
      <alignment horizontal="left" vertical="center"/>
    </xf>
    <xf numFmtId="0" fontId="40" fillId="12" borderId="22" xfId="0" applyFont="1" applyFill="1" applyBorder="1" applyAlignment="1" applyProtection="1">
      <alignment horizontal="left" vertical="center"/>
    </xf>
    <xf numFmtId="0" fontId="40" fillId="12" borderId="0" xfId="0" applyFont="1" applyFill="1" applyBorder="1" applyAlignment="1" applyProtection="1">
      <alignment horizontal="left" vertical="center"/>
    </xf>
    <xf numFmtId="0" fontId="4" fillId="0" borderId="0" xfId="0" applyFont="1" applyAlignment="1">
      <alignment horizontal="center"/>
    </xf>
    <xf numFmtId="0" fontId="5" fillId="3" borderId="0" xfId="0" applyFont="1" applyFill="1" applyAlignment="1">
      <alignment horizontal="left"/>
    </xf>
    <xf numFmtId="0" fontId="4" fillId="4" borderId="71" xfId="4" applyFont="1" applyFill="1" applyBorder="1" applyAlignment="1">
      <alignment horizontal="left"/>
    </xf>
    <xf numFmtId="0" fontId="4" fillId="4" borderId="46" xfId="4" applyFont="1" applyFill="1" applyBorder="1" applyAlignment="1">
      <alignment horizontal="left"/>
    </xf>
    <xf numFmtId="0" fontId="4" fillId="4" borderId="78" xfId="4" applyFont="1" applyFill="1" applyBorder="1" applyAlignment="1">
      <alignment horizontal="left"/>
    </xf>
    <xf numFmtId="0" fontId="4" fillId="4" borderId="66" xfId="4" applyFont="1" applyFill="1" applyBorder="1" applyAlignment="1">
      <alignment horizontal="left"/>
    </xf>
    <xf numFmtId="0" fontId="13" fillId="3" borderId="0" xfId="4" applyFont="1" applyFill="1" applyAlignment="1">
      <alignment horizontal="left" vertical="center"/>
    </xf>
    <xf numFmtId="0" fontId="23" fillId="21" borderId="0" xfId="4" applyFont="1" applyFill="1" applyBorder="1" applyAlignment="1" applyProtection="1">
      <alignment horizontal="center" vertical="center"/>
    </xf>
    <xf numFmtId="0" fontId="4" fillId="0" borderId="0" xfId="4" applyFont="1" applyAlignment="1">
      <alignment horizontal="left" vertical="center" wrapText="1"/>
    </xf>
    <xf numFmtId="0" fontId="4" fillId="4" borderId="65" xfId="4" applyFont="1" applyFill="1" applyBorder="1" applyAlignment="1">
      <alignment horizontal="left"/>
    </xf>
  </cellXfs>
  <cellStyles count="8">
    <cellStyle name="Comma" xfId="2" builtinId="3"/>
    <cellStyle name="Comma 2" xfId="6"/>
    <cellStyle name="Hyperlink" xfId="3" builtinId="8"/>
    <cellStyle name="Normal" xfId="0" builtinId="0"/>
    <cellStyle name="Normal 2" xfId="4"/>
    <cellStyle name="Normal 3" xfId="5"/>
    <cellStyle name="Percent" xfId="7" builtinId="5"/>
    <cellStyle name="RowLevel_1" xfId="1" builtinId="1" iLevel="0"/>
  </cellStyles>
  <dxfs count="60">
    <dxf>
      <border>
        <left style="thin">
          <color indexed="64"/>
        </left>
        <right style="thin">
          <color indexed="64"/>
        </right>
        <top style="thin">
          <color indexed="64"/>
        </top>
        <bottom style="thin">
          <color indexed="64"/>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FF99"/>
      </font>
    </dxf>
    <dxf>
      <font>
        <color theme="0"/>
      </font>
    </dxf>
    <dxf>
      <font>
        <strike val="0"/>
        <color theme="0"/>
      </font>
      <fill>
        <patternFill>
          <bgColor rgb="FFFF0000"/>
        </patternFill>
      </fill>
    </dxf>
    <dxf>
      <font>
        <color theme="0"/>
      </font>
      <fill>
        <patternFill patternType="solid">
          <fgColor auto="1"/>
          <bgColor rgb="FFFF0000"/>
        </patternFill>
      </fill>
    </dxf>
    <dxf>
      <font>
        <color theme="0"/>
      </font>
      <fill>
        <patternFill>
          <bgColor theme="0"/>
        </patternFill>
      </fill>
    </dxf>
    <dxf>
      <font>
        <b/>
        <i val="0"/>
        <color rgb="FFFF0000"/>
      </font>
    </dxf>
    <dxf>
      <font>
        <color rgb="FFFF0000"/>
      </font>
    </dxf>
    <dxf>
      <border>
        <top/>
        <bottom/>
        <vertical/>
        <horizontal/>
      </border>
    </dxf>
    <dxf>
      <border>
        <left/>
        <right/>
        <top/>
        <bottom/>
        <vertical/>
        <horizontal/>
      </border>
    </dxf>
    <dxf>
      <font>
        <color theme="0"/>
      </font>
      <fill>
        <patternFill>
          <bgColor theme="0"/>
        </patternFill>
      </fill>
      <border>
        <right/>
        <top/>
        <bottom/>
      </border>
    </dxf>
    <dxf>
      <border>
        <bottom/>
        <vertical/>
        <horizontal/>
      </border>
    </dxf>
    <dxf>
      <border>
        <bottom/>
        <vertical/>
        <horizontal/>
      </border>
    </dxf>
    <dxf>
      <border>
        <right/>
        <vertical/>
        <horizontal/>
      </border>
    </dxf>
    <dxf>
      <border>
        <bottom/>
        <vertical/>
        <horizontal/>
      </border>
    </dxf>
    <dxf>
      <font>
        <strike val="0"/>
        <color theme="0"/>
      </font>
      <fill>
        <patternFill>
          <bgColor theme="0"/>
        </patternFill>
      </fill>
    </dxf>
    <dxf>
      <font>
        <color rgb="FFFF0000"/>
      </font>
    </dxf>
    <dxf>
      <font>
        <color rgb="FFFF0000"/>
      </font>
    </dxf>
    <dxf>
      <font>
        <color rgb="FFFF0000"/>
      </font>
    </dxf>
    <dxf>
      <font>
        <color theme="0"/>
      </font>
      <fill>
        <patternFill>
          <bgColor theme="0"/>
        </patternFill>
      </fill>
    </dxf>
    <dxf>
      <font>
        <b/>
        <i val="0"/>
        <color rgb="FFC00000"/>
      </font>
    </dxf>
    <dxf>
      <font>
        <color rgb="FFFF0000"/>
      </font>
    </dxf>
    <dxf>
      <font>
        <color rgb="FFFF0000"/>
      </font>
    </dxf>
    <dxf>
      <font>
        <color rgb="FFFF0000"/>
      </font>
    </dxf>
    <dxf>
      <font>
        <b/>
        <i val="0"/>
        <color rgb="FFFF0000"/>
      </font>
    </dxf>
    <dxf>
      <font>
        <b/>
        <i val="0"/>
        <condense val="0"/>
        <extend val="0"/>
        <color indexed="12"/>
      </font>
    </dxf>
    <dxf>
      <font>
        <b/>
        <i val="0"/>
        <condense val="0"/>
        <extend val="0"/>
        <color indexed="10"/>
      </font>
    </dxf>
    <dxf>
      <font>
        <color rgb="FFFF0000"/>
      </font>
    </dxf>
    <dxf>
      <font>
        <color rgb="FFFF0000"/>
      </font>
    </dxf>
    <dxf>
      <font>
        <color rgb="FFFF0000"/>
      </font>
    </dxf>
    <dxf>
      <font>
        <color rgb="FFFF0000"/>
      </font>
    </dxf>
    <dxf>
      <border>
        <right/>
        <vertical/>
        <horizontal/>
      </border>
    </dxf>
    <dxf>
      <border>
        <left/>
        <right/>
        <top/>
        <bottom/>
        <vertical/>
        <horizontal/>
      </border>
    </dxf>
    <dxf>
      <border>
        <bottom/>
        <vertical/>
        <horizontal/>
      </border>
    </dxf>
    <dxf>
      <font>
        <color rgb="FFFF0000"/>
      </font>
    </dxf>
    <dxf>
      <font>
        <color rgb="FFFF0000"/>
      </font>
    </dxf>
    <dxf>
      <font>
        <color rgb="FFFF0000"/>
      </font>
    </dxf>
    <dxf>
      <font>
        <b/>
        <i val="0"/>
        <color rgb="FFC00000"/>
      </font>
    </dxf>
    <dxf>
      <font>
        <color theme="0"/>
      </font>
      <fill>
        <patternFill>
          <bgColor theme="0"/>
        </patternFill>
      </fill>
    </dxf>
    <dxf>
      <font>
        <b/>
        <i val="0"/>
        <color rgb="FFC00000"/>
      </font>
    </dxf>
    <dxf>
      <font>
        <color theme="0"/>
      </font>
    </dxf>
    <dxf>
      <font>
        <b/>
        <i val="0"/>
        <color rgb="FFC00000"/>
      </font>
    </dxf>
    <dxf>
      <font>
        <color theme="0"/>
      </font>
      <fill>
        <patternFill>
          <bgColor theme="0"/>
        </patternFill>
      </fill>
    </dxf>
    <dxf>
      <font>
        <color theme="0"/>
      </font>
    </dxf>
    <dxf>
      <font>
        <color rgb="FFFF0000"/>
      </font>
    </dxf>
    <dxf>
      <font>
        <color rgb="FFFF0000"/>
      </font>
    </dxf>
    <dxf>
      <font>
        <color rgb="FFFF0000"/>
      </font>
    </dxf>
    <dxf>
      <font>
        <color rgb="FFFF0000"/>
      </font>
    </dxf>
    <dxf>
      <font>
        <color rgb="FFFF0000"/>
      </font>
    </dxf>
    <dxf>
      <font>
        <b/>
        <i val="0"/>
        <color rgb="FFFF0000"/>
      </font>
    </dxf>
    <dxf>
      <font>
        <b/>
        <i val="0"/>
        <condense val="0"/>
        <extend val="0"/>
        <color indexed="10"/>
      </font>
    </dxf>
  </dxfs>
  <tableStyles count="0" defaultTableStyle="TableStyleMedium9" defaultPivotStyle="PivotStyleLight16"/>
  <colors>
    <mruColors>
      <color rgb="FFEE6112"/>
      <color rgb="FF0000FF"/>
      <color rgb="FFFFFF99"/>
      <color rgb="FFFFFF66"/>
      <color rgb="FFFF9900"/>
      <color rgb="FF33CC33"/>
      <color rgb="FFFF00FF"/>
      <color rgb="FF00FF00"/>
      <color rgb="FF99CC00"/>
      <color rgb="FF66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3132914835E-2"/>
          <c:y val="0.12133523343001466"/>
          <c:w val="0.80670936294253548"/>
          <c:h val="0.7558980268938309"/>
        </c:manualLayout>
      </c:layout>
      <c:lineChart>
        <c:grouping val="standard"/>
        <c:varyColors val="0"/>
        <c:ser>
          <c:idx val="1"/>
          <c:order val="0"/>
          <c:tx>
            <c:v>VIN-min</c:v>
          </c:tx>
          <c:spPr>
            <a:ln w="19050">
              <a:solidFill>
                <a:srgbClr val="00B050"/>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Single'!$AN$110:$AN$210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349.96461263176218</c:v>
                </c:pt>
                <c:pt idx="70">
                  <c:v>344.96511816559399</c:v>
                </c:pt>
                <c:pt idx="71">
                  <c:v>340.10645452945897</c:v>
                </c:pt>
                <c:pt idx="72">
                  <c:v>335.38275377210539</c:v>
                </c:pt>
                <c:pt idx="73">
                  <c:v>330.78846947385733</c:v>
                </c:pt>
                <c:pt idx="74">
                  <c:v>326.3183550215079</c:v>
                </c:pt>
                <c:pt idx="75">
                  <c:v>321.96744362122115</c:v>
                </c:pt>
                <c:pt idx="76">
                  <c:v>317.73102988936301</c:v>
                </c:pt>
                <c:pt idx="77">
                  <c:v>313.60465287781278</c:v>
                </c:pt>
                <c:pt idx="78">
                  <c:v>309.5840804050203</c:v>
                </c:pt>
                <c:pt idx="79">
                  <c:v>305.66529457710868</c:v>
                </c:pt>
                <c:pt idx="80">
                  <c:v>301.84447839489479</c:v>
                </c:pt>
                <c:pt idx="81">
                  <c:v>298.11800335298256</c:v>
                </c:pt>
                <c:pt idx="82">
                  <c:v>294.48241794623891</c:v>
                </c:pt>
                <c:pt idx="83">
                  <c:v>290.93443700712754</c:v>
                </c:pt>
                <c:pt idx="84">
                  <c:v>287.47093180466175</c:v>
                </c:pt>
                <c:pt idx="85">
                  <c:v>284.08892084225403</c:v>
                </c:pt>
                <c:pt idx="86">
                  <c:v>280.78556129757663</c:v>
                </c:pt>
                <c:pt idx="87">
                  <c:v>277.55814105277688</c:v>
                </c:pt>
                <c:pt idx="88">
                  <c:v>274.40407126808617</c:v>
                </c:pt>
                <c:pt idx="89">
                  <c:v>271.32087945608527</c:v>
                </c:pt>
                <c:pt idx="90">
                  <c:v>268.30620301768425</c:v>
                </c:pt>
                <c:pt idx="91">
                  <c:v>265.35778320430313</c:v>
                </c:pt>
                <c:pt idx="92">
                  <c:v>262.47345947382155</c:v>
                </c:pt>
                <c:pt idx="93">
                  <c:v>259.65116421066222</c:v>
                </c:pt>
                <c:pt idx="94">
                  <c:v>256.88891778288922</c:v>
                </c:pt>
                <c:pt idx="95">
                  <c:v>254.18482391149038</c:v>
                </c:pt>
                <c:pt idx="96">
                  <c:v>251.53706532907904</c:v>
                </c:pt>
                <c:pt idx="97">
                  <c:v>248.94389970712982</c:v>
                </c:pt>
                <c:pt idx="98">
                  <c:v>246.40365583256718</c:v>
                </c:pt>
                <c:pt idx="99">
                  <c:v>243.91473001607662</c:v>
                </c:pt>
                <c:pt idx="100">
                  <c:v>241.47558271591589</c:v>
                </c:pt>
              </c:numCache>
            </c:numRef>
          </c:val>
          <c:smooth val="0"/>
        </c:ser>
        <c:ser>
          <c:idx val="0"/>
          <c:order val="1"/>
          <c:tx>
            <c:v>VIN-nom</c:v>
          </c:tx>
          <c:spPr>
            <a:ln w="19050">
              <a:solidFill>
                <a:srgbClr val="FF0000"/>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Single'!$AN$5:$AN$105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2"/>
          <c:order val="2"/>
          <c:tx>
            <c:v>VIN-max</c:v>
          </c:tx>
          <c:spPr>
            <a:ln w="19050">
              <a:solidFill>
                <a:srgbClr val="0000FF"/>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Single'!$AN$216:$AN$316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Single'!$CF$110:$CF$210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Single'!$CF$5:$CF$105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Single'!$CF$216:$CF$316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17809792"/>
        <c:axId val="317811712"/>
      </c:lineChart>
      <c:lineChart>
        <c:grouping val="standard"/>
        <c:varyColors val="0"/>
        <c:ser>
          <c:idx val="6"/>
          <c:order val="6"/>
          <c:spPr>
            <a:ln w="31750">
              <a:solidFill>
                <a:srgbClr val="FF0000"/>
              </a:solidFill>
            </a:ln>
          </c:spPr>
          <c:marker>
            <c:symbol val="none"/>
          </c:marker>
          <c:val>
            <c:numRef>
              <c:f>'Calculations - Single'!$AW$5:$AW$105</c:f>
              <c:numCache>
                <c:formatCode>0.000</c:formatCode>
                <c:ptCount val="101"/>
                <c:pt idx="0">
                  <c:v>2.7499999999999998E-3</c:v>
                </c:pt>
                <c:pt idx="1">
                  <c:v>1.4583333333333334E-2</c:v>
                </c:pt>
                <c:pt idx="2">
                  <c:v>2.9166666666666667E-2</c:v>
                </c:pt>
                <c:pt idx="3">
                  <c:v>4.3750000000000011E-2</c:v>
                </c:pt>
                <c:pt idx="4">
                  <c:v>5.8333333333333334E-2</c:v>
                </c:pt>
                <c:pt idx="5">
                  <c:v>7.2916666666666671E-2</c:v>
                </c:pt>
                <c:pt idx="6">
                  <c:v>8.7940808835181072E-2</c:v>
                </c:pt>
                <c:pt idx="7">
                  <c:v>0.10448562279266162</c:v>
                </c:pt>
                <c:pt idx="8">
                  <c:v>0.11169982923823944</c:v>
                </c:pt>
                <c:pt idx="9">
                  <c:v>0.11847556006760773</c:v>
                </c:pt>
                <c:pt idx="10">
                  <c:v>0.12488420562591097</c:v>
                </c:pt>
                <c:pt idx="11">
                  <c:v>0.13097965985715607</c:v>
                </c:pt>
                <c:pt idx="12">
                  <c:v>0.13680379299485002</c:v>
                </c:pt>
                <c:pt idx="13">
                  <c:v>0.14238990223769121</c:v>
                </c:pt>
                <c:pt idx="14">
                  <c:v>0.14776498482638145</c:v>
                </c:pt>
                <c:pt idx="15">
                  <c:v>0.15295129035814706</c:v>
                </c:pt>
                <c:pt idx="16">
                  <c:v>0.157967413423477</c:v>
                </c:pt>
                <c:pt idx="17">
                  <c:v>0.16282908273765218</c:v>
                </c:pt>
                <c:pt idx="18">
                  <c:v>0.16754974385735916</c:v>
                </c:pt>
                <c:pt idx="19">
                  <c:v>0.17214099787136167</c:v>
                </c:pt>
                <c:pt idx="20">
                  <c:v>0.1766129373223537</c:v>
                </c:pt>
                <c:pt idx="21">
                  <c:v>0.18097440733736664</c:v>
                </c:pt>
                <c:pt idx="22">
                  <c:v>0.1852332113650049</c:v>
                </c:pt>
                <c:pt idx="23">
                  <c:v>0.18939627523812097</c:v>
                </c:pt>
                <c:pt idx="24">
                  <c:v>0.19346977943739829</c:v>
                </c:pt>
                <c:pt idx="25">
                  <c:v>0.19745926677934625</c:v>
                </c:pt>
                <c:pt idx="26">
                  <c:v>0.20136973088952201</c:v>
                </c:pt>
                <c:pt idx="27">
                  <c:v>0.20520568949227505</c:v>
                </c:pt>
                <c:pt idx="28">
                  <c:v>0.20897124558532323</c:v>
                </c:pt>
                <c:pt idx="29">
                  <c:v>0.21267013886054376</c:v>
                </c:pt>
                <c:pt idx="30">
                  <c:v>0.21630578920695684</c:v>
                </c:pt>
                <c:pt idx="31">
                  <c:v>0.21988133373691801</c:v>
                </c:pt>
                <c:pt idx="32">
                  <c:v>0.22339965847647889</c:v>
                </c:pt>
                <c:pt idx="33">
                  <c:v>0.22686342563068401</c:v>
                </c:pt>
                <c:pt idx="34">
                  <c:v>0.23027509715635855</c:v>
                </c:pt>
                <c:pt idx="35">
                  <c:v>0.23363695523579278</c:v>
                </c:pt>
                <c:pt idx="36">
                  <c:v>0.23695112013521547</c:v>
                </c:pt>
                <c:pt idx="37">
                  <c:v>0.24021956584511345</c:v>
                </c:pt>
                <c:pt idx="38">
                  <c:v>0.24344413383011779</c:v>
                </c:pt>
                <c:pt idx="39">
                  <c:v>0.24662654516044646</c:v>
                </c:pt>
                <c:pt idx="40">
                  <c:v>0.24976841125182195</c:v>
                </c:pt>
                <c:pt idx="41">
                  <c:v>0.25287124340411016</c:v>
                </c:pt>
                <c:pt idx="42">
                  <c:v>0.25593646129893682</c:v>
                </c:pt>
                <c:pt idx="43">
                  <c:v>0.25896540059186224</c:v>
                </c:pt>
                <c:pt idx="44">
                  <c:v>0.26195931971431213</c:v>
                </c:pt>
                <c:pt idx="45">
                  <c:v>0.26491940598353053</c:v>
                </c:pt>
                <c:pt idx="46">
                  <c:v>0.26784678110469823</c:v>
                </c:pt>
                <c:pt idx="47">
                  <c:v>0.27074250613752837</c:v>
                </c:pt>
                <c:pt idx="48">
                  <c:v>0.27360758598970003</c:v>
                </c:pt>
                <c:pt idx="49">
                  <c:v>0.27644297349108476</c:v>
                </c:pt>
                <c:pt idx="50">
                  <c:v>0.27924957309559861</c:v>
                </c:pt>
                <c:pt idx="51">
                  <c:v>0.28202824425144996</c:v>
                </c:pt>
                <c:pt idx="52">
                  <c:v>0.28477980447538243</c:v>
                </c:pt>
                <c:pt idx="53">
                  <c:v>0.28750503216207979</c:v>
                </c:pt>
                <c:pt idx="54">
                  <c:v>0.29020466915609749</c:v>
                </c:pt>
                <c:pt idx="55">
                  <c:v>0.29287942311040133</c:v>
                </c:pt>
                <c:pt idx="56">
                  <c:v>0.2955299696527629</c:v>
                </c:pt>
                <c:pt idx="57">
                  <c:v>0.29815695437880435</c:v>
                </c:pt>
                <c:pt idx="58">
                  <c:v>0.30076099468835032</c:v>
                </c:pt>
                <c:pt idx="59">
                  <c:v>0.30334268147988575</c:v>
                </c:pt>
                <c:pt idx="60">
                  <c:v>0.30590258071629411</c:v>
                </c:pt>
                <c:pt idx="61">
                  <c:v>0.3084412348736309</c:v>
                </c:pt>
                <c:pt idx="62">
                  <c:v>0.31095916428343429</c:v>
                </c:pt>
                <c:pt idx="63">
                  <c:v>0.31345686837798487</c:v>
                </c:pt>
                <c:pt idx="64">
                  <c:v>0.31593482684695401</c:v>
                </c:pt>
                <c:pt idx="65">
                  <c:v>0.31839350071302691</c:v>
                </c:pt>
                <c:pt idx="66">
                  <c:v>0.3208333333333333</c:v>
                </c:pt>
                <c:pt idx="67">
                  <c:v>0.3232547513328447</c:v>
                </c:pt>
                <c:pt idx="68">
                  <c:v>0.32565816547530435</c:v>
                </c:pt>
                <c:pt idx="69">
                  <c:v>0.32804397147672471</c:v>
                </c:pt>
                <c:pt idx="70">
                  <c:v>0.33041255076601384</c:v>
                </c:pt>
                <c:pt idx="71">
                  <c:v>0.33276427119687169</c:v>
                </c:pt>
                <c:pt idx="72">
                  <c:v>0.33509948771471831</c:v>
                </c:pt>
                <c:pt idx="73">
                  <c:v>0.33741854298207752</c:v>
                </c:pt>
                <c:pt idx="74">
                  <c:v>0.33972176796553616</c:v>
                </c:pt>
                <c:pt idx="75">
                  <c:v>0.34200948248712509</c:v>
                </c:pt>
                <c:pt idx="76">
                  <c:v>0.34428199574272333</c:v>
                </c:pt>
                <c:pt idx="77">
                  <c:v>0.34653960678986473</c:v>
                </c:pt>
                <c:pt idx="78">
                  <c:v>0.3487826050071241</c:v>
                </c:pt>
                <c:pt idx="79">
                  <c:v>0.35101127052708297</c:v>
                </c:pt>
                <c:pt idx="80">
                  <c:v>0.35322587464470739</c:v>
                </c:pt>
                <c:pt idx="81">
                  <c:v>0.35542668020282325</c:v>
                </c:pt>
                <c:pt idx="82">
                  <c:v>0.35761394195624058</c:v>
                </c:pt>
                <c:pt idx="83">
                  <c:v>0.35978790691595364</c:v>
                </c:pt>
                <c:pt idx="84">
                  <c:v>0.36194881467473328</c:v>
                </c:pt>
                <c:pt idx="85">
                  <c:v>0.36409689771532794</c:v>
                </c:pt>
                <c:pt idx="86">
                  <c:v>0.36623238170239314</c:v>
                </c:pt>
                <c:pt idx="87">
                  <c:v>0.36835548575919008</c:v>
                </c:pt>
                <c:pt idx="88">
                  <c:v>0.37046642273000979</c:v>
                </c:pt>
                <c:pt idx="89">
                  <c:v>0.37256539942921674</c:v>
                </c:pt>
                <c:pt idx="90">
                  <c:v>0.37465261687773288</c:v>
                </c:pt>
                <c:pt idx="91">
                  <c:v>0.37672827052773039</c:v>
                </c:pt>
                <c:pt idx="92">
                  <c:v>0.37879255047624194</c:v>
                </c:pt>
                <c:pt idx="93">
                  <c:v>0.38084564166835067</c:v>
                </c:pt>
                <c:pt idx="94">
                  <c:v>0.38288772409057359</c:v>
                </c:pt>
                <c:pt idx="95">
                  <c:v>0.38491897295501126</c:v>
                </c:pt>
                <c:pt idx="96">
                  <c:v>0.38693955887479659</c:v>
                </c:pt>
                <c:pt idx="97">
                  <c:v>0.38894964803134052</c:v>
                </c:pt>
                <c:pt idx="98">
                  <c:v>0.39094940233383796</c:v>
                </c:pt>
                <c:pt idx="99">
                  <c:v>0.39293897957146812</c:v>
                </c:pt>
                <c:pt idx="100">
                  <c:v>0.3949185335586925</c:v>
                </c:pt>
              </c:numCache>
            </c:numRef>
          </c:val>
          <c:smooth val="0"/>
        </c:ser>
        <c:ser>
          <c:idx val="7"/>
          <c:order val="7"/>
          <c:spPr>
            <a:ln w="31750">
              <a:solidFill>
                <a:srgbClr val="00B050"/>
              </a:solidFill>
            </a:ln>
          </c:spPr>
          <c:marker>
            <c:symbol val="none"/>
          </c:marker>
          <c:val>
            <c:numRef>
              <c:f>'Calculations - Single'!$AW$110:$AW$210</c:f>
              <c:numCache>
                <c:formatCode>0.000</c:formatCode>
                <c:ptCount val="101"/>
                <c:pt idx="0">
                  <c:v>4.3999999999999994E-3</c:v>
                </c:pt>
                <c:pt idx="1">
                  <c:v>2.3333333333333334E-2</c:v>
                </c:pt>
                <c:pt idx="2">
                  <c:v>4.6666666666666669E-2</c:v>
                </c:pt>
                <c:pt idx="3">
                  <c:v>7.0000000000000007E-2</c:v>
                </c:pt>
                <c:pt idx="4">
                  <c:v>9.3333333333333338E-2</c:v>
                </c:pt>
                <c:pt idx="5">
                  <c:v>0.11666666666666667</c:v>
                </c:pt>
                <c:pt idx="6">
                  <c:v>0.14000000000000001</c:v>
                </c:pt>
                <c:pt idx="7">
                  <c:v>0.15859802436768666</c:v>
                </c:pt>
                <c:pt idx="8">
                  <c:v>0.16954841982945951</c:v>
                </c:pt>
                <c:pt idx="9">
                  <c:v>0.17983325610131179</c:v>
                </c:pt>
                <c:pt idx="10">
                  <c:v>0.18956089610817237</c:v>
                </c:pt>
                <c:pt idx="11">
                  <c:v>0.19881314510531406</c:v>
                </c:pt>
                <c:pt idx="12">
                  <c:v>0.20765355763867852</c:v>
                </c:pt>
                <c:pt idx="13">
                  <c:v>0.21613267530230895</c:v>
                </c:pt>
                <c:pt idx="14">
                  <c:v>0.22429147702636112</c:v>
                </c:pt>
                <c:pt idx="15">
                  <c:v>0.23216373532487802</c:v>
                </c:pt>
                <c:pt idx="16">
                  <c:v>0.23977767480174905</c:v>
                </c:pt>
                <c:pt idx="17">
                  <c:v>0.24715716996815335</c:v>
                </c:pt>
                <c:pt idx="18">
                  <c:v>0.25432262974418929</c:v>
                </c:pt>
                <c:pt idx="19">
                  <c:v>0.26129166334449583</c:v>
                </c:pt>
                <c:pt idx="20">
                  <c:v>0.26807959017177457</c:v>
                </c:pt>
                <c:pt idx="21">
                  <c:v>0.27469983618488014</c:v>
                </c:pt>
                <c:pt idx="22">
                  <c:v>0.28116424618598523</c:v>
                </c:pt>
                <c:pt idx="23">
                  <c:v>0.28748333285021349</c:v>
                </c:pt>
                <c:pt idx="24">
                  <c:v>0.29366647748764241</c:v>
                </c:pt>
                <c:pt idx="25">
                  <c:v>0.29972209350218632</c:v>
                </c:pt>
                <c:pt idx="26">
                  <c:v>0.30565776068450584</c:v>
                </c:pt>
                <c:pt idx="27">
                  <c:v>0.31148033645801781</c:v>
                </c:pt>
                <c:pt idx="28">
                  <c:v>0.31719604873537333</c:v>
                </c:pt>
                <c:pt idx="29">
                  <c:v>0.32281057396973017</c:v>
                </c:pt>
                <c:pt idx="30">
                  <c:v>0.32832910318764003</c:v>
                </c:pt>
                <c:pt idx="31">
                  <c:v>0.33375639819085617</c:v>
                </c:pt>
                <c:pt idx="32">
                  <c:v>0.33909683965891901</c:v>
                </c:pt>
                <c:pt idx="33">
                  <c:v>0.34435446853496759</c:v>
                </c:pt>
                <c:pt idx="34">
                  <c:v>0.34953302180671469</c:v>
                </c:pt>
                <c:pt idx="35">
                  <c:v>0.35463596358331551</c:v>
                </c:pt>
                <c:pt idx="36">
                  <c:v>0.35966651220262358</c:v>
                </c:pt>
                <c:pt idx="37">
                  <c:v>0.36462766397152774</c:v>
                </c:pt>
                <c:pt idx="38">
                  <c:v>0.36952221403681085</c:v>
                </c:pt>
                <c:pt idx="39">
                  <c:v>0.37435277479938622</c:v>
                </c:pt>
                <c:pt idx="40">
                  <c:v>0.37912179221634473</c:v>
                </c:pt>
                <c:pt idx="41">
                  <c:v>0.3838315602795927</c:v>
                </c:pt>
                <c:pt idx="42">
                  <c:v>0.38848423391432502</c:v>
                </c:pt>
                <c:pt idx="43">
                  <c:v>0.39308184050313655</c:v>
                </c:pt>
                <c:pt idx="44">
                  <c:v>0.39762629021062812</c:v>
                </c:pt>
                <c:pt idx="45">
                  <c:v>0.40211938525766205</c:v>
                </c:pt>
                <c:pt idx="46">
                  <c:v>0.40656282827299067</c:v>
                </c:pt>
                <c:pt idx="47">
                  <c:v>0.41095822983201913</c:v>
                </c:pt>
                <c:pt idx="48">
                  <c:v>0.41530711527735703</c:v>
                </c:pt>
                <c:pt idx="49">
                  <c:v>0.41961093090306084</c:v>
                </c:pt>
                <c:pt idx="50">
                  <c:v>0.42387104957364879</c:v>
                </c:pt>
                <c:pt idx="51">
                  <c:v>0.42808877583977833</c:v>
                </c:pt>
                <c:pt idx="52">
                  <c:v>0.4322653506046179</c:v>
                </c:pt>
                <c:pt idx="53">
                  <c:v>0.4364019553882254</c:v>
                </c:pt>
                <c:pt idx="54">
                  <c:v>0.44049971623146361</c:v>
                </c:pt>
                <c:pt idx="55">
                  <c:v>0.4445597072760118</c:v>
                </c:pt>
                <c:pt idx="56">
                  <c:v>0.44858295405272225</c:v>
                </c:pt>
                <c:pt idx="57">
                  <c:v>0.45257043650684903</c:v>
                </c:pt>
                <c:pt idx="58">
                  <c:v>0.45652309178543571</c:v>
                </c:pt>
                <c:pt idx="59">
                  <c:v>0.46044181680931917</c:v>
                </c:pt>
                <c:pt idx="60">
                  <c:v>0.46432747064975605</c:v>
                </c:pt>
                <c:pt idx="61">
                  <c:v>0.46818087672750291</c:v>
                </c:pt>
                <c:pt idx="62">
                  <c:v>0.47200282485030381</c:v>
                </c:pt>
                <c:pt idx="63">
                  <c:v>0.47579407310305988</c:v>
                </c:pt>
                <c:pt idx="64">
                  <c:v>0.4795553496034981</c:v>
                </c:pt>
                <c:pt idx="65">
                  <c:v>0.48328735413485285</c:v>
                </c:pt>
                <c:pt idx="66">
                  <c:v>0.48699075966593031</c:v>
                </c:pt>
                <c:pt idx="67">
                  <c:v>0.49066621376790687</c:v>
                </c:pt>
                <c:pt idx="68">
                  <c:v>0.49431433993630669</c:v>
                </c:pt>
                <c:pt idx="69">
                  <c:v>0.49788539415338001</c:v>
                </c:pt>
                <c:pt idx="70">
                  <c:v>0.49431627721064492</c:v>
                </c:pt>
                <c:pt idx="71">
                  <c:v>0.49082283218350736</c:v>
                </c:pt>
                <c:pt idx="72">
                  <c:v>0.48740242234382719</c:v>
                </c:pt>
                <c:pt idx="73">
                  <c:v>0.48405253782097163</c:v>
                </c:pt>
                <c:pt idx="74">
                  <c:v>0.51219512195121952</c:v>
                </c:pt>
                <c:pt idx="75">
                  <c:v>0.51219512195121941</c:v>
                </c:pt>
                <c:pt idx="76">
                  <c:v>0.51219512195121952</c:v>
                </c:pt>
                <c:pt idx="77">
                  <c:v>0.51219512195121941</c:v>
                </c:pt>
                <c:pt idx="78">
                  <c:v>0.51219512195121952</c:v>
                </c:pt>
                <c:pt idx="79">
                  <c:v>0.51219512195121952</c:v>
                </c:pt>
                <c:pt idx="80">
                  <c:v>0.51219512195121941</c:v>
                </c:pt>
                <c:pt idx="81">
                  <c:v>0.51219512195121952</c:v>
                </c:pt>
                <c:pt idx="82">
                  <c:v>0.51219512195121952</c:v>
                </c:pt>
                <c:pt idx="83">
                  <c:v>0.51219512195121941</c:v>
                </c:pt>
                <c:pt idx="84">
                  <c:v>0.51219512195121952</c:v>
                </c:pt>
                <c:pt idx="85">
                  <c:v>0.51219512195121963</c:v>
                </c:pt>
                <c:pt idx="86">
                  <c:v>0.51219512195121952</c:v>
                </c:pt>
                <c:pt idx="87">
                  <c:v>0.51219512195121952</c:v>
                </c:pt>
                <c:pt idx="88">
                  <c:v>0.51219512195121941</c:v>
                </c:pt>
                <c:pt idx="89">
                  <c:v>0.51219512195121952</c:v>
                </c:pt>
                <c:pt idx="90">
                  <c:v>0.51219512195121941</c:v>
                </c:pt>
                <c:pt idx="91">
                  <c:v>0.51219512195121941</c:v>
                </c:pt>
                <c:pt idx="92">
                  <c:v>0.51219512195121941</c:v>
                </c:pt>
                <c:pt idx="93">
                  <c:v>0.51219512195121941</c:v>
                </c:pt>
                <c:pt idx="94">
                  <c:v>0.51219512195121941</c:v>
                </c:pt>
                <c:pt idx="95">
                  <c:v>0.51219512195121941</c:v>
                </c:pt>
                <c:pt idx="96">
                  <c:v>0.51219512195121952</c:v>
                </c:pt>
                <c:pt idx="97">
                  <c:v>0.51219512195121952</c:v>
                </c:pt>
                <c:pt idx="98">
                  <c:v>0.51219512195121952</c:v>
                </c:pt>
                <c:pt idx="99">
                  <c:v>0.51219512195121963</c:v>
                </c:pt>
                <c:pt idx="100">
                  <c:v>0.51219512195121952</c:v>
                </c:pt>
              </c:numCache>
            </c:numRef>
          </c:val>
          <c:smooth val="0"/>
        </c:ser>
        <c:ser>
          <c:idx val="8"/>
          <c:order val="8"/>
          <c:spPr>
            <a:ln w="31750">
              <a:solidFill>
                <a:srgbClr val="0000FF"/>
              </a:solidFill>
            </a:ln>
          </c:spPr>
          <c:marker>
            <c:symbol val="none"/>
          </c:marker>
          <c:val>
            <c:numRef>
              <c:f>'Calculations - Single'!$AW$216:$AW$316</c:f>
              <c:numCache>
                <c:formatCode>0.000</c:formatCode>
                <c:ptCount val="101"/>
                <c:pt idx="0">
                  <c:v>1.3749999999999999E-3</c:v>
                </c:pt>
                <c:pt idx="1">
                  <c:v>7.2916666666666668E-3</c:v>
                </c:pt>
                <c:pt idx="2">
                  <c:v>1.4583333333333334E-2</c:v>
                </c:pt>
                <c:pt idx="3">
                  <c:v>2.1875000000000006E-2</c:v>
                </c:pt>
                <c:pt idx="4">
                  <c:v>2.9166666666666667E-2</c:v>
                </c:pt>
                <c:pt idx="5">
                  <c:v>3.6458333333333336E-2</c:v>
                </c:pt>
                <c:pt idx="6">
                  <c:v>4.3750000000000011E-2</c:v>
                </c:pt>
                <c:pt idx="7">
                  <c:v>4.9561882614902082E-2</c:v>
                </c:pt>
                <c:pt idx="8">
                  <c:v>5.2983881196706099E-2</c:v>
                </c:pt>
                <c:pt idx="9">
                  <c:v>5.6197892531659938E-2</c:v>
                </c:pt>
                <c:pt idx="10">
                  <c:v>5.9237780033803866E-2</c:v>
                </c:pt>
                <c:pt idx="11">
                  <c:v>6.212910784541064E-2</c:v>
                </c:pt>
                <c:pt idx="12">
                  <c:v>6.4891736762087038E-2</c:v>
                </c:pt>
                <c:pt idx="13">
                  <c:v>6.7541461031971561E-2</c:v>
                </c:pt>
                <c:pt idx="14">
                  <c:v>7.0091086570737843E-2</c:v>
                </c:pt>
                <c:pt idx="15">
                  <c:v>7.2551167289024374E-2</c:v>
                </c:pt>
                <c:pt idx="16">
                  <c:v>7.4930523375546579E-2</c:v>
                </c:pt>
                <c:pt idx="17">
                  <c:v>7.7236615615047924E-2</c:v>
                </c:pt>
                <c:pt idx="18">
                  <c:v>7.9475821795059146E-2</c:v>
                </c:pt>
                <c:pt idx="19">
                  <c:v>8.1653644795154925E-2</c:v>
                </c:pt>
                <c:pt idx="20">
                  <c:v>8.3774871928679578E-2</c:v>
                </c:pt>
                <c:pt idx="21">
                  <c:v>8.5843698807775023E-2</c:v>
                </c:pt>
                <c:pt idx="22">
                  <c:v>8.7863826933120392E-2</c:v>
                </c:pt>
                <c:pt idx="23">
                  <c:v>8.9838541515691706E-2</c:v>
                </c:pt>
                <c:pt idx="24">
                  <c:v>9.1770774214888245E-2</c:v>
                </c:pt>
                <c:pt idx="25">
                  <c:v>9.366315421943322E-2</c:v>
                </c:pt>
                <c:pt idx="26">
                  <c:v>9.5518050213908093E-2</c:v>
                </c:pt>
                <c:pt idx="27">
                  <c:v>9.7337605143130557E-2</c:v>
                </c:pt>
                <c:pt idx="28">
                  <c:v>9.9123765229804164E-2</c:v>
                </c:pt>
                <c:pt idx="29">
                  <c:v>0.10087830436554068</c:v>
                </c:pt>
                <c:pt idx="30">
                  <c:v>0.10260284474613753</c:v>
                </c:pt>
                <c:pt idx="31">
                  <c:v>0.10429887443464256</c:v>
                </c:pt>
                <c:pt idx="32">
                  <c:v>0.1059677623934122</c:v>
                </c:pt>
                <c:pt idx="33">
                  <c:v>0.10761077141717737</c:v>
                </c:pt>
                <c:pt idx="34">
                  <c:v>0.10922906931459836</c:v>
                </c:pt>
                <c:pt idx="35">
                  <c:v>0.11082373861978607</c:v>
                </c:pt>
                <c:pt idx="36">
                  <c:v>0.11239578506331988</c:v>
                </c:pt>
                <c:pt idx="37">
                  <c:v>0.11394614499110242</c:v>
                </c:pt>
                <c:pt idx="38">
                  <c:v>0.11547569188650339</c:v>
                </c:pt>
                <c:pt idx="39">
                  <c:v>0.11698524212480818</c:v>
                </c:pt>
                <c:pt idx="40">
                  <c:v>0.11847556006760773</c:v>
                </c:pt>
                <c:pt idx="41">
                  <c:v>0.11994736258737272</c:v>
                </c:pt>
                <c:pt idx="42">
                  <c:v>0.12140132309822657</c:v>
                </c:pt>
                <c:pt idx="43">
                  <c:v>0.12283807515723018</c:v>
                </c:pt>
                <c:pt idx="44">
                  <c:v>0.12425821569082128</c:v>
                </c:pt>
                <c:pt idx="45">
                  <c:v>0.12566230789301938</c:v>
                </c:pt>
                <c:pt idx="46">
                  <c:v>0.12705088383530957</c:v>
                </c:pt>
                <c:pt idx="47">
                  <c:v>0.12842444682250601</c:v>
                </c:pt>
                <c:pt idx="48">
                  <c:v>0.12978347352417408</c:v>
                </c:pt>
                <c:pt idx="49">
                  <c:v>0.1311284159072065</c:v>
                </c:pt>
                <c:pt idx="50">
                  <c:v>0.13245970299176527</c:v>
                </c:pt>
                <c:pt idx="51">
                  <c:v>0.13377774244993074</c:v>
                </c:pt>
                <c:pt idx="52">
                  <c:v>0.13508292206394312</c:v>
                </c:pt>
                <c:pt idx="53">
                  <c:v>0.13637561105882043</c:v>
                </c:pt>
                <c:pt idx="54">
                  <c:v>0.13765616132233238</c:v>
                </c:pt>
                <c:pt idx="55">
                  <c:v>0.13892490852375367</c:v>
                </c:pt>
                <c:pt idx="56">
                  <c:v>0.14018217314147569</c:v>
                </c:pt>
                <c:pt idx="57">
                  <c:v>0.14142826140839035</c:v>
                </c:pt>
                <c:pt idx="58">
                  <c:v>0.14266346618294865</c:v>
                </c:pt>
                <c:pt idx="59">
                  <c:v>0.14388806775291224</c:v>
                </c:pt>
                <c:pt idx="60">
                  <c:v>0.14510233457804875</c:v>
                </c:pt>
                <c:pt idx="61">
                  <c:v>0.14630652397734467</c:v>
                </c:pt>
                <c:pt idx="62">
                  <c:v>0.14750088276571996</c:v>
                </c:pt>
                <c:pt idx="63">
                  <c:v>0.14868564784470623</c:v>
                </c:pt>
                <c:pt idx="64">
                  <c:v>0.14986104675109316</c:v>
                </c:pt>
                <c:pt idx="65">
                  <c:v>0.15102729816714153</c:v>
                </c:pt>
                <c:pt idx="66">
                  <c:v>0.15218461239560321</c:v>
                </c:pt>
                <c:pt idx="67">
                  <c:v>0.15333319180247088</c:v>
                </c:pt>
                <c:pt idx="68">
                  <c:v>0.15447323123009585</c:v>
                </c:pt>
                <c:pt idx="69">
                  <c:v>0.15560491838306395</c:v>
                </c:pt>
                <c:pt idx="70">
                  <c:v>0.15672843418899243</c:v>
                </c:pt>
                <c:pt idx="71">
                  <c:v>0.15784395313621191</c:v>
                </c:pt>
                <c:pt idx="72">
                  <c:v>0.15895164359011829</c:v>
                </c:pt>
                <c:pt idx="73">
                  <c:v>0.16005166808981819</c:v>
                </c:pt>
                <c:pt idx="74">
                  <c:v>0.16114418362654812</c:v>
                </c:pt>
                <c:pt idx="75">
                  <c:v>0.16222934190521762</c:v>
                </c:pt>
                <c:pt idx="76">
                  <c:v>0.16330728959030985</c:v>
                </c:pt>
                <c:pt idx="77">
                  <c:v>0.16437816853726855</c:v>
                </c:pt>
                <c:pt idx="78">
                  <c:v>0.16544211601040404</c:v>
                </c:pt>
                <c:pt idx="79">
                  <c:v>0.16649926488826708</c:v>
                </c:pt>
                <c:pt idx="80">
                  <c:v>0.16754974385735916</c:v>
                </c:pt>
                <c:pt idx="81">
                  <c:v>0.16859367759497981</c:v>
                </c:pt>
                <c:pt idx="82">
                  <c:v>0.16963118694194571</c:v>
                </c:pt>
                <c:pt idx="83">
                  <c:v>0.17066238906585907</c:v>
                </c:pt>
                <c:pt idx="84">
                  <c:v>0.17168739761555005</c:v>
                </c:pt>
                <c:pt idx="85">
                  <c:v>0.17270632286726892</c:v>
                </c:pt>
                <c:pt idx="86">
                  <c:v>0.1737192718631605</c:v>
                </c:pt>
                <c:pt idx="87">
                  <c:v>0.1747263485425137</c:v>
                </c:pt>
                <c:pt idx="88">
                  <c:v>0.17572765386624078</c:v>
                </c:pt>
                <c:pt idx="89">
                  <c:v>0.17672328593500816</c:v>
                </c:pt>
                <c:pt idx="90">
                  <c:v>0.17771334010141163</c:v>
                </c:pt>
                <c:pt idx="91">
                  <c:v>0.17869790907655672</c:v>
                </c:pt>
                <c:pt idx="92">
                  <c:v>0.17967708303138341</c:v>
                </c:pt>
                <c:pt idx="93">
                  <c:v>0.18065094969304754</c:v>
                </c:pt>
                <c:pt idx="94">
                  <c:v>0.18161959443665024</c:v>
                </c:pt>
                <c:pt idx="95">
                  <c:v>0.18258310037258832</c:v>
                </c:pt>
                <c:pt idx="96">
                  <c:v>0.18354154842977649</c:v>
                </c:pt>
                <c:pt idx="97">
                  <c:v>0.18449501743497934</c:v>
                </c:pt>
                <c:pt idx="98">
                  <c:v>0.18544358418847132</c:v>
                </c:pt>
                <c:pt idx="99">
                  <c:v>0.18638732353623191</c:v>
                </c:pt>
                <c:pt idx="100">
                  <c:v>0.18732630843886644</c:v>
                </c:pt>
              </c:numCache>
            </c:numRef>
          </c:val>
          <c:smooth val="0"/>
        </c:ser>
        <c:dLbls>
          <c:showLegendKey val="0"/>
          <c:showVal val="0"/>
          <c:showCatName val="0"/>
          <c:showSerName val="0"/>
          <c:showPercent val="0"/>
          <c:showBubbleSize val="0"/>
        </c:dLbls>
        <c:marker val="1"/>
        <c:smooth val="0"/>
        <c:axId val="317840384"/>
        <c:axId val="317838464"/>
      </c:lineChart>
      <c:catAx>
        <c:axId val="317809792"/>
        <c:scaling>
          <c:orientation val="minMax"/>
        </c:scaling>
        <c:delete val="0"/>
        <c:axPos val="b"/>
        <c:majorGridlines>
          <c:spPr>
            <a:ln w="15875">
              <a:solidFill>
                <a:srgbClr val="969696"/>
              </a:solidFill>
              <a:prstDash val="sysDash"/>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a:solidFill>
                      <a:schemeClr val="tx1"/>
                    </a:solidFill>
                    <a:latin typeface="Arial" pitchFamily="34" charset="0"/>
                    <a:cs typeface="Arial" pitchFamily="34" charset="0"/>
                  </a:rPr>
                  <a:t>Load Current (mA)</a:t>
                </a:r>
              </a:p>
            </c:rich>
          </c:tx>
          <c:layout>
            <c:manualLayout>
              <c:xMode val="edge"/>
              <c:yMode val="edge"/>
              <c:x val="0.4112305719849535"/>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317811712"/>
        <c:crosses val="autoZero"/>
        <c:auto val="1"/>
        <c:lblAlgn val="ctr"/>
        <c:lblOffset val="100"/>
        <c:tickLblSkip val="20"/>
        <c:tickMarkSkip val="10"/>
        <c:noMultiLvlLbl val="0"/>
      </c:catAx>
      <c:valAx>
        <c:axId val="317811712"/>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b="1">
                    <a:solidFill>
                      <a:schemeClr val="tx1"/>
                    </a:solidFill>
                    <a:latin typeface="Arial" pitchFamily="34" charset="0"/>
                    <a:cs typeface="Arial" pitchFamily="34" charset="0"/>
                  </a:rPr>
                  <a:t>Switching</a:t>
                </a:r>
                <a:r>
                  <a:rPr lang="en-US" sz="1400" b="1" baseline="0">
                    <a:solidFill>
                      <a:schemeClr val="tx1"/>
                    </a:solidFill>
                    <a:latin typeface="Arial" pitchFamily="34" charset="0"/>
                    <a:cs typeface="Arial" pitchFamily="34" charset="0"/>
                  </a:rPr>
                  <a:t> Frquency (kHz)</a:t>
                </a:r>
                <a:endParaRPr lang="en-US" sz="14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317809792"/>
        <c:crossesAt val="0"/>
        <c:crossBetween val="between"/>
        <c:majorUnit val="50"/>
        <c:minorUnit val="25"/>
      </c:valAx>
      <c:valAx>
        <c:axId val="317838464"/>
        <c:scaling>
          <c:orientation val="minMax"/>
          <c:min val="0"/>
        </c:scaling>
        <c:delete val="0"/>
        <c:axPos val="r"/>
        <c:title>
          <c:tx>
            <c:rich>
              <a:bodyPr rot="-5400000" vert="horz"/>
              <a:lstStyle/>
              <a:p>
                <a:pPr>
                  <a:defRPr sz="1400" b="1"/>
                </a:pPr>
                <a:r>
                  <a:rPr lang="en-US" sz="1400" b="1"/>
                  <a:t>Duty Cycle</a:t>
                </a:r>
              </a:p>
            </c:rich>
          </c:tx>
          <c:layout>
            <c:manualLayout>
              <c:xMode val="edge"/>
              <c:yMode val="edge"/>
              <c:x val="0.96323100741439582"/>
              <c:y val="0.41073169332818471"/>
            </c:manualLayout>
          </c:layout>
          <c:overlay val="0"/>
        </c:title>
        <c:numFmt formatCode="General" sourceLinked="0"/>
        <c:majorTickMark val="in"/>
        <c:minorTickMark val="in"/>
        <c:tickLblPos val="nextTo"/>
        <c:txPr>
          <a:bodyPr/>
          <a:lstStyle/>
          <a:p>
            <a:pPr>
              <a:defRPr sz="1200" b="1"/>
            </a:pPr>
            <a:endParaRPr lang="en-US"/>
          </a:p>
        </c:txPr>
        <c:crossAx val="317840384"/>
        <c:crosses val="max"/>
        <c:crossBetween val="between"/>
        <c:majorUnit val="0.1"/>
        <c:minorUnit val="2.0000000000000004E-2"/>
      </c:valAx>
      <c:catAx>
        <c:axId val="317840384"/>
        <c:scaling>
          <c:orientation val="minMax"/>
        </c:scaling>
        <c:delete val="1"/>
        <c:axPos val="b"/>
        <c:majorTickMark val="out"/>
        <c:minorTickMark val="none"/>
        <c:tickLblPos val="nextTo"/>
        <c:crossAx val="317838464"/>
        <c:crosses val="autoZero"/>
        <c:auto val="1"/>
        <c:lblAlgn val="ctr"/>
        <c:lblOffset val="100"/>
        <c:noMultiLvlLbl val="0"/>
      </c:catAx>
      <c:spPr>
        <a:solidFill>
          <a:srgbClr val="FFFFFF"/>
        </a:solidFill>
        <a:ln w="25400">
          <a:noFill/>
        </a:ln>
      </c:spPr>
    </c:plotArea>
    <c:legend>
      <c:legendPos val="t"/>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21364188347424315"/>
          <c:y val="3.4655227110648466E-2"/>
          <c:w val="0.56362386153343735"/>
          <c:h val="5.4335766847817754E-2"/>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6"/>
          <c:tx>
            <c:v>VIN-min</c:v>
          </c:tx>
          <c:spPr>
            <a:ln>
              <a:solidFill>
                <a:srgbClr val="00B050"/>
              </a:solidFill>
              <a:prstDash val="sys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344.96511816559399</c:v>
                </c:pt>
                <c:pt idx="36">
                  <c:v>335.38275377210539</c:v>
                </c:pt>
                <c:pt idx="37">
                  <c:v>326.3183550215079</c:v>
                </c:pt>
                <c:pt idx="38">
                  <c:v>317.73102988936301</c:v>
                </c:pt>
                <c:pt idx="39">
                  <c:v>309.5840804050203</c:v>
                </c:pt>
                <c:pt idx="40">
                  <c:v>301.84447839489479</c:v>
                </c:pt>
                <c:pt idx="41">
                  <c:v>294.48241794623891</c:v>
                </c:pt>
                <c:pt idx="42">
                  <c:v>287.47093180466175</c:v>
                </c:pt>
                <c:pt idx="43">
                  <c:v>280.78556129757663</c:v>
                </c:pt>
                <c:pt idx="44">
                  <c:v>274.40407126808617</c:v>
                </c:pt>
                <c:pt idx="45">
                  <c:v>268.30620301768425</c:v>
                </c:pt>
                <c:pt idx="46">
                  <c:v>262.47345947382155</c:v>
                </c:pt>
                <c:pt idx="47">
                  <c:v>256.88891778288922</c:v>
                </c:pt>
                <c:pt idx="48">
                  <c:v>251.53706532907904</c:v>
                </c:pt>
                <c:pt idx="49">
                  <c:v>246.40365583256718</c:v>
                </c:pt>
                <c:pt idx="50">
                  <c:v>241.47558271591589</c:v>
                </c:pt>
                <c:pt idx="51">
                  <c:v>236.74076736854502</c:v>
                </c:pt>
                <c:pt idx="52">
                  <c:v>232.52387096505447</c:v>
                </c:pt>
                <c:pt idx="53">
                  <c:v>230.46431097884167</c:v>
                </c:pt>
                <c:pt idx="54">
                  <c:v>228.44459150191634</c:v>
                </c:pt>
                <c:pt idx="55">
                  <c:v>226.46356758506289</c:v>
                </c:pt>
                <c:pt idx="56">
                  <c:v>224.52013773467138</c:v>
                </c:pt>
                <c:pt idx="57">
                  <c:v>222.61324187046333</c:v>
                </c:pt>
                <c:pt idx="58">
                  <c:v>220.7418593973216</c:v>
                </c:pt>
                <c:pt idx="59">
                  <c:v>218.90500738385526</c:v>
                </c:pt>
                <c:pt idx="60">
                  <c:v>217.1017388408693</c:v>
                </c:pt>
                <c:pt idx="61">
                  <c:v>215.33114109340357</c:v>
                </c:pt>
                <c:pt idx="62">
                  <c:v>213.59233424046207</c:v>
                </c:pt>
                <c:pt idx="63">
                  <c:v>211.88446969696966</c:v>
                </c:pt>
                <c:pt idx="64">
                  <c:v>210.20672881288067</c:v>
                </c:pt>
                <c:pt idx="65">
                  <c:v>208.55832156471811</c:v>
                </c:pt>
                <c:pt idx="66">
                  <c:v>206.93848531514988</c:v>
                </c:pt>
                <c:pt idx="67">
                  <c:v>205.34648363650879</c:v>
                </c:pt>
                <c:pt idx="68">
                  <c:v>203.7816051944454</c:v>
                </c:pt>
                <c:pt idx="69">
                  <c:v>202.2431626881565</c:v>
                </c:pt>
                <c:pt idx="70">
                  <c:v>200.73049184387284</c:v>
                </c:pt>
                <c:pt idx="71">
                  <c:v>199.24295045850963</c:v>
                </c:pt>
                <c:pt idx="72">
                  <c:v>197.77991749058657</c:v>
                </c:pt>
                <c:pt idx="73">
                  <c:v>196.34079219571444</c:v>
                </c:pt>
                <c:pt idx="74">
                  <c:v>194.9249933041196</c:v>
                </c:pt>
                <c:pt idx="75">
                  <c:v>193.5319582378406</c:v>
                </c:pt>
                <c:pt idx="76">
                  <c:v>192.16114236538277</c:v>
                </c:pt>
                <c:pt idx="77">
                  <c:v>190.81201829175583</c:v>
                </c:pt>
                <c:pt idx="78">
                  <c:v>189.48407518194995</c:v>
                </c:pt>
                <c:pt idx="79">
                  <c:v>188.17681811602782</c:v>
                </c:pt>
                <c:pt idx="80">
                  <c:v>186.88976747412184</c:v>
                </c:pt>
                <c:pt idx="81">
                  <c:v>185.62245834973106</c:v>
                </c:pt>
                <c:pt idx="82">
                  <c:v>184.37443998981036</c:v>
                </c:pt>
                <c:pt idx="83">
                  <c:v>183.14527526023474</c:v>
                </c:pt>
                <c:pt idx="84">
                  <c:v>181.93454013530811</c:v>
                </c:pt>
                <c:pt idx="85">
                  <c:v>180.74182321006276</c:v>
                </c:pt>
                <c:pt idx="86">
                  <c:v>179.56672523417251</c:v>
                </c:pt>
                <c:pt idx="87">
                  <c:v>178.40885866636938</c:v>
                </c:pt>
                <c:pt idx="88">
                  <c:v>177.26784724831944</c:v>
                </c:pt>
                <c:pt idx="89">
                  <c:v>176.1433255969738</c:v>
                </c:pt>
                <c:pt idx="90">
                  <c:v>175.03493881446636</c:v>
                </c:pt>
                <c:pt idx="91">
                  <c:v>173.94234211468404</c:v>
                </c:pt>
                <c:pt idx="92">
                  <c:v>172.8652004656835</c:v>
                </c:pt>
                <c:pt idx="93">
                  <c:v>171.80318824717591</c:v>
                </c:pt>
                <c:pt idx="94">
                  <c:v>170.75598892234373</c:v>
                </c:pt>
                <c:pt idx="95">
                  <c:v>169.72329472329471</c:v>
                </c:pt>
                <c:pt idx="96">
                  <c:v>168.70480634949686</c:v>
                </c:pt>
                <c:pt idx="97">
                  <c:v>167.70023267857323</c:v>
                </c:pt>
                <c:pt idx="98">
                  <c:v>166.70929048887015</c:v>
                </c:pt>
                <c:pt idx="99">
                  <c:v>165.73170419324268</c:v>
                </c:pt>
                <c:pt idx="100">
                  <c:v>164.7672055835321</c:v>
                </c:pt>
              </c:numCache>
            </c:numRef>
          </c:val>
          <c:smooth val="0"/>
        </c:ser>
        <c:ser>
          <c:idx val="10"/>
          <c:order val="7"/>
          <c:tx>
            <c:v>VIN-nom</c:v>
          </c:tx>
          <c:spPr>
            <a:ln w="28575">
              <a:solidFill>
                <a:srgbClr val="0000FF"/>
              </a:solidFill>
              <a:prstDash val="lg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348.99828839792701</c:v>
                </c:pt>
                <c:pt idx="54">
                  <c:v>342.53535713129872</c:v>
                </c:pt>
                <c:pt idx="55">
                  <c:v>336.30744154709339</c:v>
                </c:pt>
                <c:pt idx="56">
                  <c:v>330.30195151946663</c:v>
                </c:pt>
                <c:pt idx="57">
                  <c:v>324.50718044017782</c:v>
                </c:pt>
                <c:pt idx="58">
                  <c:v>318.91222905327822</c:v>
                </c:pt>
                <c:pt idx="59">
                  <c:v>313.50693703542606</c:v>
                </c:pt>
                <c:pt idx="60">
                  <c:v>308.28182141816887</c:v>
                </c:pt>
                <c:pt idx="61">
                  <c:v>303.22802106705143</c:v>
                </c:pt>
                <c:pt idx="62">
                  <c:v>298.33724653371183</c:v>
                </c:pt>
                <c:pt idx="63">
                  <c:v>293.60173468397034</c:v>
                </c:pt>
                <c:pt idx="64">
                  <c:v>289.01420757953338</c:v>
                </c:pt>
                <c:pt idx="65">
                  <c:v>286.08661939243859</c:v>
                </c:pt>
                <c:pt idx="66">
                  <c:v>283.56953226962048</c:v>
                </c:pt>
                <c:pt idx="67">
                  <c:v>281.09998120202027</c:v>
                </c:pt>
                <c:pt idx="68">
                  <c:v>278.67663218410917</c:v>
                </c:pt>
                <c:pt idx="69">
                  <c:v>276.29820066273874</c:v>
                </c:pt>
                <c:pt idx="70">
                  <c:v>273.96344926664659</c:v>
                </c:pt>
                <c:pt idx="71">
                  <c:v>271.67118565991728</c:v>
                </c:pt>
                <c:pt idx="72">
                  <c:v>269.42026051157455</c:v>
                </c:pt>
                <c:pt idx="73">
                  <c:v>267.20956557404082</c:v>
                </c:pt>
                <c:pt idx="74">
                  <c:v>265.03803186371323</c:v>
                </c:pt>
                <c:pt idx="75">
                  <c:v>262.90462793738152</c:v>
                </c:pt>
                <c:pt idx="76">
                  <c:v>260.80835825864784</c:v>
                </c:pt>
                <c:pt idx="77">
                  <c:v>258.74826164891425</c:v>
                </c:pt>
                <c:pt idx="78">
                  <c:v>256.72340981787232</c:v>
                </c:pt>
                <c:pt idx="79">
                  <c:v>254.73290596877595</c:v>
                </c:pt>
                <c:pt idx="80">
                  <c:v>252.77588347409463</c:v>
                </c:pt>
                <c:pt idx="81">
                  <c:v>250.85150461743737</c:v>
                </c:pt>
                <c:pt idx="82">
                  <c:v>248.95895939791177</c:v>
                </c:pt>
                <c:pt idx="83">
                  <c:v>247.09746439333176</c:v>
                </c:pt>
                <c:pt idx="84">
                  <c:v>245.26626167892286</c:v>
                </c:pt>
                <c:pt idx="85">
                  <c:v>243.46461779838953</c:v>
                </c:pt>
                <c:pt idx="86">
                  <c:v>241.69182278440974</c:v>
                </c:pt>
                <c:pt idx="87">
                  <c:v>239.94718922580938</c:v>
                </c:pt>
                <c:pt idx="88">
                  <c:v>238.2300513788403</c:v>
                </c:pt>
                <c:pt idx="89">
                  <c:v>236.53976432014971</c:v>
                </c:pt>
                <c:pt idx="90">
                  <c:v>234.87570313917618</c:v>
                </c:pt>
                <c:pt idx="91">
                  <c:v>233.23726216784721</c:v>
                </c:pt>
                <c:pt idx="92">
                  <c:v>231.62385424558491</c:v>
                </c:pt>
                <c:pt idx="93">
                  <c:v>230.03491001774458</c:v>
                </c:pt>
                <c:pt idx="94">
                  <c:v>228.46987726572661</c:v>
                </c:pt>
                <c:pt idx="95">
                  <c:v>226.92822026710448</c:v>
                </c:pt>
                <c:pt idx="96">
                  <c:v>225.40941918421316</c:v>
                </c:pt>
                <c:pt idx="97">
                  <c:v>223.91296947972998</c:v>
                </c:pt>
                <c:pt idx="98">
                  <c:v>222.43838135786913</c:v>
                </c:pt>
                <c:pt idx="99">
                  <c:v>220.98517922988981</c:v>
                </c:pt>
                <c:pt idx="100">
                  <c:v>219.55290120269126</c:v>
                </c:pt>
              </c:numCache>
            </c:numRef>
          </c:val>
          <c:smooth val="0"/>
        </c:ser>
        <c:ser>
          <c:idx val="11"/>
          <c:order val="8"/>
          <c:tx>
            <c:v>VIN-max</c:v>
          </c:tx>
          <c:spPr>
            <a:ln>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347.09587123862843</c:v>
                </c:pt>
                <c:pt idx="85">
                  <c:v>344.13392057789918</c:v>
                </c:pt>
                <c:pt idx="86">
                  <c:v>341.2255169531482</c:v>
                </c:pt>
                <c:pt idx="87">
                  <c:v>338.36922131301588</c:v>
                </c:pt>
                <c:pt idx="88">
                  <c:v>335.56364571341749</c:v>
                </c:pt>
                <c:pt idx="89">
                  <c:v>332.80745106869472</c:v>
                </c:pt>
                <c:pt idx="90">
                  <c:v>330.09934502047616</c:v>
                </c:pt>
                <c:pt idx="91">
                  <c:v>327.43807991712441</c:v>
                </c:pt>
                <c:pt idx="92">
                  <c:v>324.82245089712728</c:v>
                </c:pt>
                <c:pt idx="93">
                  <c:v>322.25129407025224</c:v>
                </c:pt>
                <c:pt idx="94">
                  <c:v>319.72348479069257</c:v>
                </c:pt>
                <c:pt idx="95">
                  <c:v>317.23793601682416</c:v>
                </c:pt>
                <c:pt idx="96">
                  <c:v>314.79359675254528</c:v>
                </c:pt>
                <c:pt idx="97">
                  <c:v>312.3894505655058</c:v>
                </c:pt>
                <c:pt idx="98">
                  <c:v>310.02451417783584</c:v>
                </c:pt>
                <c:pt idx="99">
                  <c:v>307.69783612526874</c:v>
                </c:pt>
                <c:pt idx="100">
                  <c:v>305.4084954808182</c:v>
                </c:pt>
              </c:numCache>
            </c:numRef>
          </c:val>
          <c:smooth val="0"/>
        </c:ser>
        <c:ser>
          <c:idx val="12"/>
          <c:order val="9"/>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232.52387096505447</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3"/>
          <c:order val="10"/>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4"/>
          <c:order val="11"/>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350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
          <c:order val="0"/>
          <c:tx>
            <c:v>VIN-min</c:v>
          </c:tx>
          <c:spPr>
            <a:ln>
              <a:solidFill>
                <a:srgbClr val="00B050"/>
              </a:solidFill>
              <a:prstDash val="sys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344.96511816559399</c:v>
                </c:pt>
                <c:pt idx="36">
                  <c:v>335.38275377210539</c:v>
                </c:pt>
                <c:pt idx="37">
                  <c:v>326.3183550215079</c:v>
                </c:pt>
                <c:pt idx="38">
                  <c:v>317.73102988936301</c:v>
                </c:pt>
                <c:pt idx="39">
                  <c:v>309.5840804050203</c:v>
                </c:pt>
                <c:pt idx="40">
                  <c:v>301.84447839489479</c:v>
                </c:pt>
                <c:pt idx="41">
                  <c:v>294.48241794623891</c:v>
                </c:pt>
                <c:pt idx="42">
                  <c:v>287.47093180466175</c:v>
                </c:pt>
                <c:pt idx="43">
                  <c:v>280.78556129757663</c:v>
                </c:pt>
                <c:pt idx="44">
                  <c:v>274.40407126808617</c:v>
                </c:pt>
                <c:pt idx="45">
                  <c:v>268.30620301768425</c:v>
                </c:pt>
                <c:pt idx="46">
                  <c:v>262.47345947382155</c:v>
                </c:pt>
                <c:pt idx="47">
                  <c:v>256.88891778288922</c:v>
                </c:pt>
                <c:pt idx="48">
                  <c:v>251.53706532907904</c:v>
                </c:pt>
                <c:pt idx="49">
                  <c:v>246.40365583256718</c:v>
                </c:pt>
                <c:pt idx="50">
                  <c:v>241.47558271591589</c:v>
                </c:pt>
                <c:pt idx="51">
                  <c:v>236.74076736854502</c:v>
                </c:pt>
                <c:pt idx="52">
                  <c:v>232.52387096505447</c:v>
                </c:pt>
                <c:pt idx="53">
                  <c:v>230.46431097884167</c:v>
                </c:pt>
                <c:pt idx="54">
                  <c:v>228.44459150191634</c:v>
                </c:pt>
                <c:pt idx="55">
                  <c:v>226.46356758506289</c:v>
                </c:pt>
                <c:pt idx="56">
                  <c:v>224.52013773467138</c:v>
                </c:pt>
                <c:pt idx="57">
                  <c:v>222.61324187046333</c:v>
                </c:pt>
                <c:pt idx="58">
                  <c:v>220.7418593973216</c:v>
                </c:pt>
                <c:pt idx="59">
                  <c:v>218.90500738385526</c:v>
                </c:pt>
                <c:pt idx="60">
                  <c:v>217.1017388408693</c:v>
                </c:pt>
                <c:pt idx="61">
                  <c:v>215.33114109340357</c:v>
                </c:pt>
                <c:pt idx="62">
                  <c:v>213.59233424046207</c:v>
                </c:pt>
                <c:pt idx="63">
                  <c:v>211.88446969696966</c:v>
                </c:pt>
                <c:pt idx="64">
                  <c:v>210.20672881288067</c:v>
                </c:pt>
                <c:pt idx="65">
                  <c:v>208.55832156471811</c:v>
                </c:pt>
                <c:pt idx="66">
                  <c:v>206.93848531514988</c:v>
                </c:pt>
                <c:pt idx="67">
                  <c:v>205.34648363650879</c:v>
                </c:pt>
                <c:pt idx="68">
                  <c:v>203.7816051944454</c:v>
                </c:pt>
                <c:pt idx="69">
                  <c:v>202.2431626881565</c:v>
                </c:pt>
                <c:pt idx="70">
                  <c:v>200.73049184387284</c:v>
                </c:pt>
                <c:pt idx="71">
                  <c:v>199.24295045850963</c:v>
                </c:pt>
                <c:pt idx="72">
                  <c:v>197.77991749058657</c:v>
                </c:pt>
                <c:pt idx="73">
                  <c:v>196.34079219571444</c:v>
                </c:pt>
                <c:pt idx="74">
                  <c:v>194.9249933041196</c:v>
                </c:pt>
                <c:pt idx="75">
                  <c:v>193.5319582378406</c:v>
                </c:pt>
                <c:pt idx="76">
                  <c:v>192.16114236538277</c:v>
                </c:pt>
                <c:pt idx="77">
                  <c:v>190.81201829175583</c:v>
                </c:pt>
                <c:pt idx="78">
                  <c:v>189.48407518194995</c:v>
                </c:pt>
                <c:pt idx="79">
                  <c:v>188.17681811602782</c:v>
                </c:pt>
                <c:pt idx="80">
                  <c:v>186.88976747412184</c:v>
                </c:pt>
                <c:pt idx="81">
                  <c:v>185.62245834973106</c:v>
                </c:pt>
                <c:pt idx="82">
                  <c:v>184.37443998981036</c:v>
                </c:pt>
                <c:pt idx="83">
                  <c:v>183.14527526023474</c:v>
                </c:pt>
                <c:pt idx="84">
                  <c:v>181.93454013530811</c:v>
                </c:pt>
                <c:pt idx="85">
                  <c:v>180.74182321006276</c:v>
                </c:pt>
                <c:pt idx="86">
                  <c:v>179.56672523417251</c:v>
                </c:pt>
                <c:pt idx="87">
                  <c:v>178.40885866636938</c:v>
                </c:pt>
                <c:pt idx="88">
                  <c:v>177.26784724831944</c:v>
                </c:pt>
                <c:pt idx="89">
                  <c:v>176.1433255969738</c:v>
                </c:pt>
                <c:pt idx="90">
                  <c:v>175.03493881446636</c:v>
                </c:pt>
                <c:pt idx="91">
                  <c:v>173.94234211468404</c:v>
                </c:pt>
                <c:pt idx="92">
                  <c:v>172.8652004656835</c:v>
                </c:pt>
                <c:pt idx="93">
                  <c:v>171.80318824717591</c:v>
                </c:pt>
                <c:pt idx="94">
                  <c:v>170.75598892234373</c:v>
                </c:pt>
                <c:pt idx="95">
                  <c:v>169.72329472329471</c:v>
                </c:pt>
                <c:pt idx="96">
                  <c:v>168.70480634949686</c:v>
                </c:pt>
                <c:pt idx="97">
                  <c:v>167.70023267857323</c:v>
                </c:pt>
                <c:pt idx="98">
                  <c:v>166.70929048887015</c:v>
                </c:pt>
                <c:pt idx="99">
                  <c:v>165.73170419324268</c:v>
                </c:pt>
                <c:pt idx="100">
                  <c:v>164.7672055835321</c:v>
                </c:pt>
              </c:numCache>
            </c:numRef>
          </c:val>
          <c:smooth val="0"/>
        </c:ser>
        <c:ser>
          <c:idx val="0"/>
          <c:order val="1"/>
          <c:tx>
            <c:v>VIN-nom</c:v>
          </c:tx>
          <c:spPr>
            <a:ln w="28575">
              <a:solidFill>
                <a:srgbClr val="0000FF"/>
              </a:solidFill>
              <a:prstDash val="lg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348.99828839792701</c:v>
                </c:pt>
                <c:pt idx="54">
                  <c:v>342.53535713129872</c:v>
                </c:pt>
                <c:pt idx="55">
                  <c:v>336.30744154709339</c:v>
                </c:pt>
                <c:pt idx="56">
                  <c:v>330.30195151946663</c:v>
                </c:pt>
                <c:pt idx="57">
                  <c:v>324.50718044017782</c:v>
                </c:pt>
                <c:pt idx="58">
                  <c:v>318.91222905327822</c:v>
                </c:pt>
                <c:pt idx="59">
                  <c:v>313.50693703542606</c:v>
                </c:pt>
                <c:pt idx="60">
                  <c:v>308.28182141816887</c:v>
                </c:pt>
                <c:pt idx="61">
                  <c:v>303.22802106705143</c:v>
                </c:pt>
                <c:pt idx="62">
                  <c:v>298.33724653371183</c:v>
                </c:pt>
                <c:pt idx="63">
                  <c:v>293.60173468397034</c:v>
                </c:pt>
                <c:pt idx="64">
                  <c:v>289.01420757953338</c:v>
                </c:pt>
                <c:pt idx="65">
                  <c:v>286.08661939243859</c:v>
                </c:pt>
                <c:pt idx="66">
                  <c:v>283.56953226962048</c:v>
                </c:pt>
                <c:pt idx="67">
                  <c:v>281.09998120202027</c:v>
                </c:pt>
                <c:pt idx="68">
                  <c:v>278.67663218410917</c:v>
                </c:pt>
                <c:pt idx="69">
                  <c:v>276.29820066273874</c:v>
                </c:pt>
                <c:pt idx="70">
                  <c:v>273.96344926664659</c:v>
                </c:pt>
                <c:pt idx="71">
                  <c:v>271.67118565991728</c:v>
                </c:pt>
                <c:pt idx="72">
                  <c:v>269.42026051157455</c:v>
                </c:pt>
                <c:pt idx="73">
                  <c:v>267.20956557404082</c:v>
                </c:pt>
                <c:pt idx="74">
                  <c:v>265.03803186371323</c:v>
                </c:pt>
                <c:pt idx="75">
                  <c:v>262.90462793738152</c:v>
                </c:pt>
                <c:pt idx="76">
                  <c:v>260.80835825864784</c:v>
                </c:pt>
                <c:pt idx="77">
                  <c:v>258.74826164891425</c:v>
                </c:pt>
                <c:pt idx="78">
                  <c:v>256.72340981787232</c:v>
                </c:pt>
                <c:pt idx="79">
                  <c:v>254.73290596877595</c:v>
                </c:pt>
                <c:pt idx="80">
                  <c:v>252.77588347409463</c:v>
                </c:pt>
                <c:pt idx="81">
                  <c:v>250.85150461743737</c:v>
                </c:pt>
                <c:pt idx="82">
                  <c:v>248.95895939791177</c:v>
                </c:pt>
                <c:pt idx="83">
                  <c:v>247.09746439333176</c:v>
                </c:pt>
                <c:pt idx="84">
                  <c:v>245.26626167892286</c:v>
                </c:pt>
                <c:pt idx="85">
                  <c:v>243.46461779838953</c:v>
                </c:pt>
                <c:pt idx="86">
                  <c:v>241.69182278440974</c:v>
                </c:pt>
                <c:pt idx="87">
                  <c:v>239.94718922580938</c:v>
                </c:pt>
                <c:pt idx="88">
                  <c:v>238.2300513788403</c:v>
                </c:pt>
                <c:pt idx="89">
                  <c:v>236.53976432014971</c:v>
                </c:pt>
                <c:pt idx="90">
                  <c:v>234.87570313917618</c:v>
                </c:pt>
                <c:pt idx="91">
                  <c:v>233.23726216784721</c:v>
                </c:pt>
                <c:pt idx="92">
                  <c:v>231.62385424558491</c:v>
                </c:pt>
                <c:pt idx="93">
                  <c:v>230.03491001774458</c:v>
                </c:pt>
                <c:pt idx="94">
                  <c:v>228.46987726572661</c:v>
                </c:pt>
                <c:pt idx="95">
                  <c:v>226.92822026710448</c:v>
                </c:pt>
                <c:pt idx="96">
                  <c:v>225.40941918421316</c:v>
                </c:pt>
                <c:pt idx="97">
                  <c:v>223.91296947972998</c:v>
                </c:pt>
                <c:pt idx="98">
                  <c:v>222.43838135786913</c:v>
                </c:pt>
                <c:pt idx="99">
                  <c:v>220.98517922988981</c:v>
                </c:pt>
                <c:pt idx="100">
                  <c:v>219.55290120269126</c:v>
                </c:pt>
              </c:numCache>
            </c:numRef>
          </c:val>
          <c:smooth val="0"/>
        </c:ser>
        <c:ser>
          <c:idx val="2"/>
          <c:order val="2"/>
          <c:tx>
            <c:v>VIN-max</c:v>
          </c:tx>
          <c:spPr>
            <a:ln>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347.09587123862843</c:v>
                </c:pt>
                <c:pt idx="85">
                  <c:v>344.13392057789918</c:v>
                </c:pt>
                <c:pt idx="86">
                  <c:v>341.2255169531482</c:v>
                </c:pt>
                <c:pt idx="87">
                  <c:v>338.36922131301588</c:v>
                </c:pt>
                <c:pt idx="88">
                  <c:v>335.56364571341749</c:v>
                </c:pt>
                <c:pt idx="89">
                  <c:v>332.80745106869472</c:v>
                </c:pt>
                <c:pt idx="90">
                  <c:v>330.09934502047616</c:v>
                </c:pt>
                <c:pt idx="91">
                  <c:v>327.43807991712441</c:v>
                </c:pt>
                <c:pt idx="92">
                  <c:v>324.82245089712728</c:v>
                </c:pt>
                <c:pt idx="93">
                  <c:v>322.25129407025224</c:v>
                </c:pt>
                <c:pt idx="94">
                  <c:v>319.72348479069257</c:v>
                </c:pt>
                <c:pt idx="95">
                  <c:v>317.23793601682416</c:v>
                </c:pt>
                <c:pt idx="96">
                  <c:v>314.79359675254528</c:v>
                </c:pt>
                <c:pt idx="97">
                  <c:v>312.3894505655058</c:v>
                </c:pt>
                <c:pt idx="98">
                  <c:v>310.02451417783584</c:v>
                </c:pt>
                <c:pt idx="99">
                  <c:v>307.69783612526874</c:v>
                </c:pt>
                <c:pt idx="100">
                  <c:v>305.4084954808182</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232.52387096505447</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350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23312640"/>
        <c:axId val="323327488"/>
      </c:lineChart>
      <c:catAx>
        <c:axId val="323312640"/>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323327488"/>
        <c:crosses val="autoZero"/>
        <c:auto val="1"/>
        <c:lblAlgn val="ctr"/>
        <c:lblOffset val="100"/>
        <c:tickLblSkip val="20"/>
        <c:tickMarkSkip val="10"/>
        <c:noMultiLvlLbl val="0"/>
      </c:catAx>
      <c:valAx>
        <c:axId val="323327488"/>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323312640"/>
        <c:crossesAt val="0"/>
        <c:crossBetween val="between"/>
        <c:majorUnit val="50"/>
        <c:minorUnit val="25"/>
      </c:valAx>
      <c:spPr>
        <a:noFill/>
        <a:ln w="25400">
          <a:noFill/>
        </a:ln>
      </c:spPr>
    </c:plotArea>
    <c:legend>
      <c:legendPos val="t"/>
      <c:legendEntry>
        <c:idx val="9"/>
        <c:delete val="1"/>
      </c:legendEntry>
      <c:legendEntry>
        <c:idx val="10"/>
        <c:delete val="1"/>
      </c:legendEntry>
      <c:legendEntry>
        <c:idx val="11"/>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FSW</a:t>
            </a:r>
            <a:r>
              <a:rPr lang="en-US" baseline="0"/>
              <a:t> vs. VIN</a:t>
            </a:r>
            <a:endParaRPr lang="en-US"/>
          </a:p>
        </c:rich>
      </c:tx>
      <c:layout>
        <c:manualLayout>
          <c:xMode val="edge"/>
          <c:yMode val="edge"/>
          <c:x val="0.46949559660480134"/>
          <c:y val="4.3950758924335628E-2"/>
        </c:manualLayout>
      </c:layout>
      <c:overlay val="0"/>
      <c:spPr>
        <a:noFill/>
        <a:ln w="25400">
          <a:noFill/>
        </a:ln>
      </c:spPr>
    </c:title>
    <c:autoTitleDeleted val="0"/>
    <c:plotArea>
      <c:layout>
        <c:manualLayout>
          <c:layoutTarget val="inner"/>
          <c:xMode val="edge"/>
          <c:yMode val="edge"/>
          <c:x val="0.11549893842887474"/>
          <c:y val="0.12692138023914851"/>
          <c:w val="0.81825902335456679"/>
          <c:h val="0.73598262282121851"/>
        </c:manualLayout>
      </c:layout>
      <c:scatterChart>
        <c:scatterStyle val="lineMarker"/>
        <c:varyColors val="0"/>
        <c:ser>
          <c:idx val="2"/>
          <c:order val="0"/>
          <c:tx>
            <c:strRef>
              <c:f>'Fsw vs VIN'!$M$5</c:f>
              <c:strCache>
                <c:ptCount val="1"/>
                <c:pt idx="0">
                  <c:v>Fsw-BCM (kHz) at Iout-max</c:v>
                </c:pt>
              </c:strCache>
            </c:strRef>
          </c:tx>
          <c:spPr>
            <a:ln w="25400">
              <a:solidFill>
                <a:srgbClr val="000080"/>
              </a:solidFill>
              <a:prstDash val="solid"/>
            </a:ln>
          </c:spPr>
          <c:marker>
            <c:symbol val="none"/>
          </c:marker>
          <c:xVal>
            <c:numRef>
              <c:f>'Fsw vs VIN'!$D$6:$D$106</c:f>
              <c:numCache>
                <c:formatCode>0.00</c:formatCode>
                <c:ptCount val="101"/>
                <c:pt idx="0">
                  <c:v>15</c:v>
                </c:pt>
                <c:pt idx="1">
                  <c:v>15.33</c:v>
                </c:pt>
                <c:pt idx="2">
                  <c:v>15.66</c:v>
                </c:pt>
                <c:pt idx="3">
                  <c:v>15.99</c:v>
                </c:pt>
                <c:pt idx="4">
                  <c:v>16.32</c:v>
                </c:pt>
                <c:pt idx="5">
                  <c:v>16.649999999999999</c:v>
                </c:pt>
                <c:pt idx="6">
                  <c:v>16.98</c:v>
                </c:pt>
                <c:pt idx="7">
                  <c:v>17.309999999999999</c:v>
                </c:pt>
                <c:pt idx="8">
                  <c:v>17.64</c:v>
                </c:pt>
                <c:pt idx="9">
                  <c:v>17.97</c:v>
                </c:pt>
                <c:pt idx="10">
                  <c:v>18.3</c:v>
                </c:pt>
                <c:pt idx="11">
                  <c:v>18.63</c:v>
                </c:pt>
                <c:pt idx="12">
                  <c:v>18.96</c:v>
                </c:pt>
                <c:pt idx="13">
                  <c:v>19.29</c:v>
                </c:pt>
                <c:pt idx="14">
                  <c:v>19.62</c:v>
                </c:pt>
                <c:pt idx="15">
                  <c:v>19.95</c:v>
                </c:pt>
                <c:pt idx="16">
                  <c:v>20.28</c:v>
                </c:pt>
                <c:pt idx="17">
                  <c:v>20.61</c:v>
                </c:pt>
                <c:pt idx="18">
                  <c:v>20.939999999999998</c:v>
                </c:pt>
                <c:pt idx="19">
                  <c:v>21.27</c:v>
                </c:pt>
                <c:pt idx="20">
                  <c:v>21.6</c:v>
                </c:pt>
                <c:pt idx="21">
                  <c:v>21.93</c:v>
                </c:pt>
                <c:pt idx="22">
                  <c:v>22.259999999999998</c:v>
                </c:pt>
                <c:pt idx="23">
                  <c:v>22.59</c:v>
                </c:pt>
                <c:pt idx="24">
                  <c:v>22.92</c:v>
                </c:pt>
                <c:pt idx="25">
                  <c:v>23.25</c:v>
                </c:pt>
                <c:pt idx="26">
                  <c:v>23.58</c:v>
                </c:pt>
                <c:pt idx="27">
                  <c:v>23.91</c:v>
                </c:pt>
                <c:pt idx="28">
                  <c:v>24.240000000000002</c:v>
                </c:pt>
                <c:pt idx="29">
                  <c:v>24.57</c:v>
                </c:pt>
                <c:pt idx="30">
                  <c:v>24.9</c:v>
                </c:pt>
                <c:pt idx="31">
                  <c:v>25.23</c:v>
                </c:pt>
                <c:pt idx="32">
                  <c:v>25.560000000000002</c:v>
                </c:pt>
                <c:pt idx="33">
                  <c:v>25.89</c:v>
                </c:pt>
                <c:pt idx="34">
                  <c:v>26.22</c:v>
                </c:pt>
                <c:pt idx="35">
                  <c:v>26.549999999999997</c:v>
                </c:pt>
                <c:pt idx="36">
                  <c:v>26.88</c:v>
                </c:pt>
                <c:pt idx="37">
                  <c:v>27.21</c:v>
                </c:pt>
                <c:pt idx="38">
                  <c:v>27.54</c:v>
                </c:pt>
                <c:pt idx="39">
                  <c:v>27.87</c:v>
                </c:pt>
                <c:pt idx="40">
                  <c:v>28.200000000000003</c:v>
                </c:pt>
                <c:pt idx="41">
                  <c:v>28.53</c:v>
                </c:pt>
                <c:pt idx="42">
                  <c:v>28.86</c:v>
                </c:pt>
                <c:pt idx="43">
                  <c:v>29.189999999999998</c:v>
                </c:pt>
                <c:pt idx="44">
                  <c:v>29.52</c:v>
                </c:pt>
                <c:pt idx="45">
                  <c:v>29.85</c:v>
                </c:pt>
                <c:pt idx="46">
                  <c:v>30.18</c:v>
                </c:pt>
                <c:pt idx="47">
                  <c:v>30.509999999999998</c:v>
                </c:pt>
                <c:pt idx="48">
                  <c:v>30.84</c:v>
                </c:pt>
                <c:pt idx="49">
                  <c:v>31.169999999999998</c:v>
                </c:pt>
                <c:pt idx="50">
                  <c:v>31.5</c:v>
                </c:pt>
                <c:pt idx="51">
                  <c:v>31.830000000000002</c:v>
                </c:pt>
                <c:pt idx="52">
                  <c:v>32.159999999999997</c:v>
                </c:pt>
                <c:pt idx="53">
                  <c:v>32.49</c:v>
                </c:pt>
                <c:pt idx="54">
                  <c:v>32.82</c:v>
                </c:pt>
                <c:pt idx="55">
                  <c:v>33.150000000000006</c:v>
                </c:pt>
                <c:pt idx="56">
                  <c:v>33.480000000000004</c:v>
                </c:pt>
                <c:pt idx="57">
                  <c:v>33.81</c:v>
                </c:pt>
                <c:pt idx="58">
                  <c:v>34.14</c:v>
                </c:pt>
                <c:pt idx="59">
                  <c:v>34.47</c:v>
                </c:pt>
                <c:pt idx="60">
                  <c:v>34.799999999999997</c:v>
                </c:pt>
                <c:pt idx="61">
                  <c:v>35.129999999999995</c:v>
                </c:pt>
                <c:pt idx="62">
                  <c:v>35.46</c:v>
                </c:pt>
                <c:pt idx="63">
                  <c:v>35.79</c:v>
                </c:pt>
                <c:pt idx="64">
                  <c:v>36.120000000000005</c:v>
                </c:pt>
                <c:pt idx="65">
                  <c:v>36.450000000000003</c:v>
                </c:pt>
                <c:pt idx="66">
                  <c:v>36.78</c:v>
                </c:pt>
                <c:pt idx="67">
                  <c:v>37.11</c:v>
                </c:pt>
                <c:pt idx="68">
                  <c:v>37.44</c:v>
                </c:pt>
                <c:pt idx="69">
                  <c:v>37.769999999999996</c:v>
                </c:pt>
                <c:pt idx="70">
                  <c:v>38.099999999999994</c:v>
                </c:pt>
                <c:pt idx="71">
                  <c:v>38.43</c:v>
                </c:pt>
                <c:pt idx="72">
                  <c:v>38.76</c:v>
                </c:pt>
                <c:pt idx="73">
                  <c:v>39.090000000000003</c:v>
                </c:pt>
                <c:pt idx="74">
                  <c:v>39.42</c:v>
                </c:pt>
                <c:pt idx="75">
                  <c:v>39.75</c:v>
                </c:pt>
                <c:pt idx="76">
                  <c:v>40.08</c:v>
                </c:pt>
                <c:pt idx="77">
                  <c:v>40.409999999999997</c:v>
                </c:pt>
                <c:pt idx="78">
                  <c:v>40.74</c:v>
                </c:pt>
                <c:pt idx="79">
                  <c:v>41.07</c:v>
                </c:pt>
                <c:pt idx="80">
                  <c:v>41.400000000000006</c:v>
                </c:pt>
                <c:pt idx="81">
                  <c:v>41.730000000000004</c:v>
                </c:pt>
                <c:pt idx="82">
                  <c:v>42.06</c:v>
                </c:pt>
                <c:pt idx="83">
                  <c:v>42.39</c:v>
                </c:pt>
                <c:pt idx="84">
                  <c:v>42.72</c:v>
                </c:pt>
                <c:pt idx="85">
                  <c:v>43.05</c:v>
                </c:pt>
                <c:pt idx="86">
                  <c:v>43.379999999999995</c:v>
                </c:pt>
                <c:pt idx="87">
                  <c:v>43.71</c:v>
                </c:pt>
                <c:pt idx="88">
                  <c:v>44.04</c:v>
                </c:pt>
                <c:pt idx="89">
                  <c:v>44.370000000000005</c:v>
                </c:pt>
                <c:pt idx="90">
                  <c:v>44.7</c:v>
                </c:pt>
                <c:pt idx="91">
                  <c:v>45.03</c:v>
                </c:pt>
                <c:pt idx="92">
                  <c:v>45.36</c:v>
                </c:pt>
                <c:pt idx="93">
                  <c:v>45.69</c:v>
                </c:pt>
                <c:pt idx="94">
                  <c:v>46.019999999999996</c:v>
                </c:pt>
                <c:pt idx="95">
                  <c:v>46.349999999999994</c:v>
                </c:pt>
                <c:pt idx="96">
                  <c:v>46.68</c:v>
                </c:pt>
                <c:pt idx="97">
                  <c:v>47.01</c:v>
                </c:pt>
                <c:pt idx="98">
                  <c:v>47.339999999999996</c:v>
                </c:pt>
                <c:pt idx="99">
                  <c:v>47.67</c:v>
                </c:pt>
                <c:pt idx="100">
                  <c:v>48</c:v>
                </c:pt>
              </c:numCache>
            </c:numRef>
          </c:xVal>
          <c:yVal>
            <c:numRef>
              <c:f>'Fsw vs VIN'!$M$6:$M$106</c:f>
              <c:numCache>
                <c:formatCode>0.0</c:formatCode>
                <c:ptCount val="101"/>
                <c:pt idx="0">
                  <c:v>241.47558271591589</c:v>
                </c:pt>
                <c:pt idx="1">
                  <c:v>246.8898491454446</c:v>
                </c:pt>
                <c:pt idx="2">
                  <c:v>252.24849717609428</c:v>
                </c:pt>
                <c:pt idx="3">
                  <c:v>257.55146675112752</c:v>
                </c:pt>
                <c:pt idx="4">
                  <c:v>262.79877340135783</c:v>
                </c:pt>
                <c:pt idx="5">
                  <c:v>267.99050071022731</c:v>
                </c:pt>
                <c:pt idx="6">
                  <c:v>273.12679345541858</c:v>
                </c:pt>
                <c:pt idx="7">
                  <c:v>278.20785136446278</c:v>
                </c:pt>
                <c:pt idx="8">
                  <c:v>283.23392342794273</c:v>
                </c:pt>
                <c:pt idx="9">
                  <c:v>288.20530271938759</c:v>
                </c:pt>
                <c:pt idx="10">
                  <c:v>293.12232167587905</c:v>
                </c:pt>
                <c:pt idx="11">
                  <c:v>297.98534779779516</c:v>
                </c:pt>
                <c:pt idx="12">
                  <c:v>302.7947797300929</c:v>
                </c:pt>
                <c:pt idx="13">
                  <c:v>307.55104369107204</c:v>
                </c:pt>
                <c:pt idx="14">
                  <c:v>312.25459021777715</c:v>
                </c:pt>
                <c:pt idx="15">
                  <c:v>316.90589120006291</c:v>
                </c:pt>
                <c:pt idx="16">
                  <c:v>321.50543717794784</c:v>
                </c:pt>
                <c:pt idx="17">
                  <c:v>326.05373487921185</c:v>
                </c:pt>
                <c:pt idx="18">
                  <c:v>330.55130497630859</c:v>
                </c:pt>
                <c:pt idx="19">
                  <c:v>334.99868004355864</c:v>
                </c:pt>
                <c:pt idx="20">
                  <c:v>339.39640269731723</c:v>
                </c:pt>
                <c:pt idx="21">
                  <c:v>343.74502390335886</c:v>
                </c:pt>
                <c:pt idx="22">
                  <c:v>348.04510143713009</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yVal>
          <c:smooth val="0"/>
        </c:ser>
        <c:dLbls>
          <c:showLegendKey val="0"/>
          <c:showVal val="0"/>
          <c:showCatName val="0"/>
          <c:showSerName val="0"/>
          <c:showPercent val="0"/>
          <c:showBubbleSize val="0"/>
        </c:dLbls>
        <c:axId val="323406848"/>
        <c:axId val="323409024"/>
      </c:scatterChart>
      <c:valAx>
        <c:axId val="323406848"/>
        <c:scaling>
          <c:orientation val="minMax"/>
        </c:scaling>
        <c:delete val="0"/>
        <c:axPos val="b"/>
        <c:majorGridlines/>
        <c:title>
          <c:tx>
            <c:rich>
              <a:bodyPr/>
              <a:lstStyle/>
              <a:p>
                <a:pPr>
                  <a:defRPr sz="1100" b="1" i="0" u="none" strike="noStrike" baseline="0">
                    <a:solidFill>
                      <a:srgbClr val="000000"/>
                    </a:solidFill>
                    <a:latin typeface="Arial"/>
                    <a:ea typeface="Arial"/>
                    <a:cs typeface="Arial"/>
                  </a:defRPr>
                </a:pPr>
                <a:r>
                  <a:rPr lang="en-US" sz="1100"/>
                  <a:t>VIN (V)</a:t>
                </a:r>
              </a:p>
            </c:rich>
          </c:tx>
          <c:layout>
            <c:manualLayout>
              <c:xMode val="edge"/>
              <c:yMode val="edge"/>
              <c:x val="0.48841805795509147"/>
              <c:y val="0.928122229770017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en-US"/>
          </a:p>
        </c:txPr>
        <c:crossAx val="323409024"/>
        <c:crosses val="autoZero"/>
        <c:crossBetween val="midCat"/>
      </c:valAx>
      <c:valAx>
        <c:axId val="323409024"/>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FSw</a:t>
                </a:r>
                <a:r>
                  <a:rPr lang="en-US" sz="1100" baseline="0"/>
                  <a:t> (kHz)</a:t>
                </a:r>
                <a:endParaRPr lang="en-US" sz="1100"/>
              </a:p>
            </c:rich>
          </c:tx>
          <c:layout>
            <c:manualLayout>
              <c:xMode val="edge"/>
              <c:yMode val="edge"/>
              <c:x val="1.910828025477734E-2"/>
              <c:y val="0.372984294301928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323406848"/>
        <c:crosses val="autoZero"/>
        <c:crossBetween val="midCat"/>
      </c:valAx>
      <c:spPr>
        <a:solidFill>
          <a:schemeClr val="bg1">
            <a:lumMod val="95000"/>
          </a:schemeClr>
        </a:solidFill>
        <a:ln w="12700">
          <a:solidFill>
            <a:srgbClr val="808080"/>
          </a:solidFill>
          <a:prstDash val="solid"/>
        </a:ln>
      </c:spPr>
    </c:plotArea>
    <c:legend>
      <c:legendPos val="r"/>
      <c:layout>
        <c:manualLayout>
          <c:xMode val="edge"/>
          <c:yMode val="edge"/>
          <c:x val="0.13445630576004464"/>
          <c:y val="0.14722888183191415"/>
          <c:w val="0.26461167950535469"/>
          <c:h val="0.150776916415941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21668095607596721"/>
          <c:y val="3.081543891394187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ser>
        <c:dLbls>
          <c:showLegendKey val="0"/>
          <c:showVal val="0"/>
          <c:showCatName val="0"/>
          <c:showSerName val="0"/>
          <c:showPercent val="0"/>
          <c:showBubbleSize val="0"/>
        </c:dLbls>
        <c:axId val="323590784"/>
        <c:axId val="323605248"/>
      </c:areaChart>
      <c:catAx>
        <c:axId val="323590784"/>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a:t>
                </a:r>
              </a:p>
            </c:rich>
          </c:tx>
          <c:layout>
            <c:manualLayout>
              <c:xMode val="edge"/>
              <c:yMode val="edge"/>
              <c:x val="0.37238179041606823"/>
              <c:y val="0.89147900498075083"/>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323605248"/>
        <c:crosses val="autoZero"/>
        <c:auto val="1"/>
        <c:lblAlgn val="ctr"/>
        <c:lblOffset val="100"/>
        <c:tickMarkSkip val="1"/>
        <c:noMultiLvlLbl val="0"/>
      </c:catAx>
      <c:valAx>
        <c:axId val="323605248"/>
        <c:scaling>
          <c:orientation val="minMax"/>
          <c:max val="0.2"/>
          <c:min val="0"/>
        </c:scaling>
        <c:delete val="0"/>
        <c:axPos val="l"/>
        <c:majorGridlines>
          <c:spPr>
            <a:ln w="3175">
              <a:solidFill>
                <a:srgbClr val="000000"/>
              </a:solidFill>
              <a:prstDash val="solid"/>
            </a:ln>
          </c:spPr>
        </c:majorGridlines>
        <c:min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8.9796428919729693E-2"/>
              <c:y val="0.345670516499620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323590784"/>
        <c:crosses val="autoZero"/>
        <c:crossBetween val="midCat"/>
        <c:majorUnit val="5.000000000000001E-2"/>
        <c:minorUnit val="2.5000000000000005E-2"/>
      </c:valAx>
      <c:spPr>
        <a:solidFill>
          <a:srgbClr val="C0C0C0"/>
        </a:solidFill>
        <a:ln w="12700">
          <a:solidFill>
            <a:srgbClr val="808080"/>
          </a:solidFill>
          <a:prstDash val="solid"/>
        </a:ln>
      </c:spPr>
    </c:plotArea>
    <c:legend>
      <c:legendPos val="r"/>
      <c:layout>
        <c:manualLayout>
          <c:xMode val="edge"/>
          <c:yMode val="edge"/>
          <c:x val="0.70666185810743165"/>
          <c:y val="9.3155590739667823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100mA)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Parameters!$BA$109</c:f>
              <c:numCache>
                <c:formatCode>0.000%</c:formatCode>
                <c:ptCount val="1"/>
                <c:pt idx="0">
                  <c:v>8.1000709018000279E-3</c:v>
                </c:pt>
              </c:numCache>
            </c:numRef>
          </c:val>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0"/>
            <c:showPercent val="0"/>
            <c:showBubbleSize val="0"/>
          </c:dLbls>
          <c:val>
            <c:numRef>
              <c:f>Parameters!$BD$109</c:f>
              <c:numCache>
                <c:formatCode>0.000%</c:formatCode>
                <c:ptCount val="1"/>
                <c:pt idx="0">
                  <c:v>9.9057039827182662E-3</c:v>
                </c:pt>
              </c:numCache>
            </c:numRef>
          </c:val>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dLbl>
            <c:txPr>
              <a:bodyPr/>
              <a:lstStyle/>
              <a:p>
                <a:pPr>
                  <a:defRPr b="1"/>
                </a:pPr>
                <a:endParaRPr lang="en-US"/>
              </a:p>
            </c:txPr>
            <c:dLblPos val="outEnd"/>
            <c:showLegendKey val="0"/>
            <c:showVal val="1"/>
            <c:showCatName val="0"/>
            <c:showSerName val="1"/>
            <c:showPercent val="0"/>
            <c:showBubbleSize val="0"/>
            <c:showLeaderLines val="0"/>
          </c:dLbls>
          <c:val>
            <c:numRef>
              <c:f>Parameters!$BB$109</c:f>
              <c:numCache>
                <c:formatCode>0.000%</c:formatCode>
                <c:ptCount val="1"/>
                <c:pt idx="0">
                  <c:v>1.4614802049391215E-2</c:v>
                </c:pt>
              </c:numCache>
            </c:numRef>
          </c:val>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Parameters!$BF$109</c:f>
              <c:numCache>
                <c:formatCode>0.000%</c:formatCode>
                <c:ptCount val="1"/>
                <c:pt idx="0">
                  <c:v>1.6465542803473395E-3</c:v>
                </c:pt>
              </c:numCache>
            </c:numRef>
          </c:val>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dLbl>
            <c:txPr>
              <a:bodyPr rot="0" vert="horz"/>
              <a:lstStyle/>
              <a:p>
                <a:pPr>
                  <a:defRPr sz="1200" b="1"/>
                </a:pPr>
                <a:endParaRPr lang="en-US"/>
              </a:p>
            </c:txPr>
            <c:dLblPos val="outEnd"/>
            <c:showLegendKey val="0"/>
            <c:showVal val="0"/>
            <c:showCatName val="0"/>
            <c:showSerName val="0"/>
            <c:showPercent val="0"/>
            <c:showBubbleSize val="0"/>
          </c:dLbls>
          <c:val>
            <c:numRef>
              <c:f>Parameters!$BC$109</c:f>
              <c:numCache>
                <c:formatCode>0.000%</c:formatCode>
                <c:ptCount val="1"/>
                <c:pt idx="0">
                  <c:v>2.4831534664325892E-2</c:v>
                </c:pt>
              </c:numCache>
            </c:numRef>
          </c:val>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dLbl>
            <c:showLegendKey val="0"/>
            <c:showVal val="0"/>
            <c:showCatName val="0"/>
            <c:showSerName val="1"/>
            <c:showPercent val="0"/>
            <c:showBubbleSize val="0"/>
            <c:showLeaderLines val="0"/>
          </c:dLbls>
          <c:val>
            <c:numRef>
              <c:f>Parameters!$BE$109</c:f>
              <c:numCache>
                <c:formatCode>0.000%</c:formatCode>
                <c:ptCount val="1"/>
                <c:pt idx="0">
                  <c:v>1.1631608311305648E-2</c:v>
                </c:pt>
              </c:numCache>
            </c:numRef>
          </c:val>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Parameters!$BG$109</c:f>
              <c:numCache>
                <c:formatCode>0.000%</c:formatCode>
                <c:ptCount val="1"/>
                <c:pt idx="0">
                  <c:v>1.6051760250250457E-2</c:v>
                </c:pt>
              </c:numCache>
            </c:numRef>
          </c:val>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Parameters!$BH$109</c:f>
              <c:numCache>
                <c:formatCode>0.000%</c:formatCode>
                <c:ptCount val="1"/>
                <c:pt idx="0">
                  <c:v>6.8152413568584669E-3</c:v>
                </c:pt>
              </c:numCache>
            </c:numRef>
          </c:val>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dLbls>
          <c:val>
            <c:numRef>
              <c:f>Parameters!$BJ$109</c:f>
              <c:numCache>
                <c:formatCode>0.000%</c:formatCode>
                <c:ptCount val="1"/>
                <c:pt idx="0">
                  <c:v>1.2837829865088564E-2</c:v>
                </c:pt>
              </c:numCache>
            </c:numRef>
          </c:val>
        </c:ser>
        <c:dLbls>
          <c:showLegendKey val="0"/>
          <c:showVal val="0"/>
          <c:showCatName val="0"/>
          <c:showSerName val="0"/>
          <c:showPercent val="0"/>
          <c:showBubbleSize val="0"/>
        </c:dLbls>
        <c:gapWidth val="101"/>
        <c:overlap val="-70"/>
        <c:axId val="324276224"/>
        <c:axId val="324277760"/>
      </c:barChart>
      <c:catAx>
        <c:axId val="324276224"/>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324277760"/>
        <c:crossesAt val="0"/>
        <c:auto val="1"/>
        <c:lblAlgn val="ctr"/>
        <c:lblOffset val="100"/>
        <c:noMultiLvlLbl val="0"/>
      </c:catAx>
      <c:valAx>
        <c:axId val="324277760"/>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324276224"/>
        <c:crosses val="autoZero"/>
        <c:crossBetween val="between"/>
        <c:majorUnit val="5.0000000000000036E-3"/>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19265692406240287"/>
          <c:y val="3.08154325074303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ser>
        <c:dLbls>
          <c:showLegendKey val="0"/>
          <c:showVal val="0"/>
          <c:showCatName val="0"/>
          <c:showSerName val="0"/>
          <c:showPercent val="0"/>
          <c:showBubbleSize val="0"/>
        </c:dLbls>
        <c:axId val="324351488"/>
        <c:axId val="324353408"/>
      </c:areaChart>
      <c:catAx>
        <c:axId val="324351488"/>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 scale)</a:t>
                </a:r>
              </a:p>
            </c:rich>
          </c:tx>
          <c:layout>
            <c:manualLayout>
              <c:xMode val="edge"/>
              <c:yMode val="edge"/>
              <c:x val="0.36670200647119611"/>
              <c:y val="0.89150460843557344"/>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324353408"/>
        <c:crosses val="autoZero"/>
        <c:auto val="1"/>
        <c:lblAlgn val="ctr"/>
        <c:lblOffset val="100"/>
        <c:tickMarkSkip val="1"/>
        <c:noMultiLvlLbl val="0"/>
      </c:catAx>
      <c:valAx>
        <c:axId val="324353408"/>
        <c:scaling>
          <c:orientation val="minMax"/>
          <c:max val="0.2"/>
          <c:min val="0"/>
        </c:scaling>
        <c:delete val="0"/>
        <c:axPos val="l"/>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0.10744349235757295"/>
              <c:y val="0.319433183553308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324351488"/>
        <c:crosses val="autoZero"/>
        <c:crossBetween val="midCat"/>
        <c:majorUnit val="0.05"/>
      </c:valAx>
      <c:spPr>
        <a:solidFill>
          <a:srgbClr val="C0C0C0"/>
        </a:solidFill>
        <a:ln w="12700">
          <a:solidFill>
            <a:srgbClr val="808080"/>
          </a:solidFill>
          <a:prstDash val="solid"/>
        </a:ln>
      </c:spPr>
    </c:plotArea>
    <c:legend>
      <c:legendPos val="r"/>
      <c:layout>
        <c:manualLayout>
          <c:xMode val="edge"/>
          <c:yMode val="edge"/>
          <c:x val="0.6796348064312191"/>
          <c:y val="5.737748792134436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lineChart>
        <c:grouping val="standard"/>
        <c:varyColors val="0"/>
        <c:ser>
          <c:idx val="0"/>
          <c:order val="0"/>
          <c:tx>
            <c:v> Efficiency</c:v>
          </c:tx>
          <c:spPr>
            <a:ln w="31750">
              <a:solidFill>
                <a:srgbClr val="FF0000"/>
              </a:solidFill>
              <a:prstDash val="solid"/>
            </a:ln>
          </c:spPr>
          <c:marker>
            <c:symbol val="none"/>
          </c:marker>
          <c:cat>
            <c:numRef>
              <c:f>Parameters!$BN$6:$BN$106</c:f>
              <c:numCache>
                <c:formatCode>0.000</c:formatCode>
                <c:ptCount val="101"/>
                <c:pt idx="0">
                  <c:v>0.5</c:v>
                </c:pt>
                <c:pt idx="1">
                  <c:v>5</c:v>
                </c:pt>
                <c:pt idx="2">
                  <c:v>10</c:v>
                </c:pt>
                <c:pt idx="3">
                  <c:v>15</c:v>
                </c:pt>
                <c:pt idx="100">
                  <c:v>500</c:v>
                </c:pt>
              </c:numCache>
            </c:numRef>
          </c:cat>
          <c:val>
            <c:numRef>
              <c:f>Parameters!$BZ$6:$BZ$106</c:f>
              <c:numCache>
                <c:formatCode>0.00</c:formatCode>
                <c:ptCount val="101"/>
                <c:pt idx="0">
                  <c:v>100</c:v>
                </c:pt>
                <c:pt idx="1">
                  <c:v>100</c:v>
                </c:pt>
                <c:pt idx="2">
                  <c:v>100</c:v>
                </c:pt>
                <c:pt idx="3">
                  <c:v>100</c:v>
                </c:pt>
                <c:pt idx="100">
                  <c:v>100</c:v>
                </c:pt>
              </c:numCache>
            </c:numRef>
          </c:val>
          <c:smooth val="1"/>
        </c:ser>
        <c:dLbls>
          <c:showLegendKey val="0"/>
          <c:showVal val="0"/>
          <c:showCatName val="0"/>
          <c:showSerName val="0"/>
          <c:showPercent val="0"/>
          <c:showBubbleSize val="0"/>
        </c:dLbls>
        <c:marker val="1"/>
        <c:smooth val="0"/>
        <c:axId val="324476288"/>
        <c:axId val="324478464"/>
      </c:lineChart>
      <c:lineChart>
        <c:grouping val="standard"/>
        <c:varyColors val="0"/>
        <c:ser>
          <c:idx val="2"/>
          <c:order val="1"/>
          <c:tx>
            <c:v> IC Total Power Loss</c:v>
          </c:tx>
          <c:spPr>
            <a:ln w="38100">
              <a:solidFill>
                <a:srgbClr val="808000"/>
              </a:solidFill>
              <a:prstDash val="sysDash"/>
            </a:ln>
          </c:spPr>
          <c:marker>
            <c:symbol val="none"/>
          </c:marker>
          <c:cat>
            <c:numRef>
              <c:f>Parameters!$BN$6:$BN$106</c:f>
              <c:numCache>
                <c:formatCode>0.000</c:formatCode>
                <c:ptCount val="101"/>
                <c:pt idx="0">
                  <c:v>0.5</c:v>
                </c:pt>
                <c:pt idx="1">
                  <c:v>5</c:v>
                </c:pt>
                <c:pt idx="2">
                  <c:v>10</c:v>
                </c:pt>
                <c:pt idx="3">
                  <c:v>15</c:v>
                </c:pt>
                <c:pt idx="100">
                  <c:v>500</c:v>
                </c:pt>
              </c:numCache>
            </c:numRef>
          </c:cat>
          <c:val>
            <c:numRef>
              <c:f>Parameters!$CA$6:$CA$106</c:f>
              <c:numCache>
                <c:formatCode>0.00</c:formatCode>
                <c:ptCount val="101"/>
                <c:pt idx="0">
                  <c:v>0</c:v>
                </c:pt>
                <c:pt idx="1">
                  <c:v>0</c:v>
                </c:pt>
                <c:pt idx="2">
                  <c:v>0</c:v>
                </c:pt>
                <c:pt idx="3">
                  <c:v>0</c:v>
                </c:pt>
                <c:pt idx="100">
                  <c:v>0</c:v>
                </c:pt>
              </c:numCache>
            </c:numRef>
          </c:val>
          <c:smooth val="0"/>
        </c:ser>
        <c:ser>
          <c:idx val="1"/>
          <c:order val="2"/>
          <c:tx>
            <c:v> LDO + Quiescent Loss</c:v>
          </c:tx>
          <c:spPr>
            <a:ln w="38100">
              <a:solidFill>
                <a:srgbClr val="002060"/>
              </a:solidFill>
              <a:prstDash val="sysDot"/>
            </a:ln>
          </c:spPr>
          <c:marker>
            <c:symbol val="none"/>
          </c:marker>
          <c:cat>
            <c:numRef>
              <c:f>Parameters!$BN$6:$BN$106</c:f>
              <c:numCache>
                <c:formatCode>0.000</c:formatCode>
                <c:ptCount val="101"/>
                <c:pt idx="0">
                  <c:v>0.5</c:v>
                </c:pt>
                <c:pt idx="1">
                  <c:v>5</c:v>
                </c:pt>
                <c:pt idx="2">
                  <c:v>10</c:v>
                </c:pt>
                <c:pt idx="3">
                  <c:v>15</c:v>
                </c:pt>
                <c:pt idx="100">
                  <c:v>500</c:v>
                </c:pt>
              </c:numCache>
            </c:numRef>
          </c:cat>
          <c:val>
            <c:numRef>
              <c:f>Parameters!$CB$6:$CB$106</c:f>
              <c:numCache>
                <c:formatCode>0.00</c:formatCode>
                <c:ptCount val="101"/>
                <c:pt idx="0">
                  <c:v>0</c:v>
                </c:pt>
                <c:pt idx="1">
                  <c:v>0</c:v>
                </c:pt>
                <c:pt idx="2">
                  <c:v>0</c:v>
                </c:pt>
                <c:pt idx="3">
                  <c:v>0</c:v>
                </c:pt>
                <c:pt idx="100">
                  <c:v>0</c:v>
                </c:pt>
              </c:numCache>
            </c:numRef>
          </c:val>
          <c:smooth val="0"/>
        </c:ser>
        <c:ser>
          <c:idx val="3"/>
          <c:order val="3"/>
          <c:tx>
            <c:v> Inductor Loss</c:v>
          </c:tx>
          <c:spPr>
            <a:ln w="38100">
              <a:solidFill>
                <a:srgbClr val="800080"/>
              </a:solidFill>
              <a:prstDash val="dash"/>
            </a:ln>
          </c:spPr>
          <c:marker>
            <c:symbol val="none"/>
          </c:marker>
          <c:cat>
            <c:numRef>
              <c:f>Parameters!$BN$6:$BN$106</c:f>
              <c:numCache>
                <c:formatCode>0.000</c:formatCode>
                <c:ptCount val="101"/>
                <c:pt idx="0">
                  <c:v>0.5</c:v>
                </c:pt>
                <c:pt idx="1">
                  <c:v>5</c:v>
                </c:pt>
                <c:pt idx="2">
                  <c:v>10</c:v>
                </c:pt>
                <c:pt idx="3">
                  <c:v>15</c:v>
                </c:pt>
                <c:pt idx="100">
                  <c:v>500</c:v>
                </c:pt>
              </c:numCache>
            </c:numRef>
          </c:cat>
          <c:val>
            <c:numRef>
              <c:f>Parameters!$CC$6:$CC$106</c:f>
              <c:numCache>
                <c:formatCode>0.00</c:formatCode>
                <c:ptCount val="101"/>
                <c:pt idx="0">
                  <c:v>0</c:v>
                </c:pt>
                <c:pt idx="1">
                  <c:v>0</c:v>
                </c:pt>
                <c:pt idx="2">
                  <c:v>0</c:v>
                </c:pt>
                <c:pt idx="3">
                  <c:v>0</c:v>
                </c:pt>
                <c:pt idx="100">
                  <c:v>0</c:v>
                </c:pt>
              </c:numCache>
            </c:numRef>
          </c:val>
          <c:smooth val="0"/>
        </c:ser>
        <c:dLbls>
          <c:showLegendKey val="0"/>
          <c:showVal val="0"/>
          <c:showCatName val="0"/>
          <c:showSerName val="0"/>
          <c:showPercent val="0"/>
          <c:showBubbleSize val="0"/>
        </c:dLbls>
        <c:marker val="1"/>
        <c:smooth val="0"/>
        <c:axId val="324494848"/>
        <c:axId val="324480384"/>
      </c:lineChart>
      <c:catAx>
        <c:axId val="324476288"/>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324478464"/>
        <c:crosses val="autoZero"/>
        <c:auto val="1"/>
        <c:lblAlgn val="ctr"/>
        <c:lblOffset val="100"/>
        <c:tickLblSkip val="20"/>
        <c:tickMarkSkip val="20"/>
        <c:noMultiLvlLbl val="0"/>
      </c:catAx>
      <c:valAx>
        <c:axId val="324478464"/>
        <c:scaling>
          <c:orientation val="minMax"/>
          <c:max val="95"/>
          <c:min val="65"/>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24476288"/>
        <c:crossesAt val="0"/>
        <c:crossBetween val="between"/>
        <c:majorUnit val="5"/>
        <c:minorUnit val="2.5"/>
      </c:valAx>
      <c:valAx>
        <c:axId val="324480384"/>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720616195060426"/>
              <c:y val="0.34716258649486992"/>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324494848"/>
        <c:crosses val="max"/>
        <c:crossBetween val="between"/>
      </c:valAx>
      <c:catAx>
        <c:axId val="324494848"/>
        <c:scaling>
          <c:orientation val="minMax"/>
        </c:scaling>
        <c:delete val="1"/>
        <c:axPos val="b"/>
        <c:numFmt formatCode="0.000" sourceLinked="1"/>
        <c:majorTickMark val="out"/>
        <c:minorTickMark val="none"/>
        <c:tickLblPos val="nextTo"/>
        <c:crossAx val="324480384"/>
        <c:crosses val="autoZero"/>
        <c:auto val="1"/>
        <c:lblAlgn val="ctr"/>
        <c:lblOffset val="100"/>
        <c:noMultiLvlLbl val="0"/>
      </c:catAx>
      <c:spPr>
        <a:noFill/>
        <a:ln w="25400">
          <a:noFill/>
        </a:ln>
      </c:spPr>
    </c:plotArea>
    <c:legend>
      <c:legendPos val="t"/>
      <c:layout>
        <c:manualLayout>
          <c:xMode val="edge"/>
          <c:yMode val="edge"/>
          <c:x val="0.38866500767592732"/>
          <c:y val="1.1892546194234431E-2"/>
          <c:w val="0.61133499232407273"/>
          <c:h val="9.7234170816987084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scatterChart>
        <c:scatterStyle val="smoothMarker"/>
        <c:varyColors val="0"/>
        <c:ser>
          <c:idx val="0"/>
          <c:order val="0"/>
          <c:tx>
            <c:v> Efficiency</c:v>
          </c:tx>
          <c:spPr>
            <a:ln w="31750">
              <a:solidFill>
                <a:srgbClr val="FF0000"/>
              </a:solidFill>
              <a:prstDash val="solid"/>
            </a:ln>
          </c:spPr>
          <c:marker>
            <c:symbol val="none"/>
          </c:marker>
          <c:xVal>
            <c:numRef>
              <c:f>Parameters!$BN$6:$BN$106</c:f>
              <c:numCache>
                <c:formatCode>0.000</c:formatCode>
                <c:ptCount val="101"/>
                <c:pt idx="0">
                  <c:v>0.5</c:v>
                </c:pt>
                <c:pt idx="1">
                  <c:v>5</c:v>
                </c:pt>
                <c:pt idx="2">
                  <c:v>10</c:v>
                </c:pt>
                <c:pt idx="3">
                  <c:v>15</c:v>
                </c:pt>
                <c:pt idx="100">
                  <c:v>500</c:v>
                </c:pt>
              </c:numCache>
            </c:numRef>
          </c:xVal>
          <c:yVal>
            <c:numRef>
              <c:f>Parameters!$BZ$6:$BZ$106</c:f>
              <c:numCache>
                <c:formatCode>0.00</c:formatCode>
                <c:ptCount val="101"/>
                <c:pt idx="0">
                  <c:v>100</c:v>
                </c:pt>
                <c:pt idx="1">
                  <c:v>100</c:v>
                </c:pt>
                <c:pt idx="2">
                  <c:v>100</c:v>
                </c:pt>
                <c:pt idx="3">
                  <c:v>100</c:v>
                </c:pt>
                <c:pt idx="100">
                  <c:v>100</c:v>
                </c:pt>
              </c:numCache>
            </c:numRef>
          </c:yVal>
          <c:smooth val="1"/>
        </c:ser>
        <c:dLbls>
          <c:showLegendKey val="0"/>
          <c:showVal val="0"/>
          <c:showCatName val="0"/>
          <c:showSerName val="0"/>
          <c:showPercent val="0"/>
          <c:showBubbleSize val="0"/>
        </c:dLbls>
        <c:axId val="324568576"/>
        <c:axId val="324570496"/>
      </c:scatterChart>
      <c:scatterChart>
        <c:scatterStyle val="smoothMarker"/>
        <c:varyColors val="0"/>
        <c:ser>
          <c:idx val="2"/>
          <c:order val="1"/>
          <c:tx>
            <c:v> IC Total Power Loss</c:v>
          </c:tx>
          <c:spPr>
            <a:ln w="38100">
              <a:solidFill>
                <a:srgbClr val="808000"/>
              </a:solidFill>
              <a:prstDash val="sysDash"/>
            </a:ln>
          </c:spPr>
          <c:marker>
            <c:symbol val="none"/>
          </c:marker>
          <c:xVal>
            <c:numRef>
              <c:f>Parameters!$BN$6:$BN$106</c:f>
              <c:numCache>
                <c:formatCode>0.000</c:formatCode>
                <c:ptCount val="101"/>
                <c:pt idx="0">
                  <c:v>0.5</c:v>
                </c:pt>
                <c:pt idx="1">
                  <c:v>5</c:v>
                </c:pt>
                <c:pt idx="2">
                  <c:v>10</c:v>
                </c:pt>
                <c:pt idx="3">
                  <c:v>15</c:v>
                </c:pt>
                <c:pt idx="100">
                  <c:v>500</c:v>
                </c:pt>
              </c:numCache>
            </c:numRef>
          </c:xVal>
          <c:yVal>
            <c:numRef>
              <c:f>Parameters!$CA$6:$CA$106</c:f>
              <c:numCache>
                <c:formatCode>0.00</c:formatCode>
                <c:ptCount val="101"/>
                <c:pt idx="0">
                  <c:v>0</c:v>
                </c:pt>
                <c:pt idx="1">
                  <c:v>0</c:v>
                </c:pt>
                <c:pt idx="2">
                  <c:v>0</c:v>
                </c:pt>
                <c:pt idx="3">
                  <c:v>0</c:v>
                </c:pt>
                <c:pt idx="100">
                  <c:v>0</c:v>
                </c:pt>
              </c:numCache>
            </c:numRef>
          </c:yVal>
          <c:smooth val="1"/>
        </c:ser>
        <c:ser>
          <c:idx val="1"/>
          <c:order val="2"/>
          <c:tx>
            <c:v> LDO + Quiescent Loss</c:v>
          </c:tx>
          <c:spPr>
            <a:ln w="38100">
              <a:solidFill>
                <a:srgbClr val="002060"/>
              </a:solidFill>
              <a:prstDash val="sysDot"/>
            </a:ln>
          </c:spPr>
          <c:marker>
            <c:symbol val="none"/>
          </c:marker>
          <c:xVal>
            <c:numRef>
              <c:f>Parameters!$BN$6:$BN$106</c:f>
              <c:numCache>
                <c:formatCode>0.000</c:formatCode>
                <c:ptCount val="101"/>
                <c:pt idx="0">
                  <c:v>0.5</c:v>
                </c:pt>
                <c:pt idx="1">
                  <c:v>5</c:v>
                </c:pt>
                <c:pt idx="2">
                  <c:v>10</c:v>
                </c:pt>
                <c:pt idx="3">
                  <c:v>15</c:v>
                </c:pt>
                <c:pt idx="100">
                  <c:v>500</c:v>
                </c:pt>
              </c:numCache>
            </c:numRef>
          </c:xVal>
          <c:yVal>
            <c:numRef>
              <c:f>Parameters!$CB$6:$CB$106</c:f>
              <c:numCache>
                <c:formatCode>0.00</c:formatCode>
                <c:ptCount val="101"/>
                <c:pt idx="0">
                  <c:v>0</c:v>
                </c:pt>
                <c:pt idx="1">
                  <c:v>0</c:v>
                </c:pt>
                <c:pt idx="2">
                  <c:v>0</c:v>
                </c:pt>
                <c:pt idx="3">
                  <c:v>0</c:v>
                </c:pt>
                <c:pt idx="100">
                  <c:v>0</c:v>
                </c:pt>
              </c:numCache>
            </c:numRef>
          </c:yVal>
          <c:smooth val="1"/>
        </c:ser>
        <c:ser>
          <c:idx val="3"/>
          <c:order val="3"/>
          <c:tx>
            <c:v> Inductor Loss</c:v>
          </c:tx>
          <c:spPr>
            <a:ln w="38100">
              <a:solidFill>
                <a:srgbClr val="800080"/>
              </a:solidFill>
              <a:prstDash val="dash"/>
            </a:ln>
          </c:spPr>
          <c:marker>
            <c:symbol val="none"/>
          </c:marker>
          <c:xVal>
            <c:numRef>
              <c:f>Parameters!$BN$6:$BN$106</c:f>
              <c:numCache>
                <c:formatCode>0.000</c:formatCode>
                <c:ptCount val="101"/>
                <c:pt idx="0">
                  <c:v>0.5</c:v>
                </c:pt>
                <c:pt idx="1">
                  <c:v>5</c:v>
                </c:pt>
                <c:pt idx="2">
                  <c:v>10</c:v>
                </c:pt>
                <c:pt idx="3">
                  <c:v>15</c:v>
                </c:pt>
                <c:pt idx="100">
                  <c:v>500</c:v>
                </c:pt>
              </c:numCache>
            </c:numRef>
          </c:xVal>
          <c:yVal>
            <c:numRef>
              <c:f>Parameters!$CC$6:$CC$106</c:f>
              <c:numCache>
                <c:formatCode>0.00</c:formatCode>
                <c:ptCount val="101"/>
                <c:pt idx="0">
                  <c:v>0</c:v>
                </c:pt>
                <c:pt idx="1">
                  <c:v>0</c:v>
                </c:pt>
                <c:pt idx="2">
                  <c:v>0</c:v>
                </c:pt>
                <c:pt idx="3">
                  <c:v>0</c:v>
                </c:pt>
                <c:pt idx="100">
                  <c:v>0</c:v>
                </c:pt>
              </c:numCache>
            </c:numRef>
          </c:yVal>
          <c:smooth val="1"/>
        </c:ser>
        <c:dLbls>
          <c:showLegendKey val="0"/>
          <c:showVal val="0"/>
          <c:showCatName val="0"/>
          <c:showSerName val="0"/>
          <c:showPercent val="0"/>
          <c:showBubbleSize val="0"/>
        </c:dLbls>
        <c:axId val="324599168"/>
        <c:axId val="324597248"/>
      </c:scatterChart>
      <c:valAx>
        <c:axId val="324568576"/>
        <c:scaling>
          <c:logBase val="10"/>
          <c:orientation val="minMax"/>
          <c:min val="0.1"/>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324570496"/>
        <c:crosses val="autoZero"/>
        <c:crossBetween val="midCat"/>
      </c:valAx>
      <c:valAx>
        <c:axId val="324570496"/>
        <c:scaling>
          <c:orientation val="minMax"/>
          <c:max val="95"/>
          <c:min val="60"/>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24568576"/>
        <c:crossesAt val="0"/>
        <c:crossBetween val="midCat"/>
        <c:majorUnit val="5"/>
        <c:minorUnit val="2.5"/>
      </c:valAx>
      <c:valAx>
        <c:axId val="324597248"/>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563568688189593"/>
              <c:y val="0.33988985922214265"/>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324599168"/>
        <c:crosses val="max"/>
        <c:crossBetween val="midCat"/>
      </c:valAx>
      <c:valAx>
        <c:axId val="324599168"/>
        <c:scaling>
          <c:logBase val="10"/>
          <c:orientation val="minMax"/>
        </c:scaling>
        <c:delete val="1"/>
        <c:axPos val="b"/>
        <c:numFmt formatCode="0.000" sourceLinked="1"/>
        <c:majorTickMark val="out"/>
        <c:minorTickMark val="none"/>
        <c:tickLblPos val="nextTo"/>
        <c:crossAx val="324597248"/>
        <c:crosses val="autoZero"/>
        <c:crossBetween val="midCat"/>
      </c:valAx>
      <c:spPr>
        <a:noFill/>
        <a:ln w="25400">
          <a:noFill/>
        </a:ln>
      </c:spPr>
    </c:plotArea>
    <c:legend>
      <c:legendPos val="t"/>
      <c:layout>
        <c:manualLayout>
          <c:xMode val="edge"/>
          <c:yMode val="edge"/>
          <c:x val="0.38866500344700727"/>
          <c:y val="1.1892546194234431E-2"/>
          <c:w val="0.61133499655299273"/>
          <c:h val="9.2790073968026715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Parameters!$BA$108</c:f>
              <c:numCache>
                <c:formatCode>0.000%</c:formatCode>
                <c:ptCount val="1"/>
                <c:pt idx="0">
                  <c:v>3.6409104085968987E-3</c:v>
                </c:pt>
              </c:numCache>
            </c:numRef>
          </c:val>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0"/>
            <c:showPercent val="0"/>
            <c:showBubbleSize val="0"/>
          </c:dLbls>
          <c:val>
            <c:numRef>
              <c:f>Parameters!$BD$108</c:f>
              <c:numCache>
                <c:formatCode>0.000%</c:formatCode>
                <c:ptCount val="1"/>
                <c:pt idx="0">
                  <c:v>4.5907837520612008E-3</c:v>
                </c:pt>
              </c:numCache>
            </c:numRef>
          </c:val>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dLbl>
            <c:txPr>
              <a:bodyPr/>
              <a:lstStyle/>
              <a:p>
                <a:pPr>
                  <a:defRPr b="1"/>
                </a:pPr>
                <a:endParaRPr lang="en-US"/>
              </a:p>
            </c:txPr>
            <c:dLblPos val="outEnd"/>
            <c:showLegendKey val="0"/>
            <c:showVal val="1"/>
            <c:showCatName val="0"/>
            <c:showSerName val="1"/>
            <c:showPercent val="0"/>
            <c:showBubbleSize val="0"/>
            <c:showLeaderLines val="0"/>
          </c:dLbls>
          <c:val>
            <c:numRef>
              <c:f>Parameters!$BB$108</c:f>
              <c:numCache>
                <c:formatCode>0.000%</c:formatCode>
                <c:ptCount val="1"/>
                <c:pt idx="0">
                  <c:v>6.5692245841190103E-3</c:v>
                </c:pt>
              </c:numCache>
            </c:numRef>
          </c:val>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Parameters!$BF$108</c:f>
              <c:numCache>
                <c:formatCode>0.000%</c:formatCode>
                <c:ptCount val="1"/>
                <c:pt idx="0">
                  <c:v>7.3751579484765363E-4</c:v>
                </c:pt>
              </c:numCache>
            </c:numRef>
          </c:val>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dLbl>
            <c:txPr>
              <a:bodyPr rot="0" vert="horz"/>
              <a:lstStyle/>
              <a:p>
                <a:pPr>
                  <a:defRPr sz="1200" b="1"/>
                </a:pPr>
                <a:endParaRPr lang="en-US"/>
              </a:p>
            </c:txPr>
            <c:dLblPos val="outEnd"/>
            <c:showLegendKey val="0"/>
            <c:showVal val="0"/>
            <c:showCatName val="0"/>
            <c:showSerName val="0"/>
            <c:showPercent val="0"/>
            <c:showBubbleSize val="0"/>
          </c:dLbls>
          <c:val>
            <c:numRef>
              <c:f>Parameters!$BC$108</c:f>
              <c:numCache>
                <c:formatCode>0.000%</c:formatCode>
                <c:ptCount val="1"/>
                <c:pt idx="0">
                  <c:v>5.4394694205683519E-2</c:v>
                </c:pt>
              </c:numCache>
            </c:numRef>
          </c:val>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dLbl>
            <c:showLegendKey val="0"/>
            <c:showVal val="0"/>
            <c:showCatName val="0"/>
            <c:showSerName val="1"/>
            <c:showPercent val="0"/>
            <c:showBubbleSize val="0"/>
            <c:showLeaderLines val="0"/>
          </c:dLbls>
          <c:val>
            <c:numRef>
              <c:f>Parameters!$BE$108</c:f>
              <c:numCache>
                <c:formatCode>0.000%</c:formatCode>
                <c:ptCount val="1"/>
                <c:pt idx="0">
                  <c:v>0</c:v>
                </c:pt>
              </c:numCache>
            </c:numRef>
          </c:val>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Parameters!$BG$108</c:f>
              <c:numCache>
                <c:formatCode>0.000%</c:formatCode>
                <c:ptCount val="1"/>
                <c:pt idx="0">
                  <c:v>7.2151246180390156E-3</c:v>
                </c:pt>
              </c:numCache>
            </c:numRef>
          </c:val>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Parameters!$BH$108</c:f>
              <c:numCache>
                <c:formatCode>0.000%</c:formatCode>
                <c:ptCount val="1"/>
                <c:pt idx="0">
                  <c:v>1.4929120352630757E-2</c:v>
                </c:pt>
              </c:numCache>
            </c:numRef>
          </c:val>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dLbls>
          <c:val>
            <c:numRef>
              <c:f>Parameters!$BJ$108</c:f>
              <c:numCache>
                <c:formatCode>0.000%</c:formatCode>
                <c:ptCount val="1"/>
                <c:pt idx="0">
                  <c:v>8.2551506228875166E-2</c:v>
                </c:pt>
              </c:numCache>
            </c:numRef>
          </c:val>
        </c:ser>
        <c:dLbls>
          <c:showLegendKey val="0"/>
          <c:showVal val="0"/>
          <c:showCatName val="0"/>
          <c:showSerName val="0"/>
          <c:showPercent val="0"/>
          <c:showBubbleSize val="0"/>
        </c:dLbls>
        <c:gapWidth val="101"/>
        <c:overlap val="-70"/>
        <c:axId val="324835584"/>
        <c:axId val="324853760"/>
      </c:barChart>
      <c:catAx>
        <c:axId val="324835584"/>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324853760"/>
        <c:crossesAt val="0"/>
        <c:auto val="1"/>
        <c:lblAlgn val="ctr"/>
        <c:lblOffset val="100"/>
        <c:noMultiLvlLbl val="0"/>
      </c:catAx>
      <c:valAx>
        <c:axId val="324853760"/>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324835584"/>
        <c:crosses val="autoZero"/>
        <c:crossBetween val="between"/>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Single'!$CC$5:$CC$105</c:f>
              <c:numCache>
                <c:formatCode>0.00</c:formatCode>
                <c:ptCount val="101"/>
                <c:pt idx="0">
                  <c:v>4.3614673598345016E-5</c:v>
                </c:pt>
                <c:pt idx="1">
                  <c:v>56.55713733014327</c:v>
                </c:pt>
                <c:pt idx="2">
                  <c:v>63.73133056904652</c:v>
                </c:pt>
                <c:pt idx="3">
                  <c:v>66.517148214567328</c:v>
                </c:pt>
                <c:pt idx="4">
                  <c:v>67.976604917489041</c:v>
                </c:pt>
                <c:pt idx="5">
                  <c:v>68.857991307234272</c:v>
                </c:pt>
                <c:pt idx="6">
                  <c:v>69.385921219549658</c:v>
                </c:pt>
                <c:pt idx="7">
                  <c:v>69.952287831372473</c:v>
                </c:pt>
                <c:pt idx="8">
                  <c:v>71.646092553849257</c:v>
                </c:pt>
                <c:pt idx="9">
                  <c:v>73.035785657829493</c:v>
                </c:pt>
                <c:pt idx="10">
                  <c:v>74.198042215515926</c:v>
                </c:pt>
                <c:pt idx="11">
                  <c:v>75.185523880301659</c:v>
                </c:pt>
                <c:pt idx="12">
                  <c:v>76.035646088537476</c:v>
                </c:pt>
                <c:pt idx="13">
                  <c:v>76.77575269795652</c:v>
                </c:pt>
                <c:pt idx="14">
                  <c:v>77.426309787402488</c:v>
                </c:pt>
                <c:pt idx="15">
                  <c:v>78.002952319634161</c:v>
                </c:pt>
                <c:pt idx="16">
                  <c:v>78.517838386445106</c:v>
                </c:pt>
                <c:pt idx="17">
                  <c:v>78.980570427094548</c:v>
                </c:pt>
                <c:pt idx="18">
                  <c:v>79.398837195653115</c:v>
                </c:pt>
                <c:pt idx="19">
                  <c:v>79.778870740570454</c:v>
                </c:pt>
                <c:pt idx="20">
                  <c:v>80.125777899270886</c:v>
                </c:pt>
                <c:pt idx="21">
                  <c:v>80.443784855947172</c:v>
                </c:pt>
                <c:pt idx="22">
                  <c:v>80.736420319999979</c:v>
                </c:pt>
                <c:pt idx="23">
                  <c:v>81.006654625137969</c:v>
                </c:pt>
                <c:pt idx="24">
                  <c:v>81.257006681103533</c:v>
                </c:pt>
                <c:pt idx="25">
                  <c:v>81.489627148673321</c:v>
                </c:pt>
                <c:pt idx="26">
                  <c:v>81.706363801895847</c:v>
                </c:pt>
                <c:pt idx="27">
                  <c:v>81.908813387490682</c:v>
                </c:pt>
                <c:pt idx="28">
                  <c:v>82.098363136882213</c:v>
                </c:pt>
                <c:pt idx="29">
                  <c:v>82.276224269050047</c:v>
                </c:pt>
                <c:pt idx="30">
                  <c:v>82.443459236144975</c:v>
                </c:pt>
                <c:pt idx="31">
                  <c:v>82.601004038180264</c:v>
                </c:pt>
                <c:pt idx="32">
                  <c:v>82.749686620565498</c:v>
                </c:pt>
                <c:pt idx="33">
                  <c:v>82.890242136328752</c:v>
                </c:pt>
                <c:pt idx="34">
                  <c:v>83.023325681079498</c:v>
                </c:pt>
                <c:pt idx="35">
                  <c:v>83.149522977329809</c:v>
                </c:pt>
                <c:pt idx="36">
                  <c:v>83.269359384530844</c:v>
                </c:pt>
                <c:pt idx="37">
                  <c:v>83.383307534080174</c:v>
                </c:pt>
                <c:pt idx="38">
                  <c:v>83.491793828811041</c:v>
                </c:pt>
                <c:pt idx="39">
                  <c:v>83.595203999843207</c:v>
                </c:pt>
                <c:pt idx="40">
                  <c:v>83.693887877034427</c:v>
                </c:pt>
                <c:pt idx="41">
                  <c:v>83.788163500292072</c:v>
                </c:pt>
                <c:pt idx="42">
                  <c:v>83.878320675945346</c:v>
                </c:pt>
                <c:pt idx="43">
                  <c:v>83.964624063925868</c:v>
                </c:pt>
                <c:pt idx="44">
                  <c:v>84.047315866652156</c:v>
                </c:pt>
                <c:pt idx="45">
                  <c:v>84.126618178502014</c:v>
                </c:pt>
                <c:pt idx="46">
                  <c:v>84.20273504498897</c:v>
                </c:pt>
                <c:pt idx="47">
                  <c:v>84.275854272781928</c:v>
                </c:pt>
                <c:pt idx="48">
                  <c:v>84.346149025160173</c:v>
                </c:pt>
                <c:pt idx="49">
                  <c:v>84.413779232100751</c:v>
                </c:pt>
                <c:pt idx="50">
                  <c:v>84.478892839730634</c:v>
                </c:pt>
                <c:pt idx="51">
                  <c:v>84.541626920165683</c:v>
                </c:pt>
                <c:pt idx="52">
                  <c:v>84.602108659664637</c:v>
                </c:pt>
                <c:pt idx="53">
                  <c:v>84.660456240436559</c:v>
                </c:pt>
                <c:pt idx="54">
                  <c:v>84.7167796292633</c:v>
                </c:pt>
                <c:pt idx="55">
                  <c:v>84.771181284265779</c:v>
                </c:pt>
                <c:pt idx="56">
                  <c:v>84.823756789591116</c:v>
                </c:pt>
                <c:pt idx="57">
                  <c:v>84.874595426482372</c:v>
                </c:pt>
                <c:pt idx="58">
                  <c:v>84.923780688073393</c:v>
                </c:pt>
                <c:pt idx="59">
                  <c:v>84.971390744295746</c:v>
                </c:pt>
                <c:pt idx="60">
                  <c:v>85.017498862467818</c:v>
                </c:pt>
                <c:pt idx="61">
                  <c:v>85.062173788434308</c:v>
                </c:pt>
                <c:pt idx="62">
                  <c:v>85.105480092521617</c:v>
                </c:pt>
                <c:pt idx="63">
                  <c:v>85.147478484053764</c:v>
                </c:pt>
                <c:pt idx="64">
                  <c:v>85.188226097723884</c:v>
                </c:pt>
                <c:pt idx="65">
                  <c:v>85.227776754726619</c:v>
                </c:pt>
                <c:pt idx="66">
                  <c:v>85.266181201217691</c:v>
                </c:pt>
                <c:pt idx="67">
                  <c:v>85.303487326372732</c:v>
                </c:pt>
                <c:pt idx="68">
                  <c:v>85.3397403620598</c:v>
                </c:pt>
                <c:pt idx="69">
                  <c:v>85.374983065915572</c:v>
                </c:pt>
                <c:pt idx="70">
                  <c:v>85.409255889418048</c:v>
                </c:pt>
                <c:pt idx="71">
                  <c:v>85.442597132375965</c:v>
                </c:pt>
                <c:pt idx="72">
                  <c:v>85.475043085103223</c:v>
                </c:pt>
                <c:pt idx="73">
                  <c:v>85.506628159412216</c:v>
                </c:pt>
                <c:pt idx="74">
                  <c:v>85.537385009442573</c:v>
                </c:pt>
                <c:pt idx="75">
                  <c:v>85.567344643236879</c:v>
                </c:pt>
                <c:pt idx="76">
                  <c:v>85.596536525882371</c:v>
                </c:pt>
                <c:pt idx="77">
                  <c:v>85.624988674955915</c:v>
                </c:pt>
                <c:pt idx="78">
                  <c:v>85.652727748936357</c:v>
                </c:pt>
                <c:pt idx="79">
                  <c:v>85.679779129183601</c:v>
                </c:pt>
                <c:pt idx="80">
                  <c:v>85.7061669960259</c:v>
                </c:pt>
                <c:pt idx="81">
                  <c:v>85.731914399445245</c:v>
                </c:pt>
                <c:pt idx="82">
                  <c:v>85.75704332480457</c:v>
                </c:pt>
                <c:pt idx="83">
                  <c:v>85.781574754019445</c:v>
                </c:pt>
                <c:pt idx="84">
                  <c:v>85.805528722539407</c:v>
                </c:pt>
                <c:pt idx="85">
                  <c:v>85.82892437247142</c:v>
                </c:pt>
                <c:pt idx="86">
                  <c:v>85.851780002147976</c:v>
                </c:pt>
                <c:pt idx="87">
                  <c:v>85.87411311241479</c:v>
                </c:pt>
                <c:pt idx="88">
                  <c:v>85.895940449890347</c:v>
                </c:pt>
                <c:pt idx="89">
                  <c:v>85.917278047425896</c:v>
                </c:pt>
                <c:pt idx="90">
                  <c:v>85.93814126197627</c:v>
                </c:pt>
                <c:pt idx="91">
                  <c:v>85.958544810073448</c:v>
                </c:pt>
                <c:pt idx="92">
                  <c:v>85.978502801078221</c:v>
                </c:pt>
                <c:pt idx="93">
                  <c:v>85.998028768371881</c:v>
                </c:pt>
                <c:pt idx="94">
                  <c:v>86.0171356986353</c:v>
                </c:pt>
                <c:pt idx="95">
                  <c:v>86.035836059351439</c:v>
                </c:pt>
                <c:pt idx="96">
                  <c:v>86.05414182465654</c:v>
                </c:pt>
                <c:pt idx="97">
                  <c:v>86.072064499654317</c:v>
                </c:pt>
                <c:pt idx="98">
                  <c:v>86.089615143299852</c:v>
                </c:pt>
                <c:pt idx="99">
                  <c:v>86.106804389949986</c:v>
                </c:pt>
                <c:pt idx="100">
                  <c:v>86.12364246967087</c:v>
                </c:pt>
              </c:numCache>
            </c:numRef>
          </c:val>
          <c:smooth val="0"/>
        </c:ser>
        <c:dLbls>
          <c:showLegendKey val="0"/>
          <c:showVal val="0"/>
          <c:showCatName val="0"/>
          <c:showSerName val="0"/>
          <c:showPercent val="0"/>
          <c:showBubbleSize val="0"/>
        </c:dLbls>
        <c:marker val="1"/>
        <c:smooth val="0"/>
        <c:axId val="325689728"/>
        <c:axId val="325691648"/>
      </c:lineChart>
      <c:lineChart>
        <c:grouping val="standard"/>
        <c:varyColors val="0"/>
        <c:ser>
          <c:idx val="2"/>
          <c:order val="1"/>
          <c:tx>
            <c:strRef>
              <c:f>'Calculations - Single'!$BP$3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Single'!$BS$5:$BS$105</c:f>
              <c:numCache>
                <c:formatCode>0.0</c:formatCode>
                <c:ptCount val="101"/>
                <c:pt idx="0">
                  <c:v>2.7299999999999997E-7</c:v>
                </c:pt>
                <c:pt idx="1">
                  <c:v>1.3650000000000002</c:v>
                </c:pt>
                <c:pt idx="2">
                  <c:v>2.7300000000000004</c:v>
                </c:pt>
                <c:pt idx="3">
                  <c:v>4.0949999999999998</c:v>
                </c:pt>
                <c:pt idx="4">
                  <c:v>5.4600000000000009</c:v>
                </c:pt>
                <c:pt idx="5">
                  <c:v>6.8250000000000002</c:v>
                </c:pt>
                <c:pt idx="6">
                  <c:v>8.19</c:v>
                </c:pt>
                <c:pt idx="7">
                  <c:v>9.5550000000000015</c:v>
                </c:pt>
                <c:pt idx="8">
                  <c:v>10.920000000000002</c:v>
                </c:pt>
                <c:pt idx="9">
                  <c:v>12.285</c:v>
                </c:pt>
                <c:pt idx="10">
                  <c:v>13.65</c:v>
                </c:pt>
                <c:pt idx="11">
                  <c:v>15.015000000000001</c:v>
                </c:pt>
                <c:pt idx="12">
                  <c:v>16.38</c:v>
                </c:pt>
                <c:pt idx="13">
                  <c:v>17.745000000000001</c:v>
                </c:pt>
                <c:pt idx="14">
                  <c:v>19.110000000000003</c:v>
                </c:pt>
                <c:pt idx="15">
                  <c:v>20.475000000000001</c:v>
                </c:pt>
                <c:pt idx="16">
                  <c:v>21.840000000000003</c:v>
                </c:pt>
                <c:pt idx="17">
                  <c:v>23.205000000000002</c:v>
                </c:pt>
                <c:pt idx="18">
                  <c:v>24.57</c:v>
                </c:pt>
                <c:pt idx="19">
                  <c:v>25.934999999999999</c:v>
                </c:pt>
                <c:pt idx="20">
                  <c:v>27.3</c:v>
                </c:pt>
                <c:pt idx="21">
                  <c:v>28.664999999999999</c:v>
                </c:pt>
                <c:pt idx="22">
                  <c:v>30.03</c:v>
                </c:pt>
                <c:pt idx="23">
                  <c:v>31.395000000000007</c:v>
                </c:pt>
                <c:pt idx="24">
                  <c:v>32.76</c:v>
                </c:pt>
                <c:pt idx="25">
                  <c:v>34.125</c:v>
                </c:pt>
                <c:pt idx="26">
                  <c:v>35.49</c:v>
                </c:pt>
                <c:pt idx="27">
                  <c:v>36.855000000000004</c:v>
                </c:pt>
                <c:pt idx="28">
                  <c:v>38.220000000000006</c:v>
                </c:pt>
                <c:pt idx="29">
                  <c:v>39.584999999999994</c:v>
                </c:pt>
                <c:pt idx="30">
                  <c:v>40.950000000000003</c:v>
                </c:pt>
                <c:pt idx="31">
                  <c:v>42.314999999999998</c:v>
                </c:pt>
                <c:pt idx="32">
                  <c:v>43.680000000000007</c:v>
                </c:pt>
                <c:pt idx="33">
                  <c:v>45.045000000000002</c:v>
                </c:pt>
                <c:pt idx="34">
                  <c:v>46.410000000000004</c:v>
                </c:pt>
                <c:pt idx="35">
                  <c:v>47.774999999999999</c:v>
                </c:pt>
                <c:pt idx="36">
                  <c:v>49.14</c:v>
                </c:pt>
                <c:pt idx="37">
                  <c:v>50.505000000000003</c:v>
                </c:pt>
                <c:pt idx="38">
                  <c:v>51.87</c:v>
                </c:pt>
                <c:pt idx="39">
                  <c:v>53.234999999999999</c:v>
                </c:pt>
                <c:pt idx="40">
                  <c:v>54.6</c:v>
                </c:pt>
                <c:pt idx="41">
                  <c:v>55.964999999999996</c:v>
                </c:pt>
                <c:pt idx="42">
                  <c:v>57.33</c:v>
                </c:pt>
                <c:pt idx="43">
                  <c:v>58.695000000000007</c:v>
                </c:pt>
                <c:pt idx="44">
                  <c:v>60.06</c:v>
                </c:pt>
                <c:pt idx="45">
                  <c:v>61.425000000000004</c:v>
                </c:pt>
                <c:pt idx="46">
                  <c:v>62.790000000000013</c:v>
                </c:pt>
                <c:pt idx="47">
                  <c:v>64.154999999999987</c:v>
                </c:pt>
                <c:pt idx="48">
                  <c:v>65.52</c:v>
                </c:pt>
                <c:pt idx="49">
                  <c:v>66.885000000000005</c:v>
                </c:pt>
                <c:pt idx="50">
                  <c:v>68.25</c:v>
                </c:pt>
                <c:pt idx="51">
                  <c:v>69.614999999999995</c:v>
                </c:pt>
                <c:pt idx="52">
                  <c:v>70.98</c:v>
                </c:pt>
                <c:pt idx="53">
                  <c:v>72.345000000000013</c:v>
                </c:pt>
                <c:pt idx="54">
                  <c:v>73.710000000000008</c:v>
                </c:pt>
                <c:pt idx="55">
                  <c:v>75.075000000000003</c:v>
                </c:pt>
                <c:pt idx="56">
                  <c:v>76.440000000000012</c:v>
                </c:pt>
                <c:pt idx="57">
                  <c:v>77.804999999999993</c:v>
                </c:pt>
                <c:pt idx="58">
                  <c:v>79.169999999999987</c:v>
                </c:pt>
                <c:pt idx="59">
                  <c:v>80.534999999999997</c:v>
                </c:pt>
                <c:pt idx="60">
                  <c:v>81.900000000000006</c:v>
                </c:pt>
                <c:pt idx="61">
                  <c:v>83.265000000000001</c:v>
                </c:pt>
                <c:pt idx="62">
                  <c:v>84.63</c:v>
                </c:pt>
                <c:pt idx="63">
                  <c:v>85.995000000000005</c:v>
                </c:pt>
                <c:pt idx="64">
                  <c:v>87.360000000000014</c:v>
                </c:pt>
                <c:pt idx="65">
                  <c:v>88.725000000000009</c:v>
                </c:pt>
                <c:pt idx="66">
                  <c:v>90.09</c:v>
                </c:pt>
                <c:pt idx="67">
                  <c:v>91.455000000000013</c:v>
                </c:pt>
                <c:pt idx="68">
                  <c:v>92.820000000000007</c:v>
                </c:pt>
                <c:pt idx="69">
                  <c:v>94.185000000000002</c:v>
                </c:pt>
                <c:pt idx="70">
                  <c:v>95.55</c:v>
                </c:pt>
                <c:pt idx="71">
                  <c:v>96.915000000000006</c:v>
                </c:pt>
                <c:pt idx="72">
                  <c:v>98.28</c:v>
                </c:pt>
                <c:pt idx="73">
                  <c:v>99.644999999999996</c:v>
                </c:pt>
                <c:pt idx="74">
                  <c:v>101.01</c:v>
                </c:pt>
                <c:pt idx="75">
                  <c:v>102.375</c:v>
                </c:pt>
                <c:pt idx="76">
                  <c:v>103.74</c:v>
                </c:pt>
                <c:pt idx="77">
                  <c:v>105.10499999999999</c:v>
                </c:pt>
                <c:pt idx="78">
                  <c:v>106.47</c:v>
                </c:pt>
                <c:pt idx="79">
                  <c:v>107.83499999999999</c:v>
                </c:pt>
                <c:pt idx="80">
                  <c:v>109.2</c:v>
                </c:pt>
                <c:pt idx="81">
                  <c:v>110.565</c:v>
                </c:pt>
                <c:pt idx="82">
                  <c:v>111.92999999999999</c:v>
                </c:pt>
                <c:pt idx="83">
                  <c:v>113.29499999999999</c:v>
                </c:pt>
                <c:pt idx="84">
                  <c:v>114.66</c:v>
                </c:pt>
                <c:pt idx="85">
                  <c:v>116.02500000000001</c:v>
                </c:pt>
                <c:pt idx="86">
                  <c:v>117.39000000000001</c:v>
                </c:pt>
                <c:pt idx="87">
                  <c:v>118.75500000000001</c:v>
                </c:pt>
                <c:pt idx="88">
                  <c:v>120.12</c:v>
                </c:pt>
                <c:pt idx="89">
                  <c:v>121.48500000000001</c:v>
                </c:pt>
                <c:pt idx="90">
                  <c:v>122.85000000000001</c:v>
                </c:pt>
                <c:pt idx="91">
                  <c:v>124.21500000000002</c:v>
                </c:pt>
                <c:pt idx="92">
                  <c:v>125.58000000000003</c:v>
                </c:pt>
                <c:pt idx="93">
                  <c:v>126.94500000000001</c:v>
                </c:pt>
                <c:pt idx="94">
                  <c:v>128.30999999999997</c:v>
                </c:pt>
                <c:pt idx="95">
                  <c:v>129.67499999999998</c:v>
                </c:pt>
                <c:pt idx="96">
                  <c:v>131.04</c:v>
                </c:pt>
                <c:pt idx="97">
                  <c:v>132.405</c:v>
                </c:pt>
                <c:pt idx="98">
                  <c:v>133.77000000000001</c:v>
                </c:pt>
                <c:pt idx="99">
                  <c:v>135.13499999999999</c:v>
                </c:pt>
                <c:pt idx="100">
                  <c:v>136.5</c:v>
                </c:pt>
              </c:numCache>
            </c:numRef>
          </c:val>
          <c:smooth val="0"/>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Single'!$BO$5:$BO$105</c:f>
              <c:numCache>
                <c:formatCode>0.0</c:formatCode>
                <c:ptCount val="101"/>
                <c:pt idx="0">
                  <c:v>8.3304328681357003</c:v>
                </c:pt>
                <c:pt idx="1">
                  <c:v>14.227525249697822</c:v>
                </c:pt>
                <c:pt idx="2">
                  <c:v>21.495243304006554</c:v>
                </c:pt>
                <c:pt idx="3">
                  <c:v>28.763154170598856</c:v>
                </c:pt>
                <c:pt idx="4">
                  <c:v>36.031257857147764</c:v>
                </c:pt>
                <c:pt idx="5">
                  <c:v>43.299554371326764</c:v>
                </c:pt>
                <c:pt idx="6">
                  <c:v>50.643752383860502</c:v>
                </c:pt>
                <c:pt idx="7">
                  <c:v>56.350045807930897</c:v>
                </c:pt>
                <c:pt idx="8">
                  <c:v>57.606101206752719</c:v>
                </c:pt>
                <c:pt idx="9">
                  <c:v>58.796258212573129</c:v>
                </c:pt>
                <c:pt idx="10">
                  <c:v>59.93182130396778</c:v>
                </c:pt>
                <c:pt idx="11">
                  <c:v>61.021297059958869</c:v>
                </c:pt>
                <c:pt idx="12">
                  <c:v>62.071273024641648</c:v>
                </c:pt>
                <c:pt idx="13">
                  <c:v>63.086971089025241</c:v>
                </c:pt>
                <c:pt idx="14">
                  <c:v>64.072611519910012</c:v>
                </c:pt>
                <c:pt idx="15">
                  <c:v>65.031661217841801</c:v>
                </c:pt>
                <c:pt idx="16">
                  <c:v>65.967008219500173</c:v>
                </c:pt>
                <c:pt idx="17">
                  <c:v>66.881087554657114</c:v>
                </c:pt>
                <c:pt idx="18">
                  <c:v>67.775974054611069</c:v>
                </c:pt>
                <c:pt idx="19">
                  <c:v>68.653452125678257</c:v>
                </c:pt>
                <c:pt idx="20">
                  <c:v>69.515069103810688</c:v>
                </c:pt>
                <c:pt idx="21">
                  <c:v>70.36217667291973</c:v>
                </c:pt>
                <c:pt idx="22">
                  <c:v>71.195963452208957</c:v>
                </c:pt>
                <c:pt idx="23">
                  <c:v>72.0174809466927</c:v>
                </c:pt>
                <c:pt idx="24">
                  <c:v>72.82766443901771</c:v>
                </c:pt>
                <c:pt idx="25">
                  <c:v>73.62734997590762</c:v>
                </c:pt>
                <c:pt idx="26">
                  <c:v>74.417288304401993</c:v>
                </c:pt>
                <c:pt idx="27">
                  <c:v>75.198156400410284</c:v>
                </c:pt>
                <c:pt idx="28">
                  <c:v>75.970567078190044</c:v>
                </c:pt>
                <c:pt idx="29">
                  <c:v>76.735077056456106</c:v>
                </c:pt>
                <c:pt idx="30">
                  <c:v>77.492193772978013</c:v>
                </c:pt>
                <c:pt idx="31">
                  <c:v>78.242381176535986</c:v>
                </c:pt>
                <c:pt idx="32">
                  <c:v>78.986064677291722</c:v>
                </c:pt>
                <c:pt idx="33">
                  <c:v>79.723635399974057</c:v>
                </c:pt>
                <c:pt idx="34">
                  <c:v>80.455453855922798</c:v>
                </c:pt>
                <c:pt idx="35">
                  <c:v>81.181853127909378</c:v>
                </c:pt>
                <c:pt idx="36">
                  <c:v>81.903141644252017</c:v>
                </c:pt>
                <c:pt idx="37">
                  <c:v>82.619605604958451</c:v>
                </c:pt>
                <c:pt idx="38">
                  <c:v>83.33151111162681</c:v>
                </c:pt>
                <c:pt idx="39">
                  <c:v>84.03910604400231</c:v>
                </c:pt>
                <c:pt idx="40">
                  <c:v>84.74262171894577</c:v>
                </c:pt>
                <c:pt idx="41">
                  <c:v>85.442274361766522</c:v>
                </c:pt>
                <c:pt idx="42">
                  <c:v>86.138266415127148</c:v>
                </c:pt>
                <c:pt idx="43">
                  <c:v>86.830787706827749</c:v>
                </c:pt>
                <c:pt idx="44">
                  <c:v>87.520016494558917</c:v>
                </c:pt>
                <c:pt idx="45">
                  <c:v>88.206120403038511</c:v>
                </c:pt>
                <c:pt idx="46">
                  <c:v>88.889257266721927</c:v>
                </c:pt>
                <c:pt idx="47">
                  <c:v>89.569575889409748</c:v>
                </c:pt>
                <c:pt idx="48">
                  <c:v>90.247216730510331</c:v>
                </c:pt>
                <c:pt idx="49">
                  <c:v>90.922312526391863</c:v>
                </c:pt>
                <c:pt idx="50">
                  <c:v>91.594988854138421</c:v>
                </c:pt>
                <c:pt idx="51">
                  <c:v>92.265364644072548</c:v>
                </c:pt>
                <c:pt idx="52">
                  <c:v>92.933552646594492</c:v>
                </c:pt>
                <c:pt idx="53">
                  <c:v>93.599659858192794</c:v>
                </c:pt>
                <c:pt idx="54">
                  <c:v>94.26378791088564</c:v>
                </c:pt>
                <c:pt idx="55">
                  <c:v>94.926033428836973</c:v>
                </c:pt>
                <c:pt idx="56">
                  <c:v>95.586488355448466</c:v>
                </c:pt>
                <c:pt idx="57">
                  <c:v>96.245240253845083</c:v>
                </c:pt>
                <c:pt idx="58">
                  <c:v>96.902372583336472</c:v>
                </c:pt>
                <c:pt idx="59">
                  <c:v>97.557964954147891</c:v>
                </c:pt>
                <c:pt idx="60">
                  <c:v>98.212093362459854</c:v>
                </c:pt>
                <c:pt idx="61">
                  <c:v>98.864830407574303</c:v>
                </c:pt>
                <c:pt idx="62">
                  <c:v>99.51624549283072</c:v>
                </c:pt>
                <c:pt idx="63">
                  <c:v>100.16640501172441</c:v>
                </c:pt>
                <c:pt idx="64">
                  <c:v>100.81537252052964</c:v>
                </c:pt>
                <c:pt idx="65">
                  <c:v>101.46320889859589</c:v>
                </c:pt>
                <c:pt idx="66">
                  <c:v>102.10997249736998</c:v>
                </c:pt>
                <c:pt idx="67">
                  <c:v>102.75571927909098</c:v>
                </c:pt>
                <c:pt idx="68">
                  <c:v>103.40050294601357</c:v>
                </c:pt>
                <c:pt idx="69">
                  <c:v>104.04437506093333</c:v>
                </c:pt>
                <c:pt idx="70">
                  <c:v>104.68738515971303</c:v>
                </c:pt>
                <c:pt idx="71">
                  <c:v>105.32958085644525</c:v>
                </c:pt>
                <c:pt idx="72">
                  <c:v>105.97100794182714</c:v>
                </c:pt>
                <c:pt idx="73">
                  <c:v>106.61171047527139</c:v>
                </c:pt>
                <c:pt idx="74">
                  <c:v>107.25173087122985</c:v>
                </c:pt>
                <c:pt idx="75">
                  <c:v>107.89110998016511</c:v>
                </c:pt>
                <c:pt idx="76">
                  <c:v>108.52988716456659</c:v>
                </c:pt>
                <c:pt idx="77">
                  <c:v>109.16810037037375</c:v>
                </c:pt>
                <c:pt idx="78">
                  <c:v>109.80578619413858</c:v>
                </c:pt>
                <c:pt idx="79">
                  <c:v>110.44297994623092</c:v>
                </c:pt>
                <c:pt idx="80">
                  <c:v>111.0797157103659</c:v>
                </c:pt>
                <c:pt idx="81">
                  <c:v>111.71602639970909</c:v>
                </c:pt>
                <c:pt idx="82">
                  <c:v>112.35194380979497</c:v>
                </c:pt>
                <c:pt idx="83">
                  <c:v>112.98749866847491</c:v>
                </c:pt>
                <c:pt idx="84">
                  <c:v>113.62272068309466</c:v>
                </c:pt>
                <c:pt idx="85">
                  <c:v>114.25763858508395</c:v>
                </c:pt>
                <c:pt idx="86">
                  <c:v>114.89228017212962</c:v>
                </c:pt>
                <c:pt idx="87">
                  <c:v>115.52667234808774</c:v>
                </c:pt>
                <c:pt idx="88">
                  <c:v>116.16084116077982</c:v>
                </c:pt>
                <c:pt idx="89">
                  <c:v>116.79481183780784</c:v>
                </c:pt>
                <c:pt idx="90">
                  <c:v>117.42860882051176</c:v>
                </c:pt>
                <c:pt idx="91">
                  <c:v>118.06225579618497</c:v>
                </c:pt>
                <c:pt idx="92">
                  <c:v>118.69577572865455</c:v>
                </c:pt>
                <c:pt idx="93">
                  <c:v>119.32919088732557</c:v>
                </c:pt>
                <c:pt idx="94">
                  <c:v>119.9625228747815</c:v>
                </c:pt>
                <c:pt idx="95">
                  <c:v>120.59579265302727</c:v>
                </c:pt>
                <c:pt idx="96">
                  <c:v>121.22902056845362</c:v>
                </c:pt>
                <c:pt idx="97">
                  <c:v>121.86222637559847</c:v>
                </c:pt>
                <c:pt idx="98">
                  <c:v>122.49542925977387</c:v>
                </c:pt>
                <c:pt idx="99">
                  <c:v>123.12864785862349</c:v>
                </c:pt>
                <c:pt idx="100">
                  <c:v>123.76190028267121</c:v>
                </c:pt>
              </c:numCache>
            </c:numRef>
          </c:val>
          <c:smooth val="0"/>
        </c:ser>
        <c:ser>
          <c:idx val="1"/>
          <c:order val="3"/>
          <c:tx>
            <c:strRef>
              <c:f>'Calculations - Single'!$BT$3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Single'!$BY$5:$BY$105</c:f>
              <c:numCache>
                <c:formatCode>0.0</c:formatCode>
                <c:ptCount val="101"/>
                <c:pt idx="0">
                  <c:v>3.1335935424345021</c:v>
                </c:pt>
                <c:pt idx="1">
                  <c:v>3.6105606562710162</c:v>
                </c:pt>
                <c:pt idx="2">
                  <c:v>4.229104900492338</c:v>
                </c:pt>
                <c:pt idx="3">
                  <c:v>4.8947253696802182</c:v>
                </c:pt>
                <c:pt idx="4">
                  <c:v>5.6181779868185782</c:v>
                </c:pt>
                <c:pt idx="5">
                  <c:v>6.4084785082824061</c:v>
                </c:pt>
                <c:pt idx="6">
                  <c:v>7.3484317877277956</c:v>
                </c:pt>
                <c:pt idx="7">
                  <c:v>9.2654710189903025</c:v>
                </c:pt>
                <c:pt idx="8">
                  <c:v>10.623804769877935</c:v>
                </c:pt>
                <c:pt idx="9">
                  <c:v>11.986900394110968</c:v>
                </c:pt>
                <c:pt idx="10">
                  <c:v>13.354292554466715</c:v>
                </c:pt>
                <c:pt idx="11">
                  <c:v>14.725602049517239</c:v>
                </c:pt>
                <c:pt idx="12">
                  <c:v>16.100513450183357</c:v>
                </c:pt>
                <c:pt idx="13">
                  <c:v>17.478759941619909</c:v>
                </c:pt>
                <c:pt idx="14">
                  <c:v>18.86011266652174</c:v>
                </c:pt>
                <c:pt idx="15">
                  <c:v>20.24437300372902</c:v>
                </c:pt>
                <c:pt idx="16">
                  <c:v>21.631366830129075</c:v>
                </c:pt>
                <c:pt idx="17">
                  <c:v>23.02094016339338</c:v>
                </c:pt>
                <c:pt idx="18">
                  <c:v>24.412955791072278</c:v>
                </c:pt>
                <c:pt idx="19">
                  <c:v>25.807290620082664</c:v>
                </c:pt>
                <c:pt idx="20">
                  <c:v>27.203833562655419</c:v>
                </c:pt>
                <c:pt idx="21">
                  <c:v>28.602483828673297</c:v>
                </c:pt>
                <c:pt idx="22">
                  <c:v>30.003149530589894</c:v>
                </c:pt>
                <c:pt idx="23">
                  <c:v>31.405746532073092</c:v>
                </c:pt>
                <c:pt idx="24">
                  <c:v>32.810197489030749</c:v>
                </c:pt>
                <c:pt idx="25">
                  <c:v>34.216431044187026</c:v>
                </c:pt>
                <c:pt idx="26">
                  <c:v>35.624381145460262</c:v>
                </c:pt>
                <c:pt idx="27">
                  <c:v>37.033986465082144</c:v>
                </c:pt>
                <c:pt idx="28">
                  <c:v>38.445189901389817</c:v>
                </c:pt>
                <c:pt idx="29">
                  <c:v>39.857938148993938</c:v>
                </c:pt>
                <c:pt idx="30">
                  <c:v>41.272181325906637</c:v>
                </c:pt>
                <c:pt idx="31">
                  <c:v>42.687872648436262</c:v>
                </c:pt>
                <c:pt idx="32">
                  <c:v>44.104968146388757</c:v>
                </c:pt>
                <c:pt idx="33">
                  <c:v>45.523426412477697</c:v>
                </c:pt>
                <c:pt idx="34">
                  <c:v>46.943208380923451</c:v>
                </c:pt>
                <c:pt idx="35">
                  <c:v>48.364277131085757</c:v>
                </c:pt>
                <c:pt idx="36">
                  <c:v>49.786597712666072</c:v>
                </c:pt>
                <c:pt idx="37">
                  <c:v>51.210136989579155</c:v>
                </c:pt>
                <c:pt idx="38">
                  <c:v>52.634863500050869</c:v>
                </c:pt>
                <c:pt idx="39">
                  <c:v>54.060747330874172</c:v>
                </c:pt>
                <c:pt idx="40">
                  <c:v>55.487760004066089</c:v>
                </c:pt>
                <c:pt idx="41">
                  <c:v>56.915874374423588</c:v>
                </c:pt>
                <c:pt idx="42">
                  <c:v>58.345064536692107</c:v>
                </c:pt>
                <c:pt idx="43">
                  <c:v>59.775305741237226</c:v>
                </c:pt>
                <c:pt idx="44">
                  <c:v>61.206574317262607</c:v>
                </c:pt>
                <c:pt idx="45">
                  <c:v>62.638847602743212</c:v>
                </c:pt>
                <c:pt idx="46">
                  <c:v>64.072103880350838</c:v>
                </c:pt>
                <c:pt idx="47">
                  <c:v>65.506322318741482</c:v>
                </c:pt>
                <c:pt idx="48">
                  <c:v>66.941482918651147</c:v>
                </c:pt>
                <c:pt idx="49">
                  <c:v>68.377566463315546</c:v>
                </c:pt>
                <c:pt idx="50">
                  <c:v>69.814554472785645</c:v>
                </c:pt>
                <c:pt idx="51">
                  <c:v>71.25242916176181</c:v>
                </c:pt>
                <c:pt idx="52">
                  <c:v>72.691173400612186</c:v>
                </c:pt>
                <c:pt idx="53">
                  <c:v>74.130770679278484</c:v>
                </c:pt>
                <c:pt idx="54">
                  <c:v>75.571205073805331</c:v>
                </c:pt>
                <c:pt idx="55">
                  <c:v>77.012461215257488</c:v>
                </c:pt>
                <c:pt idx="56">
                  <c:v>78.454524260814978</c:v>
                </c:pt>
                <c:pt idx="57">
                  <c:v>79.897379866856852</c:v>
                </c:pt>
                <c:pt idx="58">
                  <c:v>81.34101416386531</c:v>
                </c:pt>
                <c:pt idx="59">
                  <c:v>82.785413732997299</c:v>
                </c:pt>
                <c:pt idx="60">
                  <c:v>84.23056558418719</c:v>
                </c:pt>
                <c:pt idx="61">
                  <c:v>85.676457135656278</c:v>
                </c:pt>
                <c:pt idx="62">
                  <c:v>87.12307619471774</c:v>
                </c:pt>
                <c:pt idx="63">
                  <c:v>88.570410939775158</c:v>
                </c:pt>
                <c:pt idx="64">
                  <c:v>90.018449903423672</c:v>
                </c:pt>
                <c:pt idx="65">
                  <c:v>91.467181956568893</c:v>
                </c:pt>
                <c:pt idx="66">
                  <c:v>92.916596293488851</c:v>
                </c:pt>
                <c:pt idx="67">
                  <c:v>94.366682417769098</c:v>
                </c:pt>
                <c:pt idx="68">
                  <c:v>95.817430129047608</c:v>
                </c:pt>
                <c:pt idx="69">
                  <c:v>97.268829510512191</c:v>
                </c:pt>
                <c:pt idx="70">
                  <c:v>98.72087091709686</c:v>
                </c:pt>
                <c:pt idx="71">
                  <c:v>100.17354496432962</c:v>
                </c:pt>
                <c:pt idx="72">
                  <c:v>101.62684251778603</c:v>
                </c:pt>
                <c:pt idx="73">
                  <c:v>103.08075468310852</c:v>
                </c:pt>
                <c:pt idx="74">
                  <c:v>104.53527279655397</c:v>
                </c:pt>
                <c:pt idx="75">
                  <c:v>105.99038841603394</c:v>
                </c:pt>
                <c:pt idx="76">
                  <c:v>107.44609331261657</c:v>
                </c:pt>
                <c:pt idx="77">
                  <c:v>108.90237946246053</c:v>
                </c:pt>
                <c:pt idx="78">
                  <c:v>110.35923903915354</c:v>
                </c:pt>
                <c:pt idx="79">
                  <c:v>111.81666440642999</c:v>
                </c:pt>
                <c:pt idx="80">
                  <c:v>113.27464811124541</c:v>
                </c:pt>
                <c:pt idx="81">
                  <c:v>114.73318287718475</c:v>
                </c:pt>
                <c:pt idx="82">
                  <c:v>116.19226159818577</c:v>
                </c:pt>
                <c:pt idx="83">
                  <c:v>117.65187733255793</c:v>
                </c:pt>
                <c:pt idx="84">
                  <c:v>119.1120232972799</c:v>
                </c:pt>
                <c:pt idx="85">
                  <c:v>120.57269286255959</c:v>
                </c:pt>
                <c:pt idx="86">
                  <c:v>122.0338795466413</c:v>
                </c:pt>
                <c:pt idx="87">
                  <c:v>123.49557701084696</c:v>
                </c:pt>
                <c:pt idx="88">
                  <c:v>124.95777905483729</c:v>
                </c:pt>
                <c:pt idx="89">
                  <c:v>126.42047961208134</c:v>
                </c:pt>
                <c:pt idx="90">
                  <c:v>127.88367274552284</c:v>
                </c:pt>
                <c:pt idx="91">
                  <c:v>129.3473526434332</c:v>
                </c:pt>
                <c:pt idx="92">
                  <c:v>130.81151361544042</c:v>
                </c:pt>
                <c:pt idx="93">
                  <c:v>132.2761500887249</c:v>
                </c:pt>
                <c:pt idx="94">
                  <c:v>133.74125660437406</c:v>
                </c:pt>
                <c:pt idx="95">
                  <c:v>135.20682781388678</c:v>
                </c:pt>
                <c:pt idx="96">
                  <c:v>136.67285847581988</c:v>
                </c:pt>
                <c:pt idx="97">
                  <c:v>138.13934345257033</c:v>
                </c:pt>
                <c:pt idx="98">
                  <c:v>139.60627770728581</c:v>
                </c:pt>
                <c:pt idx="99">
                  <c:v>141.073656300897</c:v>
                </c:pt>
                <c:pt idx="100">
                  <c:v>142.54147438926623</c:v>
                </c:pt>
              </c:numCache>
            </c:numRef>
          </c:val>
          <c:smooth val="0"/>
        </c:ser>
        <c:dLbls>
          <c:showLegendKey val="0"/>
          <c:showVal val="0"/>
          <c:showCatName val="0"/>
          <c:showSerName val="0"/>
          <c:showPercent val="0"/>
          <c:showBubbleSize val="0"/>
        </c:dLbls>
        <c:marker val="1"/>
        <c:smooth val="0"/>
        <c:axId val="325712128"/>
        <c:axId val="325710208"/>
      </c:lineChart>
      <c:catAx>
        <c:axId val="325689728"/>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325691648"/>
        <c:crosses val="autoZero"/>
        <c:auto val="1"/>
        <c:lblAlgn val="ctr"/>
        <c:lblOffset val="100"/>
        <c:tickLblSkip val="20"/>
        <c:tickMarkSkip val="20"/>
        <c:noMultiLvlLbl val="0"/>
      </c:catAx>
      <c:valAx>
        <c:axId val="325691648"/>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25689728"/>
        <c:crossesAt val="0"/>
        <c:crossBetween val="between"/>
        <c:majorUnit val="5"/>
        <c:minorUnit val="2.5"/>
      </c:valAx>
      <c:valAx>
        <c:axId val="32571020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325712128"/>
        <c:crosses val="max"/>
        <c:crossBetween val="between"/>
      </c:valAx>
      <c:catAx>
        <c:axId val="325712128"/>
        <c:scaling>
          <c:orientation val="minMax"/>
        </c:scaling>
        <c:delete val="1"/>
        <c:axPos val="b"/>
        <c:numFmt formatCode="General" sourceLinked="1"/>
        <c:majorTickMark val="out"/>
        <c:minorTickMark val="none"/>
        <c:tickLblPos val="nextTo"/>
        <c:crossAx val="32571020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4467583520385743"/>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Dual'!$CD$5:$CD$105</c:f>
              <c:numCache>
                <c:formatCode>0.00</c:formatCode>
                <c:ptCount val="101"/>
                <c:pt idx="0">
                  <c:v>5.4777871255089702E-5</c:v>
                </c:pt>
                <c:pt idx="1">
                  <c:v>64.700665006639497</c:v>
                </c:pt>
                <c:pt idx="2">
                  <c:v>72.571120955702327</c:v>
                </c:pt>
                <c:pt idx="3">
                  <c:v>75.620064391165471</c:v>
                </c:pt>
                <c:pt idx="4">
                  <c:v>76.464139780100197</c:v>
                </c:pt>
                <c:pt idx="5">
                  <c:v>76.276273221617473</c:v>
                </c:pt>
                <c:pt idx="6">
                  <c:v>75.957848244763298</c:v>
                </c:pt>
                <c:pt idx="7">
                  <c:v>76.22471443375089</c:v>
                </c:pt>
                <c:pt idx="8">
                  <c:v>77.288897750511566</c:v>
                </c:pt>
                <c:pt idx="9">
                  <c:v>78.150756710712471</c:v>
                </c:pt>
                <c:pt idx="10">
                  <c:v>78.864595867459144</c:v>
                </c:pt>
                <c:pt idx="11">
                  <c:v>79.466690173586855</c:v>
                </c:pt>
                <c:pt idx="12">
                  <c:v>79.982231780670091</c:v>
                </c:pt>
                <c:pt idx="13">
                  <c:v>80.429285002312483</c:v>
                </c:pt>
                <c:pt idx="14">
                  <c:v>80.82115503315174</c:v>
                </c:pt>
                <c:pt idx="15">
                  <c:v>81.167867726646023</c:v>
                </c:pt>
                <c:pt idx="16">
                  <c:v>81.477127594315263</c:v>
                </c:pt>
                <c:pt idx="17">
                  <c:v>81.754957259911592</c:v>
                </c:pt>
                <c:pt idx="18">
                  <c:v>82.006135754225213</c:v>
                </c:pt>
                <c:pt idx="19">
                  <c:v>82.234505987281509</c:v>
                </c:pt>
                <c:pt idx="20">
                  <c:v>82.443194914878219</c:v>
                </c:pt>
                <c:pt idx="21">
                  <c:v>82.634774093035531</c:v>
                </c:pt>
                <c:pt idx="22">
                  <c:v>82.811378690677145</c:v>
                </c:pt>
                <c:pt idx="23">
                  <c:v>82.974797018228074</c:v>
                </c:pt>
                <c:pt idx="24">
                  <c:v>83.126538781233748</c:v>
                </c:pt>
                <c:pt idx="25">
                  <c:v>83.267887750484334</c:v>
                </c:pt>
                <c:pt idx="26">
                  <c:v>83.399942860390439</c:v>
                </c:pt>
                <c:pt idx="27">
                  <c:v>83.523650606353655</c:v>
                </c:pt>
                <c:pt idx="28">
                  <c:v>83.639830824004662</c:v>
                </c:pt>
                <c:pt idx="29">
                  <c:v>83.749197380895879</c:v>
                </c:pt>
                <c:pt idx="30">
                  <c:v>83.852374918686479</c:v>
                </c:pt>
                <c:pt idx="31">
                  <c:v>83.949912501243176</c:v>
                </c:pt>
                <c:pt idx="32">
                  <c:v>84.042294818181247</c:v>
                </c:pt>
                <c:pt idx="33">
                  <c:v>84.129951441696122</c:v>
                </c:pt>
                <c:pt idx="34">
                  <c:v>84.213264521647176</c:v>
                </c:pt>
                <c:pt idx="35">
                  <c:v>84.292575219024869</c:v>
                </c:pt>
                <c:pt idx="36">
                  <c:v>84.368189113605524</c:v>
                </c:pt>
                <c:pt idx="37">
                  <c:v>84.440380772406897</c:v>
                </c:pt>
                <c:pt idx="38">
                  <c:v>84.509397627639487</c:v>
                </c:pt>
                <c:pt idx="39">
                  <c:v>84.575463283400822</c:v>
                </c:pt>
                <c:pt idx="40">
                  <c:v>84.638780347326161</c:v>
                </c:pt>
                <c:pt idx="41">
                  <c:v>84.69953286527408</c:v>
                </c:pt>
                <c:pt idx="42">
                  <c:v>84.757888422754093</c:v>
                </c:pt>
                <c:pt idx="43">
                  <c:v>84.813999965347705</c:v>
                </c:pt>
                <c:pt idx="44">
                  <c:v>84.868007381189869</c:v>
                </c:pt>
                <c:pt idx="45">
                  <c:v>84.920038881173681</c:v>
                </c:pt>
                <c:pt idx="46">
                  <c:v>84.970212206543167</c:v>
                </c:pt>
                <c:pt idx="47">
                  <c:v>85.018635688653518</c:v>
                </c:pt>
                <c:pt idx="48">
                  <c:v>85.065409181683179</c:v>
                </c:pt>
                <c:pt idx="49">
                  <c:v>85.110624885796881</c:v>
                </c:pt>
                <c:pt idx="50">
                  <c:v>85.154368075550352</c:v>
                </c:pt>
                <c:pt idx="51">
                  <c:v>85.196717746080154</c:v>
                </c:pt>
                <c:pt idx="52">
                  <c:v>85.237747187754238</c:v>
                </c:pt>
                <c:pt idx="53">
                  <c:v>85.293236882244187</c:v>
                </c:pt>
                <c:pt idx="54">
                  <c:v>85.432188812400639</c:v>
                </c:pt>
                <c:pt idx="55">
                  <c:v>85.56468444406508</c:v>
                </c:pt>
                <c:pt idx="56">
                  <c:v>85.691125992211354</c:v>
                </c:pt>
                <c:pt idx="57">
                  <c:v>85.811884561812434</c:v>
                </c:pt>
                <c:pt idx="58">
                  <c:v>85.927302991909428</c:v>
                </c:pt>
                <c:pt idx="59">
                  <c:v>86.037698402205663</c:v>
                </c:pt>
                <c:pt idx="60">
                  <c:v>86.143364476963697</c:v>
                </c:pt>
                <c:pt idx="61">
                  <c:v>86.244573516517931</c:v>
                </c:pt>
                <c:pt idx="62">
                  <c:v>86.341578282872419</c:v>
                </c:pt>
                <c:pt idx="63">
                  <c:v>86.43461366253679</c:v>
                </c:pt>
                <c:pt idx="64">
                  <c:v>86.523898166888273</c:v>
                </c:pt>
                <c:pt idx="65">
                  <c:v>86.589024131861009</c:v>
                </c:pt>
                <c:pt idx="66">
                  <c:v>86.647490352234556</c:v>
                </c:pt>
                <c:pt idx="67">
                  <c:v>86.704320212547188</c:v>
                </c:pt>
                <c:pt idx="68">
                  <c:v>86.759577717621568</c:v>
                </c:pt>
                <c:pt idx="69">
                  <c:v>86.813323619728507</c:v>
                </c:pt>
                <c:pt idx="70">
                  <c:v>86.865615623091216</c:v>
                </c:pt>
                <c:pt idx="71">
                  <c:v>86.916508572996122</c:v>
                </c:pt>
                <c:pt idx="72">
                  <c:v>86.966054630863411</c:v>
                </c:pt>
                <c:pt idx="73">
                  <c:v>87.014303436493918</c:v>
                </c:pt>
                <c:pt idx="74">
                  <c:v>87.06130225858918</c:v>
                </c:pt>
                <c:pt idx="75">
                  <c:v>87.107096134533009</c:v>
                </c:pt>
                <c:pt idx="76">
                  <c:v>87.15172800032866</c:v>
                </c:pt>
                <c:pt idx="77">
                  <c:v>87.195238811500104</c:v>
                </c:pt>
                <c:pt idx="78">
                  <c:v>87.237667655689407</c:v>
                </c:pt>
                <c:pt idx="79">
                  <c:v>87.279051857615869</c:v>
                </c:pt>
                <c:pt idx="80">
                  <c:v>87.319427076999645</c:v>
                </c:pt>
                <c:pt idx="81">
                  <c:v>87.358827399999925</c:v>
                </c:pt>
                <c:pt idx="82">
                  <c:v>87.39728542466743</c:v>
                </c:pt>
                <c:pt idx="83">
                  <c:v>87.434832340867644</c:v>
                </c:pt>
                <c:pt idx="84">
                  <c:v>87.471498005090922</c:v>
                </c:pt>
                <c:pt idx="85">
                  <c:v>87.50731101053033</c:v>
                </c:pt>
                <c:pt idx="86">
                  <c:v>87.54229875277521</c:v>
                </c:pt>
                <c:pt idx="87">
                  <c:v>87.576487491439607</c:v>
                </c:pt>
                <c:pt idx="88">
                  <c:v>87.609902408017817</c:v>
                </c:pt>
                <c:pt idx="89">
                  <c:v>87.642567660235827</c:v>
                </c:pt>
                <c:pt idx="90">
                  <c:v>87.674506433144828</c:v>
                </c:pt>
                <c:pt idx="91">
                  <c:v>87.705740987184086</c:v>
                </c:pt>
                <c:pt idx="92">
                  <c:v>87.736292703421626</c:v>
                </c:pt>
                <c:pt idx="93">
                  <c:v>87.766182126165333</c:v>
                </c:pt>
                <c:pt idx="94">
                  <c:v>87.795429003121768</c:v>
                </c:pt>
                <c:pt idx="95">
                  <c:v>87.824052323266685</c:v>
                </c:pt>
                <c:pt idx="96">
                  <c:v>87.85207035257821</c:v>
                </c:pt>
                <c:pt idx="97">
                  <c:v>87.800255220934957</c:v>
                </c:pt>
                <c:pt idx="98">
                  <c:v>87.717187883888201</c:v>
                </c:pt>
                <c:pt idx="99">
                  <c:v>88.322432745804036</c:v>
                </c:pt>
                <c:pt idx="100">
                  <c:v>88.292561670519376</c:v>
                </c:pt>
              </c:numCache>
            </c:numRef>
          </c:val>
          <c:smooth val="0"/>
        </c:ser>
        <c:dLbls>
          <c:showLegendKey val="0"/>
          <c:showVal val="0"/>
          <c:showCatName val="0"/>
          <c:showSerName val="0"/>
          <c:showPercent val="0"/>
          <c:showBubbleSize val="0"/>
        </c:dLbls>
        <c:marker val="1"/>
        <c:smooth val="0"/>
        <c:axId val="332965760"/>
        <c:axId val="332972032"/>
      </c:lineChart>
      <c:lineChart>
        <c:grouping val="standard"/>
        <c:varyColors val="0"/>
        <c:ser>
          <c:idx val="2"/>
          <c:order val="1"/>
          <c:tx>
            <c:strRef>
              <c:f>'Calculations - Dual'!$BO$3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Dual'!$BS$5:$BS$105</c:f>
              <c:numCache>
                <c:formatCode>0.0</c:formatCode>
                <c:ptCount val="101"/>
                <c:pt idx="0">
                  <c:v>5.4599999999999994E-7</c:v>
                </c:pt>
                <c:pt idx="1">
                  <c:v>2.7300000000000004</c:v>
                </c:pt>
                <c:pt idx="2">
                  <c:v>5.4600000000000009</c:v>
                </c:pt>
                <c:pt idx="3">
                  <c:v>8.19</c:v>
                </c:pt>
                <c:pt idx="4">
                  <c:v>10.920000000000002</c:v>
                </c:pt>
                <c:pt idx="5">
                  <c:v>13.65</c:v>
                </c:pt>
                <c:pt idx="6">
                  <c:v>16.38</c:v>
                </c:pt>
                <c:pt idx="7">
                  <c:v>19.110000000000003</c:v>
                </c:pt>
                <c:pt idx="8">
                  <c:v>21.840000000000003</c:v>
                </c:pt>
                <c:pt idx="9">
                  <c:v>24.57</c:v>
                </c:pt>
                <c:pt idx="10">
                  <c:v>27.3</c:v>
                </c:pt>
                <c:pt idx="11">
                  <c:v>30.03</c:v>
                </c:pt>
                <c:pt idx="12">
                  <c:v>32.76</c:v>
                </c:pt>
                <c:pt idx="13">
                  <c:v>35.49</c:v>
                </c:pt>
                <c:pt idx="14">
                  <c:v>38.220000000000006</c:v>
                </c:pt>
                <c:pt idx="15">
                  <c:v>40.950000000000003</c:v>
                </c:pt>
                <c:pt idx="16">
                  <c:v>43.680000000000007</c:v>
                </c:pt>
                <c:pt idx="17">
                  <c:v>46.410000000000004</c:v>
                </c:pt>
                <c:pt idx="18">
                  <c:v>49.14</c:v>
                </c:pt>
                <c:pt idx="19">
                  <c:v>51.87</c:v>
                </c:pt>
                <c:pt idx="20">
                  <c:v>54.6</c:v>
                </c:pt>
                <c:pt idx="21">
                  <c:v>57.33</c:v>
                </c:pt>
                <c:pt idx="22">
                  <c:v>60.06</c:v>
                </c:pt>
                <c:pt idx="23">
                  <c:v>62.790000000000013</c:v>
                </c:pt>
                <c:pt idx="24">
                  <c:v>65.52</c:v>
                </c:pt>
                <c:pt idx="25">
                  <c:v>68.25</c:v>
                </c:pt>
                <c:pt idx="26">
                  <c:v>70.98</c:v>
                </c:pt>
                <c:pt idx="27">
                  <c:v>73.710000000000008</c:v>
                </c:pt>
                <c:pt idx="28">
                  <c:v>76.440000000000012</c:v>
                </c:pt>
                <c:pt idx="29">
                  <c:v>79.169999999999987</c:v>
                </c:pt>
                <c:pt idx="30">
                  <c:v>81.900000000000006</c:v>
                </c:pt>
                <c:pt idx="31">
                  <c:v>84.63</c:v>
                </c:pt>
                <c:pt idx="32">
                  <c:v>87.360000000000014</c:v>
                </c:pt>
                <c:pt idx="33">
                  <c:v>90.09</c:v>
                </c:pt>
                <c:pt idx="34">
                  <c:v>92.820000000000007</c:v>
                </c:pt>
                <c:pt idx="35">
                  <c:v>95.55</c:v>
                </c:pt>
                <c:pt idx="36">
                  <c:v>98.28</c:v>
                </c:pt>
                <c:pt idx="37">
                  <c:v>101.01</c:v>
                </c:pt>
                <c:pt idx="38">
                  <c:v>103.74</c:v>
                </c:pt>
                <c:pt idx="39">
                  <c:v>106.47</c:v>
                </c:pt>
                <c:pt idx="40">
                  <c:v>109.2</c:v>
                </c:pt>
                <c:pt idx="41">
                  <c:v>111.92999999999999</c:v>
                </c:pt>
                <c:pt idx="42">
                  <c:v>114.66</c:v>
                </c:pt>
                <c:pt idx="43">
                  <c:v>117.39000000000001</c:v>
                </c:pt>
                <c:pt idx="44">
                  <c:v>120.12</c:v>
                </c:pt>
                <c:pt idx="45">
                  <c:v>122.85000000000001</c:v>
                </c:pt>
                <c:pt idx="46">
                  <c:v>125.58000000000003</c:v>
                </c:pt>
                <c:pt idx="47">
                  <c:v>128.30999999999997</c:v>
                </c:pt>
                <c:pt idx="48">
                  <c:v>131.04</c:v>
                </c:pt>
                <c:pt idx="49">
                  <c:v>133.77000000000001</c:v>
                </c:pt>
                <c:pt idx="50">
                  <c:v>136.5</c:v>
                </c:pt>
                <c:pt idx="51">
                  <c:v>139.22999999999999</c:v>
                </c:pt>
                <c:pt idx="52">
                  <c:v>141.96</c:v>
                </c:pt>
                <c:pt idx="53">
                  <c:v>144.69000000000003</c:v>
                </c:pt>
                <c:pt idx="54">
                  <c:v>147.42000000000002</c:v>
                </c:pt>
                <c:pt idx="55">
                  <c:v>150.15</c:v>
                </c:pt>
                <c:pt idx="56">
                  <c:v>152.88000000000002</c:v>
                </c:pt>
                <c:pt idx="57">
                  <c:v>155.60999999999999</c:v>
                </c:pt>
                <c:pt idx="58">
                  <c:v>158.33999999999997</c:v>
                </c:pt>
                <c:pt idx="59">
                  <c:v>161.07</c:v>
                </c:pt>
                <c:pt idx="60">
                  <c:v>163.80000000000001</c:v>
                </c:pt>
                <c:pt idx="61">
                  <c:v>166.53</c:v>
                </c:pt>
                <c:pt idx="62">
                  <c:v>169.26</c:v>
                </c:pt>
                <c:pt idx="63">
                  <c:v>171.99</c:v>
                </c:pt>
                <c:pt idx="64">
                  <c:v>174.72000000000003</c:v>
                </c:pt>
                <c:pt idx="65">
                  <c:v>177.45000000000002</c:v>
                </c:pt>
                <c:pt idx="66">
                  <c:v>180.18</c:v>
                </c:pt>
                <c:pt idx="67">
                  <c:v>182.91000000000003</c:v>
                </c:pt>
                <c:pt idx="68">
                  <c:v>185.64000000000001</c:v>
                </c:pt>
                <c:pt idx="69">
                  <c:v>188.37</c:v>
                </c:pt>
                <c:pt idx="70">
                  <c:v>191.1</c:v>
                </c:pt>
                <c:pt idx="71">
                  <c:v>193.83</c:v>
                </c:pt>
                <c:pt idx="72">
                  <c:v>196.56</c:v>
                </c:pt>
                <c:pt idx="73">
                  <c:v>199.29</c:v>
                </c:pt>
                <c:pt idx="74">
                  <c:v>202.02</c:v>
                </c:pt>
                <c:pt idx="75">
                  <c:v>204.75</c:v>
                </c:pt>
                <c:pt idx="76">
                  <c:v>207.48</c:v>
                </c:pt>
                <c:pt idx="77">
                  <c:v>210.20999999999998</c:v>
                </c:pt>
                <c:pt idx="78">
                  <c:v>212.94</c:v>
                </c:pt>
                <c:pt idx="79">
                  <c:v>215.67</c:v>
                </c:pt>
                <c:pt idx="80">
                  <c:v>218.4</c:v>
                </c:pt>
                <c:pt idx="81">
                  <c:v>221.13</c:v>
                </c:pt>
                <c:pt idx="82">
                  <c:v>223.85999999999999</c:v>
                </c:pt>
                <c:pt idx="83">
                  <c:v>226.58999999999997</c:v>
                </c:pt>
                <c:pt idx="84">
                  <c:v>229.32</c:v>
                </c:pt>
                <c:pt idx="85">
                  <c:v>232.05</c:v>
                </c:pt>
                <c:pt idx="86">
                  <c:v>234.78000000000003</c:v>
                </c:pt>
                <c:pt idx="87">
                  <c:v>237.51000000000002</c:v>
                </c:pt>
                <c:pt idx="88">
                  <c:v>240.24</c:v>
                </c:pt>
                <c:pt idx="89">
                  <c:v>242.97000000000003</c:v>
                </c:pt>
                <c:pt idx="90">
                  <c:v>245.70000000000002</c:v>
                </c:pt>
                <c:pt idx="91">
                  <c:v>248.43000000000004</c:v>
                </c:pt>
                <c:pt idx="92">
                  <c:v>251.16000000000005</c:v>
                </c:pt>
                <c:pt idx="93">
                  <c:v>253.89000000000001</c:v>
                </c:pt>
                <c:pt idx="94">
                  <c:v>256.61999999999995</c:v>
                </c:pt>
                <c:pt idx="95">
                  <c:v>259.34999999999997</c:v>
                </c:pt>
                <c:pt idx="96">
                  <c:v>262.08</c:v>
                </c:pt>
                <c:pt idx="97">
                  <c:v>264.81</c:v>
                </c:pt>
                <c:pt idx="98">
                  <c:v>267.54000000000002</c:v>
                </c:pt>
                <c:pt idx="99">
                  <c:v>270.27</c:v>
                </c:pt>
                <c:pt idx="100">
                  <c:v>273</c:v>
                </c:pt>
              </c:numCache>
            </c:numRef>
          </c:val>
          <c:smooth val="0"/>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Dual'!$BN$5:$BN$105</c:f>
              <c:numCache>
                <c:formatCode>0.0</c:formatCode>
                <c:ptCount val="101"/>
                <c:pt idx="0">
                  <c:v>8.3304328681357003</c:v>
                </c:pt>
                <c:pt idx="1">
                  <c:v>14.227525249697822</c:v>
                </c:pt>
                <c:pt idx="2">
                  <c:v>21.495243304006554</c:v>
                </c:pt>
                <c:pt idx="3">
                  <c:v>28.763154170598856</c:v>
                </c:pt>
                <c:pt idx="4">
                  <c:v>36.779567714859731</c:v>
                </c:pt>
                <c:pt idx="5">
                  <c:v>45.847552726213742</c:v>
                </c:pt>
                <c:pt idx="6">
                  <c:v>55.402289071081597</c:v>
                </c:pt>
                <c:pt idx="7">
                  <c:v>62.071273024641656</c:v>
                </c:pt>
                <c:pt idx="8">
                  <c:v>63.793852801860297</c:v>
                </c:pt>
                <c:pt idx="9">
                  <c:v>65.435275390598662</c:v>
                </c:pt>
                <c:pt idx="10">
                  <c:v>67.010059069636668</c:v>
                </c:pt>
                <c:pt idx="11">
                  <c:v>68.529103003497781</c:v>
                </c:pt>
                <c:pt idx="12">
                  <c:v>70.000827593896204</c:v>
                </c:pt>
                <c:pt idx="13">
                  <c:v>71.431891783256575</c:v>
                </c:pt>
                <c:pt idx="14">
                  <c:v>72.82766443901771</c:v>
                </c:pt>
                <c:pt idx="15">
                  <c:v>74.192545500127778</c:v>
                </c:pt>
                <c:pt idx="16">
                  <c:v>75.530191484739944</c:v>
                </c:pt>
                <c:pt idx="17">
                  <c:v>76.84367796884419</c:v>
                </c:pt>
                <c:pt idx="18">
                  <c:v>78.135619278068063</c:v>
                </c:pt>
                <c:pt idx="19">
                  <c:v>79.408258380319097</c:v>
                </c:pt>
                <c:pt idx="20">
                  <c:v>80.663535554852956</c:v>
                </c:pt>
                <c:pt idx="21">
                  <c:v>81.903141644252017</c:v>
                </c:pt>
                <c:pt idx="22">
                  <c:v>83.128559909173589</c:v>
                </c:pt>
                <c:pt idx="23">
                  <c:v>84.341099324435874</c:v>
                </c:pt>
                <c:pt idx="24">
                  <c:v>85.541921356712365</c:v>
                </c:pt>
                <c:pt idx="25">
                  <c:v>86.732061713946194</c:v>
                </c:pt>
                <c:pt idx="26">
                  <c:v>87.912448170668995</c:v>
                </c:pt>
                <c:pt idx="27">
                  <c:v>89.083915298302259</c:v>
                </c:pt>
                <c:pt idx="28">
                  <c:v>90.247216730510345</c:v>
                </c:pt>
                <c:pt idx="29">
                  <c:v>91.403035447771714</c:v>
                </c:pt>
                <c:pt idx="30">
                  <c:v>92.551992457034189</c:v>
                </c:pt>
                <c:pt idx="31">
                  <c:v>93.69465416101221</c:v>
                </c:pt>
                <c:pt idx="32">
                  <c:v>94.831538649993959</c:v>
                </c:pt>
                <c:pt idx="33">
                  <c:v>95.963121101759725</c:v>
                </c:pt>
                <c:pt idx="34">
                  <c:v>97.089838438666987</c:v>
                </c:pt>
                <c:pt idx="35">
                  <c:v>98.212093362459868</c:v>
                </c:pt>
                <c:pt idx="36">
                  <c:v>99.330257864960458</c:v>
                </c:pt>
                <c:pt idx="37">
                  <c:v>100.44467629506107</c:v>
                </c:pt>
                <c:pt idx="38">
                  <c:v>101.55566804829142</c:v>
                </c:pt>
                <c:pt idx="39">
                  <c:v>102.66352993387916</c:v>
                </c:pt>
                <c:pt idx="40">
                  <c:v>103.76853826505148</c:v>
                </c:pt>
                <c:pt idx="41">
                  <c:v>104.87095071087292</c:v>
                </c:pt>
                <c:pt idx="42">
                  <c:v>105.97100794182714</c:v>
                </c:pt>
                <c:pt idx="43">
                  <c:v>107.06893509634999</c:v>
                </c:pt>
                <c:pt idx="44">
                  <c:v>108.16494309139438</c:v>
                </c:pt>
                <c:pt idx="45">
                  <c:v>109.25922979668456</c:v>
                </c:pt>
                <c:pt idx="46">
                  <c:v>110.35198108946628</c:v>
                </c:pt>
                <c:pt idx="47">
                  <c:v>111.44337180417314</c:v>
                </c:pt>
                <c:pt idx="48">
                  <c:v>112.53356658942656</c:v>
                </c:pt>
                <c:pt idx="49">
                  <c:v>113.62272068309467</c:v>
                </c:pt>
                <c:pt idx="50">
                  <c:v>114.71098061470684</c:v>
                </c:pt>
                <c:pt idx="51">
                  <c:v>115.79848484330296</c:v>
                </c:pt>
                <c:pt idx="52">
                  <c:v>116.88536433776146</c:v>
                </c:pt>
                <c:pt idx="53">
                  <c:v>117.65235593652362</c:v>
                </c:pt>
                <c:pt idx="54">
                  <c:v>116.65429951310479</c:v>
                </c:pt>
                <c:pt idx="55">
                  <c:v>115.69186352001948</c:v>
                </c:pt>
                <c:pt idx="56">
                  <c:v>114.76323664957901</c:v>
                </c:pt>
                <c:pt idx="57">
                  <c:v>113.86672979508313</c:v>
                </c:pt>
                <c:pt idx="58">
                  <c:v>113.00076582860008</c:v>
                </c:pt>
                <c:pt idx="59">
                  <c:v>112.16387039383476</c:v>
                </c:pt>
                <c:pt idx="60">
                  <c:v>111.35466359793313</c:v>
                </c:pt>
                <c:pt idx="61">
                  <c:v>110.57185250106041</c:v>
                </c:pt>
                <c:pt idx="62">
                  <c:v>109.81422431543264</c:v>
                </c:pt>
                <c:pt idx="63">
                  <c:v>109.08064023651421</c:v>
                </c:pt>
                <c:pt idx="64">
                  <c:v>108.37002983859647</c:v>
                </c:pt>
                <c:pt idx="65">
                  <c:v>108.22209589649657</c:v>
                </c:pt>
                <c:pt idx="66">
                  <c:v>108.2036625625105</c:v>
                </c:pt>
                <c:pt idx="67">
                  <c:v>108.18712094670208</c:v>
                </c:pt>
                <c:pt idx="68">
                  <c:v>108.17246353928201</c:v>
                </c:pt>
                <c:pt idx="69">
                  <c:v>108.15968126481162</c:v>
                </c:pt>
                <c:pt idx="70">
                  <c:v>108.14876365339671</c:v>
                </c:pt>
                <c:pt idx="71">
                  <c:v>108.13969899596547</c:v>
                </c:pt>
                <c:pt idx="72">
                  <c:v>108.13247448515212</c:v>
                </c:pt>
                <c:pt idx="73">
                  <c:v>108.12707634315093</c:v>
                </c:pt>
                <c:pt idx="74">
                  <c:v>108.12348993776695</c:v>
                </c:pt>
                <c:pt idx="75">
                  <c:v>108.12169988776759</c:v>
                </c:pt>
                <c:pt idx="76">
                  <c:v>108.12169015852791</c:v>
                </c:pt>
                <c:pt idx="77">
                  <c:v>108.12344414886599</c:v>
                </c:pt>
                <c:pt idx="78">
                  <c:v>108.12694476987575</c:v>
                </c:pt>
                <c:pt idx="79">
                  <c:v>108.13217451648693</c:v>
                </c:pt>
                <c:pt idx="80">
                  <c:v>108.13911553241192</c:v>
                </c:pt>
                <c:pt idx="81">
                  <c:v>108.14774966907518</c:v>
                </c:pt>
                <c:pt idx="82">
                  <c:v>108.15805853906586</c:v>
                </c:pt>
                <c:pt idx="83">
                  <c:v>108.17002356460232</c:v>
                </c:pt>
                <c:pt idx="84">
                  <c:v>108.18362602145203</c:v>
                </c:pt>
                <c:pt idx="85">
                  <c:v>108.1988470787096</c:v>
                </c:pt>
                <c:pt idx="86">
                  <c:v>108.21566783479759</c:v>
                </c:pt>
                <c:pt idx="87">
                  <c:v>108.23406935002298</c:v>
                </c:pt>
                <c:pt idx="88">
                  <c:v>108.25403267599012</c:v>
                </c:pt>
                <c:pt idx="89">
                  <c:v>108.27553888214511</c:v>
                </c:pt>
                <c:pt idx="90">
                  <c:v>108.29856907970233</c:v>
                </c:pt>
                <c:pt idx="91">
                  <c:v>108.32310444317902</c:v>
                </c:pt>
                <c:pt idx="92">
                  <c:v>108.34912622974743</c:v>
                </c:pt>
                <c:pt idx="93">
                  <c:v>108.37661579659155</c:v>
                </c:pt>
                <c:pt idx="94">
                  <c:v>108.40555461644333</c:v>
                </c:pt>
                <c:pt idx="95">
                  <c:v>108.4359242914541</c:v>
                </c:pt>
                <c:pt idx="96">
                  <c:v>108.46770656554583</c:v>
                </c:pt>
                <c:pt idx="97">
                  <c:v>108.50088333537381</c:v>
                </c:pt>
                <c:pt idx="98">
                  <c:v>108.53543666002052</c:v>
                </c:pt>
                <c:pt idx="99">
                  <c:v>99.91450718692947</c:v>
                </c:pt>
                <c:pt idx="100">
                  <c:v>99.3078739989638</c:v>
                </c:pt>
              </c:numCache>
            </c:numRef>
          </c:val>
          <c:smooth val="0"/>
        </c:ser>
        <c:ser>
          <c:idx val="1"/>
          <c:order val="3"/>
          <c:tx>
            <c:strRef>
              <c:f>'Calculations - Dual'!$BT$3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Dual'!$BZ$5:$BZ$105</c:f>
              <c:numCache>
                <c:formatCode>0.0</c:formatCode>
                <c:ptCount val="101"/>
                <c:pt idx="0">
                  <c:v>9.9251035264016174</c:v>
                </c:pt>
                <c:pt idx="1">
                  <c:v>10.321433158023432</c:v>
                </c:pt>
                <c:pt idx="2">
                  <c:v>10.840616375548853</c:v>
                </c:pt>
                <c:pt idx="3">
                  <c:v>11.406899087335379</c:v>
                </c:pt>
                <c:pt idx="4">
                  <c:v>13.860950163417652</c:v>
                </c:pt>
                <c:pt idx="5">
                  <c:v>18.258365911336359</c:v>
                </c:pt>
                <c:pt idx="6">
                  <c:v>23.173606774325872</c:v>
                </c:pt>
                <c:pt idx="7">
                  <c:v>27.987387166529249</c:v>
                </c:pt>
                <c:pt idx="8">
                  <c:v>31.904903270453381</c:v>
                </c:pt>
                <c:pt idx="9">
                  <c:v>35.804888119074057</c:v>
                </c:pt>
                <c:pt idx="10">
                  <c:v>39.687991006352412</c:v>
                </c:pt>
                <c:pt idx="11">
                  <c:v>43.554786223021196</c:v>
                </c:pt>
                <c:pt idx="12">
                  <c:v>47.405786467761573</c:v>
                </c:pt>
                <c:pt idx="13">
                  <c:v>51.241453174132133</c:v>
                </c:pt>
                <c:pt idx="14">
                  <c:v>55.062204583355928</c:v>
                </c:pt>
                <c:pt idx="15">
                  <c:v>58.868422147588092</c:v>
                </c:pt>
                <c:pt idx="16">
                  <c:v>62.660455678104647</c:v>
                </c:pt>
                <c:pt idx="17">
                  <c:v>66.438627535908353</c:v>
                </c:pt>
                <c:pt idx="18">
                  <c:v>70.20323608139708</c:v>
                </c:pt>
                <c:pt idx="19">
                  <c:v>73.954558543185044</c:v>
                </c:pt>
                <c:pt idx="20">
                  <c:v>77.692853426056843</c:v>
                </c:pt>
                <c:pt idx="21">
                  <c:v>81.418362549179278</c:v>
                </c:pt>
                <c:pt idx="22">
                  <c:v>85.131312784646681</c:v>
                </c:pt>
                <c:pt idx="23">
                  <c:v>88.831917550875886</c:v>
                </c:pt>
                <c:pt idx="24">
                  <c:v>92.520378103717434</c:v>
                </c:pt>
                <c:pt idx="25">
                  <c:v>96.196884659326358</c:v>
                </c:pt>
                <c:pt idx="26">
                  <c:v>99.861617376078101</c:v>
                </c:pt>
                <c:pt idx="27">
                  <c:v>103.51474721758782</c:v>
                </c:pt>
                <c:pt idx="28">
                  <c:v>107.1564367148042</c:v>
                </c:pt>
                <c:pt idx="29">
                  <c:v>110.78684064193175</c:v>
                </c:pt>
                <c:pt idx="30">
                  <c:v>114.40610661837484</c:v>
                </c:pt>
                <c:pt idx="31">
                  <c:v>118.0143756468473</c:v>
                </c:pt>
                <c:pt idx="32">
                  <c:v>121.61178259613722</c:v>
                </c:pt>
                <c:pt idx="33">
                  <c:v>125.19845663567136</c:v>
                </c:pt>
                <c:pt idx="34">
                  <c:v>128.77452162792562</c:v>
                </c:pt>
                <c:pt idx="35">
                  <c:v>132.34009648382266</c:v>
                </c:pt>
                <c:pt idx="36">
                  <c:v>135.89529548550874</c:v>
                </c:pt>
                <c:pt idx="37">
                  <c:v>139.44022858028035</c:v>
                </c:pt>
                <c:pt idx="38">
                  <c:v>142.9750016489088</c:v>
                </c:pt>
                <c:pt idx="39">
                  <c:v>146.49971675117484</c:v>
                </c:pt>
                <c:pt idx="40">
                  <c:v>150.01447235105354</c:v>
                </c:pt>
                <c:pt idx="41">
                  <c:v>153.51936352367986</c:v>
                </c:pt>
                <c:pt idx="42">
                  <c:v>157.01448214595382</c:v>
                </c:pt>
                <c:pt idx="43">
                  <c:v>160.49991707242086</c:v>
                </c:pt>
                <c:pt idx="44">
                  <c:v>163.97575429786414</c:v>
                </c:pt>
                <c:pt idx="45">
                  <c:v>167.44207710787779</c:v>
                </c:pt>
                <c:pt idx="46">
                  <c:v>170.89896621854558</c:v>
                </c:pt>
                <c:pt idx="47">
                  <c:v>174.34649990622157</c:v>
                </c:pt>
                <c:pt idx="48">
                  <c:v>177.78475412830082</c:v>
                </c:pt>
                <c:pt idx="49">
                  <c:v>181.21380263577262</c:v>
                </c:pt>
                <c:pt idx="50">
                  <c:v>184.63371707826309</c:v>
                </c:pt>
                <c:pt idx="51">
                  <c:v>188.04456710220333</c:v>
                </c:pt>
                <c:pt idx="52">
                  <c:v>191.44642044269273</c:v>
                </c:pt>
                <c:pt idx="53">
                  <c:v>194.58627857946908</c:v>
                </c:pt>
                <c:pt idx="54">
                  <c:v>196.32699364455087</c:v>
                </c:pt>
                <c:pt idx="55">
                  <c:v>198.10091891110866</c:v>
                </c:pt>
                <c:pt idx="56">
                  <c:v>199.90631131002874</c:v>
                </c:pt>
                <c:pt idx="57">
                  <c:v>201.74155430759731</c:v>
                </c:pt>
                <c:pt idx="58">
                  <c:v>203.6051466167757</c:v>
                </c:pt>
                <c:pt idx="59">
                  <c:v>205.49569209336178</c:v>
                </c:pt>
                <c:pt idx="60">
                  <c:v>207.41189067480443</c:v>
                </c:pt>
                <c:pt idx="61">
                  <c:v>209.35253023856882</c:v>
                </c:pt>
                <c:pt idx="62">
                  <c:v>211.3164792732542</c:v>
                </c:pt>
                <c:pt idx="63">
                  <c:v>213.30268026957265</c:v>
                </c:pt>
                <c:pt idx="64">
                  <c:v>215.31014375021192</c:v>
                </c:pt>
                <c:pt idx="65">
                  <c:v>217.69044928102892</c:v>
                </c:pt>
                <c:pt idx="66">
                  <c:v>220.1513412616319</c:v>
                </c:pt>
                <c:pt idx="67">
                  <c:v>222.60885332055628</c:v>
                </c:pt>
                <c:pt idx="68">
                  <c:v>225.06322655001213</c:v>
                </c:pt>
                <c:pt idx="69">
                  <c:v>227.51468905806368</c:v>
                </c:pt>
                <c:pt idx="70">
                  <c:v>229.96345673361449</c:v>
                </c:pt>
                <c:pt idx="71">
                  <c:v>232.40973396130903</c:v>
                </c:pt>
                <c:pt idx="72">
                  <c:v>234.85371428997408</c:v>
                </c:pt>
                <c:pt idx="73">
                  <c:v>237.2955810579368</c:v>
                </c:pt>
                <c:pt idx="74">
                  <c:v>239.73550797829085</c:v>
                </c:pt>
                <c:pt idx="75">
                  <c:v>242.17365968694892</c:v>
                </c:pt>
                <c:pt idx="76">
                  <c:v>244.61019225609209</c:v>
                </c:pt>
                <c:pt idx="77">
                  <c:v>247.04525367543272</c:v>
                </c:pt>
                <c:pt idx="78">
                  <c:v>249.47898430351862</c:v>
                </c:pt>
                <c:pt idx="79">
                  <c:v>251.91151729113949</c:v>
                </c:pt>
                <c:pt idx="80">
                  <c:v>254.34297897874058</c:v>
                </c:pt>
                <c:pt idx="81">
                  <c:v>256.77348926960565</c:v>
                </c:pt>
                <c:pt idx="82">
                  <c:v>259.20316198044071</c:v>
                </c:pt>
                <c:pt idx="83">
                  <c:v>261.63210517087168</c:v>
                </c:pt>
                <c:pt idx="84">
                  <c:v>264.06042145325404</c:v>
                </c:pt>
                <c:pt idx="85">
                  <c:v>266.48820828409293</c:v>
                </c:pt>
                <c:pt idx="86">
                  <c:v>268.91555823828264</c:v>
                </c:pt>
                <c:pt idx="87">
                  <c:v>271.34255926727826</c:v>
                </c:pt>
                <c:pt idx="88">
                  <c:v>273.76929494224032</c:v>
                </c:pt>
                <c:pt idx="89">
                  <c:v>276.19584468311837</c:v>
                </c:pt>
                <c:pt idx="90">
                  <c:v>278.62228397456875</c:v>
                </c:pt>
                <c:pt idx="91">
                  <c:v>281.04868456954233</c:v>
                </c:pt>
                <c:pt idx="92">
                  <c:v>283.47511468131694</c:v>
                </c:pt>
                <c:pt idx="93">
                  <c:v>285.90163916469737</c:v>
                </c:pt>
                <c:pt idx="94">
                  <c:v>288.32831968705904</c:v>
                </c:pt>
                <c:pt idx="95">
                  <c:v>290.75521488985856</c:v>
                </c:pt>
                <c:pt idx="96">
                  <c:v>293.18238054119854</c:v>
                </c:pt>
                <c:pt idx="97">
                  <c:v>295.6098696799923</c:v>
                </c:pt>
                <c:pt idx="98">
                  <c:v>298.03773275223574</c:v>
                </c:pt>
                <c:pt idx="99">
                  <c:v>266.31937597893699</c:v>
                </c:pt>
                <c:pt idx="100">
                  <c:v>266.04007074575401</c:v>
                </c:pt>
              </c:numCache>
            </c:numRef>
          </c:val>
          <c:smooth val="0"/>
        </c:ser>
        <c:dLbls>
          <c:showLegendKey val="0"/>
          <c:showVal val="0"/>
          <c:showCatName val="0"/>
          <c:showSerName val="0"/>
          <c:showPercent val="0"/>
          <c:showBubbleSize val="0"/>
        </c:dLbls>
        <c:marker val="1"/>
        <c:smooth val="0"/>
        <c:axId val="332980224"/>
        <c:axId val="332973952"/>
      </c:lineChart>
      <c:catAx>
        <c:axId val="33296576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37236214410842988"/>
              <c:y val="0.9410299506954154"/>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332972032"/>
        <c:crosses val="autoZero"/>
        <c:auto val="1"/>
        <c:lblAlgn val="ctr"/>
        <c:lblOffset val="100"/>
        <c:tickLblSkip val="20"/>
        <c:tickMarkSkip val="20"/>
        <c:noMultiLvlLbl val="0"/>
      </c:catAx>
      <c:valAx>
        <c:axId val="332972032"/>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32965760"/>
        <c:crossesAt val="0"/>
        <c:crossBetween val="between"/>
        <c:majorUnit val="5"/>
        <c:minorUnit val="2.5"/>
      </c:valAx>
      <c:valAx>
        <c:axId val="332973952"/>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332980224"/>
        <c:crosses val="max"/>
        <c:crossBetween val="between"/>
      </c:valAx>
      <c:catAx>
        <c:axId val="332980224"/>
        <c:scaling>
          <c:orientation val="minMax"/>
        </c:scaling>
        <c:delete val="1"/>
        <c:axPos val="b"/>
        <c:numFmt formatCode="General" sourceLinked="1"/>
        <c:majorTickMark val="out"/>
        <c:minorTickMark val="none"/>
        <c:tickLblPos val="nextTo"/>
        <c:crossAx val="332973952"/>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Single'!$AJ$110:$AJ$210</c:f>
              <c:numCache>
                <c:formatCode>0.000</c:formatCode>
                <c:ptCount val="101"/>
                <c:pt idx="0">
                  <c:v>0.15</c:v>
                </c:pt>
                <c:pt idx="1">
                  <c:v>0.15</c:v>
                </c:pt>
                <c:pt idx="2">
                  <c:v>0.15</c:v>
                </c:pt>
                <c:pt idx="3">
                  <c:v>0.15</c:v>
                </c:pt>
                <c:pt idx="4">
                  <c:v>0.15</c:v>
                </c:pt>
                <c:pt idx="5">
                  <c:v>0.15</c:v>
                </c:pt>
                <c:pt idx="6">
                  <c:v>0.15</c:v>
                </c:pt>
                <c:pt idx="7">
                  <c:v>0.15447859516333118</c:v>
                </c:pt>
                <c:pt idx="8">
                  <c:v>0.16514456476895409</c:v>
                </c:pt>
                <c:pt idx="9">
                  <c:v>0.17516226243634267</c:v>
                </c:pt>
                <c:pt idx="10">
                  <c:v>0.1846372364689991</c:v>
                </c:pt>
                <c:pt idx="11">
                  <c:v>0.19364916731037085</c:v>
                </c:pt>
                <c:pt idx="12">
                  <c:v>0.2022599587389726</c:v>
                </c:pt>
                <c:pt idx="13">
                  <c:v>0.21051883958017112</c:v>
                </c:pt>
                <c:pt idx="14">
                  <c:v>0.21846572437632575</c:v>
                </c:pt>
                <c:pt idx="15">
                  <c:v>0.22613350843332272</c:v>
                </c:pt>
                <c:pt idx="16">
                  <c:v>0.23354968324845687</c:v>
                </c:pt>
                <c:pt idx="17">
                  <c:v>0.24073750321573381</c:v>
                </c:pt>
                <c:pt idx="18">
                  <c:v>0.24771684715343112</c:v>
                </c:pt>
                <c:pt idx="19">
                  <c:v>0.25450486689398943</c:v>
                </c:pt>
                <c:pt idx="20">
                  <c:v>0.26111648393354675</c:v>
                </c:pt>
                <c:pt idx="21">
                  <c:v>0.26756477550475338</c:v>
                </c:pt>
                <c:pt idx="22">
                  <c:v>0.27386127875258304</c:v>
                </c:pt>
                <c:pt idx="23">
                  <c:v>0.2800162332956625</c:v>
                </c:pt>
                <c:pt idx="24">
                  <c:v>0.28603877677367767</c:v>
                </c:pt>
                <c:pt idx="25">
                  <c:v>0.29193710406057111</c:v>
                </c:pt>
                <c:pt idx="26">
                  <c:v>0.29771859806932394</c:v>
                </c:pt>
                <c:pt idx="27">
                  <c:v>0.30338993810845893</c:v>
                </c:pt>
                <c:pt idx="28">
                  <c:v>0.30895719032666236</c:v>
                </c:pt>
                <c:pt idx="29">
                  <c:v>0.31442588373675018</c:v>
                </c:pt>
                <c:pt idx="30">
                  <c:v>0.31980107453341566</c:v>
                </c:pt>
                <c:pt idx="31">
                  <c:v>0.32508740083524951</c:v>
                </c:pt>
                <c:pt idx="32">
                  <c:v>0.33028912953790818</c:v>
                </c:pt>
                <c:pt idx="33">
                  <c:v>0.33541019662496846</c:v>
                </c:pt>
                <c:pt idx="34">
                  <c:v>0.34045424201952734</c:v>
                </c:pt>
                <c:pt idx="35">
                  <c:v>0.34542463985387867</c:v>
                </c:pt>
                <c:pt idx="36">
                  <c:v>0.35032452487268534</c:v>
                </c:pt>
                <c:pt idx="37">
                  <c:v>0.35515681555668283</c:v>
                </c:pt>
                <c:pt idx="38">
                  <c:v>0.35992423445143917</c:v>
                </c:pt>
                <c:pt idx="39">
                  <c:v>0.36462932610329829</c:v>
                </c:pt>
                <c:pt idx="40">
                  <c:v>0.3692744729379982</c:v>
                </c:pt>
                <c:pt idx="41">
                  <c:v>0.37386190936323971</c:v>
                </c:pt>
                <c:pt idx="42">
                  <c:v>0.37839373433213475</c:v>
                </c:pt>
                <c:pt idx="43">
                  <c:v>0.38287192256799019</c:v>
                </c:pt>
                <c:pt idx="44">
                  <c:v>0.3872983346207417</c:v>
                </c:pt>
                <c:pt idx="45">
                  <c:v>0.39167472590032015</c:v>
                </c:pt>
                <c:pt idx="46">
                  <c:v>0.39600275481135455</c:v>
                </c:pt>
                <c:pt idx="47">
                  <c:v>0.40028399009612253</c:v>
                </c:pt>
                <c:pt idx="48">
                  <c:v>0.40451991747794519</c:v>
                </c:pt>
                <c:pt idx="49">
                  <c:v>0.40871194568479952</c:v>
                </c:pt>
                <c:pt idx="50">
                  <c:v>0.41286141192238524</c:v>
                </c:pt>
                <c:pt idx="51">
                  <c:v>0.41696958685692698</c:v>
                </c:pt>
                <c:pt idx="52">
                  <c:v>0.42103767916034224</c:v>
                </c:pt>
                <c:pt idx="53">
                  <c:v>0.42506683966385589</c:v>
                </c:pt>
                <c:pt idx="54">
                  <c:v>0.42905816516051654</c:v>
                </c:pt>
                <c:pt idx="55">
                  <c:v>0.4330127018922193</c:v>
                </c:pt>
                <c:pt idx="56">
                  <c:v>0.4369314487526515</c:v>
                </c:pt>
                <c:pt idx="57">
                  <c:v>0.44081536023394396</c:v>
                </c:pt>
                <c:pt idx="58">
                  <c:v>0.44466534914165812</c:v>
                </c:pt>
                <c:pt idx="59">
                  <c:v>0.44848228909998622</c:v>
                </c:pt>
                <c:pt idx="60">
                  <c:v>0.45226701686664544</c:v>
                </c:pt>
                <c:pt idx="61">
                  <c:v>0.45602033447484053</c:v>
                </c:pt>
                <c:pt idx="62">
                  <c:v>0.45974301121782846</c:v>
                </c:pt>
                <c:pt idx="63">
                  <c:v>0.46343578548999348</c:v>
                </c:pt>
                <c:pt idx="64">
                  <c:v>0.46709936649691375</c:v>
                </c:pt>
                <c:pt idx="65">
                  <c:v>0.4707344358456359</c:v>
                </c:pt>
                <c:pt idx="66">
                  <c:v>0.47434164902525688</c:v>
                </c:pt>
                <c:pt idx="67">
                  <c:v>0.47792163678692229</c:v>
                </c:pt>
                <c:pt idx="68">
                  <c:v>0.48147500643146762</c:v>
                </c:pt>
                <c:pt idx="69">
                  <c:v>0.4850023430121474</c:v>
                </c:pt>
                <c:pt idx="70">
                  <c:v>0.48850421045919717</c:v>
                </c:pt>
                <c:pt idx="71">
                  <c:v>0.49198115263234882</c:v>
                </c:pt>
                <c:pt idx="72">
                  <c:v>0.49543369430686224</c:v>
                </c:pt>
                <c:pt idx="73">
                  <c:v>0.49886234209813468</c:v>
                </c:pt>
                <c:pt idx="74">
                  <c:v>0.53509700176366848</c:v>
                </c:pt>
                <c:pt idx="75">
                  <c:v>0.54232804232804233</c:v>
                </c:pt>
                <c:pt idx="76">
                  <c:v>0.54955908289241617</c:v>
                </c:pt>
                <c:pt idx="77">
                  <c:v>0.55679012345679013</c:v>
                </c:pt>
                <c:pt idx="78">
                  <c:v>0.56402116402116409</c:v>
                </c:pt>
                <c:pt idx="79">
                  <c:v>0.57125220458553794</c:v>
                </c:pt>
                <c:pt idx="80">
                  <c:v>0.57848324514991178</c:v>
                </c:pt>
                <c:pt idx="81">
                  <c:v>0.58571428571428574</c:v>
                </c:pt>
                <c:pt idx="82">
                  <c:v>0.59294532627865948</c:v>
                </c:pt>
                <c:pt idx="83">
                  <c:v>0.60017636684303344</c:v>
                </c:pt>
                <c:pt idx="84">
                  <c:v>0.6074074074074074</c:v>
                </c:pt>
                <c:pt idx="85">
                  <c:v>0.61463844797178124</c:v>
                </c:pt>
                <c:pt idx="86">
                  <c:v>0.62186948853615509</c:v>
                </c:pt>
                <c:pt idx="87">
                  <c:v>0.62910052910052905</c:v>
                </c:pt>
                <c:pt idx="88">
                  <c:v>0.63633156966490301</c:v>
                </c:pt>
                <c:pt idx="89">
                  <c:v>0.64356261022927685</c:v>
                </c:pt>
                <c:pt idx="90">
                  <c:v>0.65079365079365081</c:v>
                </c:pt>
                <c:pt idx="91">
                  <c:v>0.65802469135802466</c:v>
                </c:pt>
                <c:pt idx="92">
                  <c:v>0.66525573192239862</c:v>
                </c:pt>
                <c:pt idx="93">
                  <c:v>0.67248677248677247</c:v>
                </c:pt>
                <c:pt idx="94">
                  <c:v>0.6797178130511462</c:v>
                </c:pt>
                <c:pt idx="95">
                  <c:v>0.68694885361552027</c:v>
                </c:pt>
                <c:pt idx="96">
                  <c:v>0.69417989417989412</c:v>
                </c:pt>
                <c:pt idx="97">
                  <c:v>0.70141093474426797</c:v>
                </c:pt>
                <c:pt idx="98">
                  <c:v>0.70864197530864204</c:v>
                </c:pt>
                <c:pt idx="99">
                  <c:v>0.71587301587301588</c:v>
                </c:pt>
                <c:pt idx="100">
                  <c:v>0.72310405643738973</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Single'!$AJ$5:$AJ$105</c:f>
              <c:numCache>
                <c:formatCode>0.000</c:formatCode>
                <c:ptCount val="101"/>
                <c:pt idx="0">
                  <c:v>0.15</c:v>
                </c:pt>
                <c:pt idx="1">
                  <c:v>0.15</c:v>
                </c:pt>
                <c:pt idx="2">
                  <c:v>0.15</c:v>
                </c:pt>
                <c:pt idx="3">
                  <c:v>0.15</c:v>
                </c:pt>
                <c:pt idx="4">
                  <c:v>0.15</c:v>
                </c:pt>
                <c:pt idx="5">
                  <c:v>0.15</c:v>
                </c:pt>
                <c:pt idx="6">
                  <c:v>0.15075567228888181</c:v>
                </c:pt>
                <c:pt idx="7">
                  <c:v>0.1628347368197324</c:v>
                </c:pt>
                <c:pt idx="8">
                  <c:v>0.17407765595569782</c:v>
                </c:pt>
                <c:pt idx="9">
                  <c:v>0.1846372364689991</c:v>
                </c:pt>
                <c:pt idx="10">
                  <c:v>0.19462473604038075</c:v>
                </c:pt>
                <c:pt idx="11">
                  <c:v>0.20412414523193151</c:v>
                </c:pt>
                <c:pt idx="12">
                  <c:v>0.21320071635561041</c:v>
                </c:pt>
                <c:pt idx="13">
                  <c:v>0.22190634114964863</c:v>
                </c:pt>
                <c:pt idx="14">
                  <c:v>0.23028309323591914</c:v>
                </c:pt>
                <c:pt idx="15">
                  <c:v>0.23836564731139806</c:v>
                </c:pt>
                <c:pt idx="16">
                  <c:v>0.24618298195866545</c:v>
                </c:pt>
                <c:pt idx="17">
                  <c:v>0.25375960946127613</c:v>
                </c:pt>
                <c:pt idx="18">
                  <c:v>0.26111648393354675</c:v>
                </c:pt>
                <c:pt idx="19">
                  <c:v>0.26827168499432991</c:v>
                </c:pt>
                <c:pt idx="20">
                  <c:v>0.27524094128159016</c:v>
                </c:pt>
                <c:pt idx="21">
                  <c:v>0.28203803740888306</c:v>
                </c:pt>
                <c:pt idx="22">
                  <c:v>0.28867513459481287</c:v>
                </c:pt>
                <c:pt idx="23">
                  <c:v>0.29516302634512359</c:v>
                </c:pt>
                <c:pt idx="24">
                  <c:v>0.30151134457776363</c:v>
                </c:pt>
                <c:pt idx="25">
                  <c:v>0.30772872744833185</c:v>
                </c:pt>
                <c:pt idx="26">
                  <c:v>0.31382295723042392</c:v>
                </c:pt>
                <c:pt idx="27">
                  <c:v>0.31980107453341566</c:v>
                </c:pt>
                <c:pt idx="28">
                  <c:v>0.3256694736394648</c:v>
                </c:pt>
                <c:pt idx="29">
                  <c:v>0.33143398263980844</c:v>
                </c:pt>
                <c:pt idx="30">
                  <c:v>0.33709993123162102</c:v>
                </c:pt>
                <c:pt idx="31">
                  <c:v>0.34267220842117097</c:v>
                </c:pt>
                <c:pt idx="32">
                  <c:v>0.34815531191139565</c:v>
                </c:pt>
                <c:pt idx="33">
                  <c:v>0.35355339059327379</c:v>
                </c:pt>
                <c:pt idx="34">
                  <c:v>0.35887028128263671</c:v>
                </c:pt>
                <c:pt idx="35">
                  <c:v>0.36410954062720952</c:v>
                </c:pt>
                <c:pt idx="36">
                  <c:v>0.3692744729379982</c:v>
                </c:pt>
                <c:pt idx="37">
                  <c:v>0.37436815456381323</c:v>
                </c:pt>
                <c:pt idx="38">
                  <c:v>0.37939345531966406</c:v>
                </c:pt>
                <c:pt idx="39">
                  <c:v>0.38435305739290365</c:v>
                </c:pt>
                <c:pt idx="40">
                  <c:v>0.38924947208076149</c:v>
                </c:pt>
                <c:pt idx="41">
                  <c:v>0.39408505465575611</c:v>
                </c:pt>
                <c:pt idx="42">
                  <c:v>0.3988620176087328</c:v>
                </c:pt>
                <c:pt idx="43">
                  <c:v>0.40358244248082431</c:v>
                </c:pt>
                <c:pt idx="44">
                  <c:v>0.40824829046386302</c:v>
                </c:pt>
                <c:pt idx="45">
                  <c:v>0.41286141192238524</c:v>
                </c:pt>
                <c:pt idx="46">
                  <c:v>0.41742355496836092</c:v>
                </c:pt>
                <c:pt idx="47">
                  <c:v>0.42193637320134297</c:v>
                </c:pt>
                <c:pt idx="48">
                  <c:v>0.42640143271122083</c:v>
                </c:pt>
                <c:pt idx="49">
                  <c:v>0.43082021842766455</c:v>
                </c:pt>
                <c:pt idx="50">
                  <c:v>0.4351941398892446</c:v>
                </c:pt>
                <c:pt idx="51">
                  <c:v>0.43952453649576623</c:v>
                </c:pt>
                <c:pt idx="52">
                  <c:v>0.44381268229929727</c:v>
                </c:pt>
                <c:pt idx="53">
                  <c:v>0.44805979038246196</c:v>
                </c:pt>
                <c:pt idx="54">
                  <c:v>0.45226701686664544</c:v>
                </c:pt>
                <c:pt idx="55">
                  <c:v>0.45643546458763845</c:v>
                </c:pt>
                <c:pt idx="56">
                  <c:v>0.46056618647183828</c:v>
                </c:pt>
                <c:pt idx="57">
                  <c:v>0.46466018864229253</c:v>
                </c:pt>
                <c:pt idx="58">
                  <c:v>0.46871843328054602</c:v>
                </c:pt>
                <c:pt idx="59">
                  <c:v>0.47274184126735436</c:v>
                </c:pt>
                <c:pt idx="60">
                  <c:v>0.47673129462279612</c:v>
                </c:pt>
                <c:pt idx="61">
                  <c:v>0.48068763876410014</c:v>
                </c:pt>
                <c:pt idx="62">
                  <c:v>0.48461168459755988</c:v>
                </c:pt>
                <c:pt idx="63">
                  <c:v>0.48850421045919717</c:v>
                </c:pt>
                <c:pt idx="64">
                  <c:v>0.4923659639173309</c:v>
                </c:pt>
                <c:pt idx="65">
                  <c:v>0.49619766344887317</c:v>
                </c:pt>
                <c:pt idx="66">
                  <c:v>0.5</c:v>
                </c:pt>
                <c:pt idx="67">
                  <c:v>0.50377363844079692</c:v>
                </c:pt>
                <c:pt idx="68">
                  <c:v>0.50751921892255225</c:v>
                </c:pt>
                <c:pt idx="69">
                  <c:v>0.51123735814554505</c:v>
                </c:pt>
                <c:pt idx="70">
                  <c:v>0.51492865054443715</c:v>
                </c:pt>
                <c:pt idx="71">
                  <c:v>0.51859366939772211</c:v>
                </c:pt>
                <c:pt idx="72">
                  <c:v>0.5222329678670935</c:v>
                </c:pt>
                <c:pt idx="73">
                  <c:v>0.52584707997206892</c:v>
                </c:pt>
                <c:pt idx="74">
                  <c:v>0.52943652150473175</c:v>
                </c:pt>
                <c:pt idx="75">
                  <c:v>0.53300179088902611</c:v>
                </c:pt>
                <c:pt idx="76">
                  <c:v>0.53654336998865981</c:v>
                </c:pt>
                <c:pt idx="77">
                  <c:v>0.54006172486732162</c:v>
                </c:pt>
                <c:pt idx="78">
                  <c:v>0.54355730650460898</c:v>
                </c:pt>
                <c:pt idx="79">
                  <c:v>0.54703055147077861</c:v>
                </c:pt>
                <c:pt idx="80">
                  <c:v>0.55048188256318031</c:v>
                </c:pt>
                <c:pt idx="81">
                  <c:v>0.5539117094069973</c:v>
                </c:pt>
                <c:pt idx="82">
                  <c:v>0.55732042902271273</c:v>
                </c:pt>
                <c:pt idx="83">
                  <c:v>0.56070842636252516</c:v>
                </c:pt>
                <c:pt idx="84">
                  <c:v>0.56407607481776612</c:v>
                </c:pt>
                <c:pt idx="85">
                  <c:v>0.56742373669921231</c:v>
                </c:pt>
                <c:pt idx="86">
                  <c:v>0.57075176369204128</c:v>
                </c:pt>
                <c:pt idx="87">
                  <c:v>0.57406049728704944</c:v>
                </c:pt>
                <c:pt idx="88">
                  <c:v>0.57735026918962573</c:v>
                </c:pt>
                <c:pt idx="89">
                  <c:v>0.58062140170787035</c:v>
                </c:pt>
                <c:pt idx="90">
                  <c:v>0.58387420812114221</c:v>
                </c:pt>
                <c:pt idx="91">
                  <c:v>0.58710899303022912</c:v>
                </c:pt>
                <c:pt idx="92">
                  <c:v>0.59032605269024718</c:v>
                </c:pt>
                <c:pt idx="93">
                  <c:v>0.59352567532729983</c:v>
                </c:pt>
                <c:pt idx="94">
                  <c:v>0.59670814143985496</c:v>
                </c:pt>
                <c:pt idx="95">
                  <c:v>0.59987372408573192</c:v>
                </c:pt>
                <c:pt idx="96">
                  <c:v>0.60302268915552726</c:v>
                </c:pt>
                <c:pt idx="97">
                  <c:v>0.60615529563325798</c:v>
                </c:pt>
                <c:pt idx="98">
                  <c:v>0.6092717958449424</c:v>
                </c:pt>
                <c:pt idx="99">
                  <c:v>0.61237243569579447</c:v>
                </c:pt>
                <c:pt idx="100">
                  <c:v>0.6154574548966637</c:v>
                </c:pt>
              </c:numCache>
            </c:numRef>
          </c:val>
          <c:smooth val="0"/>
        </c:ser>
        <c:ser>
          <c:idx val="2"/>
          <c:order val="2"/>
          <c:tx>
            <c:v>VIN-max</c:v>
          </c:tx>
          <c:spPr>
            <a:ln>
              <a:solidFill>
                <a:srgbClr val="FF0000"/>
              </a:solidFill>
              <a:prstDash val="solid"/>
            </a:ln>
          </c:spPr>
          <c:marker>
            <c:symbol val="none"/>
          </c:marker>
          <c:val>
            <c:numRef>
              <c:f>'Calculations - Single'!$AJ$216:$AJ$316</c:f>
              <c:numCache>
                <c:formatCode>0.000</c:formatCode>
                <c:ptCount val="101"/>
                <c:pt idx="0">
                  <c:v>0.15</c:v>
                </c:pt>
                <c:pt idx="1">
                  <c:v>0.15</c:v>
                </c:pt>
                <c:pt idx="2">
                  <c:v>0.15</c:v>
                </c:pt>
                <c:pt idx="3">
                  <c:v>0.15</c:v>
                </c:pt>
                <c:pt idx="4">
                  <c:v>0.15</c:v>
                </c:pt>
                <c:pt idx="5">
                  <c:v>0.15</c:v>
                </c:pt>
                <c:pt idx="6">
                  <c:v>0.15</c:v>
                </c:pt>
                <c:pt idx="7">
                  <c:v>0.15447859516333118</c:v>
                </c:pt>
                <c:pt idx="8">
                  <c:v>0.16514456476895409</c:v>
                </c:pt>
                <c:pt idx="9">
                  <c:v>0.17516226243634267</c:v>
                </c:pt>
                <c:pt idx="10">
                  <c:v>0.1846372364689991</c:v>
                </c:pt>
                <c:pt idx="11">
                  <c:v>0.19364916731037085</c:v>
                </c:pt>
                <c:pt idx="12">
                  <c:v>0.2022599587389726</c:v>
                </c:pt>
                <c:pt idx="13">
                  <c:v>0.21051883958017112</c:v>
                </c:pt>
                <c:pt idx="14">
                  <c:v>0.21846572437632575</c:v>
                </c:pt>
                <c:pt idx="15">
                  <c:v>0.22613350843332272</c:v>
                </c:pt>
                <c:pt idx="16">
                  <c:v>0.23354968324845687</c:v>
                </c:pt>
                <c:pt idx="17">
                  <c:v>0.24073750321573381</c:v>
                </c:pt>
                <c:pt idx="18">
                  <c:v>0.24771684715343112</c:v>
                </c:pt>
                <c:pt idx="19">
                  <c:v>0.25450486689398943</c:v>
                </c:pt>
                <c:pt idx="20">
                  <c:v>0.26111648393354675</c:v>
                </c:pt>
                <c:pt idx="21">
                  <c:v>0.26756477550475338</c:v>
                </c:pt>
                <c:pt idx="22">
                  <c:v>0.27386127875258304</c:v>
                </c:pt>
                <c:pt idx="23">
                  <c:v>0.2800162332956625</c:v>
                </c:pt>
                <c:pt idx="24">
                  <c:v>0.28603877677367767</c:v>
                </c:pt>
                <c:pt idx="25">
                  <c:v>0.29193710406057111</c:v>
                </c:pt>
                <c:pt idx="26">
                  <c:v>0.29771859806932394</c:v>
                </c:pt>
                <c:pt idx="27">
                  <c:v>0.30338993810845893</c:v>
                </c:pt>
                <c:pt idx="28">
                  <c:v>0.30895719032666236</c:v>
                </c:pt>
                <c:pt idx="29">
                  <c:v>0.31442588373675018</c:v>
                </c:pt>
                <c:pt idx="30">
                  <c:v>0.31980107453341566</c:v>
                </c:pt>
                <c:pt idx="31">
                  <c:v>0.32508740083524951</c:v>
                </c:pt>
                <c:pt idx="32">
                  <c:v>0.33028912953790818</c:v>
                </c:pt>
                <c:pt idx="33">
                  <c:v>0.33541019662496846</c:v>
                </c:pt>
                <c:pt idx="34">
                  <c:v>0.34045424201952734</c:v>
                </c:pt>
                <c:pt idx="35">
                  <c:v>0.34542463985387867</c:v>
                </c:pt>
                <c:pt idx="36">
                  <c:v>0.35032452487268534</c:v>
                </c:pt>
                <c:pt idx="37">
                  <c:v>0.35515681555668283</c:v>
                </c:pt>
                <c:pt idx="38">
                  <c:v>0.35992423445143917</c:v>
                </c:pt>
                <c:pt idx="39">
                  <c:v>0.36462932610329829</c:v>
                </c:pt>
                <c:pt idx="40">
                  <c:v>0.3692744729379982</c:v>
                </c:pt>
                <c:pt idx="41">
                  <c:v>0.37386190936323971</c:v>
                </c:pt>
                <c:pt idx="42">
                  <c:v>0.37839373433213475</c:v>
                </c:pt>
                <c:pt idx="43">
                  <c:v>0.38287192256799019</c:v>
                </c:pt>
                <c:pt idx="44">
                  <c:v>0.3872983346207417</c:v>
                </c:pt>
                <c:pt idx="45">
                  <c:v>0.39167472590032015</c:v>
                </c:pt>
                <c:pt idx="46">
                  <c:v>0.39600275481135455</c:v>
                </c:pt>
                <c:pt idx="47">
                  <c:v>0.40028399009612253</c:v>
                </c:pt>
                <c:pt idx="48">
                  <c:v>0.40451991747794519</c:v>
                </c:pt>
                <c:pt idx="49">
                  <c:v>0.40871194568479952</c:v>
                </c:pt>
                <c:pt idx="50">
                  <c:v>0.41286141192238524</c:v>
                </c:pt>
                <c:pt idx="51">
                  <c:v>0.41696958685692698</c:v>
                </c:pt>
                <c:pt idx="52">
                  <c:v>0.42103767916034224</c:v>
                </c:pt>
                <c:pt idx="53">
                  <c:v>0.42506683966385589</c:v>
                </c:pt>
                <c:pt idx="54">
                  <c:v>0.42905816516051654</c:v>
                </c:pt>
                <c:pt idx="55">
                  <c:v>0.4330127018922193</c:v>
                </c:pt>
                <c:pt idx="56">
                  <c:v>0.4369314487526515</c:v>
                </c:pt>
                <c:pt idx="57">
                  <c:v>0.44081536023394396</c:v>
                </c:pt>
                <c:pt idx="58">
                  <c:v>0.44466534914165812</c:v>
                </c:pt>
                <c:pt idx="59">
                  <c:v>0.44848228909998622</c:v>
                </c:pt>
                <c:pt idx="60">
                  <c:v>0.45226701686664544</c:v>
                </c:pt>
                <c:pt idx="61">
                  <c:v>0.45602033447484053</c:v>
                </c:pt>
                <c:pt idx="62">
                  <c:v>0.45974301121782846</c:v>
                </c:pt>
                <c:pt idx="63">
                  <c:v>0.46343578548999348</c:v>
                </c:pt>
                <c:pt idx="64">
                  <c:v>0.46709936649691375</c:v>
                </c:pt>
                <c:pt idx="65">
                  <c:v>0.4707344358456359</c:v>
                </c:pt>
                <c:pt idx="66">
                  <c:v>0.47434164902525688</c:v>
                </c:pt>
                <c:pt idx="67">
                  <c:v>0.47792163678692229</c:v>
                </c:pt>
                <c:pt idx="68">
                  <c:v>0.48147500643146762</c:v>
                </c:pt>
                <c:pt idx="69">
                  <c:v>0.4850023430121474</c:v>
                </c:pt>
                <c:pt idx="70">
                  <c:v>0.48850421045919717</c:v>
                </c:pt>
                <c:pt idx="71">
                  <c:v>0.49198115263234882</c:v>
                </c:pt>
                <c:pt idx="72">
                  <c:v>0.49543369430686224</c:v>
                </c:pt>
                <c:pt idx="73">
                  <c:v>0.49886234209813468</c:v>
                </c:pt>
                <c:pt idx="74">
                  <c:v>0.50226758532950067</c:v>
                </c:pt>
                <c:pt idx="75">
                  <c:v>0.50564989684743156</c:v>
                </c:pt>
                <c:pt idx="76">
                  <c:v>0.50900973378797887</c:v>
                </c:pt>
                <c:pt idx="77">
                  <c:v>0.51234753829797997</c:v>
                </c:pt>
                <c:pt idx="78">
                  <c:v>0.51566373821424638</c:v>
                </c:pt>
                <c:pt idx="79">
                  <c:v>0.51895874770368966</c:v>
                </c:pt>
                <c:pt idx="80">
                  <c:v>0.5222329678670935</c:v>
                </c:pt>
                <c:pt idx="81">
                  <c:v>0.52548678730902798</c:v>
                </c:pt>
                <c:pt idx="82">
                  <c:v>0.52872058267619437</c:v>
                </c:pt>
                <c:pt idx="83">
                  <c:v>0.53193471916631407</c:v>
                </c:pt>
                <c:pt idx="84">
                  <c:v>0.53512955100950677</c:v>
                </c:pt>
                <c:pt idx="85">
                  <c:v>0.53830542192395503</c:v>
                </c:pt>
                <c:pt idx="86">
                  <c:v>0.54146266554751321</c:v>
                </c:pt>
                <c:pt idx="87">
                  <c:v>0.54460160584679607</c:v>
                </c:pt>
                <c:pt idx="88">
                  <c:v>0.54772255750516607</c:v>
                </c:pt>
                <c:pt idx="89">
                  <c:v>0.55082582629093468</c:v>
                </c:pt>
                <c:pt idx="90">
                  <c:v>0.5539117094069973</c:v>
                </c:pt>
                <c:pt idx="91">
                  <c:v>0.55698049582303399</c:v>
                </c:pt>
                <c:pt idx="92">
                  <c:v>0.560032466591325</c:v>
                </c:pt>
                <c:pt idx="93">
                  <c:v>0.56306789514716116</c:v>
                </c:pt>
                <c:pt idx="94">
                  <c:v>0.56608704759475414</c:v>
                </c:pt>
                <c:pt idx="95">
                  <c:v>0.5690901829794961</c:v>
                </c:pt>
                <c:pt idx="96">
                  <c:v>0.57207755354735534</c:v>
                </c:pt>
                <c:pt idx="97">
                  <c:v>0.57504940499214341</c:v>
                </c:pt>
                <c:pt idx="98">
                  <c:v>0.57800597669133924</c:v>
                </c:pt>
                <c:pt idx="99">
                  <c:v>0.58094750193111255</c:v>
                </c:pt>
                <c:pt idx="100">
                  <c:v>0.58387420812114221</c:v>
                </c:pt>
              </c:numCache>
            </c:numRef>
          </c:val>
          <c:smooth val="0"/>
        </c:ser>
        <c:dLbls>
          <c:showLegendKey val="0"/>
          <c:showVal val="0"/>
          <c:showCatName val="0"/>
          <c:showSerName val="0"/>
          <c:showPercent val="0"/>
          <c:showBubbleSize val="0"/>
        </c:dLbls>
        <c:marker val="1"/>
        <c:smooth val="0"/>
        <c:axId val="317942400"/>
        <c:axId val="317952768"/>
      </c:lineChart>
      <c:catAx>
        <c:axId val="317942400"/>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7952768"/>
        <c:crosses val="autoZero"/>
        <c:auto val="1"/>
        <c:lblAlgn val="ctr"/>
        <c:lblOffset val="100"/>
        <c:tickLblSkip val="20"/>
        <c:tickMarkSkip val="10"/>
        <c:noMultiLvlLbl val="0"/>
      </c:catAx>
      <c:valAx>
        <c:axId val="317952768"/>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7942400"/>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Single'!$AN$110:$AN$210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349.96461263176218</c:v>
                </c:pt>
                <c:pt idx="70">
                  <c:v>344.96511816559399</c:v>
                </c:pt>
                <c:pt idx="71">
                  <c:v>340.10645452945897</c:v>
                </c:pt>
                <c:pt idx="72">
                  <c:v>335.38275377210539</c:v>
                </c:pt>
                <c:pt idx="73">
                  <c:v>330.78846947385733</c:v>
                </c:pt>
                <c:pt idx="74">
                  <c:v>326.3183550215079</c:v>
                </c:pt>
                <c:pt idx="75">
                  <c:v>321.96744362122115</c:v>
                </c:pt>
                <c:pt idx="76">
                  <c:v>317.73102988936301</c:v>
                </c:pt>
                <c:pt idx="77">
                  <c:v>313.60465287781278</c:v>
                </c:pt>
                <c:pt idx="78">
                  <c:v>309.5840804050203</c:v>
                </c:pt>
                <c:pt idx="79">
                  <c:v>305.66529457710868</c:v>
                </c:pt>
                <c:pt idx="80">
                  <c:v>301.84447839489479</c:v>
                </c:pt>
                <c:pt idx="81">
                  <c:v>298.11800335298256</c:v>
                </c:pt>
                <c:pt idx="82">
                  <c:v>294.48241794623891</c:v>
                </c:pt>
                <c:pt idx="83">
                  <c:v>290.93443700712754</c:v>
                </c:pt>
                <c:pt idx="84">
                  <c:v>287.47093180466175</c:v>
                </c:pt>
                <c:pt idx="85">
                  <c:v>284.08892084225403</c:v>
                </c:pt>
                <c:pt idx="86">
                  <c:v>280.78556129757663</c:v>
                </c:pt>
                <c:pt idx="87">
                  <c:v>277.55814105277688</c:v>
                </c:pt>
                <c:pt idx="88">
                  <c:v>274.40407126808617</c:v>
                </c:pt>
                <c:pt idx="89">
                  <c:v>271.32087945608527</c:v>
                </c:pt>
                <c:pt idx="90">
                  <c:v>268.30620301768425</c:v>
                </c:pt>
                <c:pt idx="91">
                  <c:v>265.35778320430313</c:v>
                </c:pt>
                <c:pt idx="92">
                  <c:v>262.47345947382155</c:v>
                </c:pt>
                <c:pt idx="93">
                  <c:v>259.65116421066222</c:v>
                </c:pt>
                <c:pt idx="94">
                  <c:v>256.88891778288922</c:v>
                </c:pt>
                <c:pt idx="95">
                  <c:v>254.18482391149038</c:v>
                </c:pt>
                <c:pt idx="96">
                  <c:v>251.53706532907904</c:v>
                </c:pt>
                <c:pt idx="97">
                  <c:v>248.94389970712982</c:v>
                </c:pt>
                <c:pt idx="98">
                  <c:v>246.40365583256718</c:v>
                </c:pt>
                <c:pt idx="99">
                  <c:v>243.91473001607662</c:v>
                </c:pt>
                <c:pt idx="100">
                  <c:v>241.47558271591589</c:v>
                </c:pt>
              </c:numCache>
            </c:numRef>
          </c:val>
          <c:smooth val="0"/>
        </c:ser>
        <c:ser>
          <c:idx val="0"/>
          <c:order val="1"/>
          <c:tx>
            <c:v>VIN-nom</c:v>
          </c:tx>
          <c:spPr>
            <a:ln w="28575">
              <a:solidFill>
                <a:srgbClr val="FF0000"/>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Single'!$AN$5:$AN$105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2"/>
          <c:order val="2"/>
          <c:tx>
            <c:v>VIN-max</c:v>
          </c:tx>
          <c:spPr>
            <a:ln>
              <a:solidFill>
                <a:srgbClr val="0000FF"/>
              </a:solidFill>
              <a:prstDash val="solid"/>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Single'!$AN$216:$AN$316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Single'!$CF$110:$CF$210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Single'!$CF$5:$CF$105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Single'!$CF$216:$CF$316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33120256"/>
        <c:axId val="333122560"/>
      </c:lineChart>
      <c:catAx>
        <c:axId val="333120256"/>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33122560"/>
        <c:crosses val="autoZero"/>
        <c:auto val="1"/>
        <c:lblAlgn val="ctr"/>
        <c:lblOffset val="100"/>
        <c:tickLblSkip val="20"/>
        <c:tickMarkSkip val="10"/>
        <c:noMultiLvlLbl val="0"/>
      </c:catAx>
      <c:valAx>
        <c:axId val="333122560"/>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33120256"/>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0119952469789996"/>
          <c:y val="2.20093690871901E-2"/>
          <c:w val="0.4533572736110989"/>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344.96511816559399</c:v>
                </c:pt>
                <c:pt idx="36">
                  <c:v>335.38275377210539</c:v>
                </c:pt>
                <c:pt idx="37">
                  <c:v>326.3183550215079</c:v>
                </c:pt>
                <c:pt idx="38">
                  <c:v>317.73102988936301</c:v>
                </c:pt>
                <c:pt idx="39">
                  <c:v>309.5840804050203</c:v>
                </c:pt>
                <c:pt idx="40">
                  <c:v>301.84447839489479</c:v>
                </c:pt>
                <c:pt idx="41">
                  <c:v>294.48241794623891</c:v>
                </c:pt>
                <c:pt idx="42">
                  <c:v>287.47093180466175</c:v>
                </c:pt>
                <c:pt idx="43">
                  <c:v>280.78556129757663</c:v>
                </c:pt>
                <c:pt idx="44">
                  <c:v>274.40407126808617</c:v>
                </c:pt>
                <c:pt idx="45">
                  <c:v>268.30620301768425</c:v>
                </c:pt>
                <c:pt idx="46">
                  <c:v>262.47345947382155</c:v>
                </c:pt>
                <c:pt idx="47">
                  <c:v>256.88891778288922</c:v>
                </c:pt>
                <c:pt idx="48">
                  <c:v>251.53706532907904</c:v>
                </c:pt>
                <c:pt idx="49">
                  <c:v>246.40365583256718</c:v>
                </c:pt>
                <c:pt idx="50">
                  <c:v>241.47558271591589</c:v>
                </c:pt>
                <c:pt idx="51">
                  <c:v>236.74076736854502</c:v>
                </c:pt>
                <c:pt idx="52">
                  <c:v>232.52387096505447</c:v>
                </c:pt>
                <c:pt idx="53">
                  <c:v>230.46431097884167</c:v>
                </c:pt>
                <c:pt idx="54">
                  <c:v>228.44459150191634</c:v>
                </c:pt>
                <c:pt idx="55">
                  <c:v>226.46356758506289</c:v>
                </c:pt>
                <c:pt idx="56">
                  <c:v>224.52013773467138</c:v>
                </c:pt>
                <c:pt idx="57">
                  <c:v>222.61324187046333</c:v>
                </c:pt>
                <c:pt idx="58">
                  <c:v>220.7418593973216</c:v>
                </c:pt>
                <c:pt idx="59">
                  <c:v>218.90500738385526</c:v>
                </c:pt>
                <c:pt idx="60">
                  <c:v>217.1017388408693</c:v>
                </c:pt>
                <c:pt idx="61">
                  <c:v>215.33114109340357</c:v>
                </c:pt>
                <c:pt idx="62">
                  <c:v>213.59233424046207</c:v>
                </c:pt>
                <c:pt idx="63">
                  <c:v>211.88446969696966</c:v>
                </c:pt>
                <c:pt idx="64">
                  <c:v>210.20672881288067</c:v>
                </c:pt>
                <c:pt idx="65">
                  <c:v>208.55832156471811</c:v>
                </c:pt>
                <c:pt idx="66">
                  <c:v>206.93848531514988</c:v>
                </c:pt>
                <c:pt idx="67">
                  <c:v>205.34648363650879</c:v>
                </c:pt>
                <c:pt idx="68">
                  <c:v>203.7816051944454</c:v>
                </c:pt>
                <c:pt idx="69">
                  <c:v>202.2431626881565</c:v>
                </c:pt>
                <c:pt idx="70">
                  <c:v>200.73049184387284</c:v>
                </c:pt>
                <c:pt idx="71">
                  <c:v>199.24295045850963</c:v>
                </c:pt>
                <c:pt idx="72">
                  <c:v>197.77991749058657</c:v>
                </c:pt>
                <c:pt idx="73">
                  <c:v>196.34079219571444</c:v>
                </c:pt>
                <c:pt idx="74">
                  <c:v>194.9249933041196</c:v>
                </c:pt>
                <c:pt idx="75">
                  <c:v>193.5319582378406</c:v>
                </c:pt>
                <c:pt idx="76">
                  <c:v>192.16114236538277</c:v>
                </c:pt>
                <c:pt idx="77">
                  <c:v>190.81201829175583</c:v>
                </c:pt>
                <c:pt idx="78">
                  <c:v>189.48407518194995</c:v>
                </c:pt>
                <c:pt idx="79">
                  <c:v>188.17681811602782</c:v>
                </c:pt>
                <c:pt idx="80">
                  <c:v>186.88976747412184</c:v>
                </c:pt>
                <c:pt idx="81">
                  <c:v>185.62245834973106</c:v>
                </c:pt>
                <c:pt idx="82">
                  <c:v>184.37443998981036</c:v>
                </c:pt>
                <c:pt idx="83">
                  <c:v>183.14527526023474</c:v>
                </c:pt>
                <c:pt idx="84">
                  <c:v>181.93454013530811</c:v>
                </c:pt>
                <c:pt idx="85">
                  <c:v>180.74182321006276</c:v>
                </c:pt>
                <c:pt idx="86">
                  <c:v>179.56672523417251</c:v>
                </c:pt>
                <c:pt idx="87">
                  <c:v>178.40885866636938</c:v>
                </c:pt>
                <c:pt idx="88">
                  <c:v>177.26784724831944</c:v>
                </c:pt>
                <c:pt idx="89">
                  <c:v>176.1433255969738</c:v>
                </c:pt>
                <c:pt idx="90">
                  <c:v>175.03493881446636</c:v>
                </c:pt>
                <c:pt idx="91">
                  <c:v>173.94234211468404</c:v>
                </c:pt>
                <c:pt idx="92">
                  <c:v>172.8652004656835</c:v>
                </c:pt>
                <c:pt idx="93">
                  <c:v>171.80318824717591</c:v>
                </c:pt>
                <c:pt idx="94">
                  <c:v>170.75598892234373</c:v>
                </c:pt>
                <c:pt idx="95">
                  <c:v>169.72329472329471</c:v>
                </c:pt>
                <c:pt idx="96">
                  <c:v>168.70480634949686</c:v>
                </c:pt>
                <c:pt idx="97">
                  <c:v>167.70023267857323</c:v>
                </c:pt>
                <c:pt idx="98">
                  <c:v>166.70929048887015</c:v>
                </c:pt>
                <c:pt idx="99">
                  <c:v>165.73170419324268</c:v>
                </c:pt>
                <c:pt idx="100">
                  <c:v>164.7672055835321</c:v>
                </c:pt>
              </c:numCache>
            </c:numRef>
          </c:val>
          <c:smooth val="0"/>
        </c:ser>
        <c:ser>
          <c:idx val="0"/>
          <c:order val="1"/>
          <c:tx>
            <c:v>VIN-nom</c:v>
          </c:tx>
          <c:spPr>
            <a:ln w="28575">
              <a:solidFill>
                <a:srgbClr val="FF0000"/>
              </a:solidFill>
              <a:prstDash val="lg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348.99828839792701</c:v>
                </c:pt>
                <c:pt idx="54">
                  <c:v>342.53535713129872</c:v>
                </c:pt>
                <c:pt idx="55">
                  <c:v>336.30744154709339</c:v>
                </c:pt>
                <c:pt idx="56">
                  <c:v>330.30195151946663</c:v>
                </c:pt>
                <c:pt idx="57">
                  <c:v>324.50718044017782</c:v>
                </c:pt>
                <c:pt idx="58">
                  <c:v>318.91222905327822</c:v>
                </c:pt>
                <c:pt idx="59">
                  <c:v>313.50693703542606</c:v>
                </c:pt>
                <c:pt idx="60">
                  <c:v>308.28182141816887</c:v>
                </c:pt>
                <c:pt idx="61">
                  <c:v>303.22802106705143</c:v>
                </c:pt>
                <c:pt idx="62">
                  <c:v>298.33724653371183</c:v>
                </c:pt>
                <c:pt idx="63">
                  <c:v>293.60173468397034</c:v>
                </c:pt>
                <c:pt idx="64">
                  <c:v>289.01420757953338</c:v>
                </c:pt>
                <c:pt idx="65">
                  <c:v>286.08661939243859</c:v>
                </c:pt>
                <c:pt idx="66">
                  <c:v>283.56953226962048</c:v>
                </c:pt>
                <c:pt idx="67">
                  <c:v>281.09998120202027</c:v>
                </c:pt>
                <c:pt idx="68">
                  <c:v>278.67663218410917</c:v>
                </c:pt>
                <c:pt idx="69">
                  <c:v>276.29820066273874</c:v>
                </c:pt>
                <c:pt idx="70">
                  <c:v>273.96344926664659</c:v>
                </c:pt>
                <c:pt idx="71">
                  <c:v>271.67118565991728</c:v>
                </c:pt>
                <c:pt idx="72">
                  <c:v>269.42026051157455</c:v>
                </c:pt>
                <c:pt idx="73">
                  <c:v>267.20956557404082</c:v>
                </c:pt>
                <c:pt idx="74">
                  <c:v>265.03803186371323</c:v>
                </c:pt>
                <c:pt idx="75">
                  <c:v>262.90462793738152</c:v>
                </c:pt>
                <c:pt idx="76">
                  <c:v>260.80835825864784</c:v>
                </c:pt>
                <c:pt idx="77">
                  <c:v>258.74826164891425</c:v>
                </c:pt>
                <c:pt idx="78">
                  <c:v>256.72340981787232</c:v>
                </c:pt>
                <c:pt idx="79">
                  <c:v>254.73290596877595</c:v>
                </c:pt>
                <c:pt idx="80">
                  <c:v>252.77588347409463</c:v>
                </c:pt>
                <c:pt idx="81">
                  <c:v>250.85150461743737</c:v>
                </c:pt>
                <c:pt idx="82">
                  <c:v>248.95895939791177</c:v>
                </c:pt>
                <c:pt idx="83">
                  <c:v>247.09746439333176</c:v>
                </c:pt>
                <c:pt idx="84">
                  <c:v>245.26626167892286</c:v>
                </c:pt>
                <c:pt idx="85">
                  <c:v>243.46461779838953</c:v>
                </c:pt>
                <c:pt idx="86">
                  <c:v>241.69182278440974</c:v>
                </c:pt>
                <c:pt idx="87">
                  <c:v>239.94718922580938</c:v>
                </c:pt>
                <c:pt idx="88">
                  <c:v>238.2300513788403</c:v>
                </c:pt>
                <c:pt idx="89">
                  <c:v>236.53976432014971</c:v>
                </c:pt>
                <c:pt idx="90">
                  <c:v>234.87570313917618</c:v>
                </c:pt>
                <c:pt idx="91">
                  <c:v>233.23726216784721</c:v>
                </c:pt>
                <c:pt idx="92">
                  <c:v>231.62385424558491</c:v>
                </c:pt>
                <c:pt idx="93">
                  <c:v>230.03491001774458</c:v>
                </c:pt>
                <c:pt idx="94">
                  <c:v>228.46987726572661</c:v>
                </c:pt>
                <c:pt idx="95">
                  <c:v>226.92822026710448</c:v>
                </c:pt>
                <c:pt idx="96">
                  <c:v>225.40941918421316</c:v>
                </c:pt>
                <c:pt idx="97">
                  <c:v>223.91296947972998</c:v>
                </c:pt>
                <c:pt idx="98">
                  <c:v>222.43838135786913</c:v>
                </c:pt>
                <c:pt idx="99">
                  <c:v>220.98517922988981</c:v>
                </c:pt>
                <c:pt idx="100">
                  <c:v>219.55290120269126</c:v>
                </c:pt>
              </c:numCache>
            </c:numRef>
          </c:val>
          <c:smooth val="0"/>
        </c:ser>
        <c:ser>
          <c:idx val="2"/>
          <c:order val="2"/>
          <c:tx>
            <c:v>VIN-max</c:v>
          </c:tx>
          <c:spPr>
            <a:ln>
              <a:solidFill>
                <a:srgbClr val="0000FF"/>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347.09587123862843</c:v>
                </c:pt>
                <c:pt idx="85">
                  <c:v>344.13392057789918</c:v>
                </c:pt>
                <c:pt idx="86">
                  <c:v>341.2255169531482</c:v>
                </c:pt>
                <c:pt idx="87">
                  <c:v>338.36922131301588</c:v>
                </c:pt>
                <c:pt idx="88">
                  <c:v>335.56364571341749</c:v>
                </c:pt>
                <c:pt idx="89">
                  <c:v>332.80745106869472</c:v>
                </c:pt>
                <c:pt idx="90">
                  <c:v>330.09934502047616</c:v>
                </c:pt>
                <c:pt idx="91">
                  <c:v>327.43807991712441</c:v>
                </c:pt>
                <c:pt idx="92">
                  <c:v>324.82245089712728</c:v>
                </c:pt>
                <c:pt idx="93">
                  <c:v>322.25129407025224</c:v>
                </c:pt>
                <c:pt idx="94">
                  <c:v>319.72348479069257</c:v>
                </c:pt>
                <c:pt idx="95">
                  <c:v>317.23793601682416</c:v>
                </c:pt>
                <c:pt idx="96">
                  <c:v>314.79359675254528</c:v>
                </c:pt>
                <c:pt idx="97">
                  <c:v>312.3894505655058</c:v>
                </c:pt>
                <c:pt idx="98">
                  <c:v>310.02451417783584</c:v>
                </c:pt>
                <c:pt idx="99">
                  <c:v>307.69783612526874</c:v>
                </c:pt>
                <c:pt idx="100">
                  <c:v>305.4084954808182</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232.52387096505447</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FF0000"/>
                </a:solidFill>
              </a:ln>
            </c:spPr>
          </c:marker>
          <c:dPt>
            <c:idx val="65"/>
            <c:bubble3D val="0"/>
          </c:dPt>
          <c:dPt>
            <c:idx val="92"/>
            <c:bubble3D val="0"/>
          </c:dPt>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350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33659520"/>
        <c:axId val="333670272"/>
      </c:lineChart>
      <c:catAx>
        <c:axId val="333659520"/>
        <c:scaling>
          <c:orientation val="minMax"/>
        </c:scaling>
        <c:delete val="0"/>
        <c:axPos val="b"/>
        <c:majorGridlines>
          <c:spPr>
            <a:ln w="15875">
              <a:solidFill>
                <a:srgbClr val="969696"/>
              </a:solidFill>
              <a:prstDash val="sysDash"/>
            </a:ln>
          </c:spPr>
        </c:majorGridlines>
        <c:title>
          <c:tx>
            <c:rich>
              <a:bodyPr/>
              <a:lstStyle/>
              <a:p>
                <a:pPr>
                  <a:defRPr sz="1000" b="1" i="0" u="none" strike="noStrike" baseline="0">
                    <a:solidFill>
                      <a:schemeClr val="tx1"/>
                    </a:solidFill>
                    <a:latin typeface="Arial" pitchFamily="34" charset="0"/>
                    <a:ea typeface="Calibri"/>
                    <a:cs typeface="Arial" pitchFamily="34" charset="0"/>
                  </a:defRPr>
                </a:pPr>
                <a:r>
                  <a:rPr lang="en-US" sz="1200" b="1" i="0" baseline="0">
                    <a:effectLst/>
                  </a:rPr>
                  <a:t>% Total Rated Output Power</a:t>
                </a:r>
                <a:endParaRPr lang="en-US" sz="1000">
                  <a:effectLst/>
                </a:endParaRPr>
              </a:p>
            </c:rich>
          </c:tx>
          <c:layout>
            <c:manualLayout>
              <c:xMode val="edge"/>
              <c:yMode val="edge"/>
              <c:x val="0.4098432024821038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33670272"/>
        <c:crosses val="autoZero"/>
        <c:auto val="1"/>
        <c:lblAlgn val="ctr"/>
        <c:lblOffset val="100"/>
        <c:tickLblSkip val="20"/>
        <c:tickMarkSkip val="10"/>
        <c:noMultiLvlLbl val="0"/>
      </c:catAx>
      <c:valAx>
        <c:axId val="333670272"/>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33659520"/>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1258613484968906"/>
          <c:y val="1.9480197482498431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Single'!$AK$110:$AK$210</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1.2033174778987639</c:v>
                </c:pt>
                <c:pt idx="8">
                  <c:v>1.2112181961251511</c:v>
                </c:pt>
                <c:pt idx="9">
                  <c:v>1.2186387129158094</c:v>
                </c:pt>
                <c:pt idx="10">
                  <c:v>1.2256572121992586</c:v>
                </c:pt>
                <c:pt idx="11">
                  <c:v>1.2323327165262006</c:v>
                </c:pt>
                <c:pt idx="12">
                  <c:v>1.2387110805473871</c:v>
                </c:pt>
                <c:pt idx="13">
                  <c:v>1.2448287700593861</c:v>
                </c:pt>
                <c:pt idx="14">
                  <c:v>1.2507153513898708</c:v>
                </c:pt>
                <c:pt idx="15">
                  <c:v>1.2563951914320908</c:v>
                </c:pt>
                <c:pt idx="16">
                  <c:v>1.2618886542581162</c:v>
                </c:pt>
                <c:pt idx="17">
                  <c:v>1.267212965344988</c:v>
                </c:pt>
                <c:pt idx="18">
                  <c:v>1.2723828497432823</c:v>
                </c:pt>
                <c:pt idx="19">
                  <c:v>1.2774110125140663</c:v>
                </c:pt>
                <c:pt idx="20">
                  <c:v>1.282308506617442</c:v>
                </c:pt>
                <c:pt idx="21">
                  <c:v>1.2870850188924099</c:v>
                </c:pt>
                <c:pt idx="22">
                  <c:v>1.2917490953722837</c:v>
                </c:pt>
                <c:pt idx="23">
                  <c:v>1.2963083209597499</c:v>
                </c:pt>
                <c:pt idx="24">
                  <c:v>1.3007694642767982</c:v>
                </c:pt>
                <c:pt idx="25">
                  <c:v>1.3051385956004231</c:v>
                </c:pt>
                <c:pt idx="26">
                  <c:v>1.3094211837550547</c:v>
                </c:pt>
                <c:pt idx="27">
                  <c:v>1.3136221763766363</c:v>
                </c:pt>
                <c:pt idx="28">
                  <c:v>1.3177460669086387</c:v>
                </c:pt>
                <c:pt idx="29">
                  <c:v>1.3217969509161112</c:v>
                </c:pt>
                <c:pt idx="30">
                  <c:v>1.325778573728456</c:v>
                </c:pt>
                <c:pt idx="31">
                  <c:v>1.3296943709890736</c:v>
                </c:pt>
                <c:pt idx="32">
                  <c:v>1.3335475033614135</c:v>
                </c:pt>
                <c:pt idx="33">
                  <c:v>1.3373408863888654</c:v>
                </c:pt>
                <c:pt idx="34">
                  <c:v>1.3410772163107609</c:v>
                </c:pt>
                <c:pt idx="35">
                  <c:v>1.3447589924843546</c:v>
                </c:pt>
                <c:pt idx="36">
                  <c:v>1.3483885369427298</c:v>
                </c:pt>
                <c:pt idx="37">
                  <c:v>1.3519680115234687</c:v>
                </c:pt>
                <c:pt idx="38">
                  <c:v>1.355499432926992</c:v>
                </c:pt>
                <c:pt idx="39">
                  <c:v>1.3589846860024433</c:v>
                </c:pt>
                <c:pt idx="40">
                  <c:v>1.3624255355096282</c:v>
                </c:pt>
                <c:pt idx="41">
                  <c:v>1.3658236365653627</c:v>
                </c:pt>
                <c:pt idx="42">
                  <c:v>1.3691805439497293</c:v>
                </c:pt>
                <c:pt idx="43">
                  <c:v>1.3724977204207334</c:v>
                </c:pt>
                <c:pt idx="44">
                  <c:v>1.3757765441635124</c:v>
                </c:pt>
                <c:pt idx="45">
                  <c:v>1.3790183154817186</c:v>
                </c:pt>
                <c:pt idx="46">
                  <c:v>1.3822242628232255</c:v>
                </c:pt>
                <c:pt idx="47">
                  <c:v>1.3853955482193501</c:v>
                </c:pt>
                <c:pt idx="48">
                  <c:v>1.3885332722058852</c:v>
                </c:pt>
                <c:pt idx="49">
                  <c:v>1.3916384782850366</c:v>
                </c:pt>
                <c:pt idx="50">
                  <c:v>1.3947121569795446</c:v>
                </c:pt>
                <c:pt idx="51">
                  <c:v>1.3977552495236496</c:v>
                </c:pt>
                <c:pt idx="52">
                  <c:v>1.4007686512298831</c:v>
                </c:pt>
                <c:pt idx="53">
                  <c:v>1.4037532145658191</c:v>
                </c:pt>
                <c:pt idx="54">
                  <c:v>1.406709751970753</c:v>
                </c:pt>
                <c:pt idx="55">
                  <c:v>1.409639038438681</c:v>
                </c:pt>
                <c:pt idx="56">
                  <c:v>1.412541813890853</c:v>
                </c:pt>
                <c:pt idx="57">
                  <c:v>1.415418785358477</c:v>
                </c:pt>
                <c:pt idx="58">
                  <c:v>1.4182706289938207</c:v>
                </c:pt>
                <c:pt idx="59">
                  <c:v>1.4210979919259157</c:v>
                </c:pt>
                <c:pt idx="60">
                  <c:v>1.423901493975293</c:v>
                </c:pt>
                <c:pt idx="61">
                  <c:v>1.4266817292406226</c:v>
                </c:pt>
                <c:pt idx="62">
                  <c:v>1.4294392675687617</c:v>
                </c:pt>
                <c:pt idx="63">
                  <c:v>1.4321746559185136</c:v>
                </c:pt>
                <c:pt idx="64">
                  <c:v>1.4348884196273435</c:v>
                </c:pt>
                <c:pt idx="65">
                  <c:v>1.4375810635893598</c:v>
                </c:pt>
                <c:pt idx="66">
                  <c:v>1.440253073352042</c:v>
                </c:pt>
                <c:pt idx="67">
                  <c:v>1.4429049161384611</c:v>
                </c:pt>
                <c:pt idx="68">
                  <c:v>1.4455370418010871</c:v>
                </c:pt>
                <c:pt idx="69">
                  <c:v>1.4481498837127016</c:v>
                </c:pt>
                <c:pt idx="70">
                  <c:v>1.4507438595994053</c:v>
                </c:pt>
                <c:pt idx="71">
                  <c:v>1.4533193723202584</c:v>
                </c:pt>
                <c:pt idx="72">
                  <c:v>1.4558768105976756</c:v>
                </c:pt>
                <c:pt idx="73">
                  <c:v>1.458416549702322</c:v>
                </c:pt>
                <c:pt idx="74">
                  <c:v>1.485257038343458</c:v>
                </c:pt>
                <c:pt idx="75">
                  <c:v>1.4906133646874387</c:v>
                </c:pt>
                <c:pt idx="76">
                  <c:v>1.4959696910314193</c:v>
                </c:pt>
                <c:pt idx="77">
                  <c:v>1.5013260173753999</c:v>
                </c:pt>
                <c:pt idx="78">
                  <c:v>1.5066823437193808</c:v>
                </c:pt>
                <c:pt idx="79">
                  <c:v>1.5120386700633615</c:v>
                </c:pt>
                <c:pt idx="80">
                  <c:v>1.5173949964073419</c:v>
                </c:pt>
                <c:pt idx="81">
                  <c:v>1.5227513227513227</c:v>
                </c:pt>
                <c:pt idx="82">
                  <c:v>1.5281076490953032</c:v>
                </c:pt>
                <c:pt idx="83">
                  <c:v>1.533463975439284</c:v>
                </c:pt>
                <c:pt idx="84">
                  <c:v>1.5388203017832647</c:v>
                </c:pt>
                <c:pt idx="85">
                  <c:v>1.5441766281272453</c:v>
                </c:pt>
                <c:pt idx="86">
                  <c:v>1.549532954471226</c:v>
                </c:pt>
                <c:pt idx="87">
                  <c:v>1.5548892808152066</c:v>
                </c:pt>
                <c:pt idx="88">
                  <c:v>1.5602456071591875</c:v>
                </c:pt>
                <c:pt idx="89">
                  <c:v>1.5656019335031679</c:v>
                </c:pt>
                <c:pt idx="90">
                  <c:v>1.5709582598471488</c:v>
                </c:pt>
                <c:pt idx="91">
                  <c:v>1.5763145861911294</c:v>
                </c:pt>
                <c:pt idx="92">
                  <c:v>1.5816709125351101</c:v>
                </c:pt>
                <c:pt idx="93">
                  <c:v>1.5870272388790907</c:v>
                </c:pt>
                <c:pt idx="94">
                  <c:v>1.5923835652230711</c:v>
                </c:pt>
                <c:pt idx="95">
                  <c:v>1.597739891567052</c:v>
                </c:pt>
                <c:pt idx="96">
                  <c:v>1.6030962179110326</c:v>
                </c:pt>
                <c:pt idx="97">
                  <c:v>1.6084525442550133</c:v>
                </c:pt>
                <c:pt idx="98">
                  <c:v>1.6138088705989941</c:v>
                </c:pt>
                <c:pt idx="99">
                  <c:v>1.6191651969429746</c:v>
                </c:pt>
                <c:pt idx="100">
                  <c:v>1.6245215232869552</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Single'!$AK$5:$AK$105</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1.2095072124590609</c:v>
                </c:pt>
                <c:pt idx="8">
                  <c:v>1.2178353007079243</c:v>
                </c:pt>
                <c:pt idx="9">
                  <c:v>1.2256572121992586</c:v>
                </c:pt>
                <c:pt idx="10">
                  <c:v>1.2330553600299117</c:v>
                </c:pt>
                <c:pt idx="11">
                  <c:v>1.2400919594310604</c:v>
                </c:pt>
                <c:pt idx="12">
                  <c:v>1.2468153454486002</c:v>
                </c:pt>
                <c:pt idx="13">
                  <c:v>1.2532639564071471</c:v>
                </c:pt>
                <c:pt idx="14">
                  <c:v>1.2594689579525327</c:v>
                </c:pt>
                <c:pt idx="15">
                  <c:v>1.26545603504548</c:v>
                </c:pt>
                <c:pt idx="16">
                  <c:v>1.2712466533027151</c:v>
                </c:pt>
                <c:pt idx="17">
                  <c:v>1.2768589699713155</c:v>
                </c:pt>
                <c:pt idx="18">
                  <c:v>1.282308506617442</c:v>
                </c:pt>
                <c:pt idx="19">
                  <c:v>1.2876086555513555</c:v>
                </c:pt>
                <c:pt idx="20">
                  <c:v>1.2927710676159927</c:v>
                </c:pt>
                <c:pt idx="21">
                  <c:v>1.2978059536362097</c:v>
                </c:pt>
                <c:pt idx="22">
                  <c:v>1.3027223219220836</c:v>
                </c:pt>
                <c:pt idx="23">
                  <c:v>1.3075281676630546</c:v>
                </c:pt>
                <c:pt idx="24">
                  <c:v>1.3122306256131582</c:v>
                </c:pt>
                <c:pt idx="25">
                  <c:v>1.3168360944061717</c:v>
                </c:pt>
                <c:pt idx="26">
                  <c:v>1.3213503386892029</c:v>
                </c:pt>
                <c:pt idx="27">
                  <c:v>1.325778573728456</c:v>
                </c:pt>
                <c:pt idx="28">
                  <c:v>1.3301255360292332</c:v>
                </c:pt>
                <c:pt idx="29">
                  <c:v>1.3343955426961545</c:v>
                </c:pt>
                <c:pt idx="30">
                  <c:v>1.3385925416530526</c:v>
                </c:pt>
                <c:pt idx="31">
                  <c:v>1.3427201543860525</c:v>
                </c:pt>
                <c:pt idx="32">
                  <c:v>1.3467817125269597</c:v>
                </c:pt>
                <c:pt idx="33">
                  <c:v>1.3507802893283509</c:v>
                </c:pt>
                <c:pt idx="34">
                  <c:v>1.3547187268760272</c:v>
                </c:pt>
                <c:pt idx="35">
                  <c:v>1.358599659723859</c:v>
                </c:pt>
                <c:pt idx="36">
                  <c:v>1.3624255355096282</c:v>
                </c:pt>
                <c:pt idx="37">
                  <c:v>1.366198633010232</c:v>
                </c:pt>
                <c:pt idx="38">
                  <c:v>1.3699210780145659</c:v>
                </c:pt>
                <c:pt idx="39">
                  <c:v>1.3735948573280767</c:v>
                </c:pt>
                <c:pt idx="40">
                  <c:v>1.3772218311709343</c:v>
                </c:pt>
                <c:pt idx="41">
                  <c:v>1.380803744189449</c:v>
                </c:pt>
                <c:pt idx="42">
                  <c:v>1.384342235265728</c:v>
                </c:pt>
                <c:pt idx="43">
                  <c:v>1.3878388462820921</c:v>
                </c:pt>
                <c:pt idx="44">
                  <c:v>1.3912950299732318</c:v>
                </c:pt>
                <c:pt idx="45">
                  <c:v>1.3947121569795446</c:v>
                </c:pt>
                <c:pt idx="46">
                  <c:v>1.3980915221987857</c:v>
                </c:pt>
                <c:pt idx="47">
                  <c:v>1.4014343505195133</c:v>
                </c:pt>
                <c:pt idx="48">
                  <c:v>1.4047418020083118</c:v>
                </c:pt>
                <c:pt idx="49">
                  <c:v>1.4080149766130847</c:v>
                </c:pt>
                <c:pt idx="50">
                  <c:v>1.4112549184364775</c:v>
                </c:pt>
                <c:pt idx="51">
                  <c:v>1.4144626196264936</c:v>
                </c:pt>
                <c:pt idx="52">
                  <c:v>1.4176390239254053</c:v>
                </c:pt>
                <c:pt idx="53">
                  <c:v>1.4207850299129348</c:v>
                </c:pt>
                <c:pt idx="54">
                  <c:v>1.423901493975293</c:v>
                </c:pt>
                <c:pt idx="55">
                  <c:v>1.4269892330278804</c:v>
                </c:pt>
                <c:pt idx="56">
                  <c:v>1.4300490270161765</c:v>
                </c:pt>
                <c:pt idx="57">
                  <c:v>1.4330816212165129</c:v>
                </c:pt>
                <c:pt idx="58">
                  <c:v>1.4360877283559601</c:v>
                </c:pt>
                <c:pt idx="59">
                  <c:v>1.4390680305684107</c:v>
                </c:pt>
                <c:pt idx="60">
                  <c:v>1.4420231812020712</c:v>
                </c:pt>
                <c:pt idx="61">
                  <c:v>1.4449538064919261</c:v>
                </c:pt>
                <c:pt idx="62">
                  <c:v>1.4478605071093036</c:v>
                </c:pt>
                <c:pt idx="63">
                  <c:v>1.4507438595994053</c:v>
                </c:pt>
                <c:pt idx="64">
                  <c:v>1.4536044177165413</c:v>
                </c:pt>
                <c:pt idx="65">
                  <c:v>1.456442713665832</c:v>
                </c:pt>
                <c:pt idx="66">
                  <c:v>1.4592592592592593</c:v>
                </c:pt>
                <c:pt idx="67">
                  <c:v>1.4620545469931829</c:v>
                </c:pt>
                <c:pt idx="68">
                  <c:v>1.4648290510537423</c:v>
                </c:pt>
                <c:pt idx="69">
                  <c:v>1.4675832282559593</c:v>
                </c:pt>
                <c:pt idx="70">
                  <c:v>1.4703175189218052</c:v>
                </c:pt>
                <c:pt idx="71">
                  <c:v>1.4730323477020164</c:v>
                </c:pt>
                <c:pt idx="72">
                  <c:v>1.4757281243459952</c:v>
                </c:pt>
                <c:pt idx="73">
                  <c:v>1.4784052444237548</c:v>
                </c:pt>
                <c:pt idx="74">
                  <c:v>1.481064090003505</c:v>
                </c:pt>
                <c:pt idx="75">
                  <c:v>1.4837050302881674</c:v>
                </c:pt>
                <c:pt idx="76">
                  <c:v>1.486328422213822</c:v>
                </c:pt>
                <c:pt idx="77">
                  <c:v>1.4889346110128308</c:v>
                </c:pt>
                <c:pt idx="78">
                  <c:v>1.4915239307441548</c:v>
                </c:pt>
                <c:pt idx="79">
                  <c:v>1.4940967047931693</c:v>
                </c:pt>
                <c:pt idx="80">
                  <c:v>1.4966532463430964</c:v>
                </c:pt>
                <c:pt idx="81">
                  <c:v>1.499193858819998</c:v>
                </c:pt>
                <c:pt idx="82">
                  <c:v>1.5017188363131204</c:v>
                </c:pt>
                <c:pt idx="83">
                  <c:v>1.5042284639722407</c:v>
                </c:pt>
                <c:pt idx="84">
                  <c:v>1.5067230183835303</c:v>
                </c:pt>
                <c:pt idx="85">
                  <c:v>1.5092027679253424</c:v>
                </c:pt>
                <c:pt idx="86">
                  <c:v>1.5116679731052156</c:v>
                </c:pt>
                <c:pt idx="87">
                  <c:v>1.5141188868792959</c:v>
                </c:pt>
                <c:pt idx="88">
                  <c:v>1.5165557549552782</c:v>
                </c:pt>
                <c:pt idx="89">
                  <c:v>1.5189788160799038</c:v>
                </c:pt>
                <c:pt idx="90">
                  <c:v>1.5213883023119572</c:v>
                </c:pt>
                <c:pt idx="91">
                  <c:v>1.5237844392816511</c:v>
                </c:pt>
                <c:pt idx="92">
                  <c:v>1.5261674464372201</c:v>
                </c:pt>
                <c:pt idx="93">
                  <c:v>1.5285375372794814</c:v>
                </c:pt>
                <c:pt idx="94">
                  <c:v>1.5308949195850776</c:v>
                </c:pt>
                <c:pt idx="95">
                  <c:v>1.5332397956190607</c:v>
                </c:pt>
                <c:pt idx="96">
                  <c:v>1.5355723623374276</c:v>
                </c:pt>
                <c:pt idx="97">
                  <c:v>1.5378928115801911</c:v>
                </c:pt>
                <c:pt idx="98">
                  <c:v>1.5402013302555129</c:v>
                </c:pt>
                <c:pt idx="99">
                  <c:v>1.5424981005154033</c:v>
                </c:pt>
                <c:pt idx="100">
                  <c:v>1.5447832999234545</c:v>
                </c:pt>
              </c:numCache>
            </c:numRef>
          </c:val>
          <c:smooth val="0"/>
        </c:ser>
        <c:ser>
          <c:idx val="2"/>
          <c:order val="2"/>
          <c:tx>
            <c:v>VIN-max</c:v>
          </c:tx>
          <c:spPr>
            <a:ln>
              <a:solidFill>
                <a:srgbClr val="FF0000"/>
              </a:solidFill>
              <a:prstDash val="solid"/>
            </a:ln>
          </c:spPr>
          <c:marker>
            <c:symbol val="none"/>
          </c:marker>
          <c:val>
            <c:numRef>
              <c:f>'Calculations - Single'!$AK$216:$AK$316</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1.2033174778987639</c:v>
                </c:pt>
                <c:pt idx="8">
                  <c:v>1.2112181961251511</c:v>
                </c:pt>
                <c:pt idx="9">
                  <c:v>1.2186387129158094</c:v>
                </c:pt>
                <c:pt idx="10">
                  <c:v>1.2256572121992586</c:v>
                </c:pt>
                <c:pt idx="11">
                  <c:v>1.2323327165262006</c:v>
                </c:pt>
                <c:pt idx="12">
                  <c:v>1.2387110805473871</c:v>
                </c:pt>
                <c:pt idx="13">
                  <c:v>1.2448287700593861</c:v>
                </c:pt>
                <c:pt idx="14">
                  <c:v>1.2507153513898708</c:v>
                </c:pt>
                <c:pt idx="15">
                  <c:v>1.2563951914320908</c:v>
                </c:pt>
                <c:pt idx="16">
                  <c:v>1.2618886542581162</c:v>
                </c:pt>
                <c:pt idx="17">
                  <c:v>1.267212965344988</c:v>
                </c:pt>
                <c:pt idx="18">
                  <c:v>1.2723828497432823</c:v>
                </c:pt>
                <c:pt idx="19">
                  <c:v>1.2774110125140663</c:v>
                </c:pt>
                <c:pt idx="20">
                  <c:v>1.282308506617442</c:v>
                </c:pt>
                <c:pt idx="21">
                  <c:v>1.2870850188924099</c:v>
                </c:pt>
                <c:pt idx="22">
                  <c:v>1.2917490953722837</c:v>
                </c:pt>
                <c:pt idx="23">
                  <c:v>1.2963083209597499</c:v>
                </c:pt>
                <c:pt idx="24">
                  <c:v>1.3007694642767982</c:v>
                </c:pt>
                <c:pt idx="25">
                  <c:v>1.3051385956004231</c:v>
                </c:pt>
                <c:pt idx="26">
                  <c:v>1.3094211837550547</c:v>
                </c:pt>
                <c:pt idx="27">
                  <c:v>1.3136221763766363</c:v>
                </c:pt>
                <c:pt idx="28">
                  <c:v>1.3177460669086387</c:v>
                </c:pt>
                <c:pt idx="29">
                  <c:v>1.3217969509161112</c:v>
                </c:pt>
                <c:pt idx="30">
                  <c:v>1.325778573728456</c:v>
                </c:pt>
                <c:pt idx="31">
                  <c:v>1.3296943709890736</c:v>
                </c:pt>
                <c:pt idx="32">
                  <c:v>1.3335475033614135</c:v>
                </c:pt>
                <c:pt idx="33">
                  <c:v>1.3373408863888654</c:v>
                </c:pt>
                <c:pt idx="34">
                  <c:v>1.3410772163107609</c:v>
                </c:pt>
                <c:pt idx="35">
                  <c:v>1.3447589924843546</c:v>
                </c:pt>
                <c:pt idx="36">
                  <c:v>1.3483885369427298</c:v>
                </c:pt>
                <c:pt idx="37">
                  <c:v>1.3519680115234687</c:v>
                </c:pt>
                <c:pt idx="38">
                  <c:v>1.355499432926992</c:v>
                </c:pt>
                <c:pt idx="39">
                  <c:v>1.3589846860024433</c:v>
                </c:pt>
                <c:pt idx="40">
                  <c:v>1.3624255355096282</c:v>
                </c:pt>
                <c:pt idx="41">
                  <c:v>1.3658236365653627</c:v>
                </c:pt>
                <c:pt idx="42">
                  <c:v>1.3691805439497293</c:v>
                </c:pt>
                <c:pt idx="43">
                  <c:v>1.3724977204207334</c:v>
                </c:pt>
                <c:pt idx="44">
                  <c:v>1.3757765441635124</c:v>
                </c:pt>
                <c:pt idx="45">
                  <c:v>1.3790183154817186</c:v>
                </c:pt>
                <c:pt idx="46">
                  <c:v>1.3822242628232255</c:v>
                </c:pt>
                <c:pt idx="47">
                  <c:v>1.3853955482193501</c:v>
                </c:pt>
                <c:pt idx="48">
                  <c:v>1.3885332722058852</c:v>
                </c:pt>
                <c:pt idx="49">
                  <c:v>1.3916384782850366</c:v>
                </c:pt>
                <c:pt idx="50">
                  <c:v>1.3947121569795446</c:v>
                </c:pt>
                <c:pt idx="51">
                  <c:v>1.3977552495236496</c:v>
                </c:pt>
                <c:pt idx="52">
                  <c:v>1.4007686512298831</c:v>
                </c:pt>
                <c:pt idx="53">
                  <c:v>1.4037532145658191</c:v>
                </c:pt>
                <c:pt idx="54">
                  <c:v>1.406709751970753</c:v>
                </c:pt>
                <c:pt idx="55">
                  <c:v>1.409639038438681</c:v>
                </c:pt>
                <c:pt idx="56">
                  <c:v>1.412541813890853</c:v>
                </c:pt>
                <c:pt idx="57">
                  <c:v>1.415418785358477</c:v>
                </c:pt>
                <c:pt idx="58">
                  <c:v>1.4182706289938207</c:v>
                </c:pt>
                <c:pt idx="59">
                  <c:v>1.4210979919259157</c:v>
                </c:pt>
                <c:pt idx="60">
                  <c:v>1.423901493975293</c:v>
                </c:pt>
                <c:pt idx="61">
                  <c:v>1.4266817292406226</c:v>
                </c:pt>
                <c:pt idx="62">
                  <c:v>1.4294392675687617</c:v>
                </c:pt>
                <c:pt idx="63">
                  <c:v>1.4321746559185136</c:v>
                </c:pt>
                <c:pt idx="64">
                  <c:v>1.4348884196273435</c:v>
                </c:pt>
                <c:pt idx="65">
                  <c:v>1.4375810635893598</c:v>
                </c:pt>
                <c:pt idx="66">
                  <c:v>1.440253073352042</c:v>
                </c:pt>
                <c:pt idx="67">
                  <c:v>1.4429049161384611</c:v>
                </c:pt>
                <c:pt idx="68">
                  <c:v>1.4455370418010871</c:v>
                </c:pt>
                <c:pt idx="69">
                  <c:v>1.4481498837127016</c:v>
                </c:pt>
                <c:pt idx="70">
                  <c:v>1.4507438595994053</c:v>
                </c:pt>
                <c:pt idx="71">
                  <c:v>1.4533193723202584</c:v>
                </c:pt>
                <c:pt idx="72">
                  <c:v>1.4558768105976756</c:v>
                </c:pt>
                <c:pt idx="73">
                  <c:v>1.458416549702322</c:v>
                </c:pt>
                <c:pt idx="74">
                  <c:v>1.4609389520959264</c:v>
                </c:pt>
                <c:pt idx="75">
                  <c:v>1.4634443680351343</c:v>
                </c:pt>
                <c:pt idx="76">
                  <c:v>1.4659331361392436</c:v>
                </c:pt>
                <c:pt idx="77">
                  <c:v>1.4684055839244294</c:v>
                </c:pt>
                <c:pt idx="78">
                  <c:v>1.4708620283068492</c:v>
                </c:pt>
                <c:pt idx="79">
                  <c:v>1.4733027760768072</c:v>
                </c:pt>
                <c:pt idx="80">
                  <c:v>1.4757281243459952</c:v>
                </c:pt>
                <c:pt idx="81">
                  <c:v>1.4781383609696503</c:v>
                </c:pt>
                <c:pt idx="82">
                  <c:v>1.4805337649453292</c:v>
                </c:pt>
                <c:pt idx="83">
                  <c:v>1.4829146067898622</c:v>
                </c:pt>
                <c:pt idx="84">
                  <c:v>1.4852811488959308</c:v>
                </c:pt>
                <c:pt idx="85">
                  <c:v>1.4876336458695962</c:v>
                </c:pt>
                <c:pt idx="86">
                  <c:v>1.4899723448500097</c:v>
                </c:pt>
                <c:pt idx="87">
                  <c:v>1.4922974858124416</c:v>
                </c:pt>
                <c:pt idx="88">
                  <c:v>1.4946093018556785</c:v>
                </c:pt>
                <c:pt idx="89">
                  <c:v>1.4969080194747664</c:v>
                </c:pt>
                <c:pt idx="90">
                  <c:v>1.499193858819998</c:v>
                </c:pt>
                <c:pt idx="91">
                  <c:v>1.5014670339429881</c:v>
                </c:pt>
                <c:pt idx="92">
                  <c:v>1.503727753030611</c:v>
                </c:pt>
                <c:pt idx="93">
                  <c:v>1.5059762186275267</c:v>
                </c:pt>
                <c:pt idx="94">
                  <c:v>1.5082126278479659</c:v>
                </c:pt>
                <c:pt idx="95">
                  <c:v>1.5104371725774044</c:v>
                </c:pt>
                <c:pt idx="96">
                  <c:v>1.5126500396647076</c:v>
                </c:pt>
                <c:pt idx="97">
                  <c:v>1.5148514111052913</c:v>
                </c:pt>
                <c:pt idx="98">
                  <c:v>1.5170414642158068</c:v>
                </c:pt>
                <c:pt idx="99">
                  <c:v>1.5192203718008241</c:v>
                </c:pt>
                <c:pt idx="100">
                  <c:v>1.5213883023119572</c:v>
                </c:pt>
              </c:numCache>
            </c:numRef>
          </c:val>
          <c:smooth val="0"/>
        </c:ser>
        <c:dLbls>
          <c:showLegendKey val="0"/>
          <c:showVal val="0"/>
          <c:showCatName val="0"/>
          <c:showSerName val="0"/>
          <c:showPercent val="0"/>
          <c:showBubbleSize val="0"/>
        </c:dLbls>
        <c:marker val="1"/>
        <c:smooth val="0"/>
        <c:axId val="317991168"/>
        <c:axId val="317993344"/>
      </c:lineChart>
      <c:catAx>
        <c:axId val="31799116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7993344"/>
        <c:crosses val="autoZero"/>
        <c:auto val="1"/>
        <c:lblAlgn val="ctr"/>
        <c:lblOffset val="100"/>
        <c:tickLblSkip val="20"/>
        <c:tickMarkSkip val="10"/>
        <c:noMultiLvlLbl val="0"/>
      </c:catAx>
      <c:valAx>
        <c:axId val="317993344"/>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7991168"/>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Single'!$CC$5:$CC$105</c:f>
              <c:numCache>
                <c:formatCode>0.00</c:formatCode>
                <c:ptCount val="101"/>
                <c:pt idx="0">
                  <c:v>4.3614673598345016E-5</c:v>
                </c:pt>
                <c:pt idx="1">
                  <c:v>56.55713733014327</c:v>
                </c:pt>
                <c:pt idx="2">
                  <c:v>63.73133056904652</c:v>
                </c:pt>
                <c:pt idx="3">
                  <c:v>66.517148214567328</c:v>
                </c:pt>
                <c:pt idx="4">
                  <c:v>67.976604917489041</c:v>
                </c:pt>
                <c:pt idx="5">
                  <c:v>68.857991307234272</c:v>
                </c:pt>
                <c:pt idx="6">
                  <c:v>69.385921219549658</c:v>
                </c:pt>
                <c:pt idx="7">
                  <c:v>69.952287831372473</c:v>
                </c:pt>
                <c:pt idx="8">
                  <c:v>71.646092553849257</c:v>
                </c:pt>
                <c:pt idx="9">
                  <c:v>73.035785657829493</c:v>
                </c:pt>
                <c:pt idx="10">
                  <c:v>74.198042215515926</c:v>
                </c:pt>
                <c:pt idx="11">
                  <c:v>75.185523880301659</c:v>
                </c:pt>
                <c:pt idx="12">
                  <c:v>76.035646088537476</c:v>
                </c:pt>
                <c:pt idx="13">
                  <c:v>76.77575269795652</c:v>
                </c:pt>
                <c:pt idx="14">
                  <c:v>77.426309787402488</c:v>
                </c:pt>
                <c:pt idx="15">
                  <c:v>78.002952319634161</c:v>
                </c:pt>
                <c:pt idx="16">
                  <c:v>78.517838386445106</c:v>
                </c:pt>
                <c:pt idx="17">
                  <c:v>78.980570427094548</c:v>
                </c:pt>
                <c:pt idx="18">
                  <c:v>79.398837195653115</c:v>
                </c:pt>
                <c:pt idx="19">
                  <c:v>79.778870740570454</c:v>
                </c:pt>
                <c:pt idx="20">
                  <c:v>80.125777899270886</c:v>
                </c:pt>
                <c:pt idx="21">
                  <c:v>80.443784855947172</c:v>
                </c:pt>
                <c:pt idx="22">
                  <c:v>80.736420319999979</c:v>
                </c:pt>
                <c:pt idx="23">
                  <c:v>81.006654625137969</c:v>
                </c:pt>
                <c:pt idx="24">
                  <c:v>81.257006681103533</c:v>
                </c:pt>
                <c:pt idx="25">
                  <c:v>81.489627148673321</c:v>
                </c:pt>
                <c:pt idx="26">
                  <c:v>81.706363801895847</c:v>
                </c:pt>
                <c:pt idx="27">
                  <c:v>81.908813387490682</c:v>
                </c:pt>
                <c:pt idx="28">
                  <c:v>82.098363136882213</c:v>
                </c:pt>
                <c:pt idx="29">
                  <c:v>82.276224269050047</c:v>
                </c:pt>
                <c:pt idx="30">
                  <c:v>82.443459236144975</c:v>
                </c:pt>
                <c:pt idx="31">
                  <c:v>82.601004038180264</c:v>
                </c:pt>
                <c:pt idx="32">
                  <c:v>82.749686620565498</c:v>
                </c:pt>
                <c:pt idx="33">
                  <c:v>82.890242136328752</c:v>
                </c:pt>
                <c:pt idx="34">
                  <c:v>83.023325681079498</c:v>
                </c:pt>
                <c:pt idx="35">
                  <c:v>83.149522977329809</c:v>
                </c:pt>
                <c:pt idx="36">
                  <c:v>83.269359384530844</c:v>
                </c:pt>
                <c:pt idx="37">
                  <c:v>83.383307534080174</c:v>
                </c:pt>
                <c:pt idx="38">
                  <c:v>83.491793828811041</c:v>
                </c:pt>
                <c:pt idx="39">
                  <c:v>83.595203999843207</c:v>
                </c:pt>
                <c:pt idx="40">
                  <c:v>83.693887877034427</c:v>
                </c:pt>
                <c:pt idx="41">
                  <c:v>83.788163500292072</c:v>
                </c:pt>
                <c:pt idx="42">
                  <c:v>83.878320675945346</c:v>
                </c:pt>
                <c:pt idx="43">
                  <c:v>83.964624063925868</c:v>
                </c:pt>
                <c:pt idx="44">
                  <c:v>84.047315866652156</c:v>
                </c:pt>
                <c:pt idx="45">
                  <c:v>84.126618178502014</c:v>
                </c:pt>
                <c:pt idx="46">
                  <c:v>84.20273504498897</c:v>
                </c:pt>
                <c:pt idx="47">
                  <c:v>84.275854272781928</c:v>
                </c:pt>
                <c:pt idx="48">
                  <c:v>84.346149025160173</c:v>
                </c:pt>
                <c:pt idx="49">
                  <c:v>84.413779232100751</c:v>
                </c:pt>
                <c:pt idx="50">
                  <c:v>84.478892839730634</c:v>
                </c:pt>
                <c:pt idx="51">
                  <c:v>84.541626920165683</c:v>
                </c:pt>
                <c:pt idx="52">
                  <c:v>84.602108659664637</c:v>
                </c:pt>
                <c:pt idx="53">
                  <c:v>84.660456240436559</c:v>
                </c:pt>
                <c:pt idx="54">
                  <c:v>84.7167796292633</c:v>
                </c:pt>
                <c:pt idx="55">
                  <c:v>84.771181284265779</c:v>
                </c:pt>
                <c:pt idx="56">
                  <c:v>84.823756789591116</c:v>
                </c:pt>
                <c:pt idx="57">
                  <c:v>84.874595426482372</c:v>
                </c:pt>
                <c:pt idx="58">
                  <c:v>84.923780688073393</c:v>
                </c:pt>
                <c:pt idx="59">
                  <c:v>84.971390744295746</c:v>
                </c:pt>
                <c:pt idx="60">
                  <c:v>85.017498862467818</c:v>
                </c:pt>
                <c:pt idx="61">
                  <c:v>85.062173788434308</c:v>
                </c:pt>
                <c:pt idx="62">
                  <c:v>85.105480092521617</c:v>
                </c:pt>
                <c:pt idx="63">
                  <c:v>85.147478484053764</c:v>
                </c:pt>
                <c:pt idx="64">
                  <c:v>85.188226097723884</c:v>
                </c:pt>
                <c:pt idx="65">
                  <c:v>85.227776754726619</c:v>
                </c:pt>
                <c:pt idx="66">
                  <c:v>85.266181201217691</c:v>
                </c:pt>
                <c:pt idx="67">
                  <c:v>85.303487326372732</c:v>
                </c:pt>
                <c:pt idx="68">
                  <c:v>85.3397403620598</c:v>
                </c:pt>
                <c:pt idx="69">
                  <c:v>85.374983065915572</c:v>
                </c:pt>
                <c:pt idx="70">
                  <c:v>85.409255889418048</c:v>
                </c:pt>
                <c:pt idx="71">
                  <c:v>85.442597132375965</c:v>
                </c:pt>
                <c:pt idx="72">
                  <c:v>85.475043085103223</c:v>
                </c:pt>
                <c:pt idx="73">
                  <c:v>85.506628159412216</c:v>
                </c:pt>
                <c:pt idx="74">
                  <c:v>85.537385009442573</c:v>
                </c:pt>
                <c:pt idx="75">
                  <c:v>85.567344643236879</c:v>
                </c:pt>
                <c:pt idx="76">
                  <c:v>85.596536525882371</c:v>
                </c:pt>
                <c:pt idx="77">
                  <c:v>85.624988674955915</c:v>
                </c:pt>
                <c:pt idx="78">
                  <c:v>85.652727748936357</c:v>
                </c:pt>
                <c:pt idx="79">
                  <c:v>85.679779129183601</c:v>
                </c:pt>
                <c:pt idx="80">
                  <c:v>85.7061669960259</c:v>
                </c:pt>
                <c:pt idx="81">
                  <c:v>85.731914399445245</c:v>
                </c:pt>
                <c:pt idx="82">
                  <c:v>85.75704332480457</c:v>
                </c:pt>
                <c:pt idx="83">
                  <c:v>85.781574754019445</c:v>
                </c:pt>
                <c:pt idx="84">
                  <c:v>85.805528722539407</c:v>
                </c:pt>
                <c:pt idx="85">
                  <c:v>85.82892437247142</c:v>
                </c:pt>
                <c:pt idx="86">
                  <c:v>85.851780002147976</c:v>
                </c:pt>
                <c:pt idx="87">
                  <c:v>85.87411311241479</c:v>
                </c:pt>
                <c:pt idx="88">
                  <c:v>85.895940449890347</c:v>
                </c:pt>
                <c:pt idx="89">
                  <c:v>85.917278047425896</c:v>
                </c:pt>
                <c:pt idx="90">
                  <c:v>85.93814126197627</c:v>
                </c:pt>
                <c:pt idx="91">
                  <c:v>85.958544810073448</c:v>
                </c:pt>
                <c:pt idx="92">
                  <c:v>85.978502801078221</c:v>
                </c:pt>
                <c:pt idx="93">
                  <c:v>85.998028768371881</c:v>
                </c:pt>
                <c:pt idx="94">
                  <c:v>86.0171356986353</c:v>
                </c:pt>
                <c:pt idx="95">
                  <c:v>86.035836059351439</c:v>
                </c:pt>
                <c:pt idx="96">
                  <c:v>86.05414182465654</c:v>
                </c:pt>
                <c:pt idx="97">
                  <c:v>86.072064499654317</c:v>
                </c:pt>
                <c:pt idx="98">
                  <c:v>86.089615143299852</c:v>
                </c:pt>
                <c:pt idx="99">
                  <c:v>86.106804389949986</c:v>
                </c:pt>
                <c:pt idx="100">
                  <c:v>86.12364246967087</c:v>
                </c:pt>
              </c:numCache>
            </c:numRef>
          </c:val>
          <c:smooth val="0"/>
        </c:ser>
        <c:dLbls>
          <c:showLegendKey val="0"/>
          <c:showVal val="0"/>
          <c:showCatName val="0"/>
          <c:showSerName val="0"/>
          <c:showPercent val="0"/>
          <c:showBubbleSize val="0"/>
        </c:dLbls>
        <c:marker val="1"/>
        <c:smooth val="0"/>
        <c:axId val="318042112"/>
        <c:axId val="318044032"/>
      </c:lineChart>
      <c:lineChart>
        <c:grouping val="standard"/>
        <c:varyColors val="0"/>
        <c:ser>
          <c:idx val="2"/>
          <c:order val="1"/>
          <c:tx>
            <c:strRef>
              <c:f>'Calculations - Single'!$BP$3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Single'!$BS$5:$BS$105</c:f>
              <c:numCache>
                <c:formatCode>0.0</c:formatCode>
                <c:ptCount val="101"/>
                <c:pt idx="0">
                  <c:v>2.7299999999999997E-7</c:v>
                </c:pt>
                <c:pt idx="1">
                  <c:v>1.3650000000000002</c:v>
                </c:pt>
                <c:pt idx="2">
                  <c:v>2.7300000000000004</c:v>
                </c:pt>
                <c:pt idx="3">
                  <c:v>4.0949999999999998</c:v>
                </c:pt>
                <c:pt idx="4">
                  <c:v>5.4600000000000009</c:v>
                </c:pt>
                <c:pt idx="5">
                  <c:v>6.8250000000000002</c:v>
                </c:pt>
                <c:pt idx="6">
                  <c:v>8.19</c:v>
                </c:pt>
                <c:pt idx="7">
                  <c:v>9.5550000000000015</c:v>
                </c:pt>
                <c:pt idx="8">
                  <c:v>10.920000000000002</c:v>
                </c:pt>
                <c:pt idx="9">
                  <c:v>12.285</c:v>
                </c:pt>
                <c:pt idx="10">
                  <c:v>13.65</c:v>
                </c:pt>
                <c:pt idx="11">
                  <c:v>15.015000000000001</c:v>
                </c:pt>
                <c:pt idx="12">
                  <c:v>16.38</c:v>
                </c:pt>
                <c:pt idx="13">
                  <c:v>17.745000000000001</c:v>
                </c:pt>
                <c:pt idx="14">
                  <c:v>19.110000000000003</c:v>
                </c:pt>
                <c:pt idx="15">
                  <c:v>20.475000000000001</c:v>
                </c:pt>
                <c:pt idx="16">
                  <c:v>21.840000000000003</c:v>
                </c:pt>
                <c:pt idx="17">
                  <c:v>23.205000000000002</c:v>
                </c:pt>
                <c:pt idx="18">
                  <c:v>24.57</c:v>
                </c:pt>
                <c:pt idx="19">
                  <c:v>25.934999999999999</c:v>
                </c:pt>
                <c:pt idx="20">
                  <c:v>27.3</c:v>
                </c:pt>
                <c:pt idx="21">
                  <c:v>28.664999999999999</c:v>
                </c:pt>
                <c:pt idx="22">
                  <c:v>30.03</c:v>
                </c:pt>
                <c:pt idx="23">
                  <c:v>31.395000000000007</c:v>
                </c:pt>
                <c:pt idx="24">
                  <c:v>32.76</c:v>
                </c:pt>
                <c:pt idx="25">
                  <c:v>34.125</c:v>
                </c:pt>
                <c:pt idx="26">
                  <c:v>35.49</c:v>
                </c:pt>
                <c:pt idx="27">
                  <c:v>36.855000000000004</c:v>
                </c:pt>
                <c:pt idx="28">
                  <c:v>38.220000000000006</c:v>
                </c:pt>
                <c:pt idx="29">
                  <c:v>39.584999999999994</c:v>
                </c:pt>
                <c:pt idx="30">
                  <c:v>40.950000000000003</c:v>
                </c:pt>
                <c:pt idx="31">
                  <c:v>42.314999999999998</c:v>
                </c:pt>
                <c:pt idx="32">
                  <c:v>43.680000000000007</c:v>
                </c:pt>
                <c:pt idx="33">
                  <c:v>45.045000000000002</c:v>
                </c:pt>
                <c:pt idx="34">
                  <c:v>46.410000000000004</c:v>
                </c:pt>
                <c:pt idx="35">
                  <c:v>47.774999999999999</c:v>
                </c:pt>
                <c:pt idx="36">
                  <c:v>49.14</c:v>
                </c:pt>
                <c:pt idx="37">
                  <c:v>50.505000000000003</c:v>
                </c:pt>
                <c:pt idx="38">
                  <c:v>51.87</c:v>
                </c:pt>
                <c:pt idx="39">
                  <c:v>53.234999999999999</c:v>
                </c:pt>
                <c:pt idx="40">
                  <c:v>54.6</c:v>
                </c:pt>
                <c:pt idx="41">
                  <c:v>55.964999999999996</c:v>
                </c:pt>
                <c:pt idx="42">
                  <c:v>57.33</c:v>
                </c:pt>
                <c:pt idx="43">
                  <c:v>58.695000000000007</c:v>
                </c:pt>
                <c:pt idx="44">
                  <c:v>60.06</c:v>
                </c:pt>
                <c:pt idx="45">
                  <c:v>61.425000000000004</c:v>
                </c:pt>
                <c:pt idx="46">
                  <c:v>62.790000000000013</c:v>
                </c:pt>
                <c:pt idx="47">
                  <c:v>64.154999999999987</c:v>
                </c:pt>
                <c:pt idx="48">
                  <c:v>65.52</c:v>
                </c:pt>
                <c:pt idx="49">
                  <c:v>66.885000000000005</c:v>
                </c:pt>
                <c:pt idx="50">
                  <c:v>68.25</c:v>
                </c:pt>
                <c:pt idx="51">
                  <c:v>69.614999999999995</c:v>
                </c:pt>
                <c:pt idx="52">
                  <c:v>70.98</c:v>
                </c:pt>
                <c:pt idx="53">
                  <c:v>72.345000000000013</c:v>
                </c:pt>
                <c:pt idx="54">
                  <c:v>73.710000000000008</c:v>
                </c:pt>
                <c:pt idx="55">
                  <c:v>75.075000000000003</c:v>
                </c:pt>
                <c:pt idx="56">
                  <c:v>76.440000000000012</c:v>
                </c:pt>
                <c:pt idx="57">
                  <c:v>77.804999999999993</c:v>
                </c:pt>
                <c:pt idx="58">
                  <c:v>79.169999999999987</c:v>
                </c:pt>
                <c:pt idx="59">
                  <c:v>80.534999999999997</c:v>
                </c:pt>
                <c:pt idx="60">
                  <c:v>81.900000000000006</c:v>
                </c:pt>
                <c:pt idx="61">
                  <c:v>83.265000000000001</c:v>
                </c:pt>
                <c:pt idx="62">
                  <c:v>84.63</c:v>
                </c:pt>
                <c:pt idx="63">
                  <c:v>85.995000000000005</c:v>
                </c:pt>
                <c:pt idx="64">
                  <c:v>87.360000000000014</c:v>
                </c:pt>
                <c:pt idx="65">
                  <c:v>88.725000000000009</c:v>
                </c:pt>
                <c:pt idx="66">
                  <c:v>90.09</c:v>
                </c:pt>
                <c:pt idx="67">
                  <c:v>91.455000000000013</c:v>
                </c:pt>
                <c:pt idx="68">
                  <c:v>92.820000000000007</c:v>
                </c:pt>
                <c:pt idx="69">
                  <c:v>94.185000000000002</c:v>
                </c:pt>
                <c:pt idx="70">
                  <c:v>95.55</c:v>
                </c:pt>
                <c:pt idx="71">
                  <c:v>96.915000000000006</c:v>
                </c:pt>
                <c:pt idx="72">
                  <c:v>98.28</c:v>
                </c:pt>
                <c:pt idx="73">
                  <c:v>99.644999999999996</c:v>
                </c:pt>
                <c:pt idx="74">
                  <c:v>101.01</c:v>
                </c:pt>
                <c:pt idx="75">
                  <c:v>102.375</c:v>
                </c:pt>
                <c:pt idx="76">
                  <c:v>103.74</c:v>
                </c:pt>
                <c:pt idx="77">
                  <c:v>105.10499999999999</c:v>
                </c:pt>
                <c:pt idx="78">
                  <c:v>106.47</c:v>
                </c:pt>
                <c:pt idx="79">
                  <c:v>107.83499999999999</c:v>
                </c:pt>
                <c:pt idx="80">
                  <c:v>109.2</c:v>
                </c:pt>
                <c:pt idx="81">
                  <c:v>110.565</c:v>
                </c:pt>
                <c:pt idx="82">
                  <c:v>111.92999999999999</c:v>
                </c:pt>
                <c:pt idx="83">
                  <c:v>113.29499999999999</c:v>
                </c:pt>
                <c:pt idx="84">
                  <c:v>114.66</c:v>
                </c:pt>
                <c:pt idx="85">
                  <c:v>116.02500000000001</c:v>
                </c:pt>
                <c:pt idx="86">
                  <c:v>117.39000000000001</c:v>
                </c:pt>
                <c:pt idx="87">
                  <c:v>118.75500000000001</c:v>
                </c:pt>
                <c:pt idx="88">
                  <c:v>120.12</c:v>
                </c:pt>
                <c:pt idx="89">
                  <c:v>121.48500000000001</c:v>
                </c:pt>
                <c:pt idx="90">
                  <c:v>122.85000000000001</c:v>
                </c:pt>
                <c:pt idx="91">
                  <c:v>124.21500000000002</c:v>
                </c:pt>
                <c:pt idx="92">
                  <c:v>125.58000000000003</c:v>
                </c:pt>
                <c:pt idx="93">
                  <c:v>126.94500000000001</c:v>
                </c:pt>
                <c:pt idx="94">
                  <c:v>128.30999999999997</c:v>
                </c:pt>
                <c:pt idx="95">
                  <c:v>129.67499999999998</c:v>
                </c:pt>
                <c:pt idx="96">
                  <c:v>131.04</c:v>
                </c:pt>
                <c:pt idx="97">
                  <c:v>132.405</c:v>
                </c:pt>
                <c:pt idx="98">
                  <c:v>133.77000000000001</c:v>
                </c:pt>
                <c:pt idx="99">
                  <c:v>135.13499999999999</c:v>
                </c:pt>
                <c:pt idx="100">
                  <c:v>136.5</c:v>
                </c:pt>
              </c:numCache>
            </c:numRef>
          </c:val>
          <c:smooth val="0"/>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Single'!$BO$5:$BO$105</c:f>
              <c:numCache>
                <c:formatCode>0.0</c:formatCode>
                <c:ptCount val="101"/>
                <c:pt idx="0">
                  <c:v>8.3304328681357003</c:v>
                </c:pt>
                <c:pt idx="1">
                  <c:v>14.227525249697822</c:v>
                </c:pt>
                <c:pt idx="2">
                  <c:v>21.495243304006554</c:v>
                </c:pt>
                <c:pt idx="3">
                  <c:v>28.763154170598856</c:v>
                </c:pt>
                <c:pt idx="4">
                  <c:v>36.031257857147764</c:v>
                </c:pt>
                <c:pt idx="5">
                  <c:v>43.299554371326764</c:v>
                </c:pt>
                <c:pt idx="6">
                  <c:v>50.643752383860502</c:v>
                </c:pt>
                <c:pt idx="7">
                  <c:v>56.350045807930897</c:v>
                </c:pt>
                <c:pt idx="8">
                  <c:v>57.606101206752719</c:v>
                </c:pt>
                <c:pt idx="9">
                  <c:v>58.796258212573129</c:v>
                </c:pt>
                <c:pt idx="10">
                  <c:v>59.93182130396778</c:v>
                </c:pt>
                <c:pt idx="11">
                  <c:v>61.021297059958869</c:v>
                </c:pt>
                <c:pt idx="12">
                  <c:v>62.071273024641648</c:v>
                </c:pt>
                <c:pt idx="13">
                  <c:v>63.086971089025241</c:v>
                </c:pt>
                <c:pt idx="14">
                  <c:v>64.072611519910012</c:v>
                </c:pt>
                <c:pt idx="15">
                  <c:v>65.031661217841801</c:v>
                </c:pt>
                <c:pt idx="16">
                  <c:v>65.967008219500173</c:v>
                </c:pt>
                <c:pt idx="17">
                  <c:v>66.881087554657114</c:v>
                </c:pt>
                <c:pt idx="18">
                  <c:v>67.775974054611069</c:v>
                </c:pt>
                <c:pt idx="19">
                  <c:v>68.653452125678257</c:v>
                </c:pt>
                <c:pt idx="20">
                  <c:v>69.515069103810688</c:v>
                </c:pt>
                <c:pt idx="21">
                  <c:v>70.36217667291973</c:v>
                </c:pt>
                <c:pt idx="22">
                  <c:v>71.195963452208957</c:v>
                </c:pt>
                <c:pt idx="23">
                  <c:v>72.0174809466927</c:v>
                </c:pt>
                <c:pt idx="24">
                  <c:v>72.82766443901771</c:v>
                </c:pt>
                <c:pt idx="25">
                  <c:v>73.62734997590762</c:v>
                </c:pt>
                <c:pt idx="26">
                  <c:v>74.417288304401993</c:v>
                </c:pt>
                <c:pt idx="27">
                  <c:v>75.198156400410284</c:v>
                </c:pt>
                <c:pt idx="28">
                  <c:v>75.970567078190044</c:v>
                </c:pt>
                <c:pt idx="29">
                  <c:v>76.735077056456106</c:v>
                </c:pt>
                <c:pt idx="30">
                  <c:v>77.492193772978013</c:v>
                </c:pt>
                <c:pt idx="31">
                  <c:v>78.242381176535986</c:v>
                </c:pt>
                <c:pt idx="32">
                  <c:v>78.986064677291722</c:v>
                </c:pt>
                <c:pt idx="33">
                  <c:v>79.723635399974057</c:v>
                </c:pt>
                <c:pt idx="34">
                  <c:v>80.455453855922798</c:v>
                </c:pt>
                <c:pt idx="35">
                  <c:v>81.181853127909378</c:v>
                </c:pt>
                <c:pt idx="36">
                  <c:v>81.903141644252017</c:v>
                </c:pt>
                <c:pt idx="37">
                  <c:v>82.619605604958451</c:v>
                </c:pt>
                <c:pt idx="38">
                  <c:v>83.33151111162681</c:v>
                </c:pt>
                <c:pt idx="39">
                  <c:v>84.03910604400231</c:v>
                </c:pt>
                <c:pt idx="40">
                  <c:v>84.74262171894577</c:v>
                </c:pt>
                <c:pt idx="41">
                  <c:v>85.442274361766522</c:v>
                </c:pt>
                <c:pt idx="42">
                  <c:v>86.138266415127148</c:v>
                </c:pt>
                <c:pt idx="43">
                  <c:v>86.830787706827749</c:v>
                </c:pt>
                <c:pt idx="44">
                  <c:v>87.520016494558917</c:v>
                </c:pt>
                <c:pt idx="45">
                  <c:v>88.206120403038511</c:v>
                </c:pt>
                <c:pt idx="46">
                  <c:v>88.889257266721927</c:v>
                </c:pt>
                <c:pt idx="47">
                  <c:v>89.569575889409748</c:v>
                </c:pt>
                <c:pt idx="48">
                  <c:v>90.247216730510331</c:v>
                </c:pt>
                <c:pt idx="49">
                  <c:v>90.922312526391863</c:v>
                </c:pt>
                <c:pt idx="50">
                  <c:v>91.594988854138421</c:v>
                </c:pt>
                <c:pt idx="51">
                  <c:v>92.265364644072548</c:v>
                </c:pt>
                <c:pt idx="52">
                  <c:v>92.933552646594492</c:v>
                </c:pt>
                <c:pt idx="53">
                  <c:v>93.599659858192794</c:v>
                </c:pt>
                <c:pt idx="54">
                  <c:v>94.26378791088564</c:v>
                </c:pt>
                <c:pt idx="55">
                  <c:v>94.926033428836973</c:v>
                </c:pt>
                <c:pt idx="56">
                  <c:v>95.586488355448466</c:v>
                </c:pt>
                <c:pt idx="57">
                  <c:v>96.245240253845083</c:v>
                </c:pt>
                <c:pt idx="58">
                  <c:v>96.902372583336472</c:v>
                </c:pt>
                <c:pt idx="59">
                  <c:v>97.557964954147891</c:v>
                </c:pt>
                <c:pt idx="60">
                  <c:v>98.212093362459854</c:v>
                </c:pt>
                <c:pt idx="61">
                  <c:v>98.864830407574303</c:v>
                </c:pt>
                <c:pt idx="62">
                  <c:v>99.51624549283072</c:v>
                </c:pt>
                <c:pt idx="63">
                  <c:v>100.16640501172441</c:v>
                </c:pt>
                <c:pt idx="64">
                  <c:v>100.81537252052964</c:v>
                </c:pt>
                <c:pt idx="65">
                  <c:v>101.46320889859589</c:v>
                </c:pt>
                <c:pt idx="66">
                  <c:v>102.10997249736998</c:v>
                </c:pt>
                <c:pt idx="67">
                  <c:v>102.75571927909098</c:v>
                </c:pt>
                <c:pt idx="68">
                  <c:v>103.40050294601357</c:v>
                </c:pt>
                <c:pt idx="69">
                  <c:v>104.04437506093333</c:v>
                </c:pt>
                <c:pt idx="70">
                  <c:v>104.68738515971303</c:v>
                </c:pt>
                <c:pt idx="71">
                  <c:v>105.32958085644525</c:v>
                </c:pt>
                <c:pt idx="72">
                  <c:v>105.97100794182714</c:v>
                </c:pt>
                <c:pt idx="73">
                  <c:v>106.61171047527139</c:v>
                </c:pt>
                <c:pt idx="74">
                  <c:v>107.25173087122985</c:v>
                </c:pt>
                <c:pt idx="75">
                  <c:v>107.89110998016511</c:v>
                </c:pt>
                <c:pt idx="76">
                  <c:v>108.52988716456659</c:v>
                </c:pt>
                <c:pt idx="77">
                  <c:v>109.16810037037375</c:v>
                </c:pt>
                <c:pt idx="78">
                  <c:v>109.80578619413858</c:v>
                </c:pt>
                <c:pt idx="79">
                  <c:v>110.44297994623092</c:v>
                </c:pt>
                <c:pt idx="80">
                  <c:v>111.0797157103659</c:v>
                </c:pt>
                <c:pt idx="81">
                  <c:v>111.71602639970909</c:v>
                </c:pt>
                <c:pt idx="82">
                  <c:v>112.35194380979497</c:v>
                </c:pt>
                <c:pt idx="83">
                  <c:v>112.98749866847491</c:v>
                </c:pt>
                <c:pt idx="84">
                  <c:v>113.62272068309466</c:v>
                </c:pt>
                <c:pt idx="85">
                  <c:v>114.25763858508395</c:v>
                </c:pt>
                <c:pt idx="86">
                  <c:v>114.89228017212962</c:v>
                </c:pt>
                <c:pt idx="87">
                  <c:v>115.52667234808774</c:v>
                </c:pt>
                <c:pt idx="88">
                  <c:v>116.16084116077982</c:v>
                </c:pt>
                <c:pt idx="89">
                  <c:v>116.79481183780784</c:v>
                </c:pt>
                <c:pt idx="90">
                  <c:v>117.42860882051176</c:v>
                </c:pt>
                <c:pt idx="91">
                  <c:v>118.06225579618497</c:v>
                </c:pt>
                <c:pt idx="92">
                  <c:v>118.69577572865455</c:v>
                </c:pt>
                <c:pt idx="93">
                  <c:v>119.32919088732557</c:v>
                </c:pt>
                <c:pt idx="94">
                  <c:v>119.9625228747815</c:v>
                </c:pt>
                <c:pt idx="95">
                  <c:v>120.59579265302727</c:v>
                </c:pt>
                <c:pt idx="96">
                  <c:v>121.22902056845362</c:v>
                </c:pt>
                <c:pt idx="97">
                  <c:v>121.86222637559847</c:v>
                </c:pt>
                <c:pt idx="98">
                  <c:v>122.49542925977387</c:v>
                </c:pt>
                <c:pt idx="99">
                  <c:v>123.12864785862349</c:v>
                </c:pt>
                <c:pt idx="100">
                  <c:v>123.76190028267121</c:v>
                </c:pt>
              </c:numCache>
            </c:numRef>
          </c:val>
          <c:smooth val="0"/>
        </c:ser>
        <c:ser>
          <c:idx val="1"/>
          <c:order val="3"/>
          <c:tx>
            <c:strRef>
              <c:f>'Calculations - Single'!$BT$3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Single'!$BY$5:$BY$105</c:f>
              <c:numCache>
                <c:formatCode>0.0</c:formatCode>
                <c:ptCount val="101"/>
                <c:pt idx="0">
                  <c:v>3.1335935424345021</c:v>
                </c:pt>
                <c:pt idx="1">
                  <c:v>3.6105606562710162</c:v>
                </c:pt>
                <c:pt idx="2">
                  <c:v>4.229104900492338</c:v>
                </c:pt>
                <c:pt idx="3">
                  <c:v>4.8947253696802182</c:v>
                </c:pt>
                <c:pt idx="4">
                  <c:v>5.6181779868185782</c:v>
                </c:pt>
                <c:pt idx="5">
                  <c:v>6.4084785082824061</c:v>
                </c:pt>
                <c:pt idx="6">
                  <c:v>7.3484317877277956</c:v>
                </c:pt>
                <c:pt idx="7">
                  <c:v>9.2654710189903025</c:v>
                </c:pt>
                <c:pt idx="8">
                  <c:v>10.623804769877935</c:v>
                </c:pt>
                <c:pt idx="9">
                  <c:v>11.986900394110968</c:v>
                </c:pt>
                <c:pt idx="10">
                  <c:v>13.354292554466715</c:v>
                </c:pt>
                <c:pt idx="11">
                  <c:v>14.725602049517239</c:v>
                </c:pt>
                <c:pt idx="12">
                  <c:v>16.100513450183357</c:v>
                </c:pt>
                <c:pt idx="13">
                  <c:v>17.478759941619909</c:v>
                </c:pt>
                <c:pt idx="14">
                  <c:v>18.86011266652174</c:v>
                </c:pt>
                <c:pt idx="15">
                  <c:v>20.24437300372902</c:v>
                </c:pt>
                <c:pt idx="16">
                  <c:v>21.631366830129075</c:v>
                </c:pt>
                <c:pt idx="17">
                  <c:v>23.02094016339338</c:v>
                </c:pt>
                <c:pt idx="18">
                  <c:v>24.412955791072278</c:v>
                </c:pt>
                <c:pt idx="19">
                  <c:v>25.807290620082664</c:v>
                </c:pt>
                <c:pt idx="20">
                  <c:v>27.203833562655419</c:v>
                </c:pt>
                <c:pt idx="21">
                  <c:v>28.602483828673297</c:v>
                </c:pt>
                <c:pt idx="22">
                  <c:v>30.003149530589894</c:v>
                </c:pt>
                <c:pt idx="23">
                  <c:v>31.405746532073092</c:v>
                </c:pt>
                <c:pt idx="24">
                  <c:v>32.810197489030749</c:v>
                </c:pt>
                <c:pt idx="25">
                  <c:v>34.216431044187026</c:v>
                </c:pt>
                <c:pt idx="26">
                  <c:v>35.624381145460262</c:v>
                </c:pt>
                <c:pt idx="27">
                  <c:v>37.033986465082144</c:v>
                </c:pt>
                <c:pt idx="28">
                  <c:v>38.445189901389817</c:v>
                </c:pt>
                <c:pt idx="29">
                  <c:v>39.857938148993938</c:v>
                </c:pt>
                <c:pt idx="30">
                  <c:v>41.272181325906637</c:v>
                </c:pt>
                <c:pt idx="31">
                  <c:v>42.687872648436262</c:v>
                </c:pt>
                <c:pt idx="32">
                  <c:v>44.104968146388757</c:v>
                </c:pt>
                <c:pt idx="33">
                  <c:v>45.523426412477697</c:v>
                </c:pt>
                <c:pt idx="34">
                  <c:v>46.943208380923451</c:v>
                </c:pt>
                <c:pt idx="35">
                  <c:v>48.364277131085757</c:v>
                </c:pt>
                <c:pt idx="36">
                  <c:v>49.786597712666072</c:v>
                </c:pt>
                <c:pt idx="37">
                  <c:v>51.210136989579155</c:v>
                </c:pt>
                <c:pt idx="38">
                  <c:v>52.634863500050869</c:v>
                </c:pt>
                <c:pt idx="39">
                  <c:v>54.060747330874172</c:v>
                </c:pt>
                <c:pt idx="40">
                  <c:v>55.487760004066089</c:v>
                </c:pt>
                <c:pt idx="41">
                  <c:v>56.915874374423588</c:v>
                </c:pt>
                <c:pt idx="42">
                  <c:v>58.345064536692107</c:v>
                </c:pt>
                <c:pt idx="43">
                  <c:v>59.775305741237226</c:v>
                </c:pt>
                <c:pt idx="44">
                  <c:v>61.206574317262607</c:v>
                </c:pt>
                <c:pt idx="45">
                  <c:v>62.638847602743212</c:v>
                </c:pt>
                <c:pt idx="46">
                  <c:v>64.072103880350838</c:v>
                </c:pt>
                <c:pt idx="47">
                  <c:v>65.506322318741482</c:v>
                </c:pt>
                <c:pt idx="48">
                  <c:v>66.941482918651147</c:v>
                </c:pt>
                <c:pt idx="49">
                  <c:v>68.377566463315546</c:v>
                </c:pt>
                <c:pt idx="50">
                  <c:v>69.814554472785645</c:v>
                </c:pt>
                <c:pt idx="51">
                  <c:v>71.25242916176181</c:v>
                </c:pt>
                <c:pt idx="52">
                  <c:v>72.691173400612186</c:v>
                </c:pt>
                <c:pt idx="53">
                  <c:v>74.130770679278484</c:v>
                </c:pt>
                <c:pt idx="54">
                  <c:v>75.571205073805331</c:v>
                </c:pt>
                <c:pt idx="55">
                  <c:v>77.012461215257488</c:v>
                </c:pt>
                <c:pt idx="56">
                  <c:v>78.454524260814978</c:v>
                </c:pt>
                <c:pt idx="57">
                  <c:v>79.897379866856852</c:v>
                </c:pt>
                <c:pt idx="58">
                  <c:v>81.34101416386531</c:v>
                </c:pt>
                <c:pt idx="59">
                  <c:v>82.785413732997299</c:v>
                </c:pt>
                <c:pt idx="60">
                  <c:v>84.23056558418719</c:v>
                </c:pt>
                <c:pt idx="61">
                  <c:v>85.676457135656278</c:v>
                </c:pt>
                <c:pt idx="62">
                  <c:v>87.12307619471774</c:v>
                </c:pt>
                <c:pt idx="63">
                  <c:v>88.570410939775158</c:v>
                </c:pt>
                <c:pt idx="64">
                  <c:v>90.018449903423672</c:v>
                </c:pt>
                <c:pt idx="65">
                  <c:v>91.467181956568893</c:v>
                </c:pt>
                <c:pt idx="66">
                  <c:v>92.916596293488851</c:v>
                </c:pt>
                <c:pt idx="67">
                  <c:v>94.366682417769098</c:v>
                </c:pt>
                <c:pt idx="68">
                  <c:v>95.817430129047608</c:v>
                </c:pt>
                <c:pt idx="69">
                  <c:v>97.268829510512191</c:v>
                </c:pt>
                <c:pt idx="70">
                  <c:v>98.72087091709686</c:v>
                </c:pt>
                <c:pt idx="71">
                  <c:v>100.17354496432962</c:v>
                </c:pt>
                <c:pt idx="72">
                  <c:v>101.62684251778603</c:v>
                </c:pt>
                <c:pt idx="73">
                  <c:v>103.08075468310852</c:v>
                </c:pt>
                <c:pt idx="74">
                  <c:v>104.53527279655397</c:v>
                </c:pt>
                <c:pt idx="75">
                  <c:v>105.99038841603394</c:v>
                </c:pt>
                <c:pt idx="76">
                  <c:v>107.44609331261657</c:v>
                </c:pt>
                <c:pt idx="77">
                  <c:v>108.90237946246053</c:v>
                </c:pt>
                <c:pt idx="78">
                  <c:v>110.35923903915354</c:v>
                </c:pt>
                <c:pt idx="79">
                  <c:v>111.81666440642999</c:v>
                </c:pt>
                <c:pt idx="80">
                  <c:v>113.27464811124541</c:v>
                </c:pt>
                <c:pt idx="81">
                  <c:v>114.73318287718475</c:v>
                </c:pt>
                <c:pt idx="82">
                  <c:v>116.19226159818577</c:v>
                </c:pt>
                <c:pt idx="83">
                  <c:v>117.65187733255793</c:v>
                </c:pt>
                <c:pt idx="84">
                  <c:v>119.1120232972799</c:v>
                </c:pt>
                <c:pt idx="85">
                  <c:v>120.57269286255959</c:v>
                </c:pt>
                <c:pt idx="86">
                  <c:v>122.0338795466413</c:v>
                </c:pt>
                <c:pt idx="87">
                  <c:v>123.49557701084696</c:v>
                </c:pt>
                <c:pt idx="88">
                  <c:v>124.95777905483729</c:v>
                </c:pt>
                <c:pt idx="89">
                  <c:v>126.42047961208134</c:v>
                </c:pt>
                <c:pt idx="90">
                  <c:v>127.88367274552284</c:v>
                </c:pt>
                <c:pt idx="91">
                  <c:v>129.3473526434332</c:v>
                </c:pt>
                <c:pt idx="92">
                  <c:v>130.81151361544042</c:v>
                </c:pt>
                <c:pt idx="93">
                  <c:v>132.2761500887249</c:v>
                </c:pt>
                <c:pt idx="94">
                  <c:v>133.74125660437406</c:v>
                </c:pt>
                <c:pt idx="95">
                  <c:v>135.20682781388678</c:v>
                </c:pt>
                <c:pt idx="96">
                  <c:v>136.67285847581988</c:v>
                </c:pt>
                <c:pt idx="97">
                  <c:v>138.13934345257033</c:v>
                </c:pt>
                <c:pt idx="98">
                  <c:v>139.60627770728581</c:v>
                </c:pt>
                <c:pt idx="99">
                  <c:v>141.073656300897</c:v>
                </c:pt>
                <c:pt idx="100">
                  <c:v>142.54147438926623</c:v>
                </c:pt>
              </c:numCache>
            </c:numRef>
          </c:val>
          <c:smooth val="0"/>
        </c:ser>
        <c:dLbls>
          <c:showLegendKey val="0"/>
          <c:showVal val="0"/>
          <c:showCatName val="0"/>
          <c:showSerName val="0"/>
          <c:showPercent val="0"/>
          <c:showBubbleSize val="0"/>
        </c:dLbls>
        <c:marker val="1"/>
        <c:smooth val="0"/>
        <c:axId val="318265216"/>
        <c:axId val="318263296"/>
      </c:lineChart>
      <c:catAx>
        <c:axId val="318042112"/>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318044032"/>
        <c:crosses val="autoZero"/>
        <c:auto val="1"/>
        <c:lblAlgn val="ctr"/>
        <c:lblOffset val="100"/>
        <c:tickLblSkip val="20"/>
        <c:tickMarkSkip val="20"/>
        <c:noMultiLvlLbl val="0"/>
      </c:catAx>
      <c:valAx>
        <c:axId val="318044032"/>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18042112"/>
        <c:crossesAt val="0"/>
        <c:crossBetween val="between"/>
        <c:majorUnit val="5"/>
        <c:minorUnit val="2.5"/>
      </c:valAx>
      <c:valAx>
        <c:axId val="318263296"/>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318265216"/>
        <c:crosses val="max"/>
        <c:crossBetween val="between"/>
      </c:valAx>
      <c:catAx>
        <c:axId val="318265216"/>
        <c:scaling>
          <c:orientation val="minMax"/>
        </c:scaling>
        <c:delete val="1"/>
        <c:axPos val="b"/>
        <c:numFmt formatCode="General" sourceLinked="1"/>
        <c:majorTickMark val="out"/>
        <c:minorTickMark val="none"/>
        <c:tickLblPos val="nextTo"/>
        <c:crossAx val="318263296"/>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3.9892589721079133E-2"/>
          <c:w val="0.86047278973849184"/>
          <c:h val="0.83734080468357386"/>
        </c:manualLayout>
      </c:layout>
      <c:lineChart>
        <c:grouping val="standard"/>
        <c:varyColors val="0"/>
        <c:ser>
          <c:idx val="1"/>
          <c:order val="0"/>
          <c:tx>
            <c:v>VIN-min</c:v>
          </c:tx>
          <c:spPr>
            <a:ln>
              <a:solidFill>
                <a:srgbClr val="00B050"/>
              </a:solidFill>
              <a:prstDash val="sys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Single'!$AN$110:$AN$210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349.96461263176218</c:v>
                </c:pt>
                <c:pt idx="70">
                  <c:v>344.96511816559399</c:v>
                </c:pt>
                <c:pt idx="71">
                  <c:v>340.10645452945897</c:v>
                </c:pt>
                <c:pt idx="72">
                  <c:v>335.38275377210539</c:v>
                </c:pt>
                <c:pt idx="73">
                  <c:v>330.78846947385733</c:v>
                </c:pt>
                <c:pt idx="74">
                  <c:v>326.3183550215079</c:v>
                </c:pt>
                <c:pt idx="75">
                  <c:v>321.96744362122115</c:v>
                </c:pt>
                <c:pt idx="76">
                  <c:v>317.73102988936301</c:v>
                </c:pt>
                <c:pt idx="77">
                  <c:v>313.60465287781278</c:v>
                </c:pt>
                <c:pt idx="78">
                  <c:v>309.5840804050203</c:v>
                </c:pt>
                <c:pt idx="79">
                  <c:v>305.66529457710868</c:v>
                </c:pt>
                <c:pt idx="80">
                  <c:v>301.84447839489479</c:v>
                </c:pt>
                <c:pt idx="81">
                  <c:v>298.11800335298256</c:v>
                </c:pt>
                <c:pt idx="82">
                  <c:v>294.48241794623891</c:v>
                </c:pt>
                <c:pt idx="83">
                  <c:v>290.93443700712754</c:v>
                </c:pt>
                <c:pt idx="84">
                  <c:v>287.47093180466175</c:v>
                </c:pt>
                <c:pt idx="85">
                  <c:v>284.08892084225403</c:v>
                </c:pt>
                <c:pt idx="86">
                  <c:v>280.78556129757663</c:v>
                </c:pt>
                <c:pt idx="87">
                  <c:v>277.55814105277688</c:v>
                </c:pt>
                <c:pt idx="88">
                  <c:v>274.40407126808617</c:v>
                </c:pt>
                <c:pt idx="89">
                  <c:v>271.32087945608527</c:v>
                </c:pt>
                <c:pt idx="90">
                  <c:v>268.30620301768425</c:v>
                </c:pt>
                <c:pt idx="91">
                  <c:v>265.35778320430313</c:v>
                </c:pt>
                <c:pt idx="92">
                  <c:v>262.47345947382155</c:v>
                </c:pt>
                <c:pt idx="93">
                  <c:v>259.65116421066222</c:v>
                </c:pt>
                <c:pt idx="94">
                  <c:v>256.88891778288922</c:v>
                </c:pt>
                <c:pt idx="95">
                  <c:v>254.18482391149038</c:v>
                </c:pt>
                <c:pt idx="96">
                  <c:v>251.53706532907904</c:v>
                </c:pt>
                <c:pt idx="97">
                  <c:v>248.94389970712982</c:v>
                </c:pt>
                <c:pt idx="98">
                  <c:v>246.40365583256718</c:v>
                </c:pt>
                <c:pt idx="99">
                  <c:v>243.91473001607662</c:v>
                </c:pt>
                <c:pt idx="100">
                  <c:v>241.47558271591589</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Single'!$AN$5:$AN$105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2"/>
          <c:order val="2"/>
          <c:tx>
            <c:v>VIN-max</c:v>
          </c:tx>
          <c:spPr>
            <a:ln>
              <a:solidFill>
                <a:srgbClr val="FF0000"/>
              </a:solidFill>
              <a:prstDash val="solid"/>
            </a:ln>
          </c:spPr>
          <c:marker>
            <c:symbol val="none"/>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Single'!$AN$216:$AN$316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Single'!$CF$110:$CF$210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Single'!$CF$5:$CF$105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Single'!$CF$216:$CF$316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18334464"/>
        <c:axId val="318341120"/>
      </c:lineChart>
      <c:catAx>
        <c:axId val="31833446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341120"/>
        <c:crosses val="autoZero"/>
        <c:auto val="1"/>
        <c:lblAlgn val="ctr"/>
        <c:lblOffset val="100"/>
        <c:tickLblSkip val="20"/>
        <c:tickMarkSkip val="10"/>
        <c:noMultiLvlLbl val="0"/>
      </c:catAx>
      <c:valAx>
        <c:axId val="318341120"/>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334464"/>
        <c:crossesAt val="0"/>
        <c:crossBetween val="between"/>
        <c:majorUnit val="50"/>
        <c:minorUnit val="25"/>
      </c:valAx>
      <c:spPr>
        <a:solidFill>
          <a:srgbClr val="FFFFFF"/>
        </a:solidFill>
        <a:ln w="25400">
          <a:noFill/>
        </a:ln>
      </c:spPr>
    </c:plotArea>
    <c:legend>
      <c:legendPos val="l"/>
      <c:legendEntry>
        <c:idx val="3"/>
        <c:delete val="1"/>
      </c:legendEntry>
      <c:legendEntry>
        <c:idx val="4"/>
        <c:delete val="1"/>
      </c:legendEntry>
      <c:legendEntry>
        <c:idx val="5"/>
        <c:delete val="1"/>
      </c:legendEntry>
      <c:layout>
        <c:manualLayout>
          <c:xMode val="edge"/>
          <c:yMode val="edge"/>
          <c:x val="0.14682981090100111"/>
          <c:y val="0.67041751876868938"/>
          <c:w val="0.13753070632578046"/>
          <c:h val="0.1749683688186130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9"/>
          <c:tx>
            <c:v>VIN-min</c:v>
          </c:tx>
          <c:spPr>
            <a:ln>
              <a:solidFill>
                <a:srgbClr val="00B050"/>
              </a:solidFill>
              <a:prstDash val="sys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344.96511816559399</c:v>
                </c:pt>
                <c:pt idx="36">
                  <c:v>335.38275377210539</c:v>
                </c:pt>
                <c:pt idx="37">
                  <c:v>326.3183550215079</c:v>
                </c:pt>
                <c:pt idx="38">
                  <c:v>317.73102988936301</c:v>
                </c:pt>
                <c:pt idx="39">
                  <c:v>309.5840804050203</c:v>
                </c:pt>
                <c:pt idx="40">
                  <c:v>301.84447839489479</c:v>
                </c:pt>
                <c:pt idx="41">
                  <c:v>294.48241794623891</c:v>
                </c:pt>
                <c:pt idx="42">
                  <c:v>287.47093180466175</c:v>
                </c:pt>
                <c:pt idx="43">
                  <c:v>280.78556129757663</c:v>
                </c:pt>
                <c:pt idx="44">
                  <c:v>274.40407126808617</c:v>
                </c:pt>
                <c:pt idx="45">
                  <c:v>268.30620301768425</c:v>
                </c:pt>
                <c:pt idx="46">
                  <c:v>262.47345947382155</c:v>
                </c:pt>
                <c:pt idx="47">
                  <c:v>256.88891778288922</c:v>
                </c:pt>
                <c:pt idx="48">
                  <c:v>251.53706532907904</c:v>
                </c:pt>
                <c:pt idx="49">
                  <c:v>246.40365583256718</c:v>
                </c:pt>
                <c:pt idx="50">
                  <c:v>241.47558271591589</c:v>
                </c:pt>
                <c:pt idx="51">
                  <c:v>236.74076736854502</c:v>
                </c:pt>
                <c:pt idx="52">
                  <c:v>232.52387096505447</c:v>
                </c:pt>
                <c:pt idx="53">
                  <c:v>230.46431097884167</c:v>
                </c:pt>
                <c:pt idx="54">
                  <c:v>228.44459150191634</c:v>
                </c:pt>
                <c:pt idx="55">
                  <c:v>226.46356758506289</c:v>
                </c:pt>
                <c:pt idx="56">
                  <c:v>224.52013773467138</c:v>
                </c:pt>
                <c:pt idx="57">
                  <c:v>222.61324187046333</c:v>
                </c:pt>
                <c:pt idx="58">
                  <c:v>220.7418593973216</c:v>
                </c:pt>
                <c:pt idx="59">
                  <c:v>218.90500738385526</c:v>
                </c:pt>
                <c:pt idx="60">
                  <c:v>217.1017388408693</c:v>
                </c:pt>
                <c:pt idx="61">
                  <c:v>215.33114109340357</c:v>
                </c:pt>
                <c:pt idx="62">
                  <c:v>213.59233424046207</c:v>
                </c:pt>
                <c:pt idx="63">
                  <c:v>211.88446969696966</c:v>
                </c:pt>
                <c:pt idx="64">
                  <c:v>210.20672881288067</c:v>
                </c:pt>
                <c:pt idx="65">
                  <c:v>208.55832156471811</c:v>
                </c:pt>
                <c:pt idx="66">
                  <c:v>206.93848531514988</c:v>
                </c:pt>
                <c:pt idx="67">
                  <c:v>205.34648363650879</c:v>
                </c:pt>
                <c:pt idx="68">
                  <c:v>203.7816051944454</c:v>
                </c:pt>
                <c:pt idx="69">
                  <c:v>202.2431626881565</c:v>
                </c:pt>
                <c:pt idx="70">
                  <c:v>200.73049184387284</c:v>
                </c:pt>
                <c:pt idx="71">
                  <c:v>199.24295045850963</c:v>
                </c:pt>
                <c:pt idx="72">
                  <c:v>197.77991749058657</c:v>
                </c:pt>
                <c:pt idx="73">
                  <c:v>196.34079219571444</c:v>
                </c:pt>
                <c:pt idx="74">
                  <c:v>194.9249933041196</c:v>
                </c:pt>
                <c:pt idx="75">
                  <c:v>193.5319582378406</c:v>
                </c:pt>
                <c:pt idx="76">
                  <c:v>192.16114236538277</c:v>
                </c:pt>
                <c:pt idx="77">
                  <c:v>190.81201829175583</c:v>
                </c:pt>
                <c:pt idx="78">
                  <c:v>189.48407518194995</c:v>
                </c:pt>
                <c:pt idx="79">
                  <c:v>188.17681811602782</c:v>
                </c:pt>
                <c:pt idx="80">
                  <c:v>186.88976747412184</c:v>
                </c:pt>
                <c:pt idx="81">
                  <c:v>185.62245834973106</c:v>
                </c:pt>
                <c:pt idx="82">
                  <c:v>184.37443998981036</c:v>
                </c:pt>
                <c:pt idx="83">
                  <c:v>183.14527526023474</c:v>
                </c:pt>
                <c:pt idx="84">
                  <c:v>181.93454013530811</c:v>
                </c:pt>
                <c:pt idx="85">
                  <c:v>180.74182321006276</c:v>
                </c:pt>
                <c:pt idx="86">
                  <c:v>179.56672523417251</c:v>
                </c:pt>
                <c:pt idx="87">
                  <c:v>178.40885866636938</c:v>
                </c:pt>
                <c:pt idx="88">
                  <c:v>177.26784724831944</c:v>
                </c:pt>
                <c:pt idx="89">
                  <c:v>176.1433255969738</c:v>
                </c:pt>
                <c:pt idx="90">
                  <c:v>175.03493881446636</c:v>
                </c:pt>
                <c:pt idx="91">
                  <c:v>173.94234211468404</c:v>
                </c:pt>
                <c:pt idx="92">
                  <c:v>172.8652004656835</c:v>
                </c:pt>
                <c:pt idx="93">
                  <c:v>171.80318824717591</c:v>
                </c:pt>
                <c:pt idx="94">
                  <c:v>170.75598892234373</c:v>
                </c:pt>
                <c:pt idx="95">
                  <c:v>169.72329472329471</c:v>
                </c:pt>
                <c:pt idx="96">
                  <c:v>168.70480634949686</c:v>
                </c:pt>
                <c:pt idx="97">
                  <c:v>167.70023267857323</c:v>
                </c:pt>
                <c:pt idx="98">
                  <c:v>166.70929048887015</c:v>
                </c:pt>
                <c:pt idx="99">
                  <c:v>165.73170419324268</c:v>
                </c:pt>
                <c:pt idx="100">
                  <c:v>164.7672055835321</c:v>
                </c:pt>
              </c:numCache>
            </c:numRef>
          </c:val>
          <c:smooth val="0"/>
        </c:ser>
        <c:ser>
          <c:idx val="10"/>
          <c:order val="10"/>
          <c:tx>
            <c:v>VIN-nom</c:v>
          </c:tx>
          <c:spPr>
            <a:ln w="28575">
              <a:solidFill>
                <a:srgbClr val="0000FF"/>
              </a:solidFill>
              <a:prstDash val="lg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348.99828839792701</c:v>
                </c:pt>
                <c:pt idx="54">
                  <c:v>342.53535713129872</c:v>
                </c:pt>
                <c:pt idx="55">
                  <c:v>336.30744154709339</c:v>
                </c:pt>
                <c:pt idx="56">
                  <c:v>330.30195151946663</c:v>
                </c:pt>
                <c:pt idx="57">
                  <c:v>324.50718044017782</c:v>
                </c:pt>
                <c:pt idx="58">
                  <c:v>318.91222905327822</c:v>
                </c:pt>
                <c:pt idx="59">
                  <c:v>313.50693703542606</c:v>
                </c:pt>
                <c:pt idx="60">
                  <c:v>308.28182141816887</c:v>
                </c:pt>
                <c:pt idx="61">
                  <c:v>303.22802106705143</c:v>
                </c:pt>
                <c:pt idx="62">
                  <c:v>298.33724653371183</c:v>
                </c:pt>
                <c:pt idx="63">
                  <c:v>293.60173468397034</c:v>
                </c:pt>
                <c:pt idx="64">
                  <c:v>289.01420757953338</c:v>
                </c:pt>
                <c:pt idx="65">
                  <c:v>286.08661939243859</c:v>
                </c:pt>
                <c:pt idx="66">
                  <c:v>283.56953226962048</c:v>
                </c:pt>
                <c:pt idx="67">
                  <c:v>281.09998120202027</c:v>
                </c:pt>
                <c:pt idx="68">
                  <c:v>278.67663218410917</c:v>
                </c:pt>
                <c:pt idx="69">
                  <c:v>276.29820066273874</c:v>
                </c:pt>
                <c:pt idx="70">
                  <c:v>273.96344926664659</c:v>
                </c:pt>
                <c:pt idx="71">
                  <c:v>271.67118565991728</c:v>
                </c:pt>
                <c:pt idx="72">
                  <c:v>269.42026051157455</c:v>
                </c:pt>
                <c:pt idx="73">
                  <c:v>267.20956557404082</c:v>
                </c:pt>
                <c:pt idx="74">
                  <c:v>265.03803186371323</c:v>
                </c:pt>
                <c:pt idx="75">
                  <c:v>262.90462793738152</c:v>
                </c:pt>
                <c:pt idx="76">
                  <c:v>260.80835825864784</c:v>
                </c:pt>
                <c:pt idx="77">
                  <c:v>258.74826164891425</c:v>
                </c:pt>
                <c:pt idx="78">
                  <c:v>256.72340981787232</c:v>
                </c:pt>
                <c:pt idx="79">
                  <c:v>254.73290596877595</c:v>
                </c:pt>
                <c:pt idx="80">
                  <c:v>252.77588347409463</c:v>
                </c:pt>
                <c:pt idx="81">
                  <c:v>250.85150461743737</c:v>
                </c:pt>
                <c:pt idx="82">
                  <c:v>248.95895939791177</c:v>
                </c:pt>
                <c:pt idx="83">
                  <c:v>247.09746439333176</c:v>
                </c:pt>
                <c:pt idx="84">
                  <c:v>245.26626167892286</c:v>
                </c:pt>
                <c:pt idx="85">
                  <c:v>243.46461779838953</c:v>
                </c:pt>
                <c:pt idx="86">
                  <c:v>241.69182278440974</c:v>
                </c:pt>
                <c:pt idx="87">
                  <c:v>239.94718922580938</c:v>
                </c:pt>
                <c:pt idx="88">
                  <c:v>238.2300513788403</c:v>
                </c:pt>
                <c:pt idx="89">
                  <c:v>236.53976432014971</c:v>
                </c:pt>
                <c:pt idx="90">
                  <c:v>234.87570313917618</c:v>
                </c:pt>
                <c:pt idx="91">
                  <c:v>233.23726216784721</c:v>
                </c:pt>
                <c:pt idx="92">
                  <c:v>231.62385424558491</c:v>
                </c:pt>
                <c:pt idx="93">
                  <c:v>230.03491001774458</c:v>
                </c:pt>
                <c:pt idx="94">
                  <c:v>228.46987726572661</c:v>
                </c:pt>
                <c:pt idx="95">
                  <c:v>226.92822026710448</c:v>
                </c:pt>
                <c:pt idx="96">
                  <c:v>225.40941918421316</c:v>
                </c:pt>
                <c:pt idx="97">
                  <c:v>223.91296947972998</c:v>
                </c:pt>
                <c:pt idx="98">
                  <c:v>222.43838135786913</c:v>
                </c:pt>
                <c:pt idx="99">
                  <c:v>220.98517922988981</c:v>
                </c:pt>
                <c:pt idx="100">
                  <c:v>219.55290120269126</c:v>
                </c:pt>
              </c:numCache>
            </c:numRef>
          </c:val>
          <c:smooth val="0"/>
        </c:ser>
        <c:ser>
          <c:idx val="11"/>
          <c:order val="11"/>
          <c:tx>
            <c:v>VIN-max</c:v>
          </c:tx>
          <c:spPr>
            <a:ln>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347.09587123862843</c:v>
                </c:pt>
                <c:pt idx="85">
                  <c:v>344.13392057789918</c:v>
                </c:pt>
                <c:pt idx="86">
                  <c:v>341.2255169531482</c:v>
                </c:pt>
                <c:pt idx="87">
                  <c:v>338.36922131301588</c:v>
                </c:pt>
                <c:pt idx="88">
                  <c:v>335.56364571341749</c:v>
                </c:pt>
                <c:pt idx="89">
                  <c:v>332.80745106869472</c:v>
                </c:pt>
                <c:pt idx="90">
                  <c:v>330.09934502047616</c:v>
                </c:pt>
                <c:pt idx="91">
                  <c:v>327.43807991712441</c:v>
                </c:pt>
                <c:pt idx="92">
                  <c:v>324.82245089712728</c:v>
                </c:pt>
                <c:pt idx="93">
                  <c:v>322.25129407025224</c:v>
                </c:pt>
                <c:pt idx="94">
                  <c:v>319.72348479069257</c:v>
                </c:pt>
                <c:pt idx="95">
                  <c:v>317.23793601682416</c:v>
                </c:pt>
                <c:pt idx="96">
                  <c:v>314.79359675254528</c:v>
                </c:pt>
                <c:pt idx="97">
                  <c:v>312.3894505655058</c:v>
                </c:pt>
                <c:pt idx="98">
                  <c:v>310.02451417783584</c:v>
                </c:pt>
                <c:pt idx="99">
                  <c:v>307.69783612526874</c:v>
                </c:pt>
                <c:pt idx="100">
                  <c:v>305.4084954808182</c:v>
                </c:pt>
              </c:numCache>
            </c:numRef>
          </c:val>
          <c:smooth val="0"/>
        </c:ser>
        <c:ser>
          <c:idx val="12"/>
          <c:order val="12"/>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232.52387096505447</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3"/>
          <c:order val="13"/>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4"/>
          <c:order val="14"/>
          <c:spPr>
            <a:ln>
              <a:noFill/>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350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5"/>
          <c:order val="15"/>
          <c:tx>
            <c:v>D1</c:v>
          </c:tx>
          <c:spPr>
            <a:ln w="25400">
              <a:solidFill>
                <a:srgbClr val="0000FF"/>
              </a:solidFill>
              <a:prstDash val="lgDash"/>
            </a:ln>
          </c:spPr>
          <c:marker>
            <c:symbol val="none"/>
          </c:marker>
          <c:val>
            <c:numRef>
              <c:f>'Calculations - Dual'!$AU$5:$AU$105</c:f>
              <c:numCache>
                <c:formatCode>0.000</c:formatCode>
                <c:ptCount val="101"/>
                <c:pt idx="0">
                  <c:v>2.7499999999999998E-3</c:v>
                </c:pt>
                <c:pt idx="1">
                  <c:v>1.4583333333333334E-2</c:v>
                </c:pt>
                <c:pt idx="2">
                  <c:v>2.9166666666666667E-2</c:v>
                </c:pt>
                <c:pt idx="3">
                  <c:v>4.3750000000000011E-2</c:v>
                </c:pt>
                <c:pt idx="4">
                  <c:v>6.2675119424196249E-2</c:v>
                </c:pt>
                <c:pt idx="5">
                  <c:v>8.7591142206512679E-2</c:v>
                </c:pt>
                <c:pt idx="6">
                  <c:v>0.11514154661795958</c:v>
                </c:pt>
                <c:pt idx="7">
                  <c:v>0.13680379299485004</c:v>
                </c:pt>
                <c:pt idx="8">
                  <c:v>0.14624940645653536</c:v>
                </c:pt>
                <c:pt idx="9">
                  <c:v>0.15512092057488572</c:v>
                </c:pt>
                <c:pt idx="10">
                  <c:v>0.16351180725290487</c:v>
                </c:pt>
                <c:pt idx="11">
                  <c:v>0.17149263022713895</c:v>
                </c:pt>
                <c:pt idx="12">
                  <c:v>0.17911821050170565</c:v>
                </c:pt>
                <c:pt idx="13">
                  <c:v>0.18643214434330913</c:v>
                </c:pt>
                <c:pt idx="14">
                  <c:v>0.19346977943739829</c:v>
                </c:pt>
                <c:pt idx="15">
                  <c:v>0.20026024734496528</c:v>
                </c:pt>
                <c:pt idx="16">
                  <c:v>0.20682789409984759</c:v>
                </c:pt>
                <c:pt idx="17">
                  <c:v>0.21319331342443387</c:v>
                </c:pt>
                <c:pt idx="18">
                  <c:v>0.21937410968480303</c:v>
                </c:pt>
                <c:pt idx="19">
                  <c:v>0.22538547227164202</c:v>
                </c:pt>
                <c:pt idx="20">
                  <c:v>0.23124061542519345</c:v>
                </c:pt>
                <c:pt idx="21">
                  <c:v>0.23695112013521547</c:v>
                </c:pt>
                <c:pt idx="22">
                  <c:v>0.24252720351425411</c:v>
                </c:pt>
                <c:pt idx="23">
                  <c:v>0.24797793360610851</c:v>
                </c:pt>
                <c:pt idx="24">
                  <c:v>0.25331140255951101</c:v>
                </c:pt>
                <c:pt idx="25">
                  <c:v>0.25853486762480954</c:v>
                </c:pt>
                <c:pt idx="26">
                  <c:v>0.26365486699260621</c:v>
                </c:pt>
                <c:pt idx="27">
                  <c:v>0.26867731575255843</c:v>
                </c:pt>
                <c:pt idx="28">
                  <c:v>0.27360758598970009</c:v>
                </c:pt>
                <c:pt idx="29">
                  <c:v>0.2784505741100603</c:v>
                </c:pt>
                <c:pt idx="30">
                  <c:v>0.28321075779944049</c:v>
                </c:pt>
                <c:pt idx="31">
                  <c:v>0.28789224450207834</c:v>
                </c:pt>
                <c:pt idx="32">
                  <c:v>0.29249881291307073</c:v>
                </c:pt>
                <c:pt idx="33">
                  <c:v>0.29703394867702693</c:v>
                </c:pt>
                <c:pt idx="34">
                  <c:v>0.3015008752520924</c:v>
                </c:pt>
                <c:pt idx="35">
                  <c:v>0.30590258071629417</c:v>
                </c:pt>
                <c:pt idx="36">
                  <c:v>0.31024184114977144</c:v>
                </c:pt>
                <c:pt idx="37">
                  <c:v>0.31452124111276036</c:v>
                </c:pt>
                <c:pt idx="38">
                  <c:v>0.31874319164842124</c:v>
                </c:pt>
                <c:pt idx="39">
                  <c:v>0.32290994616662599</c:v>
                </c:pt>
                <c:pt idx="40">
                  <c:v>0.32702361450580975</c:v>
                </c:pt>
                <c:pt idx="41">
                  <c:v>0.3310861754219821</c:v>
                </c:pt>
                <c:pt idx="42">
                  <c:v>0.33509948771471831</c:v>
                </c:pt>
                <c:pt idx="43">
                  <c:v>0.3390653001676488</c:v>
                </c:pt>
                <c:pt idx="44">
                  <c:v>0.34298526045427791</c:v>
                </c:pt>
                <c:pt idx="45">
                  <c:v>0.3468609231377901</c:v>
                </c:pt>
                <c:pt idx="46">
                  <c:v>0.35069375687501353</c:v>
                </c:pt>
                <c:pt idx="47">
                  <c:v>0.35448515091922</c:v>
                </c:pt>
                <c:pt idx="48">
                  <c:v>0.3582364210034113</c:v>
                </c:pt>
                <c:pt idx="49">
                  <c:v>0.36194881467473333</c:v>
                </c:pt>
                <c:pt idx="50">
                  <c:v>0.36562351614133837</c:v>
                </c:pt>
                <c:pt idx="51">
                  <c:v>0.36926165068507538</c:v>
                </c:pt>
                <c:pt idx="52">
                  <c:v>0.37286428868661825</c:v>
                </c:pt>
                <c:pt idx="53">
                  <c:v>0.37535508715565707</c:v>
                </c:pt>
                <c:pt idx="54">
                  <c:v>0.37186333603350974</c:v>
                </c:pt>
                <c:pt idx="55">
                  <c:v>0.36846725269671193</c:v>
                </c:pt>
                <c:pt idx="56">
                  <c:v>0.36516254690407679</c:v>
                </c:pt>
                <c:pt idx="57">
                  <c:v>0.36194519302669365</c:v>
                </c:pt>
                <c:pt idx="58">
                  <c:v>0.3588114094273126</c:v>
                </c:pt>
                <c:pt idx="59">
                  <c:v>0.35575763977033104</c:v>
                </c:pt>
                <c:pt idx="60">
                  <c:v>0.35278053605233661</c:v>
                </c:pt>
                <c:pt idx="61">
                  <c:v>0.34987694316909695</c:v>
                </c:pt>
                <c:pt idx="62">
                  <c:v>0.34704388485725196</c:v>
                </c:pt>
                <c:pt idx="63">
                  <c:v>0.34427855086829789</c:v>
                </c:pt>
                <c:pt idx="64">
                  <c:v>0.34157828524920625</c:v>
                </c:pt>
                <c:pt idx="65">
                  <c:v>0.34074955590378175</c:v>
                </c:pt>
                <c:pt idx="66">
                  <c:v>0.34033969786896057</c:v>
                </c:pt>
                <c:pt idx="67">
                  <c:v>0.33992201481106271</c:v>
                </c:pt>
                <c:pt idx="68">
                  <c:v>0.3394971119388141</c:v>
                </c:pt>
                <c:pt idx="69">
                  <c:v>0.33906555772757874</c:v>
                </c:pt>
                <c:pt idx="70">
                  <c:v>0.33862788632846902</c:v>
                </c:pt>
                <c:pt idx="71">
                  <c:v>0.33818459979983018</c:v>
                </c:pt>
                <c:pt idx="72">
                  <c:v>0.3377361701758535</c:v>
                </c:pt>
                <c:pt idx="73">
                  <c:v>0.33728304138569248</c:v>
                </c:pt>
                <c:pt idx="74">
                  <c:v>0.33682563103523488</c:v>
                </c:pt>
                <c:pt idx="75">
                  <c:v>0.33636433206257504</c:v>
                </c:pt>
                <c:pt idx="76">
                  <c:v>0.33589951427723974</c:v>
                </c:pt>
                <c:pt idx="77">
                  <c:v>0.33543152579232705</c:v>
                </c:pt>
                <c:pt idx="78">
                  <c:v>0.33496069435791159</c:v>
                </c:pt>
                <c:pt idx="79">
                  <c:v>0.33448732860334335</c:v>
                </c:pt>
                <c:pt idx="80">
                  <c:v>0.33401171919540928</c:v>
                </c:pt>
                <c:pt idx="81">
                  <c:v>0.33353413991873215</c:v>
                </c:pt>
                <c:pt idx="82">
                  <c:v>0.3330548486842449</c:v>
                </c:pt>
                <c:pt idx="83">
                  <c:v>0.33257408847108921</c:v>
                </c:pt>
                <c:pt idx="84">
                  <c:v>0.33209208820684366</c:v>
                </c:pt>
                <c:pt idx="85">
                  <c:v>0.33160906359058595</c:v>
                </c:pt>
                <c:pt idx="86">
                  <c:v>0.3311252178629272</c:v>
                </c:pt>
                <c:pt idx="87">
                  <c:v>0.33064074252682424</c:v>
                </c:pt>
                <c:pt idx="88">
                  <c:v>0.3301558180226698</c:v>
                </c:pt>
                <c:pt idx="89">
                  <c:v>0.32967061436088707</c:v>
                </c:pt>
                <c:pt idx="90">
                  <c:v>0.32918529171500127</c:v>
                </c:pt>
                <c:pt idx="91">
                  <c:v>0.3287000009779284</c:v>
                </c:pt>
                <c:pt idx="92">
                  <c:v>0.32821488428401491</c:v>
                </c:pt>
                <c:pt idx="93">
                  <c:v>0.32773007549916189</c:v>
                </c:pt>
                <c:pt idx="94">
                  <c:v>0.32724570068119951</c:v>
                </c:pt>
                <c:pt idx="95">
                  <c:v>0.32676187851250699</c:v>
                </c:pt>
                <c:pt idx="96">
                  <c:v>0.3262787207067302</c:v>
                </c:pt>
                <c:pt idx="97">
                  <c:v>0.32579633239130984</c:v>
                </c:pt>
                <c:pt idx="98">
                  <c:v>0.32531481246740818</c:v>
                </c:pt>
                <c:pt idx="99">
                  <c:v>0.30385462144109854</c:v>
                </c:pt>
                <c:pt idx="100">
                  <c:v>0.30188523915370058</c:v>
                </c:pt>
              </c:numCache>
            </c:numRef>
          </c:val>
          <c:smooth val="0"/>
        </c:ser>
        <c:ser>
          <c:idx val="16"/>
          <c:order val="16"/>
          <c:spPr>
            <a:ln w="25400">
              <a:solidFill>
                <a:srgbClr val="00B050"/>
              </a:solidFill>
              <a:prstDash val="dash"/>
            </a:ln>
          </c:spPr>
          <c:marker>
            <c:symbol val="none"/>
          </c:marker>
          <c:val>
            <c:numRef>
              <c:f>'Calculations - Dual'!$AU$110:$AU$210</c:f>
              <c:numCache>
                <c:formatCode>0.000</c:formatCode>
                <c:ptCount val="101"/>
                <c:pt idx="0">
                  <c:v>4.3999999999999994E-3</c:v>
                </c:pt>
                <c:pt idx="1">
                  <c:v>2.3333333333333334E-2</c:v>
                </c:pt>
                <c:pt idx="2">
                  <c:v>4.6666666666666669E-2</c:v>
                </c:pt>
                <c:pt idx="3">
                  <c:v>7.0000000000000007E-2</c:v>
                </c:pt>
                <c:pt idx="4">
                  <c:v>0.10028019107871401</c:v>
                </c:pt>
                <c:pt idx="5">
                  <c:v>0.14014582753042029</c:v>
                </c:pt>
                <c:pt idx="6">
                  <c:v>0.18422647458873534</c:v>
                </c:pt>
                <c:pt idx="7">
                  <c:v>0.21888606879176004</c:v>
                </c:pt>
                <c:pt idx="8">
                  <c:v>0.23399905033045656</c:v>
                </c:pt>
                <c:pt idx="9">
                  <c:v>0.24819347291981714</c:v>
                </c:pt>
                <c:pt idx="10">
                  <c:v>0.26161889160464774</c:v>
                </c:pt>
                <c:pt idx="11">
                  <c:v>0.27438820836342237</c:v>
                </c:pt>
                <c:pt idx="12">
                  <c:v>0.28658913680272896</c:v>
                </c:pt>
                <c:pt idx="13">
                  <c:v>0.29829143094929456</c:v>
                </c:pt>
                <c:pt idx="14">
                  <c:v>0.30955164709983729</c:v>
                </c:pt>
                <c:pt idx="15">
                  <c:v>0.32041639575194442</c:v>
                </c:pt>
                <c:pt idx="16">
                  <c:v>0.33092463055975618</c:v>
                </c:pt>
                <c:pt idx="17">
                  <c:v>0.34110930147909418</c:v>
                </c:pt>
                <c:pt idx="18">
                  <c:v>0.35099857549568486</c:v>
                </c:pt>
                <c:pt idx="19">
                  <c:v>0.3606167556346272</c:v>
                </c:pt>
                <c:pt idx="20">
                  <c:v>0.36998498468030955</c:v>
                </c:pt>
                <c:pt idx="21">
                  <c:v>0.37912179221634473</c:v>
                </c:pt>
                <c:pt idx="22">
                  <c:v>0.38804352562280658</c:v>
                </c:pt>
                <c:pt idx="23">
                  <c:v>0.39676469376977364</c:v>
                </c:pt>
                <c:pt idx="24">
                  <c:v>0.40529824409521759</c:v>
                </c:pt>
                <c:pt idx="25">
                  <c:v>0.41365578819969523</c:v>
                </c:pt>
                <c:pt idx="26">
                  <c:v>0.42184778718816995</c:v>
                </c:pt>
                <c:pt idx="27">
                  <c:v>0.42988370520409352</c:v>
                </c:pt>
                <c:pt idx="28">
                  <c:v>0.43777213758352007</c:v>
                </c:pt>
                <c:pt idx="29">
                  <c:v>0.44552091857609644</c:v>
                </c:pt>
                <c:pt idx="30">
                  <c:v>0.45313721247910471</c:v>
                </c:pt>
                <c:pt idx="31">
                  <c:v>0.4606275912033253</c:v>
                </c:pt>
                <c:pt idx="32">
                  <c:v>0.46799810066091313</c:v>
                </c:pt>
                <c:pt idx="33">
                  <c:v>0.47525431788324307</c:v>
                </c:pt>
                <c:pt idx="34">
                  <c:v>0.48240140040334778</c:v>
                </c:pt>
                <c:pt idx="35">
                  <c:v>0.48240329098951579</c:v>
                </c:pt>
                <c:pt idx="36">
                  <c:v>0.47565605952063278</c:v>
                </c:pt>
                <c:pt idx="37">
                  <c:v>0.51219512195121952</c:v>
                </c:pt>
                <c:pt idx="38">
                  <c:v>0.51219512195121952</c:v>
                </c:pt>
                <c:pt idx="39">
                  <c:v>0.51219512195121952</c:v>
                </c:pt>
                <c:pt idx="40">
                  <c:v>0.51219512195121941</c:v>
                </c:pt>
                <c:pt idx="41">
                  <c:v>0.51219512195121952</c:v>
                </c:pt>
                <c:pt idx="42">
                  <c:v>0.51219512195121952</c:v>
                </c:pt>
                <c:pt idx="43">
                  <c:v>0.51219512195121952</c:v>
                </c:pt>
                <c:pt idx="44">
                  <c:v>0.51219512195121941</c:v>
                </c:pt>
                <c:pt idx="45">
                  <c:v>0.51219512195121941</c:v>
                </c:pt>
                <c:pt idx="46">
                  <c:v>0.51219512195121941</c:v>
                </c:pt>
                <c:pt idx="47">
                  <c:v>0.51219512195121941</c:v>
                </c:pt>
                <c:pt idx="48">
                  <c:v>0.51219512195121952</c:v>
                </c:pt>
                <c:pt idx="49">
                  <c:v>0.51219512195121952</c:v>
                </c:pt>
                <c:pt idx="50">
                  <c:v>0.51219512195121952</c:v>
                </c:pt>
                <c:pt idx="51">
                  <c:v>0.51219512195121952</c:v>
                </c:pt>
                <c:pt idx="52">
                  <c:v>0.51155251612311992</c:v>
                </c:pt>
                <c:pt idx="53">
                  <c:v>0.50702148415345161</c:v>
                </c:pt>
                <c:pt idx="54">
                  <c:v>0.50257810130421599</c:v>
                </c:pt>
                <c:pt idx="55">
                  <c:v>0.49821984868713837</c:v>
                </c:pt>
                <c:pt idx="56">
                  <c:v>0.49394430301627712</c:v>
                </c:pt>
                <c:pt idx="57">
                  <c:v>0.48974913211501936</c:v>
                </c:pt>
                <c:pt idx="58">
                  <c:v>0.48563209067410756</c:v>
                </c:pt>
                <c:pt idx="59">
                  <c:v>0.48159101624448164</c:v>
                </c:pt>
                <c:pt idx="60">
                  <c:v>0.4776238254499125</c:v>
                </c:pt>
                <c:pt idx="61">
                  <c:v>0.47372851040548791</c:v>
                </c:pt>
                <c:pt idx="62">
                  <c:v>0.46990313532901667</c:v>
                </c:pt>
                <c:pt idx="63">
                  <c:v>0.46614583333333326</c:v>
                </c:pt>
                <c:pt idx="64">
                  <c:v>0.4624548033883375</c:v>
                </c:pt>
                <c:pt idx="65">
                  <c:v>0.4588283074423799</c:v>
                </c:pt>
                <c:pt idx="66">
                  <c:v>0.45526466769332974</c:v>
                </c:pt>
                <c:pt idx="67">
                  <c:v>0.45176226400031938</c:v>
                </c:pt>
                <c:pt idx="68">
                  <c:v>0.44831953142777986</c:v>
                </c:pt>
                <c:pt idx="69">
                  <c:v>0.44493495791394427</c:v>
                </c:pt>
                <c:pt idx="70">
                  <c:v>0.44160708205652033</c:v>
                </c:pt>
                <c:pt idx="71">
                  <c:v>0.43833449100872118</c:v>
                </c:pt>
                <c:pt idx="72">
                  <c:v>0.43511581847929048</c:v>
                </c:pt>
                <c:pt idx="73">
                  <c:v>0.4319497428305718</c:v>
                </c:pt>
                <c:pt idx="74">
                  <c:v>0.42883498526906311</c:v>
                </c:pt>
                <c:pt idx="75">
                  <c:v>0.42577030812324934</c:v>
                </c:pt>
                <c:pt idx="76">
                  <c:v>0.42275451320384216</c:v>
                </c:pt>
                <c:pt idx="77">
                  <c:v>0.4197864402418629</c:v>
                </c:pt>
                <c:pt idx="78">
                  <c:v>0.41686496540028994</c:v>
                </c:pt>
                <c:pt idx="79">
                  <c:v>0.41398899985526122</c:v>
                </c:pt>
                <c:pt idx="80">
                  <c:v>0.4111574884430681</c:v>
                </c:pt>
                <c:pt idx="81">
                  <c:v>0.40836940836940844</c:v>
                </c:pt>
                <c:pt idx="82">
                  <c:v>0.40562376797758276</c:v>
                </c:pt>
                <c:pt idx="83">
                  <c:v>0.40291960557251649</c:v>
                </c:pt>
                <c:pt idx="84">
                  <c:v>0.40025598829767789</c:v>
                </c:pt>
                <c:pt idx="85">
                  <c:v>0.39763201106213814</c:v>
                </c:pt>
                <c:pt idx="86">
                  <c:v>0.39504679551517957</c:v>
                </c:pt>
                <c:pt idx="87">
                  <c:v>0.39249948906601267</c:v>
                </c:pt>
                <c:pt idx="88">
                  <c:v>0.38998926394630279</c:v>
                </c:pt>
                <c:pt idx="89">
                  <c:v>0.38751531631334241</c:v>
                </c:pt>
                <c:pt idx="90">
                  <c:v>0.38507686539182601</c:v>
                </c:pt>
                <c:pt idx="91">
                  <c:v>0.38267315265230495</c:v>
                </c:pt>
                <c:pt idx="92">
                  <c:v>0.3803034410245037</c:v>
                </c:pt>
                <c:pt idx="93">
                  <c:v>0.37796701414378703</c:v>
                </c:pt>
                <c:pt idx="94">
                  <c:v>0.37566317562915624</c:v>
                </c:pt>
                <c:pt idx="95">
                  <c:v>0.37339124839124838</c:v>
                </c:pt>
                <c:pt idx="96">
                  <c:v>0.37115057396889312</c:v>
                </c:pt>
                <c:pt idx="97">
                  <c:v>0.3689405118928612</c:v>
                </c:pt>
                <c:pt idx="98">
                  <c:v>0.36676043907551437</c:v>
                </c:pt>
                <c:pt idx="99">
                  <c:v>0.36460974922513389</c:v>
                </c:pt>
                <c:pt idx="100">
                  <c:v>0.36248785228377062</c:v>
                </c:pt>
              </c:numCache>
            </c:numRef>
          </c:val>
          <c:smooth val="0"/>
        </c:ser>
        <c:ser>
          <c:idx val="17"/>
          <c:order val="17"/>
          <c:spPr>
            <a:ln w="25400">
              <a:solidFill>
                <a:srgbClr val="FF0000"/>
              </a:solidFill>
            </a:ln>
          </c:spPr>
          <c:marker>
            <c:symbol val="none"/>
          </c:marker>
          <c:val>
            <c:numRef>
              <c:f>'Calculations - Dual'!$AU$216:$AU$316</c:f>
              <c:numCache>
                <c:formatCode>0.000</c:formatCode>
                <c:ptCount val="101"/>
                <c:pt idx="0">
                  <c:v>1.3749999999999999E-3</c:v>
                </c:pt>
                <c:pt idx="1">
                  <c:v>7.2916666666666668E-3</c:v>
                </c:pt>
                <c:pt idx="2">
                  <c:v>1.4583333333333334E-2</c:v>
                </c:pt>
                <c:pt idx="3">
                  <c:v>2.1875000000000006E-2</c:v>
                </c:pt>
                <c:pt idx="4">
                  <c:v>3.1337559712098124E-2</c:v>
                </c:pt>
                <c:pt idx="5">
                  <c:v>4.3795571103256339E-2</c:v>
                </c:pt>
                <c:pt idx="6">
                  <c:v>5.7570773308979792E-2</c:v>
                </c:pt>
                <c:pt idx="7">
                  <c:v>6.8401896497425022E-2</c:v>
                </c:pt>
                <c:pt idx="8">
                  <c:v>7.3124703228267682E-2</c:v>
                </c:pt>
                <c:pt idx="9">
                  <c:v>7.7560460287442859E-2</c:v>
                </c:pt>
                <c:pt idx="10">
                  <c:v>8.1755903626452436E-2</c:v>
                </c:pt>
                <c:pt idx="11">
                  <c:v>8.5746315113569477E-2</c:v>
                </c:pt>
                <c:pt idx="12">
                  <c:v>8.9559105250852825E-2</c:v>
                </c:pt>
                <c:pt idx="13">
                  <c:v>9.3216072171654563E-2</c:v>
                </c:pt>
                <c:pt idx="14">
                  <c:v>9.6734889718699146E-2</c:v>
                </c:pt>
                <c:pt idx="15">
                  <c:v>0.10013012367248264</c:v>
                </c:pt>
                <c:pt idx="16">
                  <c:v>0.10341394704992379</c:v>
                </c:pt>
                <c:pt idx="17">
                  <c:v>0.10659665671221694</c:v>
                </c:pt>
                <c:pt idx="18">
                  <c:v>0.10968705484240152</c:v>
                </c:pt>
                <c:pt idx="19">
                  <c:v>0.11269273613582101</c:v>
                </c:pt>
                <c:pt idx="20">
                  <c:v>0.11562030771259672</c:v>
                </c:pt>
                <c:pt idx="21">
                  <c:v>0.11847556006760773</c:v>
                </c:pt>
                <c:pt idx="22">
                  <c:v>0.12126360175712705</c:v>
                </c:pt>
                <c:pt idx="23">
                  <c:v>0.12398896680305425</c:v>
                </c:pt>
                <c:pt idx="24">
                  <c:v>0.12665570127975551</c:v>
                </c:pt>
                <c:pt idx="25">
                  <c:v>0.12926743381240477</c:v>
                </c:pt>
                <c:pt idx="26">
                  <c:v>0.1318274334963031</c:v>
                </c:pt>
                <c:pt idx="27">
                  <c:v>0.13433865787627922</c:v>
                </c:pt>
                <c:pt idx="28">
                  <c:v>0.13680379299485004</c:v>
                </c:pt>
                <c:pt idx="29">
                  <c:v>0.13922528705503015</c:v>
                </c:pt>
                <c:pt idx="30">
                  <c:v>0.14160537889972025</c:v>
                </c:pt>
                <c:pt idx="31">
                  <c:v>0.14394612225103917</c:v>
                </c:pt>
                <c:pt idx="32">
                  <c:v>0.14624940645653536</c:v>
                </c:pt>
                <c:pt idx="33">
                  <c:v>0.14851697433851346</c:v>
                </c:pt>
                <c:pt idx="34">
                  <c:v>0.1507504376260462</c:v>
                </c:pt>
                <c:pt idx="35">
                  <c:v>0.15295129035814709</c:v>
                </c:pt>
                <c:pt idx="36">
                  <c:v>0.15512092057488572</c:v>
                </c:pt>
                <c:pt idx="37">
                  <c:v>0.15726062055638018</c:v>
                </c:pt>
                <c:pt idx="38">
                  <c:v>0.15937159582421062</c:v>
                </c:pt>
                <c:pt idx="39">
                  <c:v>0.161454973083313</c:v>
                </c:pt>
                <c:pt idx="40">
                  <c:v>0.16351180725290487</c:v>
                </c:pt>
                <c:pt idx="41">
                  <c:v>0.16554308771099105</c:v>
                </c:pt>
                <c:pt idx="42">
                  <c:v>0.16754974385735916</c:v>
                </c:pt>
                <c:pt idx="43">
                  <c:v>0.1695326500838244</c:v>
                </c:pt>
                <c:pt idx="44">
                  <c:v>0.17149263022713895</c:v>
                </c:pt>
                <c:pt idx="45">
                  <c:v>0.17343046156889505</c:v>
                </c:pt>
                <c:pt idx="46">
                  <c:v>0.17534687843750676</c:v>
                </c:pt>
                <c:pt idx="47">
                  <c:v>0.17724257545961</c:v>
                </c:pt>
                <c:pt idx="48">
                  <c:v>0.17911821050170565</c:v>
                </c:pt>
                <c:pt idx="49">
                  <c:v>0.18097440733736667</c:v>
                </c:pt>
                <c:pt idx="50">
                  <c:v>0.18281175807066918</c:v>
                </c:pt>
                <c:pt idx="51">
                  <c:v>0.18463082534253769</c:v>
                </c:pt>
                <c:pt idx="52">
                  <c:v>0.18643214434330913</c:v>
                </c:pt>
                <c:pt idx="53">
                  <c:v>0.18821622465192056</c:v>
                </c:pt>
                <c:pt idx="54">
                  <c:v>0.18998355191963326</c:v>
                </c:pt>
                <c:pt idx="55">
                  <c:v>0.19173458941405896</c:v>
                </c:pt>
                <c:pt idx="56">
                  <c:v>0.19346977943739829</c:v>
                </c:pt>
                <c:pt idx="57">
                  <c:v>0.19518954463119514</c:v>
                </c:pt>
                <c:pt idx="58">
                  <c:v>0.19689428917851098</c:v>
                </c:pt>
                <c:pt idx="59">
                  <c:v>0.19858439991320789</c:v>
                </c:pt>
                <c:pt idx="60">
                  <c:v>0.20026024734496528</c:v>
                </c:pt>
                <c:pt idx="61">
                  <c:v>0.20192218660772382</c:v>
                </c:pt>
                <c:pt idx="62">
                  <c:v>0.20357055833843513</c:v>
                </c:pt>
                <c:pt idx="63">
                  <c:v>0.20520568949227505</c:v>
                </c:pt>
                <c:pt idx="64">
                  <c:v>0.20682789409984759</c:v>
                </c:pt>
                <c:pt idx="65">
                  <c:v>0.20843747397134602</c:v>
                </c:pt>
                <c:pt idx="66">
                  <c:v>0.21003471935214266</c:v>
                </c:pt>
                <c:pt idx="67">
                  <c:v>0.21161990953384113</c:v>
                </c:pt>
                <c:pt idx="68">
                  <c:v>0.21319331342443387</c:v>
                </c:pt>
                <c:pt idx="69">
                  <c:v>0.2147551900808608</c:v>
                </c:pt>
                <c:pt idx="70">
                  <c:v>0.21630578920695684</c:v>
                </c:pt>
                <c:pt idx="71">
                  <c:v>0.21784535161949684</c:v>
                </c:pt>
                <c:pt idx="72">
                  <c:v>0.21937410968480303</c:v>
                </c:pt>
                <c:pt idx="73">
                  <c:v>0.22089228772815447</c:v>
                </c:pt>
                <c:pt idx="74">
                  <c:v>0.22240010241804198</c:v>
                </c:pt>
                <c:pt idx="75">
                  <c:v>0.22389776312713205</c:v>
                </c:pt>
                <c:pt idx="76">
                  <c:v>0.22538547227164202</c:v>
                </c:pt>
                <c:pt idx="77">
                  <c:v>0.22686342563068401</c:v>
                </c:pt>
                <c:pt idx="78">
                  <c:v>0.22833181264700428</c:v>
                </c:pt>
                <c:pt idx="79">
                  <c:v>0.22979081671042567</c:v>
                </c:pt>
                <c:pt idx="80">
                  <c:v>0.23124061542519345</c:v>
                </c:pt>
                <c:pt idx="81">
                  <c:v>0.23268138086232856</c:v>
                </c:pt>
                <c:pt idx="82">
                  <c:v>0.23411327979800242</c:v>
                </c:pt>
                <c:pt idx="83">
                  <c:v>0.23553647393886903</c:v>
                </c:pt>
                <c:pt idx="84">
                  <c:v>0.23498501566943292</c:v>
                </c:pt>
                <c:pt idx="85">
                  <c:v>0.23659207039730573</c:v>
                </c:pt>
                <c:pt idx="86">
                  <c:v>0.23459254290528939</c:v>
                </c:pt>
                <c:pt idx="87">
                  <c:v>0.23262883965269845</c:v>
                </c:pt>
                <c:pt idx="88">
                  <c:v>0.23070000642797459</c:v>
                </c:pt>
                <c:pt idx="89">
                  <c:v>0.22880512260972766</c:v>
                </c:pt>
                <c:pt idx="90">
                  <c:v>0.22694329970157742</c:v>
                </c:pt>
                <c:pt idx="91">
                  <c:v>0.22511367994302309</c:v>
                </c:pt>
                <c:pt idx="92">
                  <c:v>0.22331543499177506</c:v>
                </c:pt>
                <c:pt idx="93">
                  <c:v>0.22154776467329843</c:v>
                </c:pt>
                <c:pt idx="94">
                  <c:v>0.21980989579360116</c:v>
                </c:pt>
                <c:pt idx="95">
                  <c:v>0.21810108101156664</c:v>
                </c:pt>
                <c:pt idx="96">
                  <c:v>0.21642059776737493</c:v>
                </c:pt>
                <c:pt idx="97">
                  <c:v>0.21476774726378528</c:v>
                </c:pt>
                <c:pt idx="98">
                  <c:v>0.21314185349726217</c:v>
                </c:pt>
                <c:pt idx="99">
                  <c:v>0.21154226233612228</c:v>
                </c:pt>
                <c:pt idx="100">
                  <c:v>0.20996834064306255</c:v>
                </c:pt>
              </c:numCache>
            </c:numRef>
          </c:val>
          <c:smooth val="0"/>
        </c:ser>
        <c:ser>
          <c:idx val="1"/>
          <c:order val="0"/>
          <c:tx>
            <c:v>VIN-min</c:v>
          </c:tx>
          <c:spPr>
            <a:ln>
              <a:solidFill>
                <a:srgbClr val="00B050"/>
              </a:solidFill>
              <a:prstDash val="sys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344.96511816559399</c:v>
                </c:pt>
                <c:pt idx="36">
                  <c:v>335.38275377210539</c:v>
                </c:pt>
                <c:pt idx="37">
                  <c:v>326.3183550215079</c:v>
                </c:pt>
                <c:pt idx="38">
                  <c:v>317.73102988936301</c:v>
                </c:pt>
                <c:pt idx="39">
                  <c:v>309.5840804050203</c:v>
                </c:pt>
                <c:pt idx="40">
                  <c:v>301.84447839489479</c:v>
                </c:pt>
                <c:pt idx="41">
                  <c:v>294.48241794623891</c:v>
                </c:pt>
                <c:pt idx="42">
                  <c:v>287.47093180466175</c:v>
                </c:pt>
                <c:pt idx="43">
                  <c:v>280.78556129757663</c:v>
                </c:pt>
                <c:pt idx="44">
                  <c:v>274.40407126808617</c:v>
                </c:pt>
                <c:pt idx="45">
                  <c:v>268.30620301768425</c:v>
                </c:pt>
                <c:pt idx="46">
                  <c:v>262.47345947382155</c:v>
                </c:pt>
                <c:pt idx="47">
                  <c:v>256.88891778288922</c:v>
                </c:pt>
                <c:pt idx="48">
                  <c:v>251.53706532907904</c:v>
                </c:pt>
                <c:pt idx="49">
                  <c:v>246.40365583256718</c:v>
                </c:pt>
                <c:pt idx="50">
                  <c:v>241.47558271591589</c:v>
                </c:pt>
                <c:pt idx="51">
                  <c:v>236.74076736854502</c:v>
                </c:pt>
                <c:pt idx="52">
                  <c:v>232.52387096505447</c:v>
                </c:pt>
                <c:pt idx="53">
                  <c:v>230.46431097884167</c:v>
                </c:pt>
                <c:pt idx="54">
                  <c:v>228.44459150191634</c:v>
                </c:pt>
                <c:pt idx="55">
                  <c:v>226.46356758506289</c:v>
                </c:pt>
                <c:pt idx="56">
                  <c:v>224.52013773467138</c:v>
                </c:pt>
                <c:pt idx="57">
                  <c:v>222.61324187046333</c:v>
                </c:pt>
                <c:pt idx="58">
                  <c:v>220.7418593973216</c:v>
                </c:pt>
                <c:pt idx="59">
                  <c:v>218.90500738385526</c:v>
                </c:pt>
                <c:pt idx="60">
                  <c:v>217.1017388408693</c:v>
                </c:pt>
                <c:pt idx="61">
                  <c:v>215.33114109340357</c:v>
                </c:pt>
                <c:pt idx="62">
                  <c:v>213.59233424046207</c:v>
                </c:pt>
                <c:pt idx="63">
                  <c:v>211.88446969696966</c:v>
                </c:pt>
                <c:pt idx="64">
                  <c:v>210.20672881288067</c:v>
                </c:pt>
                <c:pt idx="65">
                  <c:v>208.55832156471811</c:v>
                </c:pt>
                <c:pt idx="66">
                  <c:v>206.93848531514988</c:v>
                </c:pt>
                <c:pt idx="67">
                  <c:v>205.34648363650879</c:v>
                </c:pt>
                <c:pt idx="68">
                  <c:v>203.7816051944454</c:v>
                </c:pt>
                <c:pt idx="69">
                  <c:v>202.2431626881565</c:v>
                </c:pt>
                <c:pt idx="70">
                  <c:v>200.73049184387284</c:v>
                </c:pt>
                <c:pt idx="71">
                  <c:v>199.24295045850963</c:v>
                </c:pt>
                <c:pt idx="72">
                  <c:v>197.77991749058657</c:v>
                </c:pt>
                <c:pt idx="73">
                  <c:v>196.34079219571444</c:v>
                </c:pt>
                <c:pt idx="74">
                  <c:v>194.9249933041196</c:v>
                </c:pt>
                <c:pt idx="75">
                  <c:v>193.5319582378406</c:v>
                </c:pt>
                <c:pt idx="76">
                  <c:v>192.16114236538277</c:v>
                </c:pt>
                <c:pt idx="77">
                  <c:v>190.81201829175583</c:v>
                </c:pt>
                <c:pt idx="78">
                  <c:v>189.48407518194995</c:v>
                </c:pt>
                <c:pt idx="79">
                  <c:v>188.17681811602782</c:v>
                </c:pt>
                <c:pt idx="80">
                  <c:v>186.88976747412184</c:v>
                </c:pt>
                <c:pt idx="81">
                  <c:v>185.62245834973106</c:v>
                </c:pt>
                <c:pt idx="82">
                  <c:v>184.37443998981036</c:v>
                </c:pt>
                <c:pt idx="83">
                  <c:v>183.14527526023474</c:v>
                </c:pt>
                <c:pt idx="84">
                  <c:v>181.93454013530811</c:v>
                </c:pt>
                <c:pt idx="85">
                  <c:v>180.74182321006276</c:v>
                </c:pt>
                <c:pt idx="86">
                  <c:v>179.56672523417251</c:v>
                </c:pt>
                <c:pt idx="87">
                  <c:v>178.40885866636938</c:v>
                </c:pt>
                <c:pt idx="88">
                  <c:v>177.26784724831944</c:v>
                </c:pt>
                <c:pt idx="89">
                  <c:v>176.1433255969738</c:v>
                </c:pt>
                <c:pt idx="90">
                  <c:v>175.03493881446636</c:v>
                </c:pt>
                <c:pt idx="91">
                  <c:v>173.94234211468404</c:v>
                </c:pt>
                <c:pt idx="92">
                  <c:v>172.8652004656835</c:v>
                </c:pt>
                <c:pt idx="93">
                  <c:v>171.80318824717591</c:v>
                </c:pt>
                <c:pt idx="94">
                  <c:v>170.75598892234373</c:v>
                </c:pt>
                <c:pt idx="95">
                  <c:v>169.72329472329471</c:v>
                </c:pt>
                <c:pt idx="96">
                  <c:v>168.70480634949686</c:v>
                </c:pt>
                <c:pt idx="97">
                  <c:v>167.70023267857323</c:v>
                </c:pt>
                <c:pt idx="98">
                  <c:v>166.70929048887015</c:v>
                </c:pt>
                <c:pt idx="99">
                  <c:v>165.73170419324268</c:v>
                </c:pt>
                <c:pt idx="100">
                  <c:v>164.7672055835321</c:v>
                </c:pt>
              </c:numCache>
            </c:numRef>
          </c:val>
          <c:smooth val="0"/>
        </c:ser>
        <c:ser>
          <c:idx val="0"/>
          <c:order val="1"/>
          <c:tx>
            <c:v>VIN-nom</c:v>
          </c:tx>
          <c:spPr>
            <a:ln w="28575">
              <a:solidFill>
                <a:srgbClr val="0000FF"/>
              </a:solidFill>
              <a:prstDash val="lgDash"/>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348.99828839792701</c:v>
                </c:pt>
                <c:pt idx="54">
                  <c:v>342.53535713129872</c:v>
                </c:pt>
                <c:pt idx="55">
                  <c:v>336.30744154709339</c:v>
                </c:pt>
                <c:pt idx="56">
                  <c:v>330.30195151946663</c:v>
                </c:pt>
                <c:pt idx="57">
                  <c:v>324.50718044017782</c:v>
                </c:pt>
                <c:pt idx="58">
                  <c:v>318.91222905327822</c:v>
                </c:pt>
                <c:pt idx="59">
                  <c:v>313.50693703542606</c:v>
                </c:pt>
                <c:pt idx="60">
                  <c:v>308.28182141816887</c:v>
                </c:pt>
                <c:pt idx="61">
                  <c:v>303.22802106705143</c:v>
                </c:pt>
                <c:pt idx="62">
                  <c:v>298.33724653371183</c:v>
                </c:pt>
                <c:pt idx="63">
                  <c:v>293.60173468397034</c:v>
                </c:pt>
                <c:pt idx="64">
                  <c:v>289.01420757953338</c:v>
                </c:pt>
                <c:pt idx="65">
                  <c:v>286.08661939243859</c:v>
                </c:pt>
                <c:pt idx="66">
                  <c:v>283.56953226962048</c:v>
                </c:pt>
                <c:pt idx="67">
                  <c:v>281.09998120202027</c:v>
                </c:pt>
                <c:pt idx="68">
                  <c:v>278.67663218410917</c:v>
                </c:pt>
                <c:pt idx="69">
                  <c:v>276.29820066273874</c:v>
                </c:pt>
                <c:pt idx="70">
                  <c:v>273.96344926664659</c:v>
                </c:pt>
                <c:pt idx="71">
                  <c:v>271.67118565991728</c:v>
                </c:pt>
                <c:pt idx="72">
                  <c:v>269.42026051157455</c:v>
                </c:pt>
                <c:pt idx="73">
                  <c:v>267.20956557404082</c:v>
                </c:pt>
                <c:pt idx="74">
                  <c:v>265.03803186371323</c:v>
                </c:pt>
                <c:pt idx="75">
                  <c:v>262.90462793738152</c:v>
                </c:pt>
                <c:pt idx="76">
                  <c:v>260.80835825864784</c:v>
                </c:pt>
                <c:pt idx="77">
                  <c:v>258.74826164891425</c:v>
                </c:pt>
                <c:pt idx="78">
                  <c:v>256.72340981787232</c:v>
                </c:pt>
                <c:pt idx="79">
                  <c:v>254.73290596877595</c:v>
                </c:pt>
                <c:pt idx="80">
                  <c:v>252.77588347409463</c:v>
                </c:pt>
                <c:pt idx="81">
                  <c:v>250.85150461743737</c:v>
                </c:pt>
                <c:pt idx="82">
                  <c:v>248.95895939791177</c:v>
                </c:pt>
                <c:pt idx="83">
                  <c:v>247.09746439333176</c:v>
                </c:pt>
                <c:pt idx="84">
                  <c:v>245.26626167892286</c:v>
                </c:pt>
                <c:pt idx="85">
                  <c:v>243.46461779838953</c:v>
                </c:pt>
                <c:pt idx="86">
                  <c:v>241.69182278440974</c:v>
                </c:pt>
                <c:pt idx="87">
                  <c:v>239.94718922580938</c:v>
                </c:pt>
                <c:pt idx="88">
                  <c:v>238.2300513788403</c:v>
                </c:pt>
                <c:pt idx="89">
                  <c:v>236.53976432014971</c:v>
                </c:pt>
                <c:pt idx="90">
                  <c:v>234.87570313917618</c:v>
                </c:pt>
                <c:pt idx="91">
                  <c:v>233.23726216784721</c:v>
                </c:pt>
                <c:pt idx="92">
                  <c:v>231.62385424558491</c:v>
                </c:pt>
                <c:pt idx="93">
                  <c:v>230.03491001774458</c:v>
                </c:pt>
                <c:pt idx="94">
                  <c:v>228.46987726572661</c:v>
                </c:pt>
                <c:pt idx="95">
                  <c:v>226.92822026710448</c:v>
                </c:pt>
                <c:pt idx="96">
                  <c:v>225.40941918421316</c:v>
                </c:pt>
                <c:pt idx="97">
                  <c:v>223.91296947972998</c:v>
                </c:pt>
                <c:pt idx="98">
                  <c:v>222.43838135786913</c:v>
                </c:pt>
                <c:pt idx="99">
                  <c:v>220.98517922988981</c:v>
                </c:pt>
                <c:pt idx="100">
                  <c:v>219.55290120269126</c:v>
                </c:pt>
              </c:numCache>
            </c:numRef>
          </c:val>
          <c:smooth val="0"/>
        </c:ser>
        <c:ser>
          <c:idx val="2"/>
          <c:order val="2"/>
          <c:tx>
            <c:v>VIN-max</c:v>
          </c:tx>
          <c:spPr>
            <a:ln>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Dual'!$AM$216:$AM$316</c:f>
              <c:numCache>
                <c:formatCode>0.0</c:formatCode>
                <c:ptCount val="101"/>
                <c:pt idx="0">
                  <c:v>10</c:v>
                </c:pt>
                <c:pt idx="1">
                  <c:v>53.030303030303038</c:v>
                </c:pt>
                <c:pt idx="2">
                  <c:v>106.06060606060608</c:v>
                </c:pt>
                <c:pt idx="3">
                  <c:v>159.09090909090912</c:v>
                </c:pt>
                <c:pt idx="4">
                  <c:v>212.12121212121215</c:v>
                </c:pt>
                <c:pt idx="5">
                  <c:v>265.15151515151518</c:v>
                </c:pt>
                <c:pt idx="6">
                  <c:v>318.18181818181824</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347.09587123862843</c:v>
                </c:pt>
                <c:pt idx="85">
                  <c:v>344.13392057789918</c:v>
                </c:pt>
                <c:pt idx="86">
                  <c:v>341.2255169531482</c:v>
                </c:pt>
                <c:pt idx="87">
                  <c:v>338.36922131301588</c:v>
                </c:pt>
                <c:pt idx="88">
                  <c:v>335.56364571341749</c:v>
                </c:pt>
                <c:pt idx="89">
                  <c:v>332.80745106869472</c:v>
                </c:pt>
                <c:pt idx="90">
                  <c:v>330.09934502047616</c:v>
                </c:pt>
                <c:pt idx="91">
                  <c:v>327.43807991712441</c:v>
                </c:pt>
                <c:pt idx="92">
                  <c:v>324.82245089712728</c:v>
                </c:pt>
                <c:pt idx="93">
                  <c:v>322.25129407025224</c:v>
                </c:pt>
                <c:pt idx="94">
                  <c:v>319.72348479069257</c:v>
                </c:pt>
                <c:pt idx="95">
                  <c:v>317.23793601682416</c:v>
                </c:pt>
                <c:pt idx="96">
                  <c:v>314.79359675254528</c:v>
                </c:pt>
                <c:pt idx="97">
                  <c:v>312.3894505655058</c:v>
                </c:pt>
                <c:pt idx="98">
                  <c:v>310.02451417783584</c:v>
                </c:pt>
                <c:pt idx="99">
                  <c:v>307.69783612526874</c:v>
                </c:pt>
                <c:pt idx="100">
                  <c:v>305.4084954808182</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Dual'!$CG$110:$CG$210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232.52387096505447</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Dual'!$CG$5:$CG$105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Dual'!$CG$216:$CG$316</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350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318776832"/>
        <c:axId val="318778752"/>
      </c:lineChart>
      <c:lineChart>
        <c:grouping val="standard"/>
        <c:varyColors val="0"/>
        <c:ser>
          <c:idx val="6"/>
          <c:order val="6"/>
          <c:tx>
            <c:v>D1</c:v>
          </c:tx>
          <c:spPr>
            <a:ln w="25400">
              <a:solidFill>
                <a:srgbClr val="0000FF"/>
              </a:solidFill>
              <a:prstDash val="lgDash"/>
            </a:ln>
          </c:spPr>
          <c:marker>
            <c:symbol val="none"/>
          </c:marker>
          <c:val>
            <c:numRef>
              <c:f>'Calculations - Dual'!$AU$5:$AU$105</c:f>
              <c:numCache>
                <c:formatCode>0.000</c:formatCode>
                <c:ptCount val="101"/>
                <c:pt idx="0">
                  <c:v>2.7499999999999998E-3</c:v>
                </c:pt>
                <c:pt idx="1">
                  <c:v>1.4583333333333334E-2</c:v>
                </c:pt>
                <c:pt idx="2">
                  <c:v>2.9166666666666667E-2</c:v>
                </c:pt>
                <c:pt idx="3">
                  <c:v>4.3750000000000011E-2</c:v>
                </c:pt>
                <c:pt idx="4">
                  <c:v>6.2675119424196249E-2</c:v>
                </c:pt>
                <c:pt idx="5">
                  <c:v>8.7591142206512679E-2</c:v>
                </c:pt>
                <c:pt idx="6">
                  <c:v>0.11514154661795958</c:v>
                </c:pt>
                <c:pt idx="7">
                  <c:v>0.13680379299485004</c:v>
                </c:pt>
                <c:pt idx="8">
                  <c:v>0.14624940645653536</c:v>
                </c:pt>
                <c:pt idx="9">
                  <c:v>0.15512092057488572</c:v>
                </c:pt>
                <c:pt idx="10">
                  <c:v>0.16351180725290487</c:v>
                </c:pt>
                <c:pt idx="11">
                  <c:v>0.17149263022713895</c:v>
                </c:pt>
                <c:pt idx="12">
                  <c:v>0.17911821050170565</c:v>
                </c:pt>
                <c:pt idx="13">
                  <c:v>0.18643214434330913</c:v>
                </c:pt>
                <c:pt idx="14">
                  <c:v>0.19346977943739829</c:v>
                </c:pt>
                <c:pt idx="15">
                  <c:v>0.20026024734496528</c:v>
                </c:pt>
                <c:pt idx="16">
                  <c:v>0.20682789409984759</c:v>
                </c:pt>
                <c:pt idx="17">
                  <c:v>0.21319331342443387</c:v>
                </c:pt>
                <c:pt idx="18">
                  <c:v>0.21937410968480303</c:v>
                </c:pt>
                <c:pt idx="19">
                  <c:v>0.22538547227164202</c:v>
                </c:pt>
                <c:pt idx="20">
                  <c:v>0.23124061542519345</c:v>
                </c:pt>
                <c:pt idx="21">
                  <c:v>0.23695112013521547</c:v>
                </c:pt>
                <c:pt idx="22">
                  <c:v>0.24252720351425411</c:v>
                </c:pt>
                <c:pt idx="23">
                  <c:v>0.24797793360610851</c:v>
                </c:pt>
                <c:pt idx="24">
                  <c:v>0.25331140255951101</c:v>
                </c:pt>
                <c:pt idx="25">
                  <c:v>0.25853486762480954</c:v>
                </c:pt>
                <c:pt idx="26">
                  <c:v>0.26365486699260621</c:v>
                </c:pt>
                <c:pt idx="27">
                  <c:v>0.26867731575255843</c:v>
                </c:pt>
                <c:pt idx="28">
                  <c:v>0.27360758598970009</c:v>
                </c:pt>
                <c:pt idx="29">
                  <c:v>0.2784505741100603</c:v>
                </c:pt>
                <c:pt idx="30">
                  <c:v>0.28321075779944049</c:v>
                </c:pt>
                <c:pt idx="31">
                  <c:v>0.28789224450207834</c:v>
                </c:pt>
                <c:pt idx="32">
                  <c:v>0.29249881291307073</c:v>
                </c:pt>
                <c:pt idx="33">
                  <c:v>0.29703394867702693</c:v>
                </c:pt>
                <c:pt idx="34">
                  <c:v>0.3015008752520924</c:v>
                </c:pt>
                <c:pt idx="35">
                  <c:v>0.30590258071629417</c:v>
                </c:pt>
                <c:pt idx="36">
                  <c:v>0.31024184114977144</c:v>
                </c:pt>
                <c:pt idx="37">
                  <c:v>0.31452124111276036</c:v>
                </c:pt>
                <c:pt idx="38">
                  <c:v>0.31874319164842124</c:v>
                </c:pt>
                <c:pt idx="39">
                  <c:v>0.32290994616662599</c:v>
                </c:pt>
                <c:pt idx="40">
                  <c:v>0.32702361450580975</c:v>
                </c:pt>
                <c:pt idx="41">
                  <c:v>0.3310861754219821</c:v>
                </c:pt>
                <c:pt idx="42">
                  <c:v>0.33509948771471831</c:v>
                </c:pt>
                <c:pt idx="43">
                  <c:v>0.3390653001676488</c:v>
                </c:pt>
                <c:pt idx="44">
                  <c:v>0.34298526045427791</c:v>
                </c:pt>
                <c:pt idx="45">
                  <c:v>0.3468609231377901</c:v>
                </c:pt>
                <c:pt idx="46">
                  <c:v>0.35069375687501353</c:v>
                </c:pt>
                <c:pt idx="47">
                  <c:v>0.35448515091922</c:v>
                </c:pt>
                <c:pt idx="48">
                  <c:v>0.3582364210034113</c:v>
                </c:pt>
                <c:pt idx="49">
                  <c:v>0.36194881467473333</c:v>
                </c:pt>
                <c:pt idx="50">
                  <c:v>0.36562351614133837</c:v>
                </c:pt>
                <c:pt idx="51">
                  <c:v>0.36926165068507538</c:v>
                </c:pt>
                <c:pt idx="52">
                  <c:v>0.37286428868661825</c:v>
                </c:pt>
                <c:pt idx="53">
                  <c:v>0.37535508715565707</c:v>
                </c:pt>
                <c:pt idx="54">
                  <c:v>0.37186333603350974</c:v>
                </c:pt>
                <c:pt idx="55">
                  <c:v>0.36846725269671193</c:v>
                </c:pt>
                <c:pt idx="56">
                  <c:v>0.36516254690407679</c:v>
                </c:pt>
                <c:pt idx="57">
                  <c:v>0.36194519302669365</c:v>
                </c:pt>
                <c:pt idx="58">
                  <c:v>0.3588114094273126</c:v>
                </c:pt>
                <c:pt idx="59">
                  <c:v>0.35575763977033104</c:v>
                </c:pt>
                <c:pt idx="60">
                  <c:v>0.35278053605233661</c:v>
                </c:pt>
                <c:pt idx="61">
                  <c:v>0.34987694316909695</c:v>
                </c:pt>
                <c:pt idx="62">
                  <c:v>0.34704388485725196</c:v>
                </c:pt>
                <c:pt idx="63">
                  <c:v>0.34427855086829789</c:v>
                </c:pt>
                <c:pt idx="64">
                  <c:v>0.34157828524920625</c:v>
                </c:pt>
                <c:pt idx="65">
                  <c:v>0.34074955590378175</c:v>
                </c:pt>
                <c:pt idx="66">
                  <c:v>0.34033969786896057</c:v>
                </c:pt>
                <c:pt idx="67">
                  <c:v>0.33992201481106271</c:v>
                </c:pt>
                <c:pt idx="68">
                  <c:v>0.3394971119388141</c:v>
                </c:pt>
                <c:pt idx="69">
                  <c:v>0.33906555772757874</c:v>
                </c:pt>
                <c:pt idx="70">
                  <c:v>0.33862788632846902</c:v>
                </c:pt>
                <c:pt idx="71">
                  <c:v>0.33818459979983018</c:v>
                </c:pt>
                <c:pt idx="72">
                  <c:v>0.3377361701758535</c:v>
                </c:pt>
                <c:pt idx="73">
                  <c:v>0.33728304138569248</c:v>
                </c:pt>
                <c:pt idx="74">
                  <c:v>0.33682563103523488</c:v>
                </c:pt>
                <c:pt idx="75">
                  <c:v>0.33636433206257504</c:v>
                </c:pt>
                <c:pt idx="76">
                  <c:v>0.33589951427723974</c:v>
                </c:pt>
                <c:pt idx="77">
                  <c:v>0.33543152579232705</c:v>
                </c:pt>
                <c:pt idx="78">
                  <c:v>0.33496069435791159</c:v>
                </c:pt>
                <c:pt idx="79">
                  <c:v>0.33448732860334335</c:v>
                </c:pt>
                <c:pt idx="80">
                  <c:v>0.33401171919540928</c:v>
                </c:pt>
                <c:pt idx="81">
                  <c:v>0.33353413991873215</c:v>
                </c:pt>
                <c:pt idx="82">
                  <c:v>0.3330548486842449</c:v>
                </c:pt>
                <c:pt idx="83">
                  <c:v>0.33257408847108921</c:v>
                </c:pt>
                <c:pt idx="84">
                  <c:v>0.33209208820684366</c:v>
                </c:pt>
                <c:pt idx="85">
                  <c:v>0.33160906359058595</c:v>
                </c:pt>
                <c:pt idx="86">
                  <c:v>0.3311252178629272</c:v>
                </c:pt>
                <c:pt idx="87">
                  <c:v>0.33064074252682424</c:v>
                </c:pt>
                <c:pt idx="88">
                  <c:v>0.3301558180226698</c:v>
                </c:pt>
                <c:pt idx="89">
                  <c:v>0.32967061436088707</c:v>
                </c:pt>
                <c:pt idx="90">
                  <c:v>0.32918529171500127</c:v>
                </c:pt>
                <c:pt idx="91">
                  <c:v>0.3287000009779284</c:v>
                </c:pt>
                <c:pt idx="92">
                  <c:v>0.32821488428401491</c:v>
                </c:pt>
                <c:pt idx="93">
                  <c:v>0.32773007549916189</c:v>
                </c:pt>
                <c:pt idx="94">
                  <c:v>0.32724570068119951</c:v>
                </c:pt>
                <c:pt idx="95">
                  <c:v>0.32676187851250699</c:v>
                </c:pt>
                <c:pt idx="96">
                  <c:v>0.3262787207067302</c:v>
                </c:pt>
                <c:pt idx="97">
                  <c:v>0.32579633239130984</c:v>
                </c:pt>
                <c:pt idx="98">
                  <c:v>0.32531481246740818</c:v>
                </c:pt>
                <c:pt idx="99">
                  <c:v>0.30385462144109854</c:v>
                </c:pt>
                <c:pt idx="100">
                  <c:v>0.30188523915370058</c:v>
                </c:pt>
              </c:numCache>
            </c:numRef>
          </c:val>
          <c:smooth val="0"/>
        </c:ser>
        <c:ser>
          <c:idx val="7"/>
          <c:order val="7"/>
          <c:spPr>
            <a:ln w="25400">
              <a:solidFill>
                <a:srgbClr val="00B050"/>
              </a:solidFill>
              <a:prstDash val="dash"/>
            </a:ln>
          </c:spPr>
          <c:marker>
            <c:symbol val="none"/>
          </c:marker>
          <c:val>
            <c:numRef>
              <c:f>'Calculations - Dual'!$AU$110:$AU$210</c:f>
              <c:numCache>
                <c:formatCode>0.000</c:formatCode>
                <c:ptCount val="101"/>
                <c:pt idx="0">
                  <c:v>4.3999999999999994E-3</c:v>
                </c:pt>
                <c:pt idx="1">
                  <c:v>2.3333333333333334E-2</c:v>
                </c:pt>
                <c:pt idx="2">
                  <c:v>4.6666666666666669E-2</c:v>
                </c:pt>
                <c:pt idx="3">
                  <c:v>7.0000000000000007E-2</c:v>
                </c:pt>
                <c:pt idx="4">
                  <c:v>0.10028019107871401</c:v>
                </c:pt>
                <c:pt idx="5">
                  <c:v>0.14014582753042029</c:v>
                </c:pt>
                <c:pt idx="6">
                  <c:v>0.18422647458873534</c:v>
                </c:pt>
                <c:pt idx="7">
                  <c:v>0.21888606879176004</c:v>
                </c:pt>
                <c:pt idx="8">
                  <c:v>0.23399905033045656</c:v>
                </c:pt>
                <c:pt idx="9">
                  <c:v>0.24819347291981714</c:v>
                </c:pt>
                <c:pt idx="10">
                  <c:v>0.26161889160464774</c:v>
                </c:pt>
                <c:pt idx="11">
                  <c:v>0.27438820836342237</c:v>
                </c:pt>
                <c:pt idx="12">
                  <c:v>0.28658913680272896</c:v>
                </c:pt>
                <c:pt idx="13">
                  <c:v>0.29829143094929456</c:v>
                </c:pt>
                <c:pt idx="14">
                  <c:v>0.30955164709983729</c:v>
                </c:pt>
                <c:pt idx="15">
                  <c:v>0.32041639575194442</c:v>
                </c:pt>
                <c:pt idx="16">
                  <c:v>0.33092463055975618</c:v>
                </c:pt>
                <c:pt idx="17">
                  <c:v>0.34110930147909418</c:v>
                </c:pt>
                <c:pt idx="18">
                  <c:v>0.35099857549568486</c:v>
                </c:pt>
                <c:pt idx="19">
                  <c:v>0.3606167556346272</c:v>
                </c:pt>
                <c:pt idx="20">
                  <c:v>0.36998498468030955</c:v>
                </c:pt>
                <c:pt idx="21">
                  <c:v>0.37912179221634473</c:v>
                </c:pt>
                <c:pt idx="22">
                  <c:v>0.38804352562280658</c:v>
                </c:pt>
                <c:pt idx="23">
                  <c:v>0.39676469376977364</c:v>
                </c:pt>
                <c:pt idx="24">
                  <c:v>0.40529824409521759</c:v>
                </c:pt>
                <c:pt idx="25">
                  <c:v>0.41365578819969523</c:v>
                </c:pt>
                <c:pt idx="26">
                  <c:v>0.42184778718816995</c:v>
                </c:pt>
                <c:pt idx="27">
                  <c:v>0.42988370520409352</c:v>
                </c:pt>
                <c:pt idx="28">
                  <c:v>0.43777213758352007</c:v>
                </c:pt>
                <c:pt idx="29">
                  <c:v>0.44552091857609644</c:v>
                </c:pt>
                <c:pt idx="30">
                  <c:v>0.45313721247910471</c:v>
                </c:pt>
                <c:pt idx="31">
                  <c:v>0.4606275912033253</c:v>
                </c:pt>
                <c:pt idx="32">
                  <c:v>0.46799810066091313</c:v>
                </c:pt>
                <c:pt idx="33">
                  <c:v>0.47525431788324307</c:v>
                </c:pt>
                <c:pt idx="34">
                  <c:v>0.48240140040334778</c:v>
                </c:pt>
                <c:pt idx="35">
                  <c:v>0.48240329098951579</c:v>
                </c:pt>
                <c:pt idx="36">
                  <c:v>0.47565605952063278</c:v>
                </c:pt>
                <c:pt idx="37">
                  <c:v>0.51219512195121952</c:v>
                </c:pt>
                <c:pt idx="38">
                  <c:v>0.51219512195121952</c:v>
                </c:pt>
                <c:pt idx="39">
                  <c:v>0.51219512195121952</c:v>
                </c:pt>
                <c:pt idx="40">
                  <c:v>0.51219512195121941</c:v>
                </c:pt>
                <c:pt idx="41">
                  <c:v>0.51219512195121952</c:v>
                </c:pt>
                <c:pt idx="42">
                  <c:v>0.51219512195121952</c:v>
                </c:pt>
                <c:pt idx="43">
                  <c:v>0.51219512195121952</c:v>
                </c:pt>
                <c:pt idx="44">
                  <c:v>0.51219512195121941</c:v>
                </c:pt>
                <c:pt idx="45">
                  <c:v>0.51219512195121941</c:v>
                </c:pt>
                <c:pt idx="46">
                  <c:v>0.51219512195121941</c:v>
                </c:pt>
                <c:pt idx="47">
                  <c:v>0.51219512195121941</c:v>
                </c:pt>
                <c:pt idx="48">
                  <c:v>0.51219512195121952</c:v>
                </c:pt>
                <c:pt idx="49">
                  <c:v>0.51219512195121952</c:v>
                </c:pt>
                <c:pt idx="50">
                  <c:v>0.51219512195121952</c:v>
                </c:pt>
                <c:pt idx="51">
                  <c:v>0.51219512195121952</c:v>
                </c:pt>
                <c:pt idx="52">
                  <c:v>0.51155251612311992</c:v>
                </c:pt>
                <c:pt idx="53">
                  <c:v>0.50702148415345161</c:v>
                </c:pt>
                <c:pt idx="54">
                  <c:v>0.50257810130421599</c:v>
                </c:pt>
                <c:pt idx="55">
                  <c:v>0.49821984868713837</c:v>
                </c:pt>
                <c:pt idx="56">
                  <c:v>0.49394430301627712</c:v>
                </c:pt>
                <c:pt idx="57">
                  <c:v>0.48974913211501936</c:v>
                </c:pt>
                <c:pt idx="58">
                  <c:v>0.48563209067410756</c:v>
                </c:pt>
                <c:pt idx="59">
                  <c:v>0.48159101624448164</c:v>
                </c:pt>
                <c:pt idx="60">
                  <c:v>0.4776238254499125</c:v>
                </c:pt>
                <c:pt idx="61">
                  <c:v>0.47372851040548791</c:v>
                </c:pt>
                <c:pt idx="62">
                  <c:v>0.46990313532901667</c:v>
                </c:pt>
                <c:pt idx="63">
                  <c:v>0.46614583333333326</c:v>
                </c:pt>
                <c:pt idx="64">
                  <c:v>0.4624548033883375</c:v>
                </c:pt>
                <c:pt idx="65">
                  <c:v>0.4588283074423799</c:v>
                </c:pt>
                <c:pt idx="66">
                  <c:v>0.45526466769332974</c:v>
                </c:pt>
                <c:pt idx="67">
                  <c:v>0.45176226400031938</c:v>
                </c:pt>
                <c:pt idx="68">
                  <c:v>0.44831953142777986</c:v>
                </c:pt>
                <c:pt idx="69">
                  <c:v>0.44493495791394427</c:v>
                </c:pt>
                <c:pt idx="70">
                  <c:v>0.44160708205652033</c:v>
                </c:pt>
                <c:pt idx="71">
                  <c:v>0.43833449100872118</c:v>
                </c:pt>
                <c:pt idx="72">
                  <c:v>0.43511581847929048</c:v>
                </c:pt>
                <c:pt idx="73">
                  <c:v>0.4319497428305718</c:v>
                </c:pt>
                <c:pt idx="74">
                  <c:v>0.42883498526906311</c:v>
                </c:pt>
                <c:pt idx="75">
                  <c:v>0.42577030812324934</c:v>
                </c:pt>
                <c:pt idx="76">
                  <c:v>0.42275451320384216</c:v>
                </c:pt>
                <c:pt idx="77">
                  <c:v>0.4197864402418629</c:v>
                </c:pt>
                <c:pt idx="78">
                  <c:v>0.41686496540028994</c:v>
                </c:pt>
                <c:pt idx="79">
                  <c:v>0.41398899985526122</c:v>
                </c:pt>
                <c:pt idx="80">
                  <c:v>0.4111574884430681</c:v>
                </c:pt>
                <c:pt idx="81">
                  <c:v>0.40836940836940844</c:v>
                </c:pt>
                <c:pt idx="82">
                  <c:v>0.40562376797758276</c:v>
                </c:pt>
                <c:pt idx="83">
                  <c:v>0.40291960557251649</c:v>
                </c:pt>
                <c:pt idx="84">
                  <c:v>0.40025598829767789</c:v>
                </c:pt>
                <c:pt idx="85">
                  <c:v>0.39763201106213814</c:v>
                </c:pt>
                <c:pt idx="86">
                  <c:v>0.39504679551517957</c:v>
                </c:pt>
                <c:pt idx="87">
                  <c:v>0.39249948906601267</c:v>
                </c:pt>
                <c:pt idx="88">
                  <c:v>0.38998926394630279</c:v>
                </c:pt>
                <c:pt idx="89">
                  <c:v>0.38751531631334241</c:v>
                </c:pt>
                <c:pt idx="90">
                  <c:v>0.38507686539182601</c:v>
                </c:pt>
                <c:pt idx="91">
                  <c:v>0.38267315265230495</c:v>
                </c:pt>
                <c:pt idx="92">
                  <c:v>0.3803034410245037</c:v>
                </c:pt>
                <c:pt idx="93">
                  <c:v>0.37796701414378703</c:v>
                </c:pt>
                <c:pt idx="94">
                  <c:v>0.37566317562915624</c:v>
                </c:pt>
                <c:pt idx="95">
                  <c:v>0.37339124839124838</c:v>
                </c:pt>
                <c:pt idx="96">
                  <c:v>0.37115057396889312</c:v>
                </c:pt>
                <c:pt idx="97">
                  <c:v>0.3689405118928612</c:v>
                </c:pt>
                <c:pt idx="98">
                  <c:v>0.36676043907551437</c:v>
                </c:pt>
                <c:pt idx="99">
                  <c:v>0.36460974922513389</c:v>
                </c:pt>
                <c:pt idx="100">
                  <c:v>0.36248785228377062</c:v>
                </c:pt>
              </c:numCache>
            </c:numRef>
          </c:val>
          <c:smooth val="0"/>
        </c:ser>
        <c:ser>
          <c:idx val="8"/>
          <c:order val="8"/>
          <c:spPr>
            <a:ln w="25400">
              <a:solidFill>
                <a:srgbClr val="FF0000"/>
              </a:solidFill>
            </a:ln>
          </c:spPr>
          <c:marker>
            <c:symbol val="none"/>
          </c:marker>
          <c:val>
            <c:numRef>
              <c:f>'Calculations - Dual'!$AU$216:$AU$316</c:f>
              <c:numCache>
                <c:formatCode>0.000</c:formatCode>
                <c:ptCount val="101"/>
                <c:pt idx="0">
                  <c:v>1.3749999999999999E-3</c:v>
                </c:pt>
                <c:pt idx="1">
                  <c:v>7.2916666666666668E-3</c:v>
                </c:pt>
                <c:pt idx="2">
                  <c:v>1.4583333333333334E-2</c:v>
                </c:pt>
                <c:pt idx="3">
                  <c:v>2.1875000000000006E-2</c:v>
                </c:pt>
                <c:pt idx="4">
                  <c:v>3.1337559712098124E-2</c:v>
                </c:pt>
                <c:pt idx="5">
                  <c:v>4.3795571103256339E-2</c:v>
                </c:pt>
                <c:pt idx="6">
                  <c:v>5.7570773308979792E-2</c:v>
                </c:pt>
                <c:pt idx="7">
                  <c:v>6.8401896497425022E-2</c:v>
                </c:pt>
                <c:pt idx="8">
                  <c:v>7.3124703228267682E-2</c:v>
                </c:pt>
                <c:pt idx="9">
                  <c:v>7.7560460287442859E-2</c:v>
                </c:pt>
                <c:pt idx="10">
                  <c:v>8.1755903626452436E-2</c:v>
                </c:pt>
                <c:pt idx="11">
                  <c:v>8.5746315113569477E-2</c:v>
                </c:pt>
                <c:pt idx="12">
                  <c:v>8.9559105250852825E-2</c:v>
                </c:pt>
                <c:pt idx="13">
                  <c:v>9.3216072171654563E-2</c:v>
                </c:pt>
                <c:pt idx="14">
                  <c:v>9.6734889718699146E-2</c:v>
                </c:pt>
                <c:pt idx="15">
                  <c:v>0.10013012367248264</c:v>
                </c:pt>
                <c:pt idx="16">
                  <c:v>0.10341394704992379</c:v>
                </c:pt>
                <c:pt idx="17">
                  <c:v>0.10659665671221694</c:v>
                </c:pt>
                <c:pt idx="18">
                  <c:v>0.10968705484240152</c:v>
                </c:pt>
                <c:pt idx="19">
                  <c:v>0.11269273613582101</c:v>
                </c:pt>
                <c:pt idx="20">
                  <c:v>0.11562030771259672</c:v>
                </c:pt>
                <c:pt idx="21">
                  <c:v>0.11847556006760773</c:v>
                </c:pt>
                <c:pt idx="22">
                  <c:v>0.12126360175712705</c:v>
                </c:pt>
                <c:pt idx="23">
                  <c:v>0.12398896680305425</c:v>
                </c:pt>
                <c:pt idx="24">
                  <c:v>0.12665570127975551</c:v>
                </c:pt>
                <c:pt idx="25">
                  <c:v>0.12926743381240477</c:v>
                </c:pt>
                <c:pt idx="26">
                  <c:v>0.1318274334963031</c:v>
                </c:pt>
                <c:pt idx="27">
                  <c:v>0.13433865787627922</c:v>
                </c:pt>
                <c:pt idx="28">
                  <c:v>0.13680379299485004</c:v>
                </c:pt>
                <c:pt idx="29">
                  <c:v>0.13922528705503015</c:v>
                </c:pt>
                <c:pt idx="30">
                  <c:v>0.14160537889972025</c:v>
                </c:pt>
                <c:pt idx="31">
                  <c:v>0.14394612225103917</c:v>
                </c:pt>
                <c:pt idx="32">
                  <c:v>0.14624940645653536</c:v>
                </c:pt>
                <c:pt idx="33">
                  <c:v>0.14851697433851346</c:v>
                </c:pt>
                <c:pt idx="34">
                  <c:v>0.1507504376260462</c:v>
                </c:pt>
                <c:pt idx="35">
                  <c:v>0.15295129035814709</c:v>
                </c:pt>
                <c:pt idx="36">
                  <c:v>0.15512092057488572</c:v>
                </c:pt>
                <c:pt idx="37">
                  <c:v>0.15726062055638018</c:v>
                </c:pt>
                <c:pt idx="38">
                  <c:v>0.15937159582421062</c:v>
                </c:pt>
                <c:pt idx="39">
                  <c:v>0.161454973083313</c:v>
                </c:pt>
                <c:pt idx="40">
                  <c:v>0.16351180725290487</c:v>
                </c:pt>
                <c:pt idx="41">
                  <c:v>0.16554308771099105</c:v>
                </c:pt>
                <c:pt idx="42">
                  <c:v>0.16754974385735916</c:v>
                </c:pt>
                <c:pt idx="43">
                  <c:v>0.1695326500838244</c:v>
                </c:pt>
                <c:pt idx="44">
                  <c:v>0.17149263022713895</c:v>
                </c:pt>
                <c:pt idx="45">
                  <c:v>0.17343046156889505</c:v>
                </c:pt>
                <c:pt idx="46">
                  <c:v>0.17534687843750676</c:v>
                </c:pt>
                <c:pt idx="47">
                  <c:v>0.17724257545961</c:v>
                </c:pt>
                <c:pt idx="48">
                  <c:v>0.17911821050170565</c:v>
                </c:pt>
                <c:pt idx="49">
                  <c:v>0.18097440733736667</c:v>
                </c:pt>
                <c:pt idx="50">
                  <c:v>0.18281175807066918</c:v>
                </c:pt>
                <c:pt idx="51">
                  <c:v>0.18463082534253769</c:v>
                </c:pt>
                <c:pt idx="52">
                  <c:v>0.18643214434330913</c:v>
                </c:pt>
                <c:pt idx="53">
                  <c:v>0.18821622465192056</c:v>
                </c:pt>
                <c:pt idx="54">
                  <c:v>0.18998355191963326</c:v>
                </c:pt>
                <c:pt idx="55">
                  <c:v>0.19173458941405896</c:v>
                </c:pt>
                <c:pt idx="56">
                  <c:v>0.19346977943739829</c:v>
                </c:pt>
                <c:pt idx="57">
                  <c:v>0.19518954463119514</c:v>
                </c:pt>
                <c:pt idx="58">
                  <c:v>0.19689428917851098</c:v>
                </c:pt>
                <c:pt idx="59">
                  <c:v>0.19858439991320789</c:v>
                </c:pt>
                <c:pt idx="60">
                  <c:v>0.20026024734496528</c:v>
                </c:pt>
                <c:pt idx="61">
                  <c:v>0.20192218660772382</c:v>
                </c:pt>
                <c:pt idx="62">
                  <c:v>0.20357055833843513</c:v>
                </c:pt>
                <c:pt idx="63">
                  <c:v>0.20520568949227505</c:v>
                </c:pt>
                <c:pt idx="64">
                  <c:v>0.20682789409984759</c:v>
                </c:pt>
                <c:pt idx="65">
                  <c:v>0.20843747397134602</c:v>
                </c:pt>
                <c:pt idx="66">
                  <c:v>0.21003471935214266</c:v>
                </c:pt>
                <c:pt idx="67">
                  <c:v>0.21161990953384113</c:v>
                </c:pt>
                <c:pt idx="68">
                  <c:v>0.21319331342443387</c:v>
                </c:pt>
                <c:pt idx="69">
                  <c:v>0.2147551900808608</c:v>
                </c:pt>
                <c:pt idx="70">
                  <c:v>0.21630578920695684</c:v>
                </c:pt>
                <c:pt idx="71">
                  <c:v>0.21784535161949684</c:v>
                </c:pt>
                <c:pt idx="72">
                  <c:v>0.21937410968480303</c:v>
                </c:pt>
                <c:pt idx="73">
                  <c:v>0.22089228772815447</c:v>
                </c:pt>
                <c:pt idx="74">
                  <c:v>0.22240010241804198</c:v>
                </c:pt>
                <c:pt idx="75">
                  <c:v>0.22389776312713205</c:v>
                </c:pt>
                <c:pt idx="76">
                  <c:v>0.22538547227164202</c:v>
                </c:pt>
                <c:pt idx="77">
                  <c:v>0.22686342563068401</c:v>
                </c:pt>
                <c:pt idx="78">
                  <c:v>0.22833181264700428</c:v>
                </c:pt>
                <c:pt idx="79">
                  <c:v>0.22979081671042567</c:v>
                </c:pt>
                <c:pt idx="80">
                  <c:v>0.23124061542519345</c:v>
                </c:pt>
                <c:pt idx="81">
                  <c:v>0.23268138086232856</c:v>
                </c:pt>
                <c:pt idx="82">
                  <c:v>0.23411327979800242</c:v>
                </c:pt>
                <c:pt idx="83">
                  <c:v>0.23553647393886903</c:v>
                </c:pt>
                <c:pt idx="84">
                  <c:v>0.23498501566943292</c:v>
                </c:pt>
                <c:pt idx="85">
                  <c:v>0.23659207039730573</c:v>
                </c:pt>
                <c:pt idx="86">
                  <c:v>0.23459254290528939</c:v>
                </c:pt>
                <c:pt idx="87">
                  <c:v>0.23262883965269845</c:v>
                </c:pt>
                <c:pt idx="88">
                  <c:v>0.23070000642797459</c:v>
                </c:pt>
                <c:pt idx="89">
                  <c:v>0.22880512260972766</c:v>
                </c:pt>
                <c:pt idx="90">
                  <c:v>0.22694329970157742</c:v>
                </c:pt>
                <c:pt idx="91">
                  <c:v>0.22511367994302309</c:v>
                </c:pt>
                <c:pt idx="92">
                  <c:v>0.22331543499177506</c:v>
                </c:pt>
                <c:pt idx="93">
                  <c:v>0.22154776467329843</c:v>
                </c:pt>
                <c:pt idx="94">
                  <c:v>0.21980989579360116</c:v>
                </c:pt>
                <c:pt idx="95">
                  <c:v>0.21810108101156664</c:v>
                </c:pt>
                <c:pt idx="96">
                  <c:v>0.21642059776737493</c:v>
                </c:pt>
                <c:pt idx="97">
                  <c:v>0.21476774726378528</c:v>
                </c:pt>
                <c:pt idx="98">
                  <c:v>0.21314185349726217</c:v>
                </c:pt>
                <c:pt idx="99">
                  <c:v>0.21154226233612228</c:v>
                </c:pt>
                <c:pt idx="100">
                  <c:v>0.20996834064306255</c:v>
                </c:pt>
              </c:numCache>
            </c:numRef>
          </c:val>
          <c:smooth val="0"/>
        </c:ser>
        <c:dLbls>
          <c:showLegendKey val="0"/>
          <c:showVal val="0"/>
          <c:showCatName val="0"/>
          <c:showSerName val="0"/>
          <c:showPercent val="0"/>
          <c:showBubbleSize val="0"/>
        </c:dLbls>
        <c:marker val="1"/>
        <c:smooth val="0"/>
        <c:axId val="318791040"/>
        <c:axId val="318789120"/>
      </c:lineChart>
      <c:catAx>
        <c:axId val="318776832"/>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318778752"/>
        <c:crosses val="autoZero"/>
        <c:auto val="1"/>
        <c:lblAlgn val="ctr"/>
        <c:lblOffset val="100"/>
        <c:tickLblSkip val="20"/>
        <c:tickMarkSkip val="10"/>
        <c:noMultiLvlLbl val="0"/>
      </c:catAx>
      <c:valAx>
        <c:axId val="318778752"/>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318776832"/>
        <c:crossesAt val="0"/>
        <c:crossBetween val="between"/>
        <c:majorUnit val="50"/>
        <c:minorUnit val="25"/>
      </c:valAx>
      <c:valAx>
        <c:axId val="318789120"/>
        <c:scaling>
          <c:orientation val="minMax"/>
          <c:max val="0.60000000000000009"/>
        </c:scaling>
        <c:delete val="0"/>
        <c:axPos val="r"/>
        <c:title>
          <c:tx>
            <c:rich>
              <a:bodyPr rot="-5400000" vert="horz"/>
              <a:lstStyle/>
              <a:p>
                <a:pPr>
                  <a:defRPr sz="1600" b="1"/>
                </a:pPr>
                <a:r>
                  <a:rPr lang="en-US" sz="1600" b="1"/>
                  <a:t>Duty Cycle</a:t>
                </a:r>
              </a:p>
            </c:rich>
          </c:tx>
          <c:layout>
            <c:manualLayout>
              <c:xMode val="edge"/>
              <c:yMode val="edge"/>
              <c:x val="0.96331030941631779"/>
              <c:y val="0.35675917128406437"/>
            </c:manualLayout>
          </c:layout>
          <c:overlay val="0"/>
        </c:title>
        <c:numFmt formatCode="General" sourceLinked="0"/>
        <c:majorTickMark val="out"/>
        <c:minorTickMark val="none"/>
        <c:tickLblPos val="nextTo"/>
        <c:txPr>
          <a:bodyPr/>
          <a:lstStyle/>
          <a:p>
            <a:pPr>
              <a:defRPr sz="1400" b="1"/>
            </a:pPr>
            <a:endParaRPr lang="en-US"/>
          </a:p>
        </c:txPr>
        <c:crossAx val="318791040"/>
        <c:crosses val="max"/>
        <c:crossBetween val="between"/>
        <c:majorUnit val="0.1"/>
        <c:minorUnit val="5.000000000000001E-2"/>
      </c:valAx>
      <c:catAx>
        <c:axId val="318791040"/>
        <c:scaling>
          <c:orientation val="minMax"/>
        </c:scaling>
        <c:delete val="1"/>
        <c:axPos val="b"/>
        <c:majorTickMark val="out"/>
        <c:minorTickMark val="none"/>
        <c:tickLblPos val="nextTo"/>
        <c:crossAx val="318789120"/>
        <c:crosses val="autoZero"/>
        <c:auto val="1"/>
        <c:lblAlgn val="ctr"/>
        <c:lblOffset val="100"/>
        <c:noMultiLvlLbl val="0"/>
      </c:catAx>
      <c:spPr>
        <a:noFill/>
        <a:ln w="25400">
          <a:noFill/>
        </a:ln>
      </c:spPr>
    </c:plotArea>
    <c:legend>
      <c:legendPos val="t"/>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Dual'!$AI$110:$AI$210</c:f>
              <c:numCache>
                <c:formatCode>0.000</c:formatCode>
                <c:ptCount val="101"/>
                <c:pt idx="0">
                  <c:v>0.15</c:v>
                </c:pt>
                <c:pt idx="1">
                  <c:v>0.15</c:v>
                </c:pt>
                <c:pt idx="2">
                  <c:v>0.15</c:v>
                </c:pt>
                <c:pt idx="3">
                  <c:v>0.15</c:v>
                </c:pt>
                <c:pt idx="4">
                  <c:v>0.16116459280507606</c:v>
                </c:pt>
                <c:pt idx="5">
                  <c:v>0.18018749253911179</c:v>
                </c:pt>
                <c:pt idx="6">
                  <c:v>0.19738550848793068</c:v>
                </c:pt>
                <c:pt idx="7">
                  <c:v>0.21320071635561044</c:v>
                </c:pt>
                <c:pt idx="8">
                  <c:v>0.22792115291927589</c:v>
                </c:pt>
                <c:pt idx="9">
                  <c:v>0.24174688920761409</c:v>
                </c:pt>
                <c:pt idx="10">
                  <c:v>0.25482359571881275</c:v>
                </c:pt>
                <c:pt idx="11">
                  <c:v>0.2672612419124244</c:v>
                </c:pt>
                <c:pt idx="12">
                  <c:v>0.27914526311954124</c:v>
                </c:pt>
                <c:pt idx="13">
                  <c:v>0.29054360157398823</c:v>
                </c:pt>
                <c:pt idx="14">
                  <c:v>0.30151134457776363</c:v>
                </c:pt>
                <c:pt idx="15">
                  <c:v>0.31209389196617965</c:v>
                </c:pt>
                <c:pt idx="16">
                  <c:v>0.32232918561015211</c:v>
                </c:pt>
                <c:pt idx="17">
                  <c:v>0.33224931962249432</c:v>
                </c:pt>
                <c:pt idx="18">
                  <c:v>0.34188172937891381</c:v>
                </c:pt>
                <c:pt idx="19">
                  <c:v>0.35125008665710444</c:v>
                </c:pt>
                <c:pt idx="20">
                  <c:v>0.36037498507822358</c:v>
                </c:pt>
                <c:pt idx="21">
                  <c:v>0.3692744729379982</c:v>
                </c:pt>
                <c:pt idx="22">
                  <c:v>0.37796447300922725</c:v>
                </c:pt>
                <c:pt idx="23">
                  <c:v>0.38645911730822108</c:v>
                </c:pt>
                <c:pt idx="24">
                  <c:v>0.39477101697586137</c:v>
                </c:pt>
                <c:pt idx="25">
                  <c:v>0.40291148201269017</c:v>
                </c:pt>
                <c:pt idx="26">
                  <c:v>0.4108907018066591</c:v>
                </c:pt>
                <c:pt idx="27">
                  <c:v>0.41871789467931192</c:v>
                </c:pt>
                <c:pt idx="28">
                  <c:v>0.42640143271122088</c:v>
                </c:pt>
                <c:pt idx="29">
                  <c:v>0.43394894666502914</c:v>
                </c:pt>
                <c:pt idx="30">
                  <c:v>0.44136741475237479</c:v>
                </c:pt>
                <c:pt idx="31">
                  <c:v>0.44866323818505716</c:v>
                </c:pt>
                <c:pt idx="32">
                  <c:v>0.45584230583855179</c:v>
                </c:pt>
                <c:pt idx="33">
                  <c:v>0.46291004988627577</c:v>
                </c:pt>
                <c:pt idx="34">
                  <c:v>0.46987149389936478</c:v>
                </c:pt>
                <c:pt idx="35">
                  <c:v>0.47673129462279618</c:v>
                </c:pt>
                <c:pt idx="36">
                  <c:v>0.48349377841522817</c:v>
                </c:pt>
                <c:pt idx="37">
                  <c:v>0.53509700176366848</c:v>
                </c:pt>
                <c:pt idx="38">
                  <c:v>0.54955908289241617</c:v>
                </c:pt>
                <c:pt idx="39">
                  <c:v>0.56402116402116409</c:v>
                </c:pt>
                <c:pt idx="40">
                  <c:v>0.57848324514991178</c:v>
                </c:pt>
                <c:pt idx="41">
                  <c:v>0.59294532627865948</c:v>
                </c:pt>
                <c:pt idx="42">
                  <c:v>0.6074074074074074</c:v>
                </c:pt>
                <c:pt idx="43">
                  <c:v>0.62186948853615509</c:v>
                </c:pt>
                <c:pt idx="44">
                  <c:v>0.63633156966490301</c:v>
                </c:pt>
                <c:pt idx="45">
                  <c:v>0.65079365079365081</c:v>
                </c:pt>
                <c:pt idx="46">
                  <c:v>0.66525573192239862</c:v>
                </c:pt>
                <c:pt idx="47">
                  <c:v>0.6797178130511462</c:v>
                </c:pt>
                <c:pt idx="48">
                  <c:v>0.69417989417989412</c:v>
                </c:pt>
                <c:pt idx="49">
                  <c:v>0.70864197530864204</c:v>
                </c:pt>
                <c:pt idx="50">
                  <c:v>0.72310405643738973</c:v>
                </c:pt>
                <c:pt idx="51">
                  <c:v>0.73756613756613743</c:v>
                </c:pt>
                <c:pt idx="52">
                  <c:v>0.75</c:v>
                </c:pt>
                <c:pt idx="53">
                  <c:v>0.75</c:v>
                </c:pt>
                <c:pt idx="54">
                  <c:v>0.75</c:v>
                </c:pt>
                <c:pt idx="55">
                  <c:v>0.75</c:v>
                </c:pt>
                <c:pt idx="56">
                  <c:v>0.75</c:v>
                </c:pt>
                <c:pt idx="57">
                  <c:v>0.75</c:v>
                </c:pt>
                <c:pt idx="58">
                  <c:v>0.75</c:v>
                </c:pt>
                <c:pt idx="59">
                  <c:v>0.75</c:v>
                </c:pt>
                <c:pt idx="60">
                  <c:v>0.75</c:v>
                </c:pt>
                <c:pt idx="61">
                  <c:v>0.75</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0.75</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numCache>
            </c:numRef>
          </c:val>
          <c:smooth val="0"/>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Dual'!$AI$5:$AI$105</c:f>
              <c:numCache>
                <c:formatCode>0.000</c:formatCode>
                <c:ptCount val="101"/>
                <c:pt idx="0">
                  <c:v>0.15</c:v>
                </c:pt>
                <c:pt idx="1">
                  <c:v>0.15</c:v>
                </c:pt>
                <c:pt idx="2">
                  <c:v>0.15</c:v>
                </c:pt>
                <c:pt idx="3">
                  <c:v>0.15</c:v>
                </c:pt>
                <c:pt idx="4">
                  <c:v>0.16116459280507606</c:v>
                </c:pt>
                <c:pt idx="5">
                  <c:v>0.18018749253911179</c:v>
                </c:pt>
                <c:pt idx="6">
                  <c:v>0.19738550848793068</c:v>
                </c:pt>
                <c:pt idx="7">
                  <c:v>0.21320071635561044</c:v>
                </c:pt>
                <c:pt idx="8">
                  <c:v>0.22792115291927589</c:v>
                </c:pt>
                <c:pt idx="9">
                  <c:v>0.24174688920761409</c:v>
                </c:pt>
                <c:pt idx="10">
                  <c:v>0.25482359571881275</c:v>
                </c:pt>
                <c:pt idx="11">
                  <c:v>0.2672612419124244</c:v>
                </c:pt>
                <c:pt idx="12">
                  <c:v>0.27914526311954124</c:v>
                </c:pt>
                <c:pt idx="13">
                  <c:v>0.29054360157398823</c:v>
                </c:pt>
                <c:pt idx="14">
                  <c:v>0.30151134457776363</c:v>
                </c:pt>
                <c:pt idx="15">
                  <c:v>0.31209389196617965</c:v>
                </c:pt>
                <c:pt idx="16">
                  <c:v>0.32232918561015211</c:v>
                </c:pt>
                <c:pt idx="17">
                  <c:v>0.33224931962249432</c:v>
                </c:pt>
                <c:pt idx="18">
                  <c:v>0.34188172937891381</c:v>
                </c:pt>
                <c:pt idx="19">
                  <c:v>0.35125008665710444</c:v>
                </c:pt>
                <c:pt idx="20">
                  <c:v>0.36037498507822358</c:v>
                </c:pt>
                <c:pt idx="21">
                  <c:v>0.3692744729379982</c:v>
                </c:pt>
                <c:pt idx="22">
                  <c:v>0.37796447300922725</c:v>
                </c:pt>
                <c:pt idx="23">
                  <c:v>0.38645911730822108</c:v>
                </c:pt>
                <c:pt idx="24">
                  <c:v>0.39477101697586137</c:v>
                </c:pt>
                <c:pt idx="25">
                  <c:v>0.40291148201269017</c:v>
                </c:pt>
                <c:pt idx="26">
                  <c:v>0.4108907018066591</c:v>
                </c:pt>
                <c:pt idx="27">
                  <c:v>0.41871789467931192</c:v>
                </c:pt>
                <c:pt idx="28">
                  <c:v>0.42640143271122088</c:v>
                </c:pt>
                <c:pt idx="29">
                  <c:v>0.43394894666502914</c:v>
                </c:pt>
                <c:pt idx="30">
                  <c:v>0.44136741475237479</c:v>
                </c:pt>
                <c:pt idx="31">
                  <c:v>0.44866323818505716</c:v>
                </c:pt>
                <c:pt idx="32">
                  <c:v>0.45584230583855179</c:v>
                </c:pt>
                <c:pt idx="33">
                  <c:v>0.46291004988627577</c:v>
                </c:pt>
                <c:pt idx="34">
                  <c:v>0.46987149389936478</c:v>
                </c:pt>
                <c:pt idx="35">
                  <c:v>0.47673129462279618</c:v>
                </c:pt>
                <c:pt idx="36">
                  <c:v>0.48349377841522817</c:v>
                </c:pt>
                <c:pt idx="37">
                  <c:v>0.49016297316274338</c:v>
                </c:pt>
                <c:pt idx="38">
                  <c:v>0.49674263633520199</c:v>
                </c:pt>
                <c:pt idx="39">
                  <c:v>0.50323627974019647</c:v>
                </c:pt>
                <c:pt idx="40">
                  <c:v>0.50964719143762549</c:v>
                </c:pt>
                <c:pt idx="41">
                  <c:v>0.51597845520308905</c:v>
                </c:pt>
                <c:pt idx="42">
                  <c:v>0.5222329678670935</c:v>
                </c:pt>
                <c:pt idx="43">
                  <c:v>0.52841345480672541</c:v>
                </c:pt>
                <c:pt idx="44">
                  <c:v>0.53452248382484879</c:v>
                </c:pt>
                <c:pt idx="45">
                  <c:v>0.54056247761733534</c:v>
                </c:pt>
                <c:pt idx="46">
                  <c:v>0.54653572500002112</c:v>
                </c:pt>
                <c:pt idx="47">
                  <c:v>0.5524443910429403</c:v>
                </c:pt>
                <c:pt idx="48">
                  <c:v>0.55829052623908249</c:v>
                </c:pt>
                <c:pt idx="49">
                  <c:v>0.56407607481776623</c:v>
                </c:pt>
                <c:pt idx="50">
                  <c:v>0.56980288229818976</c:v>
                </c:pt>
                <c:pt idx="51">
                  <c:v>0.57547270236635129</c:v>
                </c:pt>
                <c:pt idx="52">
                  <c:v>0.58108720314797646</c:v>
                </c:pt>
                <c:pt idx="53">
                  <c:v>0.58664797294105109</c:v>
                </c:pt>
                <c:pt idx="54">
                  <c:v>0.59215652546379205</c:v>
                </c:pt>
                <c:pt idx="55">
                  <c:v>0.59761430466719678</c:v>
                </c:pt>
                <c:pt idx="56">
                  <c:v>0.60302268915552726</c:v>
                </c:pt>
                <c:pt idx="57">
                  <c:v>0.60838299625307579</c:v>
                </c:pt>
                <c:pt idx="58">
                  <c:v>0.61369648575120306</c:v>
                </c:pt>
                <c:pt idx="59">
                  <c:v>0.61896436336584282</c:v>
                </c:pt>
                <c:pt idx="60">
                  <c:v>0.6241877839323593</c:v>
                </c:pt>
                <c:pt idx="61">
                  <c:v>0.62936785436173659</c:v>
                </c:pt>
                <c:pt idx="62">
                  <c:v>0.63450563637953805</c:v>
                </c:pt>
                <c:pt idx="63">
                  <c:v>0.63960214906683133</c:v>
                </c:pt>
                <c:pt idx="64">
                  <c:v>0.64465837122030423</c:v>
                </c:pt>
                <c:pt idx="65">
                  <c:v>0.64967524354705253</c:v>
                </c:pt>
                <c:pt idx="66">
                  <c:v>0.6546536707079772</c:v>
                </c:pt>
                <c:pt idx="67">
                  <c:v>0.65959452322236201</c:v>
                </c:pt>
                <c:pt idx="68">
                  <c:v>0.66449863924498864</c:v>
                </c:pt>
                <c:pt idx="69">
                  <c:v>0.6693668262260597</c:v>
                </c:pt>
                <c:pt idx="70">
                  <c:v>0.67419986246324204</c:v>
                </c:pt>
                <c:pt idx="71">
                  <c:v>0.67899849855427596</c:v>
                </c:pt>
                <c:pt idx="72">
                  <c:v>0.68376345875782762</c:v>
                </c:pt>
                <c:pt idx="73">
                  <c:v>0.68849544226957238</c:v>
                </c:pt>
                <c:pt idx="74">
                  <c:v>0.69319512441987108</c:v>
                </c:pt>
                <c:pt idx="75">
                  <c:v>0.69786315779885311</c:v>
                </c:pt>
                <c:pt idx="76">
                  <c:v>0.70250017331420889</c:v>
                </c:pt>
                <c:pt idx="77">
                  <c:v>0.70710678118654757</c:v>
                </c:pt>
                <c:pt idx="78">
                  <c:v>0.71168357188676667</c:v>
                </c:pt>
                <c:pt idx="79">
                  <c:v>0.71623111701950859</c:v>
                </c:pt>
                <c:pt idx="80">
                  <c:v>0.72074997015644715</c:v>
                </c:pt>
                <c:pt idx="81">
                  <c:v>0.72524066762284234</c:v>
                </c:pt>
                <c:pt idx="82">
                  <c:v>0.72970372924052707</c:v>
                </c:pt>
                <c:pt idx="83">
                  <c:v>0.73413965903024125</c:v>
                </c:pt>
                <c:pt idx="84">
                  <c:v>0.7385489458759964</c:v>
                </c:pt>
                <c:pt idx="85">
                  <c:v>0.74293206415395208</c:v>
                </c:pt>
                <c:pt idx="86">
                  <c:v>0.74728947432809356</c:v>
                </c:pt>
                <c:pt idx="87">
                  <c:v>0.75162162351482731</c:v>
                </c:pt>
                <c:pt idx="88">
                  <c:v>0.75592894601845451</c:v>
                </c:pt>
                <c:pt idx="89">
                  <c:v>0.76021186383933659</c:v>
                </c:pt>
                <c:pt idx="90">
                  <c:v>0.76447078715643835</c:v>
                </c:pt>
                <c:pt idx="91">
                  <c:v>0.7687061147858073</c:v>
                </c:pt>
                <c:pt idx="92">
                  <c:v>0.77291823461644216</c:v>
                </c:pt>
                <c:pt idx="93">
                  <c:v>0.7771075240248958</c:v>
                </c:pt>
                <c:pt idx="94">
                  <c:v>0.7812743502698718</c:v>
                </c:pt>
                <c:pt idx="95">
                  <c:v>0.78541907086797746</c:v>
                </c:pt>
                <c:pt idx="96">
                  <c:v>0.78954203395172273</c:v>
                </c:pt>
                <c:pt idx="97">
                  <c:v>0.79364357861078283</c:v>
                </c:pt>
                <c:pt idx="98">
                  <c:v>0.7977240352174656</c:v>
                </c:pt>
                <c:pt idx="99">
                  <c:v>0.75</c:v>
                </c:pt>
                <c:pt idx="100">
                  <c:v>0.75</c:v>
                </c:pt>
              </c:numCache>
            </c:numRef>
          </c:val>
          <c:smooth val="0"/>
        </c:ser>
        <c:ser>
          <c:idx val="2"/>
          <c:order val="2"/>
          <c:tx>
            <c:v>VIN-max</c:v>
          </c:tx>
          <c:spPr>
            <a:ln>
              <a:solidFill>
                <a:srgbClr val="FF0000"/>
              </a:solidFill>
              <a:prstDash val="solid"/>
            </a:ln>
          </c:spPr>
          <c:marker>
            <c:symbol val="none"/>
          </c:marker>
          <c:val>
            <c:numRef>
              <c:f>'Calculations - Dual'!$AI$216:$AI$316</c:f>
              <c:numCache>
                <c:formatCode>0.000</c:formatCode>
                <c:ptCount val="101"/>
                <c:pt idx="0">
                  <c:v>0.15</c:v>
                </c:pt>
                <c:pt idx="1">
                  <c:v>0.15</c:v>
                </c:pt>
                <c:pt idx="2">
                  <c:v>0.15</c:v>
                </c:pt>
                <c:pt idx="3">
                  <c:v>0.15</c:v>
                </c:pt>
                <c:pt idx="4">
                  <c:v>0.16116459280507606</c:v>
                </c:pt>
                <c:pt idx="5">
                  <c:v>0.18018749253911179</c:v>
                </c:pt>
                <c:pt idx="6">
                  <c:v>0.19738550848793068</c:v>
                </c:pt>
                <c:pt idx="7">
                  <c:v>0.21320071635561044</c:v>
                </c:pt>
                <c:pt idx="8">
                  <c:v>0.22792115291927589</c:v>
                </c:pt>
                <c:pt idx="9">
                  <c:v>0.24174688920761409</c:v>
                </c:pt>
                <c:pt idx="10">
                  <c:v>0.25482359571881275</c:v>
                </c:pt>
                <c:pt idx="11">
                  <c:v>0.2672612419124244</c:v>
                </c:pt>
                <c:pt idx="12">
                  <c:v>0.27914526311954124</c:v>
                </c:pt>
                <c:pt idx="13">
                  <c:v>0.29054360157398823</c:v>
                </c:pt>
                <c:pt idx="14">
                  <c:v>0.30151134457776363</c:v>
                </c:pt>
                <c:pt idx="15">
                  <c:v>0.31209389196617965</c:v>
                </c:pt>
                <c:pt idx="16">
                  <c:v>0.32232918561015211</c:v>
                </c:pt>
                <c:pt idx="17">
                  <c:v>0.33224931962249432</c:v>
                </c:pt>
                <c:pt idx="18">
                  <c:v>0.34188172937891381</c:v>
                </c:pt>
                <c:pt idx="19">
                  <c:v>0.35125008665710444</c:v>
                </c:pt>
                <c:pt idx="20">
                  <c:v>0.36037498507822358</c:v>
                </c:pt>
                <c:pt idx="21">
                  <c:v>0.3692744729379982</c:v>
                </c:pt>
                <c:pt idx="22">
                  <c:v>0.37796447300922725</c:v>
                </c:pt>
                <c:pt idx="23">
                  <c:v>0.38645911730822108</c:v>
                </c:pt>
                <c:pt idx="24">
                  <c:v>0.39477101697586137</c:v>
                </c:pt>
                <c:pt idx="25">
                  <c:v>0.40291148201269017</c:v>
                </c:pt>
                <c:pt idx="26">
                  <c:v>0.4108907018066591</c:v>
                </c:pt>
                <c:pt idx="27">
                  <c:v>0.41871789467931192</c:v>
                </c:pt>
                <c:pt idx="28">
                  <c:v>0.42640143271122088</c:v>
                </c:pt>
                <c:pt idx="29">
                  <c:v>0.43394894666502914</c:v>
                </c:pt>
                <c:pt idx="30">
                  <c:v>0.44136741475237479</c:v>
                </c:pt>
                <c:pt idx="31">
                  <c:v>0.44866323818505716</c:v>
                </c:pt>
                <c:pt idx="32">
                  <c:v>0.45584230583855179</c:v>
                </c:pt>
                <c:pt idx="33">
                  <c:v>0.46291004988627577</c:v>
                </c:pt>
                <c:pt idx="34">
                  <c:v>0.46987149389936478</c:v>
                </c:pt>
                <c:pt idx="35">
                  <c:v>0.47673129462279618</c:v>
                </c:pt>
                <c:pt idx="36">
                  <c:v>0.48349377841522817</c:v>
                </c:pt>
                <c:pt idx="37">
                  <c:v>0.49016297316274338</c:v>
                </c:pt>
                <c:pt idx="38">
                  <c:v>0.49674263633520199</c:v>
                </c:pt>
                <c:pt idx="39">
                  <c:v>0.50323627974019647</c:v>
                </c:pt>
                <c:pt idx="40">
                  <c:v>0.50964719143762549</c:v>
                </c:pt>
                <c:pt idx="41">
                  <c:v>0.51597845520308905</c:v>
                </c:pt>
                <c:pt idx="42">
                  <c:v>0.5222329678670935</c:v>
                </c:pt>
                <c:pt idx="43">
                  <c:v>0.52841345480672541</c:v>
                </c:pt>
                <c:pt idx="44">
                  <c:v>0.53452248382484879</c:v>
                </c:pt>
                <c:pt idx="45">
                  <c:v>0.54056247761733534</c:v>
                </c:pt>
                <c:pt idx="46">
                  <c:v>0.54653572500002112</c:v>
                </c:pt>
                <c:pt idx="47">
                  <c:v>0.5524443910429403</c:v>
                </c:pt>
                <c:pt idx="48">
                  <c:v>0.55829052623908249</c:v>
                </c:pt>
                <c:pt idx="49">
                  <c:v>0.56407607481776623</c:v>
                </c:pt>
                <c:pt idx="50">
                  <c:v>0.56980288229818976</c:v>
                </c:pt>
                <c:pt idx="51">
                  <c:v>0.57547270236635129</c:v>
                </c:pt>
                <c:pt idx="52">
                  <c:v>0.58108720314797646</c:v>
                </c:pt>
                <c:pt idx="53">
                  <c:v>0.58664797294105109</c:v>
                </c:pt>
                <c:pt idx="54">
                  <c:v>0.59215652546379205</c:v>
                </c:pt>
                <c:pt idx="55">
                  <c:v>0.59761430466719678</c:v>
                </c:pt>
                <c:pt idx="56">
                  <c:v>0.60302268915552726</c:v>
                </c:pt>
                <c:pt idx="57">
                  <c:v>0.60838299625307579</c:v>
                </c:pt>
                <c:pt idx="58">
                  <c:v>0.61369648575120306</c:v>
                </c:pt>
                <c:pt idx="59">
                  <c:v>0.61896436336584282</c:v>
                </c:pt>
                <c:pt idx="60">
                  <c:v>0.6241877839323593</c:v>
                </c:pt>
                <c:pt idx="61">
                  <c:v>0.62936785436173659</c:v>
                </c:pt>
                <c:pt idx="62">
                  <c:v>0.63450563637953805</c:v>
                </c:pt>
                <c:pt idx="63">
                  <c:v>0.63960214906683133</c:v>
                </c:pt>
                <c:pt idx="64">
                  <c:v>0.64465837122030423</c:v>
                </c:pt>
                <c:pt idx="65">
                  <c:v>0.64967524354705253</c:v>
                </c:pt>
                <c:pt idx="66">
                  <c:v>0.6546536707079772</c:v>
                </c:pt>
                <c:pt idx="67">
                  <c:v>0.65959452322236201</c:v>
                </c:pt>
                <c:pt idx="68">
                  <c:v>0.66449863924498864</c:v>
                </c:pt>
                <c:pt idx="69">
                  <c:v>0.6693668262260597</c:v>
                </c:pt>
                <c:pt idx="70">
                  <c:v>0.67419986246324204</c:v>
                </c:pt>
                <c:pt idx="71">
                  <c:v>0.67899849855427596</c:v>
                </c:pt>
                <c:pt idx="72">
                  <c:v>0.68376345875782762</c:v>
                </c:pt>
                <c:pt idx="73">
                  <c:v>0.68849544226957238</c:v>
                </c:pt>
                <c:pt idx="74">
                  <c:v>0.69319512441987108</c:v>
                </c:pt>
                <c:pt idx="75">
                  <c:v>0.69786315779885311</c:v>
                </c:pt>
                <c:pt idx="76">
                  <c:v>0.70250017331420889</c:v>
                </c:pt>
                <c:pt idx="77">
                  <c:v>0.70710678118654757</c:v>
                </c:pt>
                <c:pt idx="78">
                  <c:v>0.71168357188676667</c:v>
                </c:pt>
                <c:pt idx="79">
                  <c:v>0.71623111701950859</c:v>
                </c:pt>
                <c:pt idx="80">
                  <c:v>0.72074997015644715</c:v>
                </c:pt>
                <c:pt idx="81">
                  <c:v>0.72524066762284234</c:v>
                </c:pt>
                <c:pt idx="82">
                  <c:v>0.72970372924052707</c:v>
                </c:pt>
                <c:pt idx="83">
                  <c:v>0.73413965903024125</c:v>
                </c:pt>
                <c:pt idx="84">
                  <c:v>0.7385489458759964</c:v>
                </c:pt>
                <c:pt idx="85">
                  <c:v>0.75</c:v>
                </c:pt>
                <c:pt idx="86">
                  <c:v>0.75</c:v>
                </c:pt>
                <c:pt idx="87">
                  <c:v>0.75</c:v>
                </c:pt>
                <c:pt idx="88">
                  <c:v>0.75</c:v>
                </c:pt>
                <c:pt idx="89">
                  <c:v>0.75</c:v>
                </c:pt>
                <c:pt idx="90">
                  <c:v>0.75</c:v>
                </c:pt>
                <c:pt idx="91">
                  <c:v>0.75</c:v>
                </c:pt>
                <c:pt idx="92">
                  <c:v>0.75</c:v>
                </c:pt>
                <c:pt idx="93">
                  <c:v>0.75</c:v>
                </c:pt>
                <c:pt idx="94">
                  <c:v>0.75</c:v>
                </c:pt>
                <c:pt idx="95">
                  <c:v>0.75</c:v>
                </c:pt>
                <c:pt idx="96">
                  <c:v>0.75</c:v>
                </c:pt>
                <c:pt idx="97">
                  <c:v>0.75</c:v>
                </c:pt>
                <c:pt idx="98">
                  <c:v>0.75</c:v>
                </c:pt>
                <c:pt idx="99">
                  <c:v>0.75</c:v>
                </c:pt>
                <c:pt idx="100">
                  <c:v>0.75</c:v>
                </c:pt>
              </c:numCache>
            </c:numRef>
          </c:val>
          <c:smooth val="0"/>
        </c:ser>
        <c:dLbls>
          <c:showLegendKey val="0"/>
          <c:showVal val="0"/>
          <c:showCatName val="0"/>
          <c:showSerName val="0"/>
          <c:showPercent val="0"/>
          <c:showBubbleSize val="0"/>
        </c:dLbls>
        <c:marker val="1"/>
        <c:smooth val="0"/>
        <c:axId val="318909440"/>
        <c:axId val="318915712"/>
      </c:lineChart>
      <c:catAx>
        <c:axId val="318909440"/>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915712"/>
        <c:crosses val="autoZero"/>
        <c:auto val="1"/>
        <c:lblAlgn val="ctr"/>
        <c:lblOffset val="100"/>
        <c:tickLblSkip val="20"/>
        <c:tickMarkSkip val="10"/>
        <c:noMultiLvlLbl val="0"/>
      </c:catAx>
      <c:valAx>
        <c:axId val="318915712"/>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909440"/>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Dual'!$AJ$110:$AJ$210</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1.2468153454486002</c:v>
                </c:pt>
                <c:pt idx="8">
                  <c:v>1.2577193725327969</c:v>
                </c:pt>
                <c:pt idx="9">
                  <c:v>1.2679606586723067</c:v>
                </c:pt>
                <c:pt idx="10">
                  <c:v>1.2776471079398612</c:v>
                </c:pt>
                <c:pt idx="11">
                  <c:v>1.2868601791943883</c:v>
                </c:pt>
                <c:pt idx="12">
                  <c:v>1.2956631578663269</c:v>
                </c:pt>
                <c:pt idx="13">
                  <c:v>1.3041063715362875</c:v>
                </c:pt>
                <c:pt idx="14">
                  <c:v>1.3122306256131582</c:v>
                </c:pt>
                <c:pt idx="15">
                  <c:v>1.3200695496045776</c:v>
                </c:pt>
                <c:pt idx="16">
                  <c:v>1.3276512486001126</c:v>
                </c:pt>
                <c:pt idx="17">
                  <c:v>1.3349994960166625</c:v>
                </c:pt>
                <c:pt idx="18">
                  <c:v>1.342134614354751</c:v>
                </c:pt>
                <c:pt idx="19">
                  <c:v>1.3490741382645217</c:v>
                </c:pt>
                <c:pt idx="20">
                  <c:v>1.3558333222801655</c:v>
                </c:pt>
                <c:pt idx="21">
                  <c:v>1.3624255355096282</c:v>
                </c:pt>
                <c:pt idx="22">
                  <c:v>1.3688625725994275</c:v>
                </c:pt>
                <c:pt idx="23">
                  <c:v>1.3751549017097933</c:v>
                </c:pt>
                <c:pt idx="24">
                  <c:v>1.3813118644265638</c:v>
                </c:pt>
                <c:pt idx="25">
                  <c:v>1.3873418385279186</c:v>
                </c:pt>
                <c:pt idx="26">
                  <c:v>1.3932523717086363</c:v>
                </c:pt>
                <c:pt idx="27">
                  <c:v>1.3990502923550459</c:v>
                </c:pt>
                <c:pt idx="28">
                  <c:v>1.4047418020083118</c:v>
                </c:pt>
                <c:pt idx="29">
                  <c:v>1.4103325530852067</c:v>
                </c:pt>
                <c:pt idx="30">
                  <c:v>1.4158277146313887</c:v>
                </c:pt>
                <c:pt idx="31">
                  <c:v>1.4212320282852275</c:v>
                </c:pt>
                <c:pt idx="32">
                  <c:v>1.4265498561767049</c:v>
                </c:pt>
                <c:pt idx="33">
                  <c:v>1.4317852221379821</c:v>
                </c:pt>
                <c:pt idx="34">
                  <c:v>1.4369418473328628</c:v>
                </c:pt>
                <c:pt idx="35">
                  <c:v>1.4420231812020712</c:v>
                </c:pt>
                <c:pt idx="36">
                  <c:v>1.4470324284557246</c:v>
                </c:pt>
                <c:pt idx="37">
                  <c:v>1.485257038343458</c:v>
                </c:pt>
                <c:pt idx="38">
                  <c:v>1.4959696910314193</c:v>
                </c:pt>
                <c:pt idx="39">
                  <c:v>1.5066823437193808</c:v>
                </c:pt>
                <c:pt idx="40">
                  <c:v>1.5173949964073419</c:v>
                </c:pt>
                <c:pt idx="41">
                  <c:v>1.5281076490953032</c:v>
                </c:pt>
                <c:pt idx="42">
                  <c:v>1.5388203017832647</c:v>
                </c:pt>
                <c:pt idx="43">
                  <c:v>1.549532954471226</c:v>
                </c:pt>
                <c:pt idx="44">
                  <c:v>1.5602456071591875</c:v>
                </c:pt>
                <c:pt idx="45">
                  <c:v>1.5709582598471488</c:v>
                </c:pt>
                <c:pt idx="46">
                  <c:v>1.5816709125351101</c:v>
                </c:pt>
                <c:pt idx="47">
                  <c:v>1.5923835652230711</c:v>
                </c:pt>
                <c:pt idx="48">
                  <c:v>1.6030962179110326</c:v>
                </c:pt>
                <c:pt idx="49">
                  <c:v>1.6138088705989941</c:v>
                </c:pt>
                <c:pt idx="50">
                  <c:v>1.6245215232869552</c:v>
                </c:pt>
                <c:pt idx="51">
                  <c:v>1.6352341759749165</c:v>
                </c:pt>
                <c:pt idx="52">
                  <c:v>1.6444444444444444</c:v>
                </c:pt>
                <c:pt idx="53">
                  <c:v>1.6444444444444444</c:v>
                </c:pt>
                <c:pt idx="54">
                  <c:v>1.6444444444444444</c:v>
                </c:pt>
                <c:pt idx="55">
                  <c:v>1.6444444444444444</c:v>
                </c:pt>
                <c:pt idx="56">
                  <c:v>1.6444444444444444</c:v>
                </c:pt>
                <c:pt idx="57">
                  <c:v>1.6444444444444444</c:v>
                </c:pt>
                <c:pt idx="58">
                  <c:v>1.6444444444444444</c:v>
                </c:pt>
                <c:pt idx="59">
                  <c:v>1.6444444444444444</c:v>
                </c:pt>
                <c:pt idx="60">
                  <c:v>1.6444444444444444</c:v>
                </c:pt>
                <c:pt idx="61">
                  <c:v>1.6444444444444444</c:v>
                </c:pt>
                <c:pt idx="62">
                  <c:v>1.6444444444444444</c:v>
                </c:pt>
                <c:pt idx="63">
                  <c:v>1.6444444444444444</c:v>
                </c:pt>
                <c:pt idx="64">
                  <c:v>1.6444444444444444</c:v>
                </c:pt>
                <c:pt idx="65">
                  <c:v>1.6444444444444444</c:v>
                </c:pt>
                <c:pt idx="66">
                  <c:v>1.6444444444444444</c:v>
                </c:pt>
                <c:pt idx="67">
                  <c:v>1.6444444444444444</c:v>
                </c:pt>
                <c:pt idx="68">
                  <c:v>1.6444444444444444</c:v>
                </c:pt>
                <c:pt idx="69">
                  <c:v>1.6444444444444444</c:v>
                </c:pt>
                <c:pt idx="70">
                  <c:v>1.6444444444444444</c:v>
                </c:pt>
                <c:pt idx="71">
                  <c:v>1.6444444444444444</c:v>
                </c:pt>
                <c:pt idx="72">
                  <c:v>1.6444444444444444</c:v>
                </c:pt>
                <c:pt idx="73">
                  <c:v>1.6444444444444444</c:v>
                </c:pt>
                <c:pt idx="74">
                  <c:v>1.6444444444444444</c:v>
                </c:pt>
                <c:pt idx="75">
                  <c:v>1.6444444444444444</c:v>
                </c:pt>
                <c:pt idx="76">
                  <c:v>1.6444444444444444</c:v>
                </c:pt>
                <c:pt idx="77">
                  <c:v>1.6444444444444444</c:v>
                </c:pt>
                <c:pt idx="78">
                  <c:v>1.6444444444444444</c:v>
                </c:pt>
                <c:pt idx="79">
                  <c:v>1.6444444444444444</c:v>
                </c:pt>
                <c:pt idx="80">
                  <c:v>1.6444444444444444</c:v>
                </c:pt>
                <c:pt idx="81">
                  <c:v>1.6444444444444444</c:v>
                </c:pt>
                <c:pt idx="82">
                  <c:v>1.6444444444444444</c:v>
                </c:pt>
                <c:pt idx="83">
                  <c:v>1.6444444444444444</c:v>
                </c:pt>
                <c:pt idx="84">
                  <c:v>1.6444444444444444</c:v>
                </c:pt>
                <c:pt idx="85">
                  <c:v>1.6444444444444444</c:v>
                </c:pt>
                <c:pt idx="86">
                  <c:v>1.6444444444444444</c:v>
                </c:pt>
                <c:pt idx="87">
                  <c:v>1.6444444444444444</c:v>
                </c:pt>
                <c:pt idx="88">
                  <c:v>1.6444444444444444</c:v>
                </c:pt>
                <c:pt idx="89">
                  <c:v>1.6444444444444444</c:v>
                </c:pt>
                <c:pt idx="90">
                  <c:v>1.6444444444444444</c:v>
                </c:pt>
                <c:pt idx="91">
                  <c:v>1.6444444444444444</c:v>
                </c:pt>
                <c:pt idx="92">
                  <c:v>1.6444444444444444</c:v>
                </c:pt>
                <c:pt idx="93">
                  <c:v>1.6444444444444444</c:v>
                </c:pt>
                <c:pt idx="94">
                  <c:v>1.6444444444444444</c:v>
                </c:pt>
                <c:pt idx="95">
                  <c:v>1.6444444444444444</c:v>
                </c:pt>
                <c:pt idx="96">
                  <c:v>1.6444444444444444</c:v>
                </c:pt>
                <c:pt idx="97">
                  <c:v>1.6444444444444444</c:v>
                </c:pt>
                <c:pt idx="98">
                  <c:v>1.6444444444444444</c:v>
                </c:pt>
                <c:pt idx="99">
                  <c:v>1.6444444444444444</c:v>
                </c:pt>
                <c:pt idx="100">
                  <c:v>1.6444444444444444</c:v>
                </c:pt>
              </c:numCache>
            </c:numRef>
          </c:val>
          <c:smooth val="0"/>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pt idx="21">
                  <c:v>105</c:v>
                </c:pt>
                <c:pt idx="22">
                  <c:v>110</c:v>
                </c:pt>
                <c:pt idx="23">
                  <c:v>115</c:v>
                </c:pt>
                <c:pt idx="24">
                  <c:v>120</c:v>
                </c:pt>
                <c:pt idx="25">
                  <c:v>125</c:v>
                </c:pt>
                <c:pt idx="26">
                  <c:v>130</c:v>
                </c:pt>
                <c:pt idx="27">
                  <c:v>135</c:v>
                </c:pt>
                <c:pt idx="28">
                  <c:v>140</c:v>
                </c:pt>
                <c:pt idx="29">
                  <c:v>145</c:v>
                </c:pt>
                <c:pt idx="30">
                  <c:v>150</c:v>
                </c:pt>
                <c:pt idx="31">
                  <c:v>155</c:v>
                </c:pt>
                <c:pt idx="32">
                  <c:v>160</c:v>
                </c:pt>
                <c:pt idx="33">
                  <c:v>165</c:v>
                </c:pt>
                <c:pt idx="34">
                  <c:v>170</c:v>
                </c:pt>
                <c:pt idx="35">
                  <c:v>175</c:v>
                </c:pt>
                <c:pt idx="36">
                  <c:v>180</c:v>
                </c:pt>
                <c:pt idx="37">
                  <c:v>185</c:v>
                </c:pt>
                <c:pt idx="38">
                  <c:v>190</c:v>
                </c:pt>
                <c:pt idx="39">
                  <c:v>195</c:v>
                </c:pt>
                <c:pt idx="40">
                  <c:v>200</c:v>
                </c:pt>
                <c:pt idx="41">
                  <c:v>205</c:v>
                </c:pt>
                <c:pt idx="42">
                  <c:v>210</c:v>
                </c:pt>
                <c:pt idx="43">
                  <c:v>215</c:v>
                </c:pt>
                <c:pt idx="44">
                  <c:v>220</c:v>
                </c:pt>
                <c:pt idx="45">
                  <c:v>225</c:v>
                </c:pt>
                <c:pt idx="46">
                  <c:v>230</c:v>
                </c:pt>
                <c:pt idx="47">
                  <c:v>235</c:v>
                </c:pt>
                <c:pt idx="48">
                  <c:v>240</c:v>
                </c:pt>
                <c:pt idx="49">
                  <c:v>245</c:v>
                </c:pt>
                <c:pt idx="50">
                  <c:v>250</c:v>
                </c:pt>
                <c:pt idx="51">
                  <c:v>255</c:v>
                </c:pt>
                <c:pt idx="52">
                  <c:v>260</c:v>
                </c:pt>
                <c:pt idx="53">
                  <c:v>265</c:v>
                </c:pt>
                <c:pt idx="54">
                  <c:v>270</c:v>
                </c:pt>
                <c:pt idx="55">
                  <c:v>275</c:v>
                </c:pt>
                <c:pt idx="56">
                  <c:v>280</c:v>
                </c:pt>
                <c:pt idx="57">
                  <c:v>285</c:v>
                </c:pt>
                <c:pt idx="58">
                  <c:v>290</c:v>
                </c:pt>
                <c:pt idx="59">
                  <c:v>295</c:v>
                </c:pt>
                <c:pt idx="60">
                  <c:v>300</c:v>
                </c:pt>
                <c:pt idx="61">
                  <c:v>305</c:v>
                </c:pt>
                <c:pt idx="62">
                  <c:v>310</c:v>
                </c:pt>
                <c:pt idx="63">
                  <c:v>315</c:v>
                </c:pt>
                <c:pt idx="64">
                  <c:v>320</c:v>
                </c:pt>
                <c:pt idx="65">
                  <c:v>325</c:v>
                </c:pt>
                <c:pt idx="66">
                  <c:v>330</c:v>
                </c:pt>
                <c:pt idx="67">
                  <c:v>335</c:v>
                </c:pt>
                <c:pt idx="68">
                  <c:v>340</c:v>
                </c:pt>
                <c:pt idx="69">
                  <c:v>345</c:v>
                </c:pt>
                <c:pt idx="70">
                  <c:v>350</c:v>
                </c:pt>
                <c:pt idx="71">
                  <c:v>355</c:v>
                </c:pt>
                <c:pt idx="72">
                  <c:v>360</c:v>
                </c:pt>
                <c:pt idx="73">
                  <c:v>365</c:v>
                </c:pt>
                <c:pt idx="74">
                  <c:v>370</c:v>
                </c:pt>
                <c:pt idx="75">
                  <c:v>375</c:v>
                </c:pt>
                <c:pt idx="76">
                  <c:v>380</c:v>
                </c:pt>
                <c:pt idx="77">
                  <c:v>385</c:v>
                </c:pt>
                <c:pt idx="78">
                  <c:v>390</c:v>
                </c:pt>
                <c:pt idx="79">
                  <c:v>395</c:v>
                </c:pt>
                <c:pt idx="80">
                  <c:v>400</c:v>
                </c:pt>
                <c:pt idx="81">
                  <c:v>405</c:v>
                </c:pt>
                <c:pt idx="82">
                  <c:v>410</c:v>
                </c:pt>
                <c:pt idx="83">
                  <c:v>415</c:v>
                </c:pt>
                <c:pt idx="84">
                  <c:v>420</c:v>
                </c:pt>
                <c:pt idx="85">
                  <c:v>425</c:v>
                </c:pt>
                <c:pt idx="86">
                  <c:v>430</c:v>
                </c:pt>
                <c:pt idx="87">
                  <c:v>435</c:v>
                </c:pt>
                <c:pt idx="88">
                  <c:v>440</c:v>
                </c:pt>
                <c:pt idx="89">
                  <c:v>445</c:v>
                </c:pt>
                <c:pt idx="90">
                  <c:v>450</c:v>
                </c:pt>
                <c:pt idx="91">
                  <c:v>455</c:v>
                </c:pt>
                <c:pt idx="92">
                  <c:v>460</c:v>
                </c:pt>
                <c:pt idx="93">
                  <c:v>465</c:v>
                </c:pt>
                <c:pt idx="94">
                  <c:v>470</c:v>
                </c:pt>
                <c:pt idx="95">
                  <c:v>475</c:v>
                </c:pt>
                <c:pt idx="96">
                  <c:v>480</c:v>
                </c:pt>
                <c:pt idx="97">
                  <c:v>485</c:v>
                </c:pt>
                <c:pt idx="98">
                  <c:v>490</c:v>
                </c:pt>
                <c:pt idx="99">
                  <c:v>495</c:v>
                </c:pt>
                <c:pt idx="100">
                  <c:v>500</c:v>
                </c:pt>
              </c:numCache>
            </c:numRef>
          </c:cat>
          <c:val>
            <c:numRef>
              <c:f>'Calculations - Dual'!$AJ$5:$AJ$105</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1.2468153454486002</c:v>
                </c:pt>
                <c:pt idx="8">
                  <c:v>1.2577193725327969</c:v>
                </c:pt>
                <c:pt idx="9">
                  <c:v>1.2679606586723067</c:v>
                </c:pt>
                <c:pt idx="10">
                  <c:v>1.2776471079398612</c:v>
                </c:pt>
                <c:pt idx="11">
                  <c:v>1.2868601791943883</c:v>
                </c:pt>
                <c:pt idx="12">
                  <c:v>1.2956631578663269</c:v>
                </c:pt>
                <c:pt idx="13">
                  <c:v>1.3041063715362875</c:v>
                </c:pt>
                <c:pt idx="14">
                  <c:v>1.3122306256131582</c:v>
                </c:pt>
                <c:pt idx="15">
                  <c:v>1.3200695496045776</c:v>
                </c:pt>
                <c:pt idx="16">
                  <c:v>1.3276512486001126</c:v>
                </c:pt>
                <c:pt idx="17">
                  <c:v>1.3349994960166625</c:v>
                </c:pt>
                <c:pt idx="18">
                  <c:v>1.342134614354751</c:v>
                </c:pt>
                <c:pt idx="19">
                  <c:v>1.3490741382645217</c:v>
                </c:pt>
                <c:pt idx="20">
                  <c:v>1.3558333222801655</c:v>
                </c:pt>
                <c:pt idx="21">
                  <c:v>1.3624255355096282</c:v>
                </c:pt>
                <c:pt idx="22">
                  <c:v>1.3688625725994275</c:v>
                </c:pt>
                <c:pt idx="23">
                  <c:v>1.3751549017097933</c:v>
                </c:pt>
                <c:pt idx="24">
                  <c:v>1.3813118644265638</c:v>
                </c:pt>
                <c:pt idx="25">
                  <c:v>1.3873418385279186</c:v>
                </c:pt>
                <c:pt idx="26">
                  <c:v>1.3932523717086363</c:v>
                </c:pt>
                <c:pt idx="27">
                  <c:v>1.3990502923550459</c:v>
                </c:pt>
                <c:pt idx="28">
                  <c:v>1.4047418020083118</c:v>
                </c:pt>
                <c:pt idx="29">
                  <c:v>1.4103325530852067</c:v>
                </c:pt>
                <c:pt idx="30">
                  <c:v>1.4158277146313887</c:v>
                </c:pt>
                <c:pt idx="31">
                  <c:v>1.4212320282852275</c:v>
                </c:pt>
                <c:pt idx="32">
                  <c:v>1.4265498561767049</c:v>
                </c:pt>
                <c:pt idx="33">
                  <c:v>1.4317852221379821</c:v>
                </c:pt>
                <c:pt idx="34">
                  <c:v>1.4369418473328628</c:v>
                </c:pt>
                <c:pt idx="35">
                  <c:v>1.4420231812020712</c:v>
                </c:pt>
                <c:pt idx="36">
                  <c:v>1.4470324284557246</c:v>
                </c:pt>
                <c:pt idx="37">
                  <c:v>1.4519725727131432</c:v>
                </c:pt>
                <c:pt idx="38">
                  <c:v>1.4568463972853347</c:v>
                </c:pt>
                <c:pt idx="39">
                  <c:v>1.4616565035112565</c:v>
                </c:pt>
                <c:pt idx="40">
                  <c:v>1.4664053269908337</c:v>
                </c:pt>
                <c:pt idx="41">
                  <c:v>1.4710951520022881</c:v>
                </c:pt>
                <c:pt idx="42">
                  <c:v>1.4757281243459952</c:v>
                </c:pt>
                <c:pt idx="43">
                  <c:v>1.4803062628197965</c:v>
                </c:pt>
                <c:pt idx="44">
                  <c:v>1.4848314694998879</c:v>
                </c:pt>
                <c:pt idx="45">
                  <c:v>1.4893055389758039</c:v>
                </c:pt>
                <c:pt idx="46">
                  <c:v>1.4937301666666822</c:v>
                </c:pt>
                <c:pt idx="47">
                  <c:v>1.4981069563281038</c:v>
                </c:pt>
                <c:pt idx="48">
                  <c:v>1.5024374268437648</c:v>
                </c:pt>
                <c:pt idx="49">
                  <c:v>1.5067230183835305</c:v>
                </c:pt>
                <c:pt idx="50">
                  <c:v>1.5109650979986591</c:v>
                </c:pt>
                <c:pt idx="51">
                  <c:v>1.5151649647158156</c:v>
                </c:pt>
                <c:pt idx="52">
                  <c:v>1.5193238541836862</c:v>
                </c:pt>
                <c:pt idx="53">
                  <c:v>1.523442942919297</c:v>
                </c:pt>
                <c:pt idx="54">
                  <c:v>1.5275233521954015</c:v>
                </c:pt>
                <c:pt idx="55">
                  <c:v>1.5315661516053309</c:v>
                </c:pt>
                <c:pt idx="56">
                  <c:v>1.5355723623374276</c:v>
                </c:pt>
                <c:pt idx="57">
                  <c:v>1.5395429601874635</c:v>
                </c:pt>
                <c:pt idx="58">
                  <c:v>1.5434788783342244</c:v>
                </c:pt>
                <c:pt idx="59">
                  <c:v>1.5473810099006242</c:v>
                </c:pt>
                <c:pt idx="60">
                  <c:v>1.5512502103202661</c:v>
                </c:pt>
                <c:pt idx="61">
                  <c:v>1.5550872995272123</c:v>
                </c:pt>
                <c:pt idx="62">
                  <c:v>1.5588930639848431</c:v>
                </c:pt>
                <c:pt idx="63">
                  <c:v>1.5626682585680232</c:v>
                </c:pt>
                <c:pt idx="64">
                  <c:v>1.5664136083113365</c:v>
                </c:pt>
                <c:pt idx="65">
                  <c:v>1.5701298100348537</c:v>
                </c:pt>
                <c:pt idx="66">
                  <c:v>1.5738175338577609</c:v>
                </c:pt>
                <c:pt idx="67">
                  <c:v>1.577477424609157</c:v>
                </c:pt>
                <c:pt idx="68">
                  <c:v>1.5811101031444359</c:v>
                </c:pt>
                <c:pt idx="69">
                  <c:v>1.5847161675748589</c:v>
                </c:pt>
                <c:pt idx="70">
                  <c:v>1.5882961944172163</c:v>
                </c:pt>
                <c:pt idx="71">
                  <c:v>1.591850739669834</c:v>
                </c:pt>
                <c:pt idx="72">
                  <c:v>1.595380339820613</c:v>
                </c:pt>
                <c:pt idx="73">
                  <c:v>1.5988855127922759</c:v>
                </c:pt>
                <c:pt idx="74">
                  <c:v>1.6023667588295341</c:v>
                </c:pt>
                <c:pt idx="75">
                  <c:v>1.6058245613324837</c:v>
                </c:pt>
                <c:pt idx="76">
                  <c:v>1.6092593876401546</c:v>
                </c:pt>
                <c:pt idx="77">
                  <c:v>1.6126716897678131</c:v>
                </c:pt>
                <c:pt idx="78">
                  <c:v>1.6160619051013085</c:v>
                </c:pt>
                <c:pt idx="79">
                  <c:v>1.6194304570514877</c:v>
                </c:pt>
                <c:pt idx="80">
                  <c:v>1.6227777556714422</c:v>
                </c:pt>
                <c:pt idx="81">
                  <c:v>1.6261041982391424</c:v>
                </c:pt>
                <c:pt idx="82">
                  <c:v>1.6294101698077978</c:v>
                </c:pt>
                <c:pt idx="83">
                  <c:v>1.6326960437261047</c:v>
                </c:pt>
                <c:pt idx="84">
                  <c:v>1.6359621821303676</c:v>
                </c:pt>
                <c:pt idx="85">
                  <c:v>1.6392089364103348</c:v>
                </c:pt>
                <c:pt idx="86">
                  <c:v>1.6424366476504395</c:v>
                </c:pt>
                <c:pt idx="87">
                  <c:v>1.6456456470480201</c:v>
                </c:pt>
                <c:pt idx="88">
                  <c:v>1.6488362563099663</c:v>
                </c:pt>
                <c:pt idx="89">
                  <c:v>1.6520087880291381</c:v>
                </c:pt>
                <c:pt idx="90">
                  <c:v>1.6551635460418062</c:v>
                </c:pt>
                <c:pt idx="91">
                  <c:v>1.6583008257672647</c:v>
                </c:pt>
                <c:pt idx="92">
                  <c:v>1.661420914530698</c:v>
                </c:pt>
                <c:pt idx="93">
                  <c:v>1.6645240918702933</c:v>
                </c:pt>
                <c:pt idx="94">
                  <c:v>1.6676106298295346</c:v>
                </c:pt>
                <c:pt idx="95">
                  <c:v>1.6706807932355388</c:v>
                </c:pt>
                <c:pt idx="96">
                  <c:v>1.6737348399642391</c:v>
                </c:pt>
                <c:pt idx="97">
                  <c:v>1.6767730211931724</c:v>
                </c:pt>
                <c:pt idx="98">
                  <c:v>1.6797955816425671</c:v>
                </c:pt>
                <c:pt idx="99">
                  <c:v>1.6444444444444444</c:v>
                </c:pt>
                <c:pt idx="100">
                  <c:v>1.6444444444444444</c:v>
                </c:pt>
              </c:numCache>
            </c:numRef>
          </c:val>
          <c:smooth val="0"/>
        </c:ser>
        <c:ser>
          <c:idx val="2"/>
          <c:order val="2"/>
          <c:tx>
            <c:v>VIN-max</c:v>
          </c:tx>
          <c:spPr>
            <a:ln>
              <a:solidFill>
                <a:srgbClr val="FF0000"/>
              </a:solidFill>
              <a:prstDash val="solid"/>
            </a:ln>
          </c:spPr>
          <c:marker>
            <c:symbol val="none"/>
          </c:marker>
          <c:val>
            <c:numRef>
              <c:f>'Calculations - Dual'!$AJ$216:$AJ$316</c:f>
              <c:numCache>
                <c:formatCode>0.000</c:formatCode>
                <c:ptCount val="101"/>
                <c:pt idx="0">
                  <c:v>1.0057142857142858</c:v>
                </c:pt>
                <c:pt idx="1">
                  <c:v>1.0303030303030303</c:v>
                </c:pt>
                <c:pt idx="2">
                  <c:v>1.0606060606060606</c:v>
                </c:pt>
                <c:pt idx="3">
                  <c:v>1.0909090909090908</c:v>
                </c:pt>
                <c:pt idx="4">
                  <c:v>1.1212121212121213</c:v>
                </c:pt>
                <c:pt idx="5">
                  <c:v>1.1515151515151516</c:v>
                </c:pt>
                <c:pt idx="6">
                  <c:v>1.1818181818181819</c:v>
                </c:pt>
                <c:pt idx="7">
                  <c:v>1.2468153454486002</c:v>
                </c:pt>
                <c:pt idx="8">
                  <c:v>1.2577193725327969</c:v>
                </c:pt>
                <c:pt idx="9">
                  <c:v>1.2679606586723067</c:v>
                </c:pt>
                <c:pt idx="10">
                  <c:v>1.2776471079398612</c:v>
                </c:pt>
                <c:pt idx="11">
                  <c:v>1.2868601791943883</c:v>
                </c:pt>
                <c:pt idx="12">
                  <c:v>1.2956631578663269</c:v>
                </c:pt>
                <c:pt idx="13">
                  <c:v>1.3041063715362875</c:v>
                </c:pt>
                <c:pt idx="14">
                  <c:v>1.3122306256131582</c:v>
                </c:pt>
                <c:pt idx="15">
                  <c:v>1.3200695496045776</c:v>
                </c:pt>
                <c:pt idx="16">
                  <c:v>1.3276512486001126</c:v>
                </c:pt>
                <c:pt idx="17">
                  <c:v>1.3349994960166625</c:v>
                </c:pt>
                <c:pt idx="18">
                  <c:v>1.342134614354751</c:v>
                </c:pt>
                <c:pt idx="19">
                  <c:v>1.3490741382645217</c:v>
                </c:pt>
                <c:pt idx="20">
                  <c:v>1.3558333222801655</c:v>
                </c:pt>
                <c:pt idx="21">
                  <c:v>1.3624255355096282</c:v>
                </c:pt>
                <c:pt idx="22">
                  <c:v>1.3688625725994275</c:v>
                </c:pt>
                <c:pt idx="23">
                  <c:v>1.3751549017097933</c:v>
                </c:pt>
                <c:pt idx="24">
                  <c:v>1.3813118644265638</c:v>
                </c:pt>
                <c:pt idx="25">
                  <c:v>1.3873418385279186</c:v>
                </c:pt>
                <c:pt idx="26">
                  <c:v>1.3932523717086363</c:v>
                </c:pt>
                <c:pt idx="27">
                  <c:v>1.3990502923550459</c:v>
                </c:pt>
                <c:pt idx="28">
                  <c:v>1.4047418020083118</c:v>
                </c:pt>
                <c:pt idx="29">
                  <c:v>1.4103325530852067</c:v>
                </c:pt>
                <c:pt idx="30">
                  <c:v>1.4158277146313887</c:v>
                </c:pt>
                <c:pt idx="31">
                  <c:v>1.4212320282852275</c:v>
                </c:pt>
                <c:pt idx="32">
                  <c:v>1.4265498561767049</c:v>
                </c:pt>
                <c:pt idx="33">
                  <c:v>1.4317852221379821</c:v>
                </c:pt>
                <c:pt idx="34">
                  <c:v>1.4369418473328628</c:v>
                </c:pt>
                <c:pt idx="35">
                  <c:v>1.4420231812020712</c:v>
                </c:pt>
                <c:pt idx="36">
                  <c:v>1.4470324284557246</c:v>
                </c:pt>
                <c:pt idx="37">
                  <c:v>1.4519725727131432</c:v>
                </c:pt>
                <c:pt idx="38">
                  <c:v>1.4568463972853347</c:v>
                </c:pt>
                <c:pt idx="39">
                  <c:v>1.4616565035112565</c:v>
                </c:pt>
                <c:pt idx="40">
                  <c:v>1.4664053269908337</c:v>
                </c:pt>
                <c:pt idx="41">
                  <c:v>1.4710951520022881</c:v>
                </c:pt>
                <c:pt idx="42">
                  <c:v>1.4757281243459952</c:v>
                </c:pt>
                <c:pt idx="43">
                  <c:v>1.4803062628197965</c:v>
                </c:pt>
                <c:pt idx="44">
                  <c:v>1.4848314694998879</c:v>
                </c:pt>
                <c:pt idx="45">
                  <c:v>1.4893055389758039</c:v>
                </c:pt>
                <c:pt idx="46">
                  <c:v>1.4937301666666822</c:v>
                </c:pt>
                <c:pt idx="47">
                  <c:v>1.4981069563281038</c:v>
                </c:pt>
                <c:pt idx="48">
                  <c:v>1.5024374268437648</c:v>
                </c:pt>
                <c:pt idx="49">
                  <c:v>1.5067230183835305</c:v>
                </c:pt>
                <c:pt idx="50">
                  <c:v>1.5109650979986591</c:v>
                </c:pt>
                <c:pt idx="51">
                  <c:v>1.5151649647158156</c:v>
                </c:pt>
                <c:pt idx="52">
                  <c:v>1.5193238541836862</c:v>
                </c:pt>
                <c:pt idx="53">
                  <c:v>1.523442942919297</c:v>
                </c:pt>
                <c:pt idx="54">
                  <c:v>1.5275233521954015</c:v>
                </c:pt>
                <c:pt idx="55">
                  <c:v>1.5315661516053309</c:v>
                </c:pt>
                <c:pt idx="56">
                  <c:v>1.5355723623374276</c:v>
                </c:pt>
                <c:pt idx="57">
                  <c:v>1.5395429601874635</c:v>
                </c:pt>
                <c:pt idx="58">
                  <c:v>1.5434788783342244</c:v>
                </c:pt>
                <c:pt idx="59">
                  <c:v>1.5473810099006242</c:v>
                </c:pt>
                <c:pt idx="60">
                  <c:v>1.5512502103202661</c:v>
                </c:pt>
                <c:pt idx="61">
                  <c:v>1.5550872995272123</c:v>
                </c:pt>
                <c:pt idx="62">
                  <c:v>1.5588930639848431</c:v>
                </c:pt>
                <c:pt idx="63">
                  <c:v>1.5626682585680232</c:v>
                </c:pt>
                <c:pt idx="64">
                  <c:v>1.5664136083113365</c:v>
                </c:pt>
                <c:pt idx="65">
                  <c:v>1.5701298100348537</c:v>
                </c:pt>
                <c:pt idx="66">
                  <c:v>1.5738175338577609</c:v>
                </c:pt>
                <c:pt idx="67">
                  <c:v>1.577477424609157</c:v>
                </c:pt>
                <c:pt idx="68">
                  <c:v>1.5811101031444359</c:v>
                </c:pt>
                <c:pt idx="69">
                  <c:v>1.5847161675748589</c:v>
                </c:pt>
                <c:pt idx="70">
                  <c:v>1.5882961944172163</c:v>
                </c:pt>
                <c:pt idx="71">
                  <c:v>1.591850739669834</c:v>
                </c:pt>
                <c:pt idx="72">
                  <c:v>1.595380339820613</c:v>
                </c:pt>
                <c:pt idx="73">
                  <c:v>1.5988855127922759</c:v>
                </c:pt>
                <c:pt idx="74">
                  <c:v>1.6023667588295341</c:v>
                </c:pt>
                <c:pt idx="75">
                  <c:v>1.6058245613324837</c:v>
                </c:pt>
                <c:pt idx="76">
                  <c:v>1.6092593876401546</c:v>
                </c:pt>
                <c:pt idx="77">
                  <c:v>1.6126716897678131</c:v>
                </c:pt>
                <c:pt idx="78">
                  <c:v>1.6160619051013085</c:v>
                </c:pt>
                <c:pt idx="79">
                  <c:v>1.6194304570514877</c:v>
                </c:pt>
                <c:pt idx="80">
                  <c:v>1.6227777556714422</c:v>
                </c:pt>
                <c:pt idx="81">
                  <c:v>1.6261041982391424</c:v>
                </c:pt>
                <c:pt idx="82">
                  <c:v>1.6294101698077978</c:v>
                </c:pt>
                <c:pt idx="83">
                  <c:v>1.6326960437261047</c:v>
                </c:pt>
                <c:pt idx="84">
                  <c:v>1.6359621821303676</c:v>
                </c:pt>
                <c:pt idx="85">
                  <c:v>1.6444444444444444</c:v>
                </c:pt>
                <c:pt idx="86">
                  <c:v>1.6444444444444444</c:v>
                </c:pt>
                <c:pt idx="87">
                  <c:v>1.6444444444444444</c:v>
                </c:pt>
                <c:pt idx="88">
                  <c:v>1.6444444444444444</c:v>
                </c:pt>
                <c:pt idx="89">
                  <c:v>1.6444444444444444</c:v>
                </c:pt>
                <c:pt idx="90">
                  <c:v>1.6444444444444444</c:v>
                </c:pt>
                <c:pt idx="91">
                  <c:v>1.6444444444444444</c:v>
                </c:pt>
                <c:pt idx="92">
                  <c:v>1.6444444444444444</c:v>
                </c:pt>
                <c:pt idx="93">
                  <c:v>1.6444444444444444</c:v>
                </c:pt>
                <c:pt idx="94">
                  <c:v>1.6444444444444444</c:v>
                </c:pt>
                <c:pt idx="95">
                  <c:v>1.6444444444444444</c:v>
                </c:pt>
                <c:pt idx="96">
                  <c:v>1.6444444444444444</c:v>
                </c:pt>
                <c:pt idx="97">
                  <c:v>1.6444444444444444</c:v>
                </c:pt>
                <c:pt idx="98">
                  <c:v>1.6444444444444444</c:v>
                </c:pt>
                <c:pt idx="99">
                  <c:v>1.6444444444444444</c:v>
                </c:pt>
                <c:pt idx="100">
                  <c:v>1.6444444444444444</c:v>
                </c:pt>
              </c:numCache>
            </c:numRef>
          </c:val>
          <c:smooth val="0"/>
        </c:ser>
        <c:dLbls>
          <c:showLegendKey val="0"/>
          <c:showVal val="0"/>
          <c:showCatName val="0"/>
          <c:showSerName val="0"/>
          <c:showPercent val="0"/>
          <c:showBubbleSize val="0"/>
        </c:dLbls>
        <c:marker val="1"/>
        <c:smooth val="0"/>
        <c:axId val="318962304"/>
        <c:axId val="318968576"/>
      </c:lineChart>
      <c:catAx>
        <c:axId val="31896230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968576"/>
        <c:crosses val="autoZero"/>
        <c:auto val="1"/>
        <c:lblAlgn val="ctr"/>
        <c:lblOffset val="100"/>
        <c:tickLblSkip val="20"/>
        <c:tickMarkSkip val="10"/>
        <c:noMultiLvlLbl val="0"/>
      </c:catAx>
      <c:valAx>
        <c:axId val="318968576"/>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318962304"/>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Dual'!$CE$5:$CE$105</c:f>
              <c:numCache>
                <c:formatCode>General</c:formatCode>
                <c:ptCount val="101"/>
                <c:pt idx="0">
                  <c:v>0</c:v>
                </c:pt>
                <c:pt idx="1">
                  <c:v>1</c:v>
                </c:pt>
                <c:pt idx="2">
                  <c:v>2</c:v>
                </c:pt>
                <c:pt idx="3">
                  <c:v>3</c:v>
                </c:pt>
                <c:pt idx="4">
                  <c:v>4</c:v>
                </c:pt>
                <c:pt idx="5">
                  <c:v>5</c:v>
                </c:pt>
                <c:pt idx="6">
                  <c:v>6</c:v>
                </c:pt>
                <c:pt idx="7">
                  <c:v>7.0000000000000009</c:v>
                </c:pt>
                <c:pt idx="8">
                  <c:v>8</c:v>
                </c:pt>
                <c:pt idx="9">
                  <c:v>9</c:v>
                </c:pt>
                <c:pt idx="10">
                  <c:v>10</c:v>
                </c:pt>
                <c:pt idx="11">
                  <c:v>11</c:v>
                </c:pt>
                <c:pt idx="12">
                  <c:v>12</c:v>
                </c:pt>
                <c:pt idx="13">
                  <c:v>13</c:v>
                </c:pt>
                <c:pt idx="14">
                  <c:v>14.000000000000002</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Dual'!$CD$5:$CD$105</c:f>
              <c:numCache>
                <c:formatCode>0.00</c:formatCode>
                <c:ptCount val="101"/>
                <c:pt idx="0">
                  <c:v>5.4777871255089702E-5</c:v>
                </c:pt>
                <c:pt idx="1">
                  <c:v>64.700665006639497</c:v>
                </c:pt>
                <c:pt idx="2">
                  <c:v>72.571120955702327</c:v>
                </c:pt>
                <c:pt idx="3">
                  <c:v>75.620064391165471</c:v>
                </c:pt>
                <c:pt idx="4">
                  <c:v>76.464139780100197</c:v>
                </c:pt>
                <c:pt idx="5">
                  <c:v>76.276273221617473</c:v>
                </c:pt>
                <c:pt idx="6">
                  <c:v>75.957848244763298</c:v>
                </c:pt>
                <c:pt idx="7">
                  <c:v>76.22471443375089</c:v>
                </c:pt>
                <c:pt idx="8">
                  <c:v>77.288897750511566</c:v>
                </c:pt>
                <c:pt idx="9">
                  <c:v>78.150756710712471</c:v>
                </c:pt>
                <c:pt idx="10">
                  <c:v>78.864595867459144</c:v>
                </c:pt>
                <c:pt idx="11">
                  <c:v>79.466690173586855</c:v>
                </c:pt>
                <c:pt idx="12">
                  <c:v>79.982231780670091</c:v>
                </c:pt>
                <c:pt idx="13">
                  <c:v>80.429285002312483</c:v>
                </c:pt>
                <c:pt idx="14">
                  <c:v>80.82115503315174</c:v>
                </c:pt>
                <c:pt idx="15">
                  <c:v>81.167867726646023</c:v>
                </c:pt>
                <c:pt idx="16">
                  <c:v>81.477127594315263</c:v>
                </c:pt>
                <c:pt idx="17">
                  <c:v>81.754957259911592</c:v>
                </c:pt>
                <c:pt idx="18">
                  <c:v>82.006135754225213</c:v>
                </c:pt>
                <c:pt idx="19">
                  <c:v>82.234505987281509</c:v>
                </c:pt>
                <c:pt idx="20">
                  <c:v>82.443194914878219</c:v>
                </c:pt>
                <c:pt idx="21">
                  <c:v>82.634774093035531</c:v>
                </c:pt>
                <c:pt idx="22">
                  <c:v>82.811378690677145</c:v>
                </c:pt>
                <c:pt idx="23">
                  <c:v>82.974797018228074</c:v>
                </c:pt>
                <c:pt idx="24">
                  <c:v>83.126538781233748</c:v>
                </c:pt>
                <c:pt idx="25">
                  <c:v>83.267887750484334</c:v>
                </c:pt>
                <c:pt idx="26">
                  <c:v>83.399942860390439</c:v>
                </c:pt>
                <c:pt idx="27">
                  <c:v>83.523650606353655</c:v>
                </c:pt>
                <c:pt idx="28">
                  <c:v>83.639830824004662</c:v>
                </c:pt>
                <c:pt idx="29">
                  <c:v>83.749197380895879</c:v>
                </c:pt>
                <c:pt idx="30">
                  <c:v>83.852374918686479</c:v>
                </c:pt>
                <c:pt idx="31">
                  <c:v>83.949912501243176</c:v>
                </c:pt>
                <c:pt idx="32">
                  <c:v>84.042294818181247</c:v>
                </c:pt>
                <c:pt idx="33">
                  <c:v>84.129951441696122</c:v>
                </c:pt>
                <c:pt idx="34">
                  <c:v>84.213264521647176</c:v>
                </c:pt>
                <c:pt idx="35">
                  <c:v>84.292575219024869</c:v>
                </c:pt>
                <c:pt idx="36">
                  <c:v>84.368189113605524</c:v>
                </c:pt>
                <c:pt idx="37">
                  <c:v>84.440380772406897</c:v>
                </c:pt>
                <c:pt idx="38">
                  <c:v>84.509397627639487</c:v>
                </c:pt>
                <c:pt idx="39">
                  <c:v>84.575463283400822</c:v>
                </c:pt>
                <c:pt idx="40">
                  <c:v>84.638780347326161</c:v>
                </c:pt>
                <c:pt idx="41">
                  <c:v>84.69953286527408</c:v>
                </c:pt>
                <c:pt idx="42">
                  <c:v>84.757888422754093</c:v>
                </c:pt>
                <c:pt idx="43">
                  <c:v>84.813999965347705</c:v>
                </c:pt>
                <c:pt idx="44">
                  <c:v>84.868007381189869</c:v>
                </c:pt>
                <c:pt idx="45">
                  <c:v>84.920038881173681</c:v>
                </c:pt>
                <c:pt idx="46">
                  <c:v>84.970212206543167</c:v>
                </c:pt>
                <c:pt idx="47">
                  <c:v>85.018635688653518</c:v>
                </c:pt>
                <c:pt idx="48">
                  <c:v>85.065409181683179</c:v>
                </c:pt>
                <c:pt idx="49">
                  <c:v>85.110624885796881</c:v>
                </c:pt>
                <c:pt idx="50">
                  <c:v>85.154368075550352</c:v>
                </c:pt>
                <c:pt idx="51">
                  <c:v>85.196717746080154</c:v>
                </c:pt>
                <c:pt idx="52">
                  <c:v>85.237747187754238</c:v>
                </c:pt>
                <c:pt idx="53">
                  <c:v>85.293236882244187</c:v>
                </c:pt>
                <c:pt idx="54">
                  <c:v>85.432188812400639</c:v>
                </c:pt>
                <c:pt idx="55">
                  <c:v>85.56468444406508</c:v>
                </c:pt>
                <c:pt idx="56">
                  <c:v>85.691125992211354</c:v>
                </c:pt>
                <c:pt idx="57">
                  <c:v>85.811884561812434</c:v>
                </c:pt>
                <c:pt idx="58">
                  <c:v>85.927302991909428</c:v>
                </c:pt>
                <c:pt idx="59">
                  <c:v>86.037698402205663</c:v>
                </c:pt>
                <c:pt idx="60">
                  <c:v>86.143364476963697</c:v>
                </c:pt>
                <c:pt idx="61">
                  <c:v>86.244573516517931</c:v>
                </c:pt>
                <c:pt idx="62">
                  <c:v>86.341578282872419</c:v>
                </c:pt>
                <c:pt idx="63">
                  <c:v>86.43461366253679</c:v>
                </c:pt>
                <c:pt idx="64">
                  <c:v>86.523898166888273</c:v>
                </c:pt>
                <c:pt idx="65">
                  <c:v>86.589024131861009</c:v>
                </c:pt>
                <c:pt idx="66">
                  <c:v>86.647490352234556</c:v>
                </c:pt>
                <c:pt idx="67">
                  <c:v>86.704320212547188</c:v>
                </c:pt>
                <c:pt idx="68">
                  <c:v>86.759577717621568</c:v>
                </c:pt>
                <c:pt idx="69">
                  <c:v>86.813323619728507</c:v>
                </c:pt>
                <c:pt idx="70">
                  <c:v>86.865615623091216</c:v>
                </c:pt>
                <c:pt idx="71">
                  <c:v>86.916508572996122</c:v>
                </c:pt>
                <c:pt idx="72">
                  <c:v>86.966054630863411</c:v>
                </c:pt>
                <c:pt idx="73">
                  <c:v>87.014303436493918</c:v>
                </c:pt>
                <c:pt idx="74">
                  <c:v>87.06130225858918</c:v>
                </c:pt>
                <c:pt idx="75">
                  <c:v>87.107096134533009</c:v>
                </c:pt>
                <c:pt idx="76">
                  <c:v>87.15172800032866</c:v>
                </c:pt>
                <c:pt idx="77">
                  <c:v>87.195238811500104</c:v>
                </c:pt>
                <c:pt idx="78">
                  <c:v>87.237667655689407</c:v>
                </c:pt>
                <c:pt idx="79">
                  <c:v>87.279051857615869</c:v>
                </c:pt>
                <c:pt idx="80">
                  <c:v>87.319427076999645</c:v>
                </c:pt>
                <c:pt idx="81">
                  <c:v>87.358827399999925</c:v>
                </c:pt>
                <c:pt idx="82">
                  <c:v>87.39728542466743</c:v>
                </c:pt>
                <c:pt idx="83">
                  <c:v>87.434832340867644</c:v>
                </c:pt>
                <c:pt idx="84">
                  <c:v>87.471498005090922</c:v>
                </c:pt>
                <c:pt idx="85">
                  <c:v>87.50731101053033</c:v>
                </c:pt>
                <c:pt idx="86">
                  <c:v>87.54229875277521</c:v>
                </c:pt>
                <c:pt idx="87">
                  <c:v>87.576487491439607</c:v>
                </c:pt>
                <c:pt idx="88">
                  <c:v>87.609902408017817</c:v>
                </c:pt>
                <c:pt idx="89">
                  <c:v>87.642567660235827</c:v>
                </c:pt>
                <c:pt idx="90">
                  <c:v>87.674506433144828</c:v>
                </c:pt>
                <c:pt idx="91">
                  <c:v>87.705740987184086</c:v>
                </c:pt>
                <c:pt idx="92">
                  <c:v>87.736292703421626</c:v>
                </c:pt>
                <c:pt idx="93">
                  <c:v>87.766182126165333</c:v>
                </c:pt>
                <c:pt idx="94">
                  <c:v>87.795429003121768</c:v>
                </c:pt>
                <c:pt idx="95">
                  <c:v>87.824052323266685</c:v>
                </c:pt>
                <c:pt idx="96">
                  <c:v>87.85207035257821</c:v>
                </c:pt>
                <c:pt idx="97">
                  <c:v>87.800255220934957</c:v>
                </c:pt>
                <c:pt idx="98">
                  <c:v>87.717187883888201</c:v>
                </c:pt>
                <c:pt idx="99">
                  <c:v>88.322432745804036</c:v>
                </c:pt>
                <c:pt idx="100">
                  <c:v>88.292561670519376</c:v>
                </c:pt>
              </c:numCache>
            </c:numRef>
          </c:val>
          <c:smooth val="0"/>
        </c:ser>
        <c:dLbls>
          <c:showLegendKey val="0"/>
          <c:showVal val="0"/>
          <c:showCatName val="0"/>
          <c:showSerName val="0"/>
          <c:showPercent val="0"/>
          <c:showBubbleSize val="0"/>
        </c:dLbls>
        <c:marker val="1"/>
        <c:smooth val="0"/>
        <c:axId val="319021440"/>
        <c:axId val="319023360"/>
      </c:lineChart>
      <c:lineChart>
        <c:grouping val="standard"/>
        <c:varyColors val="0"/>
        <c:ser>
          <c:idx val="2"/>
          <c:order val="1"/>
          <c:tx>
            <c:strRef>
              <c:f>'Calculations - Dual'!$BO$3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Dual'!$BS$5:$BS$105</c:f>
              <c:numCache>
                <c:formatCode>0.0</c:formatCode>
                <c:ptCount val="101"/>
                <c:pt idx="0">
                  <c:v>5.4599999999999994E-7</c:v>
                </c:pt>
                <c:pt idx="1">
                  <c:v>2.7300000000000004</c:v>
                </c:pt>
                <c:pt idx="2">
                  <c:v>5.4600000000000009</c:v>
                </c:pt>
                <c:pt idx="3">
                  <c:v>8.19</c:v>
                </c:pt>
                <c:pt idx="4">
                  <c:v>10.920000000000002</c:v>
                </c:pt>
                <c:pt idx="5">
                  <c:v>13.65</c:v>
                </c:pt>
                <c:pt idx="6">
                  <c:v>16.38</c:v>
                </c:pt>
                <c:pt idx="7">
                  <c:v>19.110000000000003</c:v>
                </c:pt>
                <c:pt idx="8">
                  <c:v>21.840000000000003</c:v>
                </c:pt>
                <c:pt idx="9">
                  <c:v>24.57</c:v>
                </c:pt>
                <c:pt idx="10">
                  <c:v>27.3</c:v>
                </c:pt>
                <c:pt idx="11">
                  <c:v>30.03</c:v>
                </c:pt>
                <c:pt idx="12">
                  <c:v>32.76</c:v>
                </c:pt>
                <c:pt idx="13">
                  <c:v>35.49</c:v>
                </c:pt>
                <c:pt idx="14">
                  <c:v>38.220000000000006</c:v>
                </c:pt>
                <c:pt idx="15">
                  <c:v>40.950000000000003</c:v>
                </c:pt>
                <c:pt idx="16">
                  <c:v>43.680000000000007</c:v>
                </c:pt>
                <c:pt idx="17">
                  <c:v>46.410000000000004</c:v>
                </c:pt>
                <c:pt idx="18">
                  <c:v>49.14</c:v>
                </c:pt>
                <c:pt idx="19">
                  <c:v>51.87</c:v>
                </c:pt>
                <c:pt idx="20">
                  <c:v>54.6</c:v>
                </c:pt>
                <c:pt idx="21">
                  <c:v>57.33</c:v>
                </c:pt>
                <c:pt idx="22">
                  <c:v>60.06</c:v>
                </c:pt>
                <c:pt idx="23">
                  <c:v>62.790000000000013</c:v>
                </c:pt>
                <c:pt idx="24">
                  <c:v>65.52</c:v>
                </c:pt>
                <c:pt idx="25">
                  <c:v>68.25</c:v>
                </c:pt>
                <c:pt idx="26">
                  <c:v>70.98</c:v>
                </c:pt>
                <c:pt idx="27">
                  <c:v>73.710000000000008</c:v>
                </c:pt>
                <c:pt idx="28">
                  <c:v>76.440000000000012</c:v>
                </c:pt>
                <c:pt idx="29">
                  <c:v>79.169999999999987</c:v>
                </c:pt>
                <c:pt idx="30">
                  <c:v>81.900000000000006</c:v>
                </c:pt>
                <c:pt idx="31">
                  <c:v>84.63</c:v>
                </c:pt>
                <c:pt idx="32">
                  <c:v>87.360000000000014</c:v>
                </c:pt>
                <c:pt idx="33">
                  <c:v>90.09</c:v>
                </c:pt>
                <c:pt idx="34">
                  <c:v>92.820000000000007</c:v>
                </c:pt>
                <c:pt idx="35">
                  <c:v>95.55</c:v>
                </c:pt>
                <c:pt idx="36">
                  <c:v>98.28</c:v>
                </c:pt>
                <c:pt idx="37">
                  <c:v>101.01</c:v>
                </c:pt>
                <c:pt idx="38">
                  <c:v>103.74</c:v>
                </c:pt>
                <c:pt idx="39">
                  <c:v>106.47</c:v>
                </c:pt>
                <c:pt idx="40">
                  <c:v>109.2</c:v>
                </c:pt>
                <c:pt idx="41">
                  <c:v>111.92999999999999</c:v>
                </c:pt>
                <c:pt idx="42">
                  <c:v>114.66</c:v>
                </c:pt>
                <c:pt idx="43">
                  <c:v>117.39000000000001</c:v>
                </c:pt>
                <c:pt idx="44">
                  <c:v>120.12</c:v>
                </c:pt>
                <c:pt idx="45">
                  <c:v>122.85000000000001</c:v>
                </c:pt>
                <c:pt idx="46">
                  <c:v>125.58000000000003</c:v>
                </c:pt>
                <c:pt idx="47">
                  <c:v>128.30999999999997</c:v>
                </c:pt>
                <c:pt idx="48">
                  <c:v>131.04</c:v>
                </c:pt>
                <c:pt idx="49">
                  <c:v>133.77000000000001</c:v>
                </c:pt>
                <c:pt idx="50">
                  <c:v>136.5</c:v>
                </c:pt>
                <c:pt idx="51">
                  <c:v>139.22999999999999</c:v>
                </c:pt>
                <c:pt idx="52">
                  <c:v>141.96</c:v>
                </c:pt>
                <c:pt idx="53">
                  <c:v>144.69000000000003</c:v>
                </c:pt>
                <c:pt idx="54">
                  <c:v>147.42000000000002</c:v>
                </c:pt>
                <c:pt idx="55">
                  <c:v>150.15</c:v>
                </c:pt>
                <c:pt idx="56">
                  <c:v>152.88000000000002</c:v>
                </c:pt>
                <c:pt idx="57">
                  <c:v>155.60999999999999</c:v>
                </c:pt>
                <c:pt idx="58">
                  <c:v>158.33999999999997</c:v>
                </c:pt>
                <c:pt idx="59">
                  <c:v>161.07</c:v>
                </c:pt>
                <c:pt idx="60">
                  <c:v>163.80000000000001</c:v>
                </c:pt>
                <c:pt idx="61">
                  <c:v>166.53</c:v>
                </c:pt>
                <c:pt idx="62">
                  <c:v>169.26</c:v>
                </c:pt>
                <c:pt idx="63">
                  <c:v>171.99</c:v>
                </c:pt>
                <c:pt idx="64">
                  <c:v>174.72000000000003</c:v>
                </c:pt>
                <c:pt idx="65">
                  <c:v>177.45000000000002</c:v>
                </c:pt>
                <c:pt idx="66">
                  <c:v>180.18</c:v>
                </c:pt>
                <c:pt idx="67">
                  <c:v>182.91000000000003</c:v>
                </c:pt>
                <c:pt idx="68">
                  <c:v>185.64000000000001</c:v>
                </c:pt>
                <c:pt idx="69">
                  <c:v>188.37</c:v>
                </c:pt>
                <c:pt idx="70">
                  <c:v>191.1</c:v>
                </c:pt>
                <c:pt idx="71">
                  <c:v>193.83</c:v>
                </c:pt>
                <c:pt idx="72">
                  <c:v>196.56</c:v>
                </c:pt>
                <c:pt idx="73">
                  <c:v>199.29</c:v>
                </c:pt>
                <c:pt idx="74">
                  <c:v>202.02</c:v>
                </c:pt>
                <c:pt idx="75">
                  <c:v>204.75</c:v>
                </c:pt>
                <c:pt idx="76">
                  <c:v>207.48</c:v>
                </c:pt>
                <c:pt idx="77">
                  <c:v>210.20999999999998</c:v>
                </c:pt>
                <c:pt idx="78">
                  <c:v>212.94</c:v>
                </c:pt>
                <c:pt idx="79">
                  <c:v>215.67</c:v>
                </c:pt>
                <c:pt idx="80">
                  <c:v>218.4</c:v>
                </c:pt>
                <c:pt idx="81">
                  <c:v>221.13</c:v>
                </c:pt>
                <c:pt idx="82">
                  <c:v>223.85999999999999</c:v>
                </c:pt>
                <c:pt idx="83">
                  <c:v>226.58999999999997</c:v>
                </c:pt>
                <c:pt idx="84">
                  <c:v>229.32</c:v>
                </c:pt>
                <c:pt idx="85">
                  <c:v>232.05</c:v>
                </c:pt>
                <c:pt idx="86">
                  <c:v>234.78000000000003</c:v>
                </c:pt>
                <c:pt idx="87">
                  <c:v>237.51000000000002</c:v>
                </c:pt>
                <c:pt idx="88">
                  <c:v>240.24</c:v>
                </c:pt>
                <c:pt idx="89">
                  <c:v>242.97000000000003</c:v>
                </c:pt>
                <c:pt idx="90">
                  <c:v>245.70000000000002</c:v>
                </c:pt>
                <c:pt idx="91">
                  <c:v>248.43000000000004</c:v>
                </c:pt>
                <c:pt idx="92">
                  <c:v>251.16000000000005</c:v>
                </c:pt>
                <c:pt idx="93">
                  <c:v>253.89000000000001</c:v>
                </c:pt>
                <c:pt idx="94">
                  <c:v>256.61999999999995</c:v>
                </c:pt>
                <c:pt idx="95">
                  <c:v>259.34999999999997</c:v>
                </c:pt>
                <c:pt idx="96">
                  <c:v>262.08</c:v>
                </c:pt>
                <c:pt idx="97">
                  <c:v>264.81</c:v>
                </c:pt>
                <c:pt idx="98">
                  <c:v>267.54000000000002</c:v>
                </c:pt>
                <c:pt idx="99">
                  <c:v>270.27</c:v>
                </c:pt>
                <c:pt idx="100">
                  <c:v>273</c:v>
                </c:pt>
              </c:numCache>
            </c:numRef>
          </c:val>
          <c:smooth val="0"/>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Dual'!$BN$5:$BN$105</c:f>
              <c:numCache>
                <c:formatCode>0.0</c:formatCode>
                <c:ptCount val="101"/>
                <c:pt idx="0">
                  <c:v>8.3304328681357003</c:v>
                </c:pt>
                <c:pt idx="1">
                  <c:v>14.227525249697822</c:v>
                </c:pt>
                <c:pt idx="2">
                  <c:v>21.495243304006554</c:v>
                </c:pt>
                <c:pt idx="3">
                  <c:v>28.763154170598856</c:v>
                </c:pt>
                <c:pt idx="4">
                  <c:v>36.779567714859731</c:v>
                </c:pt>
                <c:pt idx="5">
                  <c:v>45.847552726213742</c:v>
                </c:pt>
                <c:pt idx="6">
                  <c:v>55.402289071081597</c:v>
                </c:pt>
                <c:pt idx="7">
                  <c:v>62.071273024641656</c:v>
                </c:pt>
                <c:pt idx="8">
                  <c:v>63.793852801860297</c:v>
                </c:pt>
                <c:pt idx="9">
                  <c:v>65.435275390598662</c:v>
                </c:pt>
                <c:pt idx="10">
                  <c:v>67.010059069636668</c:v>
                </c:pt>
                <c:pt idx="11">
                  <c:v>68.529103003497781</c:v>
                </c:pt>
                <c:pt idx="12">
                  <c:v>70.000827593896204</c:v>
                </c:pt>
                <c:pt idx="13">
                  <c:v>71.431891783256575</c:v>
                </c:pt>
                <c:pt idx="14">
                  <c:v>72.82766443901771</c:v>
                </c:pt>
                <c:pt idx="15">
                  <c:v>74.192545500127778</c:v>
                </c:pt>
                <c:pt idx="16">
                  <c:v>75.530191484739944</c:v>
                </c:pt>
                <c:pt idx="17">
                  <c:v>76.84367796884419</c:v>
                </c:pt>
                <c:pt idx="18">
                  <c:v>78.135619278068063</c:v>
                </c:pt>
                <c:pt idx="19">
                  <c:v>79.408258380319097</c:v>
                </c:pt>
                <c:pt idx="20">
                  <c:v>80.663535554852956</c:v>
                </c:pt>
                <c:pt idx="21">
                  <c:v>81.903141644252017</c:v>
                </c:pt>
                <c:pt idx="22">
                  <c:v>83.128559909173589</c:v>
                </c:pt>
                <c:pt idx="23">
                  <c:v>84.341099324435874</c:v>
                </c:pt>
                <c:pt idx="24">
                  <c:v>85.541921356712365</c:v>
                </c:pt>
                <c:pt idx="25">
                  <c:v>86.732061713946194</c:v>
                </c:pt>
                <c:pt idx="26">
                  <c:v>87.912448170668995</c:v>
                </c:pt>
                <c:pt idx="27">
                  <c:v>89.083915298302259</c:v>
                </c:pt>
                <c:pt idx="28">
                  <c:v>90.247216730510345</c:v>
                </c:pt>
                <c:pt idx="29">
                  <c:v>91.403035447771714</c:v>
                </c:pt>
                <c:pt idx="30">
                  <c:v>92.551992457034189</c:v>
                </c:pt>
                <c:pt idx="31">
                  <c:v>93.69465416101221</c:v>
                </c:pt>
                <c:pt idx="32">
                  <c:v>94.831538649993959</c:v>
                </c:pt>
                <c:pt idx="33">
                  <c:v>95.963121101759725</c:v>
                </c:pt>
                <c:pt idx="34">
                  <c:v>97.089838438666987</c:v>
                </c:pt>
                <c:pt idx="35">
                  <c:v>98.212093362459868</c:v>
                </c:pt>
                <c:pt idx="36">
                  <c:v>99.330257864960458</c:v>
                </c:pt>
                <c:pt idx="37">
                  <c:v>100.44467629506107</c:v>
                </c:pt>
                <c:pt idx="38">
                  <c:v>101.55566804829142</c:v>
                </c:pt>
                <c:pt idx="39">
                  <c:v>102.66352993387916</c:v>
                </c:pt>
                <c:pt idx="40">
                  <c:v>103.76853826505148</c:v>
                </c:pt>
                <c:pt idx="41">
                  <c:v>104.87095071087292</c:v>
                </c:pt>
                <c:pt idx="42">
                  <c:v>105.97100794182714</c:v>
                </c:pt>
                <c:pt idx="43">
                  <c:v>107.06893509634999</c:v>
                </c:pt>
                <c:pt idx="44">
                  <c:v>108.16494309139438</c:v>
                </c:pt>
                <c:pt idx="45">
                  <c:v>109.25922979668456</c:v>
                </c:pt>
                <c:pt idx="46">
                  <c:v>110.35198108946628</c:v>
                </c:pt>
                <c:pt idx="47">
                  <c:v>111.44337180417314</c:v>
                </c:pt>
                <c:pt idx="48">
                  <c:v>112.53356658942656</c:v>
                </c:pt>
                <c:pt idx="49">
                  <c:v>113.62272068309467</c:v>
                </c:pt>
                <c:pt idx="50">
                  <c:v>114.71098061470684</c:v>
                </c:pt>
                <c:pt idx="51">
                  <c:v>115.79848484330296</c:v>
                </c:pt>
                <c:pt idx="52">
                  <c:v>116.88536433776146</c:v>
                </c:pt>
                <c:pt idx="53">
                  <c:v>117.65235593652362</c:v>
                </c:pt>
                <c:pt idx="54">
                  <c:v>116.65429951310479</c:v>
                </c:pt>
                <c:pt idx="55">
                  <c:v>115.69186352001948</c:v>
                </c:pt>
                <c:pt idx="56">
                  <c:v>114.76323664957901</c:v>
                </c:pt>
                <c:pt idx="57">
                  <c:v>113.86672979508313</c:v>
                </c:pt>
                <c:pt idx="58">
                  <c:v>113.00076582860008</c:v>
                </c:pt>
                <c:pt idx="59">
                  <c:v>112.16387039383476</c:v>
                </c:pt>
                <c:pt idx="60">
                  <c:v>111.35466359793313</c:v>
                </c:pt>
                <c:pt idx="61">
                  <c:v>110.57185250106041</c:v>
                </c:pt>
                <c:pt idx="62">
                  <c:v>109.81422431543264</c:v>
                </c:pt>
                <c:pt idx="63">
                  <c:v>109.08064023651421</c:v>
                </c:pt>
                <c:pt idx="64">
                  <c:v>108.37002983859647</c:v>
                </c:pt>
                <c:pt idx="65">
                  <c:v>108.22209589649657</c:v>
                </c:pt>
                <c:pt idx="66">
                  <c:v>108.2036625625105</c:v>
                </c:pt>
                <c:pt idx="67">
                  <c:v>108.18712094670208</c:v>
                </c:pt>
                <c:pt idx="68">
                  <c:v>108.17246353928201</c:v>
                </c:pt>
                <c:pt idx="69">
                  <c:v>108.15968126481162</c:v>
                </c:pt>
                <c:pt idx="70">
                  <c:v>108.14876365339671</c:v>
                </c:pt>
                <c:pt idx="71">
                  <c:v>108.13969899596547</c:v>
                </c:pt>
                <c:pt idx="72">
                  <c:v>108.13247448515212</c:v>
                </c:pt>
                <c:pt idx="73">
                  <c:v>108.12707634315093</c:v>
                </c:pt>
                <c:pt idx="74">
                  <c:v>108.12348993776695</c:v>
                </c:pt>
                <c:pt idx="75">
                  <c:v>108.12169988776759</c:v>
                </c:pt>
                <c:pt idx="76">
                  <c:v>108.12169015852791</c:v>
                </c:pt>
                <c:pt idx="77">
                  <c:v>108.12344414886599</c:v>
                </c:pt>
                <c:pt idx="78">
                  <c:v>108.12694476987575</c:v>
                </c:pt>
                <c:pt idx="79">
                  <c:v>108.13217451648693</c:v>
                </c:pt>
                <c:pt idx="80">
                  <c:v>108.13911553241192</c:v>
                </c:pt>
                <c:pt idx="81">
                  <c:v>108.14774966907518</c:v>
                </c:pt>
                <c:pt idx="82">
                  <c:v>108.15805853906586</c:v>
                </c:pt>
                <c:pt idx="83">
                  <c:v>108.17002356460232</c:v>
                </c:pt>
                <c:pt idx="84">
                  <c:v>108.18362602145203</c:v>
                </c:pt>
                <c:pt idx="85">
                  <c:v>108.1988470787096</c:v>
                </c:pt>
                <c:pt idx="86">
                  <c:v>108.21566783479759</c:v>
                </c:pt>
                <c:pt idx="87">
                  <c:v>108.23406935002298</c:v>
                </c:pt>
                <c:pt idx="88">
                  <c:v>108.25403267599012</c:v>
                </c:pt>
                <c:pt idx="89">
                  <c:v>108.27553888214511</c:v>
                </c:pt>
                <c:pt idx="90">
                  <c:v>108.29856907970233</c:v>
                </c:pt>
                <c:pt idx="91">
                  <c:v>108.32310444317902</c:v>
                </c:pt>
                <c:pt idx="92">
                  <c:v>108.34912622974743</c:v>
                </c:pt>
                <c:pt idx="93">
                  <c:v>108.37661579659155</c:v>
                </c:pt>
                <c:pt idx="94">
                  <c:v>108.40555461644333</c:v>
                </c:pt>
                <c:pt idx="95">
                  <c:v>108.4359242914541</c:v>
                </c:pt>
                <c:pt idx="96">
                  <c:v>108.46770656554583</c:v>
                </c:pt>
                <c:pt idx="97">
                  <c:v>108.50088333537381</c:v>
                </c:pt>
                <c:pt idx="98">
                  <c:v>108.53543666002052</c:v>
                </c:pt>
                <c:pt idx="99">
                  <c:v>99.91450718692947</c:v>
                </c:pt>
                <c:pt idx="100">
                  <c:v>99.3078739989638</c:v>
                </c:pt>
              </c:numCache>
            </c:numRef>
          </c:val>
          <c:smooth val="0"/>
        </c:ser>
        <c:ser>
          <c:idx val="1"/>
          <c:order val="3"/>
          <c:tx>
            <c:strRef>
              <c:f>'Calculations - Dual'!$BT$3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Dual'!$BZ$5:$BZ$105</c:f>
              <c:numCache>
                <c:formatCode>0.0</c:formatCode>
                <c:ptCount val="101"/>
                <c:pt idx="0">
                  <c:v>9.9251035264016174</c:v>
                </c:pt>
                <c:pt idx="1">
                  <c:v>10.321433158023432</c:v>
                </c:pt>
                <c:pt idx="2">
                  <c:v>10.840616375548853</c:v>
                </c:pt>
                <c:pt idx="3">
                  <c:v>11.406899087335379</c:v>
                </c:pt>
                <c:pt idx="4">
                  <c:v>13.860950163417652</c:v>
                </c:pt>
                <c:pt idx="5">
                  <c:v>18.258365911336359</c:v>
                </c:pt>
                <c:pt idx="6">
                  <c:v>23.173606774325872</c:v>
                </c:pt>
                <c:pt idx="7">
                  <c:v>27.987387166529249</c:v>
                </c:pt>
                <c:pt idx="8">
                  <c:v>31.904903270453381</c:v>
                </c:pt>
                <c:pt idx="9">
                  <c:v>35.804888119074057</c:v>
                </c:pt>
                <c:pt idx="10">
                  <c:v>39.687991006352412</c:v>
                </c:pt>
                <c:pt idx="11">
                  <c:v>43.554786223021196</c:v>
                </c:pt>
                <c:pt idx="12">
                  <c:v>47.405786467761573</c:v>
                </c:pt>
                <c:pt idx="13">
                  <c:v>51.241453174132133</c:v>
                </c:pt>
                <c:pt idx="14">
                  <c:v>55.062204583355928</c:v>
                </c:pt>
                <c:pt idx="15">
                  <c:v>58.868422147588092</c:v>
                </c:pt>
                <c:pt idx="16">
                  <c:v>62.660455678104647</c:v>
                </c:pt>
                <c:pt idx="17">
                  <c:v>66.438627535908353</c:v>
                </c:pt>
                <c:pt idx="18">
                  <c:v>70.20323608139708</c:v>
                </c:pt>
                <c:pt idx="19">
                  <c:v>73.954558543185044</c:v>
                </c:pt>
                <c:pt idx="20">
                  <c:v>77.692853426056843</c:v>
                </c:pt>
                <c:pt idx="21">
                  <c:v>81.418362549179278</c:v>
                </c:pt>
                <c:pt idx="22">
                  <c:v>85.131312784646681</c:v>
                </c:pt>
                <c:pt idx="23">
                  <c:v>88.831917550875886</c:v>
                </c:pt>
                <c:pt idx="24">
                  <c:v>92.520378103717434</c:v>
                </c:pt>
                <c:pt idx="25">
                  <c:v>96.196884659326358</c:v>
                </c:pt>
                <c:pt idx="26">
                  <c:v>99.861617376078101</c:v>
                </c:pt>
                <c:pt idx="27">
                  <c:v>103.51474721758782</c:v>
                </c:pt>
                <c:pt idx="28">
                  <c:v>107.1564367148042</c:v>
                </c:pt>
                <c:pt idx="29">
                  <c:v>110.78684064193175</c:v>
                </c:pt>
                <c:pt idx="30">
                  <c:v>114.40610661837484</c:v>
                </c:pt>
                <c:pt idx="31">
                  <c:v>118.0143756468473</c:v>
                </c:pt>
                <c:pt idx="32">
                  <c:v>121.61178259613722</c:v>
                </c:pt>
                <c:pt idx="33">
                  <c:v>125.19845663567136</c:v>
                </c:pt>
                <c:pt idx="34">
                  <c:v>128.77452162792562</c:v>
                </c:pt>
                <c:pt idx="35">
                  <c:v>132.34009648382266</c:v>
                </c:pt>
                <c:pt idx="36">
                  <c:v>135.89529548550874</c:v>
                </c:pt>
                <c:pt idx="37">
                  <c:v>139.44022858028035</c:v>
                </c:pt>
                <c:pt idx="38">
                  <c:v>142.9750016489088</c:v>
                </c:pt>
                <c:pt idx="39">
                  <c:v>146.49971675117484</c:v>
                </c:pt>
                <c:pt idx="40">
                  <c:v>150.01447235105354</c:v>
                </c:pt>
                <c:pt idx="41">
                  <c:v>153.51936352367986</c:v>
                </c:pt>
                <c:pt idx="42">
                  <c:v>157.01448214595382</c:v>
                </c:pt>
                <c:pt idx="43">
                  <c:v>160.49991707242086</c:v>
                </c:pt>
                <c:pt idx="44">
                  <c:v>163.97575429786414</c:v>
                </c:pt>
                <c:pt idx="45">
                  <c:v>167.44207710787779</c:v>
                </c:pt>
                <c:pt idx="46">
                  <c:v>170.89896621854558</c:v>
                </c:pt>
                <c:pt idx="47">
                  <c:v>174.34649990622157</c:v>
                </c:pt>
                <c:pt idx="48">
                  <c:v>177.78475412830082</c:v>
                </c:pt>
                <c:pt idx="49">
                  <c:v>181.21380263577262</c:v>
                </c:pt>
                <c:pt idx="50">
                  <c:v>184.63371707826309</c:v>
                </c:pt>
                <c:pt idx="51">
                  <c:v>188.04456710220333</c:v>
                </c:pt>
                <c:pt idx="52">
                  <c:v>191.44642044269273</c:v>
                </c:pt>
                <c:pt idx="53">
                  <c:v>194.58627857946908</c:v>
                </c:pt>
                <c:pt idx="54">
                  <c:v>196.32699364455087</c:v>
                </c:pt>
                <c:pt idx="55">
                  <c:v>198.10091891110866</c:v>
                </c:pt>
                <c:pt idx="56">
                  <c:v>199.90631131002874</c:v>
                </c:pt>
                <c:pt idx="57">
                  <c:v>201.74155430759731</c:v>
                </c:pt>
                <c:pt idx="58">
                  <c:v>203.6051466167757</c:v>
                </c:pt>
                <c:pt idx="59">
                  <c:v>205.49569209336178</c:v>
                </c:pt>
                <c:pt idx="60">
                  <c:v>207.41189067480443</c:v>
                </c:pt>
                <c:pt idx="61">
                  <c:v>209.35253023856882</c:v>
                </c:pt>
                <c:pt idx="62">
                  <c:v>211.3164792732542</c:v>
                </c:pt>
                <c:pt idx="63">
                  <c:v>213.30268026957265</c:v>
                </c:pt>
                <c:pt idx="64">
                  <c:v>215.31014375021192</c:v>
                </c:pt>
                <c:pt idx="65">
                  <c:v>217.69044928102892</c:v>
                </c:pt>
                <c:pt idx="66">
                  <c:v>220.1513412616319</c:v>
                </c:pt>
                <c:pt idx="67">
                  <c:v>222.60885332055628</c:v>
                </c:pt>
                <c:pt idx="68">
                  <c:v>225.06322655001213</c:v>
                </c:pt>
                <c:pt idx="69">
                  <c:v>227.51468905806368</c:v>
                </c:pt>
                <c:pt idx="70">
                  <c:v>229.96345673361449</c:v>
                </c:pt>
                <c:pt idx="71">
                  <c:v>232.40973396130903</c:v>
                </c:pt>
                <c:pt idx="72">
                  <c:v>234.85371428997408</c:v>
                </c:pt>
                <c:pt idx="73">
                  <c:v>237.2955810579368</c:v>
                </c:pt>
                <c:pt idx="74">
                  <c:v>239.73550797829085</c:v>
                </c:pt>
                <c:pt idx="75">
                  <c:v>242.17365968694892</c:v>
                </c:pt>
                <c:pt idx="76">
                  <c:v>244.61019225609209</c:v>
                </c:pt>
                <c:pt idx="77">
                  <c:v>247.04525367543272</c:v>
                </c:pt>
                <c:pt idx="78">
                  <c:v>249.47898430351862</c:v>
                </c:pt>
                <c:pt idx="79">
                  <c:v>251.91151729113949</c:v>
                </c:pt>
                <c:pt idx="80">
                  <c:v>254.34297897874058</c:v>
                </c:pt>
                <c:pt idx="81">
                  <c:v>256.77348926960565</c:v>
                </c:pt>
                <c:pt idx="82">
                  <c:v>259.20316198044071</c:v>
                </c:pt>
                <c:pt idx="83">
                  <c:v>261.63210517087168</c:v>
                </c:pt>
                <c:pt idx="84">
                  <c:v>264.06042145325404</c:v>
                </c:pt>
                <c:pt idx="85">
                  <c:v>266.48820828409293</c:v>
                </c:pt>
                <c:pt idx="86">
                  <c:v>268.91555823828264</c:v>
                </c:pt>
                <c:pt idx="87">
                  <c:v>271.34255926727826</c:v>
                </c:pt>
                <c:pt idx="88">
                  <c:v>273.76929494224032</c:v>
                </c:pt>
                <c:pt idx="89">
                  <c:v>276.19584468311837</c:v>
                </c:pt>
                <c:pt idx="90">
                  <c:v>278.62228397456875</c:v>
                </c:pt>
                <c:pt idx="91">
                  <c:v>281.04868456954233</c:v>
                </c:pt>
                <c:pt idx="92">
                  <c:v>283.47511468131694</c:v>
                </c:pt>
                <c:pt idx="93">
                  <c:v>285.90163916469737</c:v>
                </c:pt>
                <c:pt idx="94">
                  <c:v>288.32831968705904</c:v>
                </c:pt>
                <c:pt idx="95">
                  <c:v>290.75521488985856</c:v>
                </c:pt>
                <c:pt idx="96">
                  <c:v>293.18238054119854</c:v>
                </c:pt>
                <c:pt idx="97">
                  <c:v>295.6098696799923</c:v>
                </c:pt>
                <c:pt idx="98">
                  <c:v>298.03773275223574</c:v>
                </c:pt>
                <c:pt idx="99">
                  <c:v>266.31937597893699</c:v>
                </c:pt>
                <c:pt idx="100">
                  <c:v>266.04007074575401</c:v>
                </c:pt>
              </c:numCache>
            </c:numRef>
          </c:val>
          <c:smooth val="0"/>
        </c:ser>
        <c:dLbls>
          <c:showLegendKey val="0"/>
          <c:showVal val="0"/>
          <c:showCatName val="0"/>
          <c:showSerName val="0"/>
          <c:showPercent val="0"/>
          <c:showBubbleSize val="0"/>
        </c:dLbls>
        <c:marker val="1"/>
        <c:smooth val="0"/>
        <c:axId val="319052032"/>
        <c:axId val="319050112"/>
      </c:lineChart>
      <c:catAx>
        <c:axId val="31902144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42471011396394504"/>
              <c:y val="0.93853771636955563"/>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319023360"/>
        <c:crosses val="autoZero"/>
        <c:auto val="1"/>
        <c:lblAlgn val="ctr"/>
        <c:lblOffset val="100"/>
        <c:tickLblSkip val="20"/>
        <c:tickMarkSkip val="20"/>
        <c:noMultiLvlLbl val="0"/>
      </c:catAx>
      <c:valAx>
        <c:axId val="31902336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319021440"/>
        <c:crossesAt val="0"/>
        <c:crossBetween val="between"/>
        <c:majorUnit val="5"/>
        <c:minorUnit val="2.5"/>
      </c:valAx>
      <c:valAx>
        <c:axId val="319050112"/>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319052032"/>
        <c:crosses val="max"/>
        <c:crossBetween val="between"/>
      </c:valAx>
      <c:catAx>
        <c:axId val="319052032"/>
        <c:scaling>
          <c:orientation val="minMax"/>
        </c:scaling>
        <c:delete val="1"/>
        <c:axPos val="b"/>
        <c:numFmt formatCode="General" sourceLinked="1"/>
        <c:majorTickMark val="out"/>
        <c:minorTickMark val="none"/>
        <c:tickLblPos val="nextTo"/>
        <c:crossAx val="319050112"/>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trlProps/ctrlProp1.xml><?xml version="1.0" encoding="utf-8"?>
<formControlPr xmlns="http://schemas.microsoft.com/office/spreadsheetml/2009/9/main" objectType="Spin" dx="16" fmlaLink="$E$7" max="65" min="3" page="10" val="24"/>
</file>

<file path=xl/ctrlProps/ctrlProp10.xml><?xml version="1.0" encoding="utf-8"?>
<formControlPr xmlns="http://schemas.microsoft.com/office/spreadsheetml/2009/9/main" objectType="Drop" dropStyle="combo" dx="16" fmlaLink="$Q$41" fmlaRange="'Variable Mgmt'!$R$56:$R$58" noThreeD="1" val="0"/>
</file>

<file path=xl/ctrlProps/ctrlProp11.xml><?xml version="1.0" encoding="utf-8"?>
<formControlPr xmlns="http://schemas.microsoft.com/office/spreadsheetml/2009/9/main" objectType="Drop" dropStyle="combo" dx="16" fmlaLink="$Q$38" fmlaRange="'Variable Mgmt'!$W$65:$W$68" noThreeD="1" sel="3" val="0"/>
</file>

<file path=xl/ctrlProps/ctrlProp12.xml><?xml version="1.0" encoding="utf-8"?>
<formControlPr xmlns="http://schemas.microsoft.com/office/spreadsheetml/2009/9/main" objectType="Drop" dropStyle="combo" dx="16" fmlaLink="$Q$37" fmlaRange="'Variable Mgmt'!$W$65:$W$68" noThreeD="1" sel="2" val="0"/>
</file>

<file path=xl/ctrlProps/ctrlProp13.xml><?xml version="1.0" encoding="utf-8"?>
<formControlPr xmlns="http://schemas.microsoft.com/office/spreadsheetml/2009/9/main" objectType="Drop" dropStyle="combo" dx="16" fmlaLink="$Q$40" fmlaRange="'Variable Mgmt'!$R$56:$R$58" noThreeD="1" val="0"/>
</file>

<file path=xl/ctrlProps/ctrlProp14.xml><?xml version="1.0" encoding="utf-8"?>
<formControlPr xmlns="http://schemas.microsoft.com/office/spreadsheetml/2009/9/main" objectType="Drop" dropStyle="combo" dx="16" fmlaLink="$Q$42" fmlaRange="'Variable Mgmt'!$R$56:$R$58" noThreeD="1" val="0"/>
</file>

<file path=xl/ctrlProps/ctrlProp15.xml><?xml version="1.0" encoding="utf-8"?>
<formControlPr xmlns="http://schemas.microsoft.com/office/spreadsheetml/2009/9/main" objectType="Drop" dropStyle="combo" dx="16" fmlaLink="$Q$43" fmlaRange="'Variable Mgmt'!$R$56:$R$58" noThreeD="1" val="0"/>
</file>

<file path=xl/ctrlProps/ctrlProp16.xml><?xml version="1.0" encoding="utf-8"?>
<formControlPr xmlns="http://schemas.microsoft.com/office/spreadsheetml/2009/9/main" objectType="Drop" dropStyle="combo" dx="16" fmlaLink="$Q$44" fmlaRange="'Variable Mgmt'!$R$56:$R$58" noThreeD="1" val="0"/>
</file>

<file path=xl/ctrlProps/ctrlProp17.xml><?xml version="1.0" encoding="utf-8"?>
<formControlPr xmlns="http://schemas.microsoft.com/office/spreadsheetml/2009/9/main" objectType="Drop" dropStyle="combo" dx="16" fmlaLink="$Q$35" fmlaRange="'Variable Mgmt'!$W$65:$W$68" noThreeD="1" sel="3" val="0"/>
</file>

<file path=xl/ctrlProps/ctrlProp18.xml><?xml version="1.0" encoding="utf-8"?>
<formControlPr xmlns="http://schemas.microsoft.com/office/spreadsheetml/2009/9/main" objectType="Drop" dropStyle="combo" dx="16" fmlaLink="$Q$45" fmlaRange="'Variable Mgmt'!$R$65:$R$71" noThreeD="1" sel="5" val="0"/>
</file>

<file path=xl/ctrlProps/ctrlProp19.xml><?xml version="1.0" encoding="utf-8"?>
<formControlPr xmlns="http://schemas.microsoft.com/office/spreadsheetml/2009/9/main" objectType="Drop" dropStyle="combo" dx="16" fmlaLink="$Q$34" fmlaRange="'Variable Mgmt'!$R$56:$R$58" noThreeD="1" val="0"/>
</file>

<file path=xl/ctrlProps/ctrlProp2.xml><?xml version="1.0" encoding="utf-8"?>
<formControlPr xmlns="http://schemas.microsoft.com/office/spreadsheetml/2009/9/main" objectType="Drop" dropStyle="combo" dx="16" fmlaLink="'Variable Mgmt'!$J$56" fmlaRange="'Variable Mgmt'!$I$54:$I$55" noThreeD="1" sel="2" val="0"/>
</file>

<file path=xl/ctrlProps/ctrlProp20.xml><?xml version="1.0" encoding="utf-8"?>
<formControlPr xmlns="http://schemas.microsoft.com/office/spreadsheetml/2009/9/main" objectType="Drop" dropStyle="combo" dx="16" fmlaLink="$Q$33" fmlaRange="'Variable Mgmt'!$R$56:$R$60" noThreeD="1" sel="5" val="0"/>
</file>

<file path=xl/ctrlProps/ctrlProp21.xml><?xml version="1.0" encoding="utf-8"?>
<formControlPr xmlns="http://schemas.microsoft.com/office/spreadsheetml/2009/9/main" objectType="Drop" dropStyle="combo" dx="16" fmlaLink="$Q$39" fmlaRange="'Variable Mgmt'!$W$65:$W$68" noThreeD="1" val="0"/>
</file>

<file path=xl/ctrlProps/ctrlProp22.xml><?xml version="1.0" encoding="utf-8"?>
<formControlPr xmlns="http://schemas.microsoft.com/office/spreadsheetml/2009/9/main" objectType="Drop" dropLines="2" dropStyle="combo" dx="16" fmlaLink="'Variable Mgmt'!$M$56" fmlaRange="'Variable Mgmt'!$L$54:$L$55" noThreeD="1" val="0"/>
</file>

<file path=xl/ctrlProps/ctrlProp3.xml><?xml version="1.0" encoding="utf-8"?>
<formControlPr xmlns="http://schemas.microsoft.com/office/spreadsheetml/2009/9/main" objectType="Drop" dropLines="2" dropStyle="combo" dx="16" fmlaLink="'Variable Mgmt'!$G$56" fmlaRange="'Variable Mgmt'!$F$54:$F$55" noThreeD="1" sel="2" val="0"/>
</file>

<file path=xl/ctrlProps/ctrlProp4.xml><?xml version="1.0" encoding="utf-8"?>
<formControlPr xmlns="http://schemas.microsoft.com/office/spreadsheetml/2009/9/main" objectType="Drop" dropLines="10" dropStyle="combo" dx="16" fmlaLink="'Variable Mgmt'!$S$38" fmlaRange="'Variable Mgmt'!$R$28:$R$37" noThreeD="1" sel="3" val="0"/>
</file>

<file path=xl/ctrlProps/ctrlProp5.xml><?xml version="1.0" encoding="utf-8"?>
<formControlPr xmlns="http://schemas.microsoft.com/office/spreadsheetml/2009/9/main" objectType="Drop" dropStyle="combo" dx="16" fmlaLink="'Variable Mgmt'!$G$50" fmlaRange="'Variable Mgmt'!$F$48:$F$49" noThreeD="1" sel="2" val="0"/>
</file>

<file path=xl/ctrlProps/ctrlProp6.xml><?xml version="1.0" encoding="utf-8"?>
<formControlPr xmlns="http://schemas.microsoft.com/office/spreadsheetml/2009/9/main" objectType="Drop" dropLines="10" dropStyle="combo" dx="16" fmlaLink="'Variable Mgmt'!$C$51" fmlaRange="'Variable Mgmt'!$B$48:$B$49" noThreeD="1" val="0"/>
</file>

<file path=xl/ctrlProps/ctrlProp7.xml><?xml version="1.0" encoding="utf-8"?>
<formControlPr xmlns="http://schemas.microsoft.com/office/spreadsheetml/2009/9/main" objectType="Drop" dropStyle="combo" dx="16" fmlaLink="'BOM &amp; Schematic'!$Q$31" fmlaRange="'Variable Mgmt'!$R$56:$R$60" noThreeD="1" sel="5" val="0"/>
</file>

<file path=xl/ctrlProps/ctrlProp8.xml><?xml version="1.0" encoding="utf-8"?>
<formControlPr xmlns="http://schemas.microsoft.com/office/spreadsheetml/2009/9/main" objectType="Drop" dropStyle="combo" dx="16" fmlaLink="$Q$32" fmlaRange="'Variable Mgmt'!$R$56:$R$60" noThreeD="1" sel="5" val="0"/>
</file>

<file path=xl/ctrlProps/ctrlProp9.xml><?xml version="1.0" encoding="utf-8"?>
<formControlPr xmlns="http://schemas.microsoft.com/office/spreadsheetml/2009/9/main" objectType="Drop" dropStyle="combo" dx="16" fmlaLink="$Q$36" fmlaRange="'Variable Mgmt'!$W$65:$W$68" noThreeD="1" sel="3" val="0"/>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3" Type="http://schemas.openxmlformats.org/officeDocument/2006/relationships/hyperlink" Target="http://www.ti.com/widevin" TargetMode="External"/><Relationship Id="rId7" Type="http://schemas.openxmlformats.org/officeDocument/2006/relationships/hyperlink" Target="http://www.ti.com/automotive" TargetMode="Externa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4.jpg"/><Relationship Id="rId5" Type="http://schemas.openxmlformats.org/officeDocument/2006/relationships/hyperlink" Target="http://www.ti.com/industrial" TargetMode="External"/><Relationship Id="rId4" Type="http://schemas.openxmlformats.org/officeDocument/2006/relationships/image" Target="../media/image3.jpg"/><Relationship Id="rId9"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21" Type="http://schemas.openxmlformats.org/officeDocument/2006/relationships/image" Target="../media/image41.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24" Type="http://schemas.openxmlformats.org/officeDocument/2006/relationships/image" Target="../media/image44.emf"/><Relationship Id="rId5" Type="http://schemas.openxmlformats.org/officeDocument/2006/relationships/image" Target="../media/image25.emf"/><Relationship Id="rId15" Type="http://schemas.openxmlformats.org/officeDocument/2006/relationships/image" Target="../media/image35.emf"/><Relationship Id="rId23" Type="http://schemas.openxmlformats.org/officeDocument/2006/relationships/image" Target="../media/image43.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 Id="rId22" Type="http://schemas.openxmlformats.org/officeDocument/2006/relationships/image" Target="../media/image4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media/image16.png"/><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209550</xdr:colOff>
          <xdr:row>24</xdr:row>
          <xdr:rowOff>243409</xdr:rowOff>
        </xdr:from>
        <xdr:to>
          <xdr:col>25</xdr:col>
          <xdr:colOff>1895036</xdr:colOff>
          <xdr:row>45</xdr:row>
          <xdr:rowOff>91228</xdr:rowOff>
        </xdr:to>
        <xdr:pic>
          <xdr:nvPicPr>
            <xdr:cNvPr id="59" name="Picture 8888"/>
            <xdr:cNvPicPr>
              <a:picLocks noChangeAspect="1" noChangeArrowheads="1"/>
              <a:extLst>
                <a:ext uri="{84589F7E-364E-4C9E-8A38-B11213B215E9}">
                  <a14:cameraTool cellRange="PICTURE3" spid="_x0000_s736712"/>
                </a:ext>
              </a:extLst>
            </xdr:cNvPicPr>
          </xdr:nvPicPr>
          <xdr:blipFill>
            <a:blip xmlns:r="http://schemas.openxmlformats.org/officeDocument/2006/relationships" r:embed="rId1"/>
            <a:srcRect/>
            <a:stretch>
              <a:fillRect/>
            </a:stretch>
          </xdr:blipFill>
          <xdr:spPr bwMode="auto">
            <a:xfrm>
              <a:off x="10701704" y="5408890"/>
              <a:ext cx="6675120" cy="409010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305021</xdr:colOff>
          <xdr:row>4</xdr:row>
          <xdr:rowOff>103292</xdr:rowOff>
        </xdr:from>
        <xdr:to>
          <xdr:col>25</xdr:col>
          <xdr:colOff>46264</xdr:colOff>
          <xdr:row>24</xdr:row>
          <xdr:rowOff>212257</xdr:rowOff>
        </xdr:to>
        <xdr:pic>
          <xdr:nvPicPr>
            <xdr:cNvPr id="45" name="Picture 8888"/>
            <xdr:cNvPicPr>
              <a:picLocks noChangeAspect="1" noChangeArrowheads="1"/>
              <a:extLst>
                <a:ext uri="{84589F7E-364E-4C9E-8A38-B11213B215E9}">
                  <a14:cameraTool cellRange="PICTURE1" spid="_x0000_s736713"/>
                </a:ext>
              </a:extLst>
            </xdr:cNvPicPr>
          </xdr:nvPicPr>
          <xdr:blipFill>
            <a:blip xmlns:r="http://schemas.openxmlformats.org/officeDocument/2006/relationships" r:embed="rId2"/>
            <a:srcRect/>
            <a:stretch>
              <a:fillRect/>
            </a:stretch>
          </xdr:blipFill>
          <xdr:spPr bwMode="auto">
            <a:xfrm>
              <a:off x="8239346" y="1246292"/>
              <a:ext cx="7313618" cy="416661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14</xdr:col>
      <xdr:colOff>381978</xdr:colOff>
      <xdr:row>11</xdr:row>
      <xdr:rowOff>72357</xdr:rowOff>
    </xdr:from>
    <xdr:to>
      <xdr:col>15</xdr:col>
      <xdr:colOff>99301</xdr:colOff>
      <xdr:row>12</xdr:row>
      <xdr:rowOff>95485</xdr:rowOff>
    </xdr:to>
    <xdr:sp macro="" textlink="">
      <xdr:nvSpPr>
        <xdr:cNvPr id="2292" name="Text Box 244"/>
        <xdr:cNvSpPr txBox="1">
          <a:spLocks noChangeArrowheads="1"/>
        </xdr:cNvSpPr>
      </xdr:nvSpPr>
      <xdr:spPr bwMode="auto">
        <a:xfrm>
          <a:off x="8925903" y="2644107"/>
          <a:ext cx="326923" cy="223153"/>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23</xdr:col>
      <xdr:colOff>132557</xdr:colOff>
      <xdr:row>9</xdr:row>
      <xdr:rowOff>152400</xdr:rowOff>
    </xdr:from>
    <xdr:to>
      <xdr:col>24</xdr:col>
      <xdr:colOff>16035</xdr:colOff>
      <xdr:row>10</xdr:row>
      <xdr:rowOff>152762</xdr:rowOff>
    </xdr:to>
    <xdr:sp macro="" textlink="'Variable Mgmt'!B213">
      <xdr:nvSpPr>
        <xdr:cNvPr id="2315" name="Text Box 267"/>
        <xdr:cNvSpPr txBox="1">
          <a:spLocks noChangeArrowheads="1" noTextEdit="1"/>
        </xdr:cNvSpPr>
      </xdr:nvSpPr>
      <xdr:spPr bwMode="auto">
        <a:xfrm>
          <a:off x="14420057" y="2324100"/>
          <a:ext cx="493078" cy="200387"/>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47µF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20</xdr:col>
      <xdr:colOff>471028</xdr:colOff>
      <xdr:row>11</xdr:row>
      <xdr:rowOff>166894</xdr:rowOff>
    </xdr:from>
    <xdr:to>
      <xdr:col>21</xdr:col>
      <xdr:colOff>310312</xdr:colOff>
      <xdr:row>13</xdr:row>
      <xdr:rowOff>15767</xdr:rowOff>
    </xdr:to>
    <xdr:sp macro="" textlink="'Variable Mgmt'!B199">
      <xdr:nvSpPr>
        <xdr:cNvPr id="2323" name="Text Box 275"/>
        <xdr:cNvSpPr txBox="1">
          <a:spLocks noChangeArrowheads="1" noTextEdit="1"/>
        </xdr:cNvSpPr>
      </xdr:nvSpPr>
      <xdr:spPr bwMode="auto">
        <a:xfrm>
          <a:off x="12929728" y="2738644"/>
          <a:ext cx="448884" cy="248923"/>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050" b="0" i="0" u="none" strike="noStrike" baseline="0">
              <a:solidFill>
                <a:srgbClr val="000000"/>
              </a:solidFill>
              <a:latin typeface="Arial" pitchFamily="34" charset="0"/>
              <a:cs typeface="Arial" pitchFamily="34" charset="0"/>
            </a:rPr>
            <a:pPr algn="ctr" rtl="0">
              <a:defRPr sz="1000"/>
            </a:pPr>
            <a:t>44µH</a:t>
          </a:fld>
          <a:endParaRPr lang="en-US" sz="1050" b="0" i="0" u="none" strike="noStrike" baseline="0">
            <a:solidFill>
              <a:srgbClr val="000000"/>
            </a:solidFill>
            <a:latin typeface="Arial" pitchFamily="34" charset="0"/>
            <a:cs typeface="Arial" pitchFamily="34" charset="0"/>
          </a:endParaRPr>
        </a:p>
      </xdr:txBody>
    </xdr:sp>
    <xdr:clientData/>
  </xdr:twoCellAnchor>
  <xdr:twoCellAnchor>
    <xdr:from>
      <xdr:col>14</xdr:col>
      <xdr:colOff>291064</xdr:colOff>
      <xdr:row>12</xdr:row>
      <xdr:rowOff>96249</xdr:rowOff>
    </xdr:from>
    <xdr:to>
      <xdr:col>15</xdr:col>
      <xdr:colOff>155296</xdr:colOff>
      <xdr:row>13</xdr:row>
      <xdr:rowOff>88852</xdr:rowOff>
    </xdr:to>
    <xdr:sp macro="" textlink="'Variable Mgmt'!B218">
      <xdr:nvSpPr>
        <xdr:cNvPr id="2324" name="Text Box 276"/>
        <xdr:cNvSpPr txBox="1">
          <a:spLocks noChangeArrowheads="1" noTextEdit="1"/>
        </xdr:cNvSpPr>
      </xdr:nvSpPr>
      <xdr:spPr bwMode="auto">
        <a:xfrm>
          <a:off x="8834989" y="2868024"/>
          <a:ext cx="473832" cy="192628"/>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15</xdr:col>
      <xdr:colOff>240362</xdr:colOff>
      <xdr:row>21</xdr:row>
      <xdr:rowOff>19528</xdr:rowOff>
    </xdr:from>
    <xdr:to>
      <xdr:col>16</xdr:col>
      <xdr:colOff>8055</xdr:colOff>
      <xdr:row>22</xdr:row>
      <xdr:rowOff>97673</xdr:rowOff>
    </xdr:to>
    <xdr:sp macro="" textlink="'Variable Mgmt'!D245">
      <xdr:nvSpPr>
        <xdr:cNvPr id="2329" name="Text Box 281"/>
        <xdr:cNvSpPr txBox="1">
          <a:spLocks noChangeArrowheads="1" noTextEdit="1"/>
        </xdr:cNvSpPr>
      </xdr:nvSpPr>
      <xdr:spPr bwMode="auto">
        <a:xfrm>
          <a:off x="9393887" y="4639153"/>
          <a:ext cx="443968" cy="287695"/>
        </a:xfrm>
        <a:prstGeom prst="rect">
          <a:avLst/>
        </a:prstGeom>
        <a:noFill/>
        <a:ln w="9525">
          <a:noFill/>
          <a:miter lim="800000"/>
          <a:headEnd/>
          <a:tailEnd/>
        </a:ln>
      </xdr:spPr>
      <xdr:txBody>
        <a:bodyPr vertOverflow="clip" wrap="square" lIns="27432" tIns="22860" rIns="0" bIns="0" anchor="ctr" upright="1"/>
        <a:lstStyle/>
        <a:p>
          <a:pPr algn="ctr" rtl="0">
            <a:defRPr sz="1000"/>
          </a:pPr>
          <a:fld id="{F2115F91-8BFD-4C9B-9969-8B2C04ADF4C5}" type="TxLink">
            <a:rPr lang="en-US" sz="1100" b="0" i="0" u="none" strike="noStrike">
              <a:solidFill>
                <a:srgbClr val="000000"/>
              </a:solidFill>
              <a:latin typeface="Arial"/>
              <a:cs typeface="Arial"/>
            </a:rPr>
            <a:pPr algn="ctr" rtl="0">
              <a:defRPr sz="1000"/>
            </a:pPr>
            <a:t> </a:t>
          </a:fld>
          <a:endParaRPr lang="en-US" sz="1100" b="0" i="0" strike="noStrike">
            <a:solidFill>
              <a:srgbClr val="000000"/>
            </a:solidFill>
            <a:latin typeface="Arial" pitchFamily="34" charset="0"/>
            <a:cs typeface="Arial" pitchFamily="34" charset="0"/>
          </a:endParaRPr>
        </a:p>
      </xdr:txBody>
    </xdr:sp>
    <xdr:clientData/>
  </xdr:twoCellAnchor>
  <xdr:twoCellAnchor>
    <xdr:from>
      <xdr:col>13</xdr:col>
      <xdr:colOff>383720</xdr:colOff>
      <xdr:row>6</xdr:row>
      <xdr:rowOff>10907</xdr:rowOff>
    </xdr:from>
    <xdr:to>
      <xdr:col>14</xdr:col>
      <xdr:colOff>285286</xdr:colOff>
      <xdr:row>8</xdr:row>
      <xdr:rowOff>95545</xdr:rowOff>
    </xdr:to>
    <xdr:sp macro="" textlink="'Variable Mgmt'!B205">
      <xdr:nvSpPr>
        <xdr:cNvPr id="2331" name="Text Box 283"/>
        <xdr:cNvSpPr txBox="1">
          <a:spLocks noChangeArrowheads="1" noTextEdit="1"/>
        </xdr:cNvSpPr>
      </xdr:nvSpPr>
      <xdr:spPr bwMode="auto">
        <a:xfrm>
          <a:off x="8318045" y="1601582"/>
          <a:ext cx="511166" cy="465638"/>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24V</a:t>
          </a:fld>
          <a:endParaRPr lang="en-US" sz="1400" b="1" i="0" strike="noStrike">
            <a:solidFill>
              <a:srgbClr val="FF0000"/>
            </a:solidFill>
            <a:latin typeface="Arial" pitchFamily="34" charset="0"/>
            <a:cs typeface="Arial" pitchFamily="34" charset="0"/>
          </a:endParaRPr>
        </a:p>
      </xdr:txBody>
    </xdr:sp>
    <xdr:clientData/>
  </xdr:twoCellAnchor>
  <xdr:twoCellAnchor>
    <xdr:from>
      <xdr:col>24</xdr:col>
      <xdr:colOff>19339</xdr:colOff>
      <xdr:row>6</xdr:row>
      <xdr:rowOff>57503</xdr:rowOff>
    </xdr:from>
    <xdr:to>
      <xdr:col>25</xdr:col>
      <xdr:colOff>74772</xdr:colOff>
      <xdr:row>8</xdr:row>
      <xdr:rowOff>34017</xdr:rowOff>
    </xdr:to>
    <xdr:sp macro="" textlink="'Variable Mgmt'!B208">
      <xdr:nvSpPr>
        <xdr:cNvPr id="2333" name="Text Box 285"/>
        <xdr:cNvSpPr txBox="1">
          <a:spLocks noChangeArrowheads="1" noTextEdit="1"/>
        </xdr:cNvSpPr>
      </xdr:nvSpPr>
      <xdr:spPr bwMode="auto">
        <a:xfrm>
          <a:off x="14916439" y="1648178"/>
          <a:ext cx="665033" cy="357514"/>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5V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23</xdr:col>
      <xdr:colOff>485775</xdr:colOff>
      <xdr:row>7</xdr:row>
      <xdr:rowOff>153310</xdr:rowOff>
    </xdr:from>
    <xdr:to>
      <xdr:col>24</xdr:col>
      <xdr:colOff>504825</xdr:colOff>
      <xdr:row>9</xdr:row>
      <xdr:rowOff>64353</xdr:rowOff>
    </xdr:to>
    <xdr:sp macro="" textlink="'Variable Mgmt'!B263">
      <xdr:nvSpPr>
        <xdr:cNvPr id="2334" name="Text Box 286"/>
        <xdr:cNvSpPr txBox="1">
          <a:spLocks noChangeArrowheads="1" noTextEdit="1"/>
        </xdr:cNvSpPr>
      </xdr:nvSpPr>
      <xdr:spPr bwMode="auto">
        <a:xfrm>
          <a:off x="14773275" y="1924960"/>
          <a:ext cx="628650" cy="311093"/>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0.5A</a:t>
          </a:fld>
          <a:endParaRPr lang="en-US" sz="1350" b="1" i="0" strike="noStrike">
            <a:solidFill>
              <a:srgbClr val="FF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5</xdr:col>
          <xdr:colOff>123825</xdr:colOff>
          <xdr:row>6</xdr:row>
          <xdr:rowOff>9525</xdr:rowOff>
        </xdr:from>
        <xdr:to>
          <xdr:col>5</xdr:col>
          <xdr:colOff>304800</xdr:colOff>
          <xdr:row>7</xdr:row>
          <xdr:rowOff>28575</xdr:rowOff>
        </xdr:to>
        <xdr:sp macro="" textlink="">
          <xdr:nvSpPr>
            <xdr:cNvPr id="672895" name="Spinner 127" hidden="1">
              <a:extLst>
                <a:ext uri="{63B3BB69-23CF-44E3-9099-C40C66FF867C}">
                  <a14:compatExt spid="_x0000_s672895"/>
                </a:ext>
              </a:extLst>
            </xdr:cNvPr>
            <xdr:cNvSpPr/>
          </xdr:nvSpPr>
          <xdr:spPr>
            <a:xfrm>
              <a:off x="0" y="0"/>
              <a:ext cx="0" cy="0"/>
            </a:xfrm>
            <a:prstGeom prst="rect">
              <a:avLst/>
            </a:prstGeom>
          </xdr:spPr>
        </xdr:sp>
        <xdr:clientData/>
      </xdr:twoCellAnchor>
    </mc:Choice>
    <mc:Fallback/>
  </mc:AlternateContent>
  <xdr:twoCellAnchor>
    <xdr:from>
      <xdr:col>15</xdr:col>
      <xdr:colOff>335079</xdr:colOff>
      <xdr:row>10</xdr:row>
      <xdr:rowOff>32564</xdr:rowOff>
    </xdr:from>
    <xdr:to>
      <xdr:col>16</xdr:col>
      <xdr:colOff>183502</xdr:colOff>
      <xdr:row>11</xdr:row>
      <xdr:rowOff>77904</xdr:rowOff>
    </xdr:to>
    <xdr:sp macro="" textlink="'Variable Mgmt'!C237">
      <xdr:nvSpPr>
        <xdr:cNvPr id="71" name="Text Box 268"/>
        <xdr:cNvSpPr txBox="1">
          <a:spLocks noChangeArrowheads="1" noTextEdit="1"/>
        </xdr:cNvSpPr>
      </xdr:nvSpPr>
      <xdr:spPr bwMode="auto">
        <a:xfrm>
          <a:off x="9488604" y="2404289"/>
          <a:ext cx="524698" cy="245365"/>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1000" b="0" i="0" u="none" strike="noStrike">
              <a:solidFill>
                <a:srgbClr val="000000"/>
              </a:solidFill>
              <a:latin typeface="Arial"/>
              <a:cs typeface="Arial"/>
            </a:rPr>
            <a:pPr algn="l" rtl="0">
              <a:defRPr sz="1000"/>
            </a:pPr>
            <a:t> </a:t>
          </a:fld>
          <a:endParaRPr lang="el-GR" sz="1000" b="0" i="0" strike="noStrike">
            <a:solidFill>
              <a:srgbClr val="000000"/>
            </a:solidFill>
            <a:latin typeface="Arial" pitchFamily="34" charset="0"/>
            <a:cs typeface="Arial" pitchFamily="34" charset="0"/>
          </a:endParaRPr>
        </a:p>
      </xdr:txBody>
    </xdr:sp>
    <xdr:clientData/>
  </xdr:twoCellAnchor>
  <xdr:twoCellAnchor>
    <xdr:from>
      <xdr:col>15</xdr:col>
      <xdr:colOff>316029</xdr:colOff>
      <xdr:row>14</xdr:row>
      <xdr:rowOff>215084</xdr:rowOff>
    </xdr:from>
    <xdr:to>
      <xdr:col>16</xdr:col>
      <xdr:colOff>164452</xdr:colOff>
      <xdr:row>15</xdr:row>
      <xdr:rowOff>176021</xdr:rowOff>
    </xdr:to>
    <xdr:sp macro="" textlink="'Variable Mgmt'!C238">
      <xdr:nvSpPr>
        <xdr:cNvPr id="73" name="Text Box 268"/>
        <xdr:cNvSpPr txBox="1">
          <a:spLocks noChangeArrowheads="1" noTextEdit="1"/>
        </xdr:cNvSpPr>
      </xdr:nvSpPr>
      <xdr:spPr bwMode="auto">
        <a:xfrm>
          <a:off x="9469554" y="3386909"/>
          <a:ext cx="524698" cy="208587"/>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1000" b="0" i="0" u="none" strike="noStrike">
              <a:solidFill>
                <a:srgbClr val="000000"/>
              </a:solidFill>
              <a:latin typeface="Arial"/>
              <a:cs typeface="Arial"/>
            </a:rPr>
            <a:pPr algn="l" rtl="0">
              <a:defRPr sz="1000"/>
            </a:pPr>
            <a:t> </a:t>
          </a:fld>
          <a:endParaRPr lang="el-GR" sz="1000" b="0" i="0" strike="noStrike">
            <a:solidFill>
              <a:srgbClr val="000000"/>
            </a:solidFill>
            <a:latin typeface="Arial" pitchFamily="34" charset="0"/>
            <a:cs typeface="Arial" pitchFamily="34" charset="0"/>
          </a:endParaRPr>
        </a:p>
      </xdr:txBody>
    </xdr:sp>
    <xdr:clientData/>
  </xdr:twoCellAnchor>
  <xdr:twoCellAnchor>
    <xdr:from>
      <xdr:col>19</xdr:col>
      <xdr:colOff>325713</xdr:colOff>
      <xdr:row>15</xdr:row>
      <xdr:rowOff>30701</xdr:rowOff>
    </xdr:from>
    <xdr:to>
      <xdr:col>20</xdr:col>
      <xdr:colOff>235357</xdr:colOff>
      <xdr:row>16</xdr:row>
      <xdr:rowOff>65648</xdr:rowOff>
    </xdr:to>
    <xdr:sp macro="" textlink="'Variable Mgmt'!C227">
      <xdr:nvSpPr>
        <xdr:cNvPr id="89" name="Text Box 268"/>
        <xdr:cNvSpPr txBox="1">
          <a:spLocks noChangeArrowheads="1" noTextEdit="1"/>
        </xdr:cNvSpPr>
      </xdr:nvSpPr>
      <xdr:spPr bwMode="auto">
        <a:xfrm>
          <a:off x="12174813" y="3450176"/>
          <a:ext cx="519244" cy="234972"/>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158kΩ</a:t>
          </a:fld>
          <a:endParaRPr lang="el-GR" sz="1800" b="0" i="0" strike="noStrike">
            <a:solidFill>
              <a:srgbClr val="000000"/>
            </a:solidFill>
            <a:latin typeface="Arial" pitchFamily="34" charset="0"/>
            <a:cs typeface="Arial" pitchFamily="34" charset="0"/>
          </a:endParaRPr>
        </a:p>
      </xdr:txBody>
    </xdr:sp>
    <xdr:clientData/>
  </xdr:twoCellAnchor>
  <xdr:twoCellAnchor>
    <xdr:from>
      <xdr:col>20</xdr:col>
      <xdr:colOff>366817</xdr:colOff>
      <xdr:row>20</xdr:row>
      <xdr:rowOff>42569</xdr:rowOff>
    </xdr:from>
    <xdr:to>
      <xdr:col>21</xdr:col>
      <xdr:colOff>268980</xdr:colOff>
      <xdr:row>21</xdr:row>
      <xdr:rowOff>43965</xdr:rowOff>
    </xdr:to>
    <xdr:sp macro="" textlink="'Variable Mgmt'!C241">
      <xdr:nvSpPr>
        <xdr:cNvPr id="91" name="Text Box 265"/>
        <xdr:cNvSpPr txBox="1">
          <a:spLocks noChangeArrowheads="1" noTextEdit="1"/>
        </xdr:cNvSpPr>
      </xdr:nvSpPr>
      <xdr:spPr bwMode="auto">
        <a:xfrm>
          <a:off x="12825517" y="4462169"/>
          <a:ext cx="511763"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13</xdr:col>
      <xdr:colOff>390526</xdr:colOff>
      <xdr:row>8</xdr:row>
      <xdr:rowOff>14707</xdr:rowOff>
    </xdr:from>
    <xdr:to>
      <xdr:col>15</xdr:col>
      <xdr:colOff>200026</xdr:colOff>
      <xdr:row>9</xdr:row>
      <xdr:rowOff>100569</xdr:rowOff>
    </xdr:to>
    <xdr:sp macro="" textlink="'Variable Mgmt'!B206">
      <xdr:nvSpPr>
        <xdr:cNvPr id="35" name="Text Box 283"/>
        <xdr:cNvSpPr txBox="1">
          <a:spLocks noChangeArrowheads="1" noTextEdit="1"/>
        </xdr:cNvSpPr>
      </xdr:nvSpPr>
      <xdr:spPr bwMode="auto">
        <a:xfrm>
          <a:off x="8324851" y="1986382"/>
          <a:ext cx="1028700" cy="285887"/>
        </a:xfrm>
        <a:prstGeom prst="rect">
          <a:avLst/>
        </a:prstGeom>
        <a:noFill/>
        <a:ln w="9525">
          <a:noFill/>
          <a:miter lim="800000"/>
          <a:headEnd/>
          <a:tailEnd/>
        </a:ln>
      </xdr:spPr>
      <xdr:txBody>
        <a:bodyPr vertOverflow="clip" wrap="square" lIns="27432" tIns="22860" rIns="0" bIns="0" anchor="t" upright="1"/>
        <a:lstStyle/>
        <a:p>
          <a:pPr algn="l" rtl="0">
            <a:defRPr sz="1000"/>
          </a:pPr>
          <a:fld id="{47315316-35F3-49E7-A4CE-EA42773D1FAE}" type="TxLink">
            <a:rPr lang="en-US" sz="1200" b="1" i="0" u="none" strike="noStrike">
              <a:solidFill>
                <a:srgbClr val="000000"/>
              </a:solidFill>
              <a:latin typeface="Arial"/>
              <a:cs typeface="Arial"/>
            </a:rPr>
            <a:pPr algn="l" rtl="0">
              <a:defRPr sz="1000"/>
            </a:pPr>
            <a:t>15V...48V</a:t>
          </a:fld>
          <a:endParaRPr lang="en-US" sz="1200" b="1"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27</xdr:row>
          <xdr:rowOff>0</xdr:rowOff>
        </xdr:from>
        <xdr:to>
          <xdr:col>5</xdr:col>
          <xdr:colOff>276225</xdr:colOff>
          <xdr:row>28</xdr:row>
          <xdr:rowOff>28575</xdr:rowOff>
        </xdr:to>
        <xdr:sp macro="" textlink="">
          <xdr:nvSpPr>
            <xdr:cNvPr id="672935" name="Drop Down 167" hidden="1">
              <a:extLst>
                <a:ext uri="{63B3BB69-23CF-44E3-9099-C40C66FF867C}">
                  <a14:compatExt spid="_x0000_s672935"/>
                </a:ext>
              </a:extLst>
            </xdr:cNvPr>
            <xdr:cNvSpPr/>
          </xdr:nvSpPr>
          <xdr:spPr>
            <a:xfrm>
              <a:off x="0" y="0"/>
              <a:ext cx="0" cy="0"/>
            </a:xfrm>
            <a:prstGeom prst="rect">
              <a:avLst/>
            </a:prstGeom>
          </xdr:spPr>
        </xdr:sp>
        <xdr:clientData/>
      </xdr:twoCellAnchor>
    </mc:Choice>
    <mc:Fallback/>
  </mc:AlternateContent>
  <xdr:twoCellAnchor>
    <xdr:from>
      <xdr:col>19</xdr:col>
      <xdr:colOff>345191</xdr:colOff>
      <xdr:row>18</xdr:row>
      <xdr:rowOff>179673</xdr:rowOff>
    </xdr:from>
    <xdr:to>
      <xdr:col>20</xdr:col>
      <xdr:colOff>66463</xdr:colOff>
      <xdr:row>20</xdr:row>
      <xdr:rowOff>31513</xdr:rowOff>
    </xdr:to>
    <xdr:sp macro="" textlink="'Variable Mgmt'!C233">
      <xdr:nvSpPr>
        <xdr:cNvPr id="43" name="Text Box 225"/>
        <xdr:cNvSpPr txBox="1">
          <a:spLocks noChangeArrowheads="1"/>
        </xdr:cNvSpPr>
      </xdr:nvSpPr>
      <xdr:spPr bwMode="auto">
        <a:xfrm>
          <a:off x="12194291" y="4199223"/>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 </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19</xdr:col>
      <xdr:colOff>294863</xdr:colOff>
      <xdr:row>20</xdr:row>
      <xdr:rowOff>24818</xdr:rowOff>
    </xdr:from>
    <xdr:to>
      <xdr:col>20</xdr:col>
      <xdr:colOff>200643</xdr:colOff>
      <xdr:row>21</xdr:row>
      <xdr:rowOff>57525</xdr:rowOff>
    </xdr:to>
    <xdr:sp macro="" textlink="'Variable Mgmt'!B233">
      <xdr:nvSpPr>
        <xdr:cNvPr id="44" name="Text Box 268"/>
        <xdr:cNvSpPr txBox="1">
          <a:spLocks noChangeArrowheads="1" noTextEdit="1"/>
        </xdr:cNvSpPr>
      </xdr:nvSpPr>
      <xdr:spPr bwMode="auto">
        <a:xfrm>
          <a:off x="12143963" y="4444418"/>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 </a:t>
          </a:fld>
          <a:endParaRPr lang="el-GR" sz="1100" b="0"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5</xdr:col>
          <xdr:colOff>257175</xdr:colOff>
          <xdr:row>33</xdr:row>
          <xdr:rowOff>200025</xdr:rowOff>
        </xdr:to>
        <xdr:sp macro="" textlink="">
          <xdr:nvSpPr>
            <xdr:cNvPr id="673043" name="Drop Down 275" hidden="1">
              <a:extLst>
                <a:ext uri="{63B3BB69-23CF-44E3-9099-C40C66FF867C}">
                  <a14:compatExt spid="_x0000_s673043"/>
                </a:ext>
              </a:extLst>
            </xdr:cNvPr>
            <xdr:cNvSpPr/>
          </xdr:nvSpPr>
          <xdr:spPr>
            <a:xfrm>
              <a:off x="0" y="0"/>
              <a:ext cx="0" cy="0"/>
            </a:xfrm>
            <a:prstGeom prst="rect">
              <a:avLst/>
            </a:prstGeom>
          </xdr:spPr>
        </xdr:sp>
        <xdr:clientData/>
      </xdr:twoCellAnchor>
    </mc:Choice>
    <mc:Fallback/>
  </mc:AlternateContent>
  <xdr:twoCellAnchor>
    <xdr:from>
      <xdr:col>15</xdr:col>
      <xdr:colOff>355276</xdr:colOff>
      <xdr:row>9</xdr:row>
      <xdr:rowOff>29108</xdr:rowOff>
    </xdr:from>
    <xdr:to>
      <xdr:col>16</xdr:col>
      <xdr:colOff>81051</xdr:colOff>
      <xdr:row>10</xdr:row>
      <xdr:rowOff>59124</xdr:rowOff>
    </xdr:to>
    <xdr:sp macro="" textlink="'Variable Mgmt'!C236">
      <xdr:nvSpPr>
        <xdr:cNvPr id="48" name="Text Box 264"/>
        <xdr:cNvSpPr txBox="1">
          <a:spLocks noChangeArrowheads="1" noTextEdit="1"/>
        </xdr:cNvSpPr>
      </xdr:nvSpPr>
      <xdr:spPr bwMode="auto">
        <a:xfrm>
          <a:off x="9508801" y="2200808"/>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 </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355276</xdr:colOff>
      <xdr:row>14</xdr:row>
      <xdr:rowOff>23943</xdr:rowOff>
    </xdr:from>
    <xdr:to>
      <xdr:col>16</xdr:col>
      <xdr:colOff>103031</xdr:colOff>
      <xdr:row>14</xdr:row>
      <xdr:rowOff>213188</xdr:rowOff>
    </xdr:to>
    <xdr:sp macro="" textlink="'Variable Mgmt'!D236">
      <xdr:nvSpPr>
        <xdr:cNvPr id="50" name="Text Box 264"/>
        <xdr:cNvSpPr txBox="1">
          <a:spLocks noChangeArrowheads="1" noTextEdit="1"/>
        </xdr:cNvSpPr>
      </xdr:nvSpPr>
      <xdr:spPr bwMode="auto">
        <a:xfrm>
          <a:off x="9508801" y="3195768"/>
          <a:ext cx="424030" cy="189245"/>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 </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305571</xdr:colOff>
      <xdr:row>19</xdr:row>
      <xdr:rowOff>153969</xdr:rowOff>
    </xdr:from>
    <xdr:to>
      <xdr:col>16</xdr:col>
      <xdr:colOff>73264</xdr:colOff>
      <xdr:row>21</xdr:row>
      <xdr:rowOff>95474</xdr:rowOff>
    </xdr:to>
    <xdr:sp macro="" textlink="'Variable Mgmt'!C246">
      <xdr:nvSpPr>
        <xdr:cNvPr id="49" name="Text Box 281"/>
        <xdr:cNvSpPr txBox="1">
          <a:spLocks noChangeArrowheads="1" noTextEdit="1"/>
        </xdr:cNvSpPr>
      </xdr:nvSpPr>
      <xdr:spPr bwMode="auto">
        <a:xfrm>
          <a:off x="9459096" y="4373544"/>
          <a:ext cx="443968" cy="341555"/>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 </a:t>
          </a:fld>
          <a:endParaRPr lang="en-US" sz="1100" b="0" i="0" strike="noStrike">
            <a:solidFill>
              <a:srgbClr val="000000"/>
            </a:solidFill>
            <a:latin typeface="Arial" pitchFamily="34" charset="0"/>
            <a:cs typeface="Arial" pitchFamily="34" charset="0"/>
          </a:endParaRPr>
        </a:p>
      </xdr:txBody>
    </xdr:sp>
    <xdr:clientData/>
  </xdr:twoCellAnchor>
  <xdr:twoCellAnchor editAs="oneCell">
    <xdr:from>
      <xdr:col>0</xdr:col>
      <xdr:colOff>78143</xdr:colOff>
      <xdr:row>0</xdr:row>
      <xdr:rowOff>32845</xdr:rowOff>
    </xdr:from>
    <xdr:to>
      <xdr:col>3</xdr:col>
      <xdr:colOff>351439</xdr:colOff>
      <xdr:row>0</xdr:row>
      <xdr:rowOff>571501</xdr:rowOff>
    </xdr:to>
    <xdr:pic macro="[0]!OpenLM27403ProductFolder">
      <xdr:nvPicPr>
        <xdr:cNvPr id="4" name="Picture 3">
          <a:hlinkClick xmlns:r="http://schemas.openxmlformats.org/officeDocument/2006/relationships" r:id="rId3"/>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896" b="8304"/>
        <a:stretch/>
      </xdr:blipFill>
      <xdr:spPr>
        <a:xfrm>
          <a:off x="78143" y="32845"/>
          <a:ext cx="2283071" cy="538656"/>
        </a:xfrm>
        <a:prstGeom prst="rect">
          <a:avLst/>
        </a:prstGeom>
      </xdr:spPr>
    </xdr:pic>
    <xdr:clientData/>
  </xdr:twoCellAnchor>
  <xdr:twoCellAnchor editAs="oneCell">
    <xdr:from>
      <xdr:col>21</xdr:col>
      <xdr:colOff>400381</xdr:colOff>
      <xdr:row>0</xdr:row>
      <xdr:rowOff>123825</xdr:rowOff>
    </xdr:from>
    <xdr:to>
      <xdr:col>23</xdr:col>
      <xdr:colOff>432054</xdr:colOff>
      <xdr:row>3</xdr:row>
      <xdr:rowOff>123825</xdr:rowOff>
    </xdr:to>
    <xdr:pic macro="[0]!OpenLM27403ProductFolder">
      <xdr:nvPicPr>
        <xdr:cNvPr id="53" name="Picture 52">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478456" y="123825"/>
          <a:ext cx="1250873" cy="971550"/>
        </a:xfrm>
        <a:prstGeom prst="rect">
          <a:avLst/>
        </a:prstGeom>
      </xdr:spPr>
    </xdr:pic>
    <xdr:clientData/>
  </xdr:twoCellAnchor>
  <xdr:twoCellAnchor editAs="oneCell">
    <xdr:from>
      <xdr:col>23</xdr:col>
      <xdr:colOff>514350</xdr:colOff>
      <xdr:row>0</xdr:row>
      <xdr:rowOff>117830</xdr:rowOff>
    </xdr:from>
    <xdr:to>
      <xdr:col>25</xdr:col>
      <xdr:colOff>542193</xdr:colOff>
      <xdr:row>3</xdr:row>
      <xdr:rowOff>120958</xdr:rowOff>
    </xdr:to>
    <xdr:pic macro="[0]!OpenLM27403ProductFolder">
      <xdr:nvPicPr>
        <xdr:cNvPr id="54" name="Picture 53">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787446" y="117830"/>
          <a:ext cx="1244112" cy="970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12</xdr:col>
          <xdr:colOff>66675</xdr:colOff>
          <xdr:row>12</xdr:row>
          <xdr:rowOff>9525</xdr:rowOff>
        </xdr:to>
        <xdr:sp macro="" textlink="">
          <xdr:nvSpPr>
            <xdr:cNvPr id="697343" name="Drop Down 3071" hidden="1">
              <a:extLst>
                <a:ext uri="{63B3BB69-23CF-44E3-9099-C40C66FF867C}">
                  <a14:compatExt spid="_x0000_s697343"/>
                </a:ext>
              </a:extLst>
            </xdr:cNvPr>
            <xdr:cNvSpPr/>
          </xdr:nvSpPr>
          <xdr:spPr>
            <a:xfrm>
              <a:off x="0" y="0"/>
              <a:ext cx="0" cy="0"/>
            </a:xfrm>
            <a:prstGeom prst="rect">
              <a:avLst/>
            </a:prstGeom>
          </xdr:spPr>
        </xdr:sp>
        <xdr:clientData/>
      </xdr:twoCellAnchor>
    </mc:Choice>
    <mc:Fallback/>
  </mc:AlternateContent>
  <xdr:twoCellAnchor>
    <xdr:from>
      <xdr:col>19</xdr:col>
      <xdr:colOff>348376</xdr:colOff>
      <xdr:row>14</xdr:row>
      <xdr:rowOff>69974</xdr:rowOff>
    </xdr:from>
    <xdr:to>
      <xdr:col>20</xdr:col>
      <xdr:colOff>61616</xdr:colOff>
      <xdr:row>15</xdr:row>
      <xdr:rowOff>61702</xdr:rowOff>
    </xdr:to>
    <xdr:sp macro="" textlink="">
      <xdr:nvSpPr>
        <xdr:cNvPr id="57" name="Text Box 244"/>
        <xdr:cNvSpPr txBox="1">
          <a:spLocks noChangeArrowheads="1"/>
        </xdr:cNvSpPr>
      </xdr:nvSpPr>
      <xdr:spPr bwMode="auto">
        <a:xfrm>
          <a:off x="12197476" y="3241799"/>
          <a:ext cx="322840" cy="23937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20</xdr:col>
      <xdr:colOff>374043</xdr:colOff>
      <xdr:row>19</xdr:row>
      <xdr:rowOff>1514</xdr:rowOff>
    </xdr:from>
    <xdr:to>
      <xdr:col>21</xdr:col>
      <xdr:colOff>148739</xdr:colOff>
      <xdr:row>20</xdr:row>
      <xdr:rowOff>34871</xdr:rowOff>
    </xdr:to>
    <xdr:sp macro="" textlink="">
      <xdr:nvSpPr>
        <xdr:cNvPr id="58" name="Text Box 244"/>
        <xdr:cNvSpPr txBox="1">
          <a:spLocks noChangeArrowheads="1"/>
        </xdr:cNvSpPr>
      </xdr:nvSpPr>
      <xdr:spPr bwMode="auto">
        <a:xfrm>
          <a:off x="12832743" y="4221089"/>
          <a:ext cx="384296"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18</xdr:col>
      <xdr:colOff>548052</xdr:colOff>
      <xdr:row>8</xdr:row>
      <xdr:rowOff>15972</xdr:rowOff>
    </xdr:from>
    <xdr:to>
      <xdr:col>19</xdr:col>
      <xdr:colOff>346548</xdr:colOff>
      <xdr:row>9</xdr:row>
      <xdr:rowOff>76319</xdr:rowOff>
    </xdr:to>
    <xdr:sp macro="" textlink="">
      <xdr:nvSpPr>
        <xdr:cNvPr id="60" name="Text Box 235"/>
        <xdr:cNvSpPr txBox="1">
          <a:spLocks noChangeArrowheads="1"/>
        </xdr:cNvSpPr>
      </xdr:nvSpPr>
      <xdr:spPr bwMode="auto">
        <a:xfrm>
          <a:off x="11730402" y="1987647"/>
          <a:ext cx="465246" cy="260372"/>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19</xdr:col>
      <xdr:colOff>164558</xdr:colOff>
      <xdr:row>11</xdr:row>
      <xdr:rowOff>69250</xdr:rowOff>
    </xdr:from>
    <xdr:to>
      <xdr:col>19</xdr:col>
      <xdr:colOff>436580</xdr:colOff>
      <xdr:row>12</xdr:row>
      <xdr:rowOff>119548</xdr:rowOff>
    </xdr:to>
    <xdr:sp macro="" textlink="">
      <xdr:nvSpPr>
        <xdr:cNvPr id="61" name="Text Box 235"/>
        <xdr:cNvSpPr txBox="1">
          <a:spLocks noChangeArrowheads="1"/>
        </xdr:cNvSpPr>
      </xdr:nvSpPr>
      <xdr:spPr bwMode="auto">
        <a:xfrm>
          <a:off x="12013658" y="2641000"/>
          <a:ext cx="272022" cy="250323"/>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5</xdr:col>
          <xdr:colOff>266700</xdr:colOff>
          <xdr:row>31</xdr:row>
          <xdr:rowOff>9525</xdr:rowOff>
        </xdr:to>
        <xdr:sp macro="" textlink="">
          <xdr:nvSpPr>
            <xdr:cNvPr id="714798" name="Drop Down 3118" hidden="1">
              <a:extLst>
                <a:ext uri="{63B3BB69-23CF-44E3-9099-C40C66FF867C}">
                  <a14:compatExt spid="_x0000_s714798"/>
                </a:ext>
              </a:extLst>
            </xdr:cNvPr>
            <xdr:cNvSpPr/>
          </xdr:nvSpPr>
          <xdr:spPr>
            <a:xfrm>
              <a:off x="0" y="0"/>
              <a:ext cx="0" cy="0"/>
            </a:xfrm>
            <a:prstGeom prst="rect">
              <a:avLst/>
            </a:prstGeom>
          </xdr:spPr>
        </xdr:sp>
        <xdr:clientData/>
      </xdr:twoCellAnchor>
    </mc:Choice>
    <mc:Fallback/>
  </mc:AlternateContent>
  <xdr:twoCellAnchor>
    <xdr:from>
      <xdr:col>20</xdr:col>
      <xdr:colOff>304800</xdr:colOff>
      <xdr:row>10</xdr:row>
      <xdr:rowOff>191738</xdr:rowOff>
    </xdr:from>
    <xdr:to>
      <xdr:col>21</xdr:col>
      <xdr:colOff>447675</xdr:colOff>
      <xdr:row>12</xdr:row>
      <xdr:rowOff>38100</xdr:rowOff>
    </xdr:to>
    <xdr:sp macro="" textlink="'Variable Mgmt'!B201">
      <xdr:nvSpPr>
        <xdr:cNvPr id="62" name="Text Box 265"/>
        <xdr:cNvSpPr txBox="1">
          <a:spLocks noChangeArrowheads="1" noTextEdit="1"/>
        </xdr:cNvSpPr>
      </xdr:nvSpPr>
      <xdr:spPr bwMode="auto">
        <a:xfrm>
          <a:off x="12763500" y="2563463"/>
          <a:ext cx="752475" cy="246412"/>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3 : 1</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25</xdr:col>
      <xdr:colOff>571500</xdr:colOff>
      <xdr:row>27</xdr:row>
      <xdr:rowOff>113959</xdr:rowOff>
    </xdr:from>
    <xdr:to>
      <xdr:col>25</xdr:col>
      <xdr:colOff>1049263</xdr:colOff>
      <xdr:row>29</xdr:row>
      <xdr:rowOff>12359</xdr:rowOff>
    </xdr:to>
    <xdr:sp macro="" textlink="'Variable Mgmt'!$B$254">
      <xdr:nvSpPr>
        <xdr:cNvPr id="56" name="Text Box 24"/>
        <xdr:cNvSpPr txBox="1">
          <a:spLocks noChangeArrowheads="1" noTextEdit="1"/>
        </xdr:cNvSpPr>
      </xdr:nvSpPr>
      <xdr:spPr bwMode="auto">
        <a:xfrm>
          <a:off x="16078200" y="5962309"/>
          <a:ext cx="477763" cy="279400"/>
        </a:xfrm>
        <a:prstGeom prst="rect">
          <a:avLst/>
        </a:prstGeom>
        <a:no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fld id="{1F0AFB1C-0795-4024-9821-D34D86340D40}" type="TxLink">
            <a:rPr lang="en-US" sz="1000" b="0" i="0" u="none" strike="noStrike" baseline="0">
              <a:solidFill>
                <a:srgbClr val="000000"/>
              </a:solidFill>
              <a:latin typeface="Arial"/>
              <a:cs typeface="Arial"/>
            </a:rPr>
            <a:pPr algn="l" rtl="0">
              <a:defRPr sz="1000"/>
            </a:pPr>
            <a:t>86.1%</a:t>
          </a:fld>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24</xdr:col>
      <xdr:colOff>38389</xdr:colOff>
      <xdr:row>13</xdr:row>
      <xdr:rowOff>88799</xdr:rowOff>
    </xdr:from>
    <xdr:to>
      <xdr:col>25</xdr:col>
      <xdr:colOff>93822</xdr:colOff>
      <xdr:row>14</xdr:row>
      <xdr:rowOff>236764</xdr:rowOff>
    </xdr:to>
    <xdr:sp macro="" textlink="'Variable Mgmt'!B209">
      <xdr:nvSpPr>
        <xdr:cNvPr id="42" name="Text Box 285"/>
        <xdr:cNvSpPr txBox="1">
          <a:spLocks noChangeArrowheads="1" noTextEdit="1"/>
        </xdr:cNvSpPr>
      </xdr:nvSpPr>
      <xdr:spPr bwMode="auto">
        <a:xfrm>
          <a:off x="14935489" y="3060599"/>
          <a:ext cx="665033" cy="347990"/>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418167</xdr:colOff>
      <xdr:row>14</xdr:row>
      <xdr:rowOff>147867</xdr:rowOff>
    </xdr:from>
    <xdr:to>
      <xdr:col>24</xdr:col>
      <xdr:colOff>561280</xdr:colOff>
      <xdr:row>15</xdr:row>
      <xdr:rowOff>199064</xdr:rowOff>
    </xdr:to>
    <xdr:sp macro="" textlink="'Variable Mgmt'!B264">
      <xdr:nvSpPr>
        <xdr:cNvPr id="46" name="Text Box 286"/>
        <xdr:cNvSpPr txBox="1">
          <a:spLocks noChangeArrowheads="1" noTextEdit="1"/>
        </xdr:cNvSpPr>
      </xdr:nvSpPr>
      <xdr:spPr bwMode="auto">
        <a:xfrm>
          <a:off x="14705667" y="3319692"/>
          <a:ext cx="752713" cy="298847"/>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24</xdr:col>
      <xdr:colOff>289</xdr:colOff>
      <xdr:row>15</xdr:row>
      <xdr:rowOff>128260</xdr:rowOff>
    </xdr:from>
    <xdr:to>
      <xdr:col>25</xdr:col>
      <xdr:colOff>55722</xdr:colOff>
      <xdr:row>17</xdr:row>
      <xdr:rowOff>74839</xdr:rowOff>
    </xdr:to>
    <xdr:sp macro="" textlink="'Variable Mgmt'!B210">
      <xdr:nvSpPr>
        <xdr:cNvPr id="47" name="Text Box 285"/>
        <xdr:cNvSpPr txBox="1">
          <a:spLocks noChangeArrowheads="1" noTextEdit="1"/>
        </xdr:cNvSpPr>
      </xdr:nvSpPr>
      <xdr:spPr bwMode="auto">
        <a:xfrm>
          <a:off x="14897389" y="3547735"/>
          <a:ext cx="665033"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437217</xdr:colOff>
      <xdr:row>16</xdr:row>
      <xdr:rowOff>190049</xdr:rowOff>
    </xdr:from>
    <xdr:to>
      <xdr:col>24</xdr:col>
      <xdr:colOff>580330</xdr:colOff>
      <xdr:row>18</xdr:row>
      <xdr:rowOff>90207</xdr:rowOff>
    </xdr:to>
    <xdr:sp macro="" textlink="'Variable Mgmt'!B265">
      <xdr:nvSpPr>
        <xdr:cNvPr id="51" name="Text Box 286"/>
        <xdr:cNvSpPr txBox="1">
          <a:spLocks noChangeArrowheads="1" noTextEdit="1"/>
        </xdr:cNvSpPr>
      </xdr:nvSpPr>
      <xdr:spPr bwMode="auto">
        <a:xfrm>
          <a:off x="14724717" y="3809549"/>
          <a:ext cx="752713" cy="300208"/>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23</xdr:col>
      <xdr:colOff>132557</xdr:colOff>
      <xdr:row>14</xdr:row>
      <xdr:rowOff>179147</xdr:rowOff>
    </xdr:from>
    <xdr:to>
      <xdr:col>24</xdr:col>
      <xdr:colOff>16035</xdr:colOff>
      <xdr:row>15</xdr:row>
      <xdr:rowOff>105137</xdr:rowOff>
    </xdr:to>
    <xdr:sp macro="" textlink="'Variable Mgmt'!D213">
      <xdr:nvSpPr>
        <xdr:cNvPr id="55" name="Text Box 267"/>
        <xdr:cNvSpPr txBox="1">
          <a:spLocks noChangeArrowheads="1" noTextEdit="1"/>
        </xdr:cNvSpPr>
      </xdr:nvSpPr>
      <xdr:spPr bwMode="auto">
        <a:xfrm>
          <a:off x="14420057" y="3350972"/>
          <a:ext cx="493078" cy="173640"/>
        </a:xfrm>
        <a:prstGeom prst="rect">
          <a:avLst/>
        </a:prstGeom>
        <a:noFill/>
        <a:ln w="9525">
          <a:noFill/>
          <a:miter lim="800000"/>
          <a:headEnd/>
          <a:tailEnd/>
        </a:ln>
      </xdr:spPr>
      <xdr:txBody>
        <a:bodyPr vertOverflow="clip" wrap="square" lIns="27432" tIns="22860" rIns="0" bIns="0" anchor="ctr" upright="1"/>
        <a:lstStyle/>
        <a:p>
          <a:pPr algn="l" rtl="0">
            <a:defRPr sz="1000"/>
          </a:pPr>
          <a:fld id="{2B13305E-FBF9-43A5-B29E-67B7B248F534}" type="TxLink">
            <a:rPr lang="en-US" sz="10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23</xdr:col>
      <xdr:colOff>132557</xdr:colOff>
      <xdr:row>16</xdr:row>
      <xdr:rowOff>141047</xdr:rowOff>
    </xdr:from>
    <xdr:to>
      <xdr:col>24</xdr:col>
      <xdr:colOff>16035</xdr:colOff>
      <xdr:row>17</xdr:row>
      <xdr:rowOff>124187</xdr:rowOff>
    </xdr:to>
    <xdr:sp macro="" textlink="'Variable Mgmt'!C213">
      <xdr:nvSpPr>
        <xdr:cNvPr id="67" name="Text Box 267"/>
        <xdr:cNvSpPr txBox="1">
          <a:spLocks noChangeArrowheads="1" noTextEdit="1"/>
        </xdr:cNvSpPr>
      </xdr:nvSpPr>
      <xdr:spPr bwMode="auto">
        <a:xfrm>
          <a:off x="14420057" y="3760547"/>
          <a:ext cx="49307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 </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20</xdr:col>
      <xdr:colOff>461791</xdr:colOff>
      <xdr:row>5</xdr:row>
      <xdr:rowOff>140393</xdr:rowOff>
    </xdr:from>
    <xdr:to>
      <xdr:col>21</xdr:col>
      <xdr:colOff>172310</xdr:colOff>
      <xdr:row>7</xdr:row>
      <xdr:rowOff>7039</xdr:rowOff>
    </xdr:to>
    <xdr:sp macro="" textlink="">
      <xdr:nvSpPr>
        <xdr:cNvPr id="52" name="Text Box 244"/>
        <xdr:cNvSpPr txBox="1">
          <a:spLocks noChangeArrowheads="1"/>
        </xdr:cNvSpPr>
      </xdr:nvSpPr>
      <xdr:spPr bwMode="auto">
        <a:xfrm>
          <a:off x="12920491" y="1531043"/>
          <a:ext cx="320119" cy="247646"/>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190500</xdr:rowOff>
        </xdr:from>
        <xdr:to>
          <xdr:col>5</xdr:col>
          <xdr:colOff>76200</xdr:colOff>
          <xdr:row>8</xdr:row>
          <xdr:rowOff>190500</xdr:rowOff>
        </xdr:to>
        <xdr:sp macro="" textlink="">
          <xdr:nvSpPr>
            <xdr:cNvPr id="715085" name="Drop Down 3405" hidden="1">
              <a:extLst>
                <a:ext uri="{63B3BB69-23CF-44E3-9099-C40C66FF867C}">
                  <a14:compatExt spid="_x0000_s7150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247649</xdr:rowOff>
        </xdr:from>
        <xdr:to>
          <xdr:col>17</xdr:col>
          <xdr:colOff>141358</xdr:colOff>
          <xdr:row>45</xdr:row>
          <xdr:rowOff>104774</xdr:rowOff>
        </xdr:to>
        <xdr:pic>
          <xdr:nvPicPr>
            <xdr:cNvPr id="65" name="Picture 8888"/>
            <xdr:cNvPicPr>
              <a:picLocks noChangeAspect="1" noChangeArrowheads="1"/>
              <a:extLst>
                <a:ext uri="{84589F7E-364E-4C9E-8A38-B11213B215E9}">
                  <a14:cameraTool cellRange="PICTURE2" spid="_x0000_s736714"/>
                </a:ext>
              </a:extLst>
            </xdr:cNvPicPr>
          </xdr:nvPicPr>
          <xdr:blipFill>
            <a:blip xmlns:r="http://schemas.openxmlformats.org/officeDocument/2006/relationships" r:embed="rId9"/>
            <a:srcRect/>
            <a:stretch>
              <a:fillRect/>
            </a:stretch>
          </xdr:blipFill>
          <xdr:spPr bwMode="auto">
            <a:xfrm>
              <a:off x="3962400" y="5448299"/>
              <a:ext cx="6685033" cy="412432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17</xdr:col>
      <xdr:colOff>149469</xdr:colOff>
      <xdr:row>14</xdr:row>
      <xdr:rowOff>148003</xdr:rowOff>
    </xdr:from>
    <xdr:to>
      <xdr:col>18</xdr:col>
      <xdr:colOff>266700</xdr:colOff>
      <xdr:row>16</xdr:row>
      <xdr:rowOff>14653</xdr:rowOff>
    </xdr:to>
    <xdr:sp macro="" textlink="">
      <xdr:nvSpPr>
        <xdr:cNvPr id="63" name="TextBox 62"/>
        <xdr:cNvSpPr txBox="1"/>
      </xdr:nvSpPr>
      <xdr:spPr bwMode="auto">
        <a:xfrm>
          <a:off x="10655544" y="3319828"/>
          <a:ext cx="793506" cy="314325"/>
        </a:xfrm>
        <a:prstGeom prst="rect">
          <a:avLst/>
        </a:prstGeom>
        <a:solidFill>
          <a:srgbClr val="CCFFFF"/>
        </a:solidFill>
        <a:ln w="9525">
          <a:noFill/>
          <a:miter lim="800000"/>
          <a:headEnd/>
          <a:tailEnd/>
        </a:ln>
      </xdr:spPr>
      <xdr:txBody>
        <a:bodyPr vertOverflow="clip" horzOverflow="clip" wrap="square" lIns="27432" tIns="27432" rIns="0" bIns="0" rtlCol="0" anchor="t" upright="1"/>
        <a:lstStyle/>
        <a:p>
          <a:pPr algn="ctr" rtl="0"/>
          <a:r>
            <a:rPr lang="en-US" sz="1400" b="1" i="0" strike="noStrike">
              <a:solidFill>
                <a:srgbClr val="FF0000"/>
              </a:solidFill>
              <a:latin typeface="Arial" panose="020B0604020202020204" pitchFamily="34" charset="0"/>
              <a:cs typeface="Arial" panose="020B0604020202020204" pitchFamily="34" charset="0"/>
            </a:rPr>
            <a:t>LM5181</a:t>
          </a:r>
          <a:endParaRPr lang="en-US" sz="1100" b="1" i="0" strike="no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56">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74.2%</a:t>
          </a:fld>
          <a:endParaRPr lang="en-US" sz="1100" b="1" i="0" u="none" strike="noStrike" baseline="0">
            <a:solidFill>
              <a:srgbClr val="000000"/>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38100</xdr:colOff>
      <xdr:row>6</xdr:row>
      <xdr:rowOff>819150</xdr:rowOff>
    </xdr:from>
    <xdr:to>
      <xdr:col>3</xdr:col>
      <xdr:colOff>561974</xdr:colOff>
      <xdr:row>6</xdr:row>
      <xdr:rowOff>1019175</xdr:rowOff>
    </xdr:to>
    <xdr:sp macro="" textlink="'Variable Mgmt'!$B$254">
      <xdr:nvSpPr>
        <xdr:cNvPr id="5" name="Text Box 24"/>
        <xdr:cNvSpPr txBox="1">
          <a:spLocks noChangeArrowheads="1" noTextEdit="1"/>
        </xdr:cNvSpPr>
      </xdr:nvSpPr>
      <xdr:spPr bwMode="auto">
        <a:xfrm>
          <a:off x="9686925" y="6934200"/>
          <a:ext cx="523874" cy="200025"/>
        </a:xfrm>
        <a:prstGeom prst="rect">
          <a:avLst/>
        </a:prstGeom>
        <a:solidFill>
          <a:schemeClr val="bg1"/>
        </a:solid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86.1%</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3</xdr:col>
      <xdr:colOff>19050</xdr:colOff>
      <xdr:row>4</xdr:row>
      <xdr:rowOff>704850</xdr:rowOff>
    </xdr:from>
    <xdr:to>
      <xdr:col>3</xdr:col>
      <xdr:colOff>542924</xdr:colOff>
      <xdr:row>4</xdr:row>
      <xdr:rowOff>904875</xdr:rowOff>
    </xdr:to>
    <xdr:sp macro="" textlink="'Variable Mgmt'!$B$254">
      <xdr:nvSpPr>
        <xdr:cNvPr id="6" name="Text Box 24"/>
        <xdr:cNvSpPr txBox="1">
          <a:spLocks noChangeArrowheads="1" noTextEdit="1"/>
        </xdr:cNvSpPr>
      </xdr:nvSpPr>
      <xdr:spPr bwMode="auto">
        <a:xfrm>
          <a:off x="9667875" y="1409700"/>
          <a:ext cx="523874" cy="200025"/>
        </a:xfrm>
        <a:prstGeom prst="rect">
          <a:avLst/>
        </a:prstGeom>
        <a:no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86.1%</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1</xdr:col>
      <xdr:colOff>1</xdr:colOff>
      <xdr:row>4</xdr:row>
      <xdr:rowOff>0</xdr:rowOff>
    </xdr:from>
    <xdr:to>
      <xdr:col>1</xdr:col>
      <xdr:colOff>8275321</xdr:colOff>
      <xdr:row>4</xdr:row>
      <xdr:rowOff>5029200</xdr:rowOff>
    </xdr:to>
    <xdr:graphicFrame macro="">
      <xdr:nvGraphicFramePr>
        <xdr:cNvPr id="8"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xdr:col>
      <xdr:colOff>8275320</xdr:colOff>
      <xdr:row>6</xdr:row>
      <xdr:rowOff>5029200</xdr:rowOff>
    </xdr:to>
    <xdr:graphicFrame macro="">
      <xdr:nvGraphicFramePr>
        <xdr:cNvPr id="7"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16</xdr:col>
          <xdr:colOff>18166</xdr:colOff>
          <xdr:row>4</xdr:row>
          <xdr:rowOff>4138092</xdr:rowOff>
        </xdr:to>
        <xdr:pic>
          <xdr:nvPicPr>
            <xdr:cNvPr id="9" name="Picture 8888"/>
            <xdr:cNvPicPr>
              <a:picLocks noChangeAspect="1" noChangeArrowheads="1"/>
              <a:extLst>
                <a:ext uri="{84589F7E-364E-4C9E-8A38-B11213B215E9}">
                  <a14:cameraTool cellRange="PICTURE3" spid="_x0000_s729438"/>
                </a:ext>
              </a:extLst>
            </xdr:cNvPicPr>
          </xdr:nvPicPr>
          <xdr:blipFill>
            <a:blip xmlns:r="http://schemas.openxmlformats.org/officeDocument/2006/relationships" r:embed="rId3"/>
            <a:srcRect/>
            <a:stretch>
              <a:fillRect/>
            </a:stretch>
          </xdr:blipFill>
          <xdr:spPr bwMode="auto">
            <a:xfrm>
              <a:off x="10868025" y="704850"/>
              <a:ext cx="6723766" cy="4138092"/>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18</xdr:col>
          <xdr:colOff>504825</xdr:colOff>
          <xdr:row>5</xdr:row>
          <xdr:rowOff>0</xdr:rowOff>
        </xdr:to>
        <xdr:pic>
          <xdr:nvPicPr>
            <xdr:cNvPr id="6" name="Picture 8888"/>
            <xdr:cNvPicPr>
              <a:picLocks noChangeAspect="1" noChangeArrowheads="1"/>
              <a:extLst>
                <a:ext uri="{84589F7E-364E-4C9E-8A38-B11213B215E9}">
                  <a14:cameraTool cellRange="PICTURE2" spid="_x0000_s733533"/>
                </a:ext>
              </a:extLst>
            </xdr:cNvPicPr>
          </xdr:nvPicPr>
          <xdr:blipFill>
            <a:blip xmlns:r="http://schemas.openxmlformats.org/officeDocument/2006/relationships" r:embed="rId1"/>
            <a:srcRect/>
            <a:stretch>
              <a:fillRect/>
            </a:stretch>
          </xdr:blipFill>
          <xdr:spPr bwMode="auto">
            <a:xfrm>
              <a:off x="10868025" y="704850"/>
              <a:ext cx="8429625" cy="5200650"/>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1</xdr:colOff>
      <xdr:row>4</xdr:row>
      <xdr:rowOff>0</xdr:rowOff>
    </xdr:from>
    <xdr:to>
      <xdr:col>1</xdr:col>
      <xdr:colOff>8275321</xdr:colOff>
      <xdr:row>4</xdr:row>
      <xdr:rowOff>5029200</xdr:rowOff>
    </xdr:to>
    <xdr:graphicFrame macro="">
      <xdr:nvGraphicFramePr>
        <xdr:cNvPr id="7" name="Chart 25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xdr:row>
      <xdr:rowOff>19049</xdr:rowOff>
    </xdr:from>
    <xdr:to>
      <xdr:col>1</xdr:col>
      <xdr:colOff>8277225</xdr:colOff>
      <xdr:row>6</xdr:row>
      <xdr:rowOff>5048249</xdr:rowOff>
    </xdr:to>
    <xdr:graphicFrame macro="">
      <xdr:nvGraphicFramePr>
        <xdr:cNvPr id="8" name="Chart 25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752475</xdr:colOff>
      <xdr:row>30</xdr:row>
      <xdr:rowOff>85725</xdr:rowOff>
    </xdr:from>
    <xdr:to>
      <xdr:col>15</xdr:col>
      <xdr:colOff>1200150</xdr:colOff>
      <xdr:row>31</xdr:row>
      <xdr:rowOff>133350</xdr:rowOff>
    </xdr:to>
    <xdr:sp macro="" textlink="">
      <xdr:nvSpPr>
        <xdr:cNvPr id="3" name="Text Box 2"/>
        <xdr:cNvSpPr txBox="1">
          <a:spLocks noChangeArrowheads="1"/>
        </xdr:cNvSpPr>
      </xdr:nvSpPr>
      <xdr:spPr bwMode="auto">
        <a:xfrm>
          <a:off x="16906875" y="139731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V</a:t>
          </a:r>
          <a:r>
            <a:rPr lang="en-US" sz="1000" b="1" i="0" strike="noStrike" baseline="-25000">
              <a:solidFill>
                <a:srgbClr val="0000FF"/>
              </a:solidFill>
              <a:latin typeface="Arial"/>
              <a:cs typeface="Arial"/>
            </a:rPr>
            <a:t>OUT</a:t>
          </a:r>
        </a:p>
      </xdr:txBody>
    </xdr:sp>
    <xdr:clientData/>
  </xdr:twoCellAnchor>
  <xdr:twoCellAnchor>
    <xdr:from>
      <xdr:col>15</xdr:col>
      <xdr:colOff>752475</xdr:colOff>
      <xdr:row>31</xdr:row>
      <xdr:rowOff>104775</xdr:rowOff>
    </xdr:from>
    <xdr:to>
      <xdr:col>15</xdr:col>
      <xdr:colOff>1181100</xdr:colOff>
      <xdr:row>32</xdr:row>
      <xdr:rowOff>152400</xdr:rowOff>
    </xdr:to>
    <xdr:sp macro="" textlink="">
      <xdr:nvSpPr>
        <xdr:cNvPr id="4" name="Text Box 3"/>
        <xdr:cNvSpPr txBox="1">
          <a:spLocks noChangeArrowheads="1" noTextEdit="1"/>
        </xdr:cNvSpPr>
      </xdr:nvSpPr>
      <xdr:spPr bwMode="auto">
        <a:xfrm>
          <a:off x="16906875" y="141636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fld id="{0F8B8801-C5EA-4FBD-95F5-162EB7ADACC8}" type="TxLink">
            <a:rPr lang="en-US" sz="1000" b="1" i="0" u="none" strike="noStrike">
              <a:solidFill>
                <a:srgbClr val="0000FF"/>
              </a:solidFill>
              <a:latin typeface="Arial"/>
              <a:cs typeface="Arial"/>
            </a:rPr>
            <a:pPr algn="l" rtl="0">
              <a:defRPr sz="1000"/>
            </a:pPr>
            <a:t>1.2V</a:t>
          </a:fld>
          <a:endParaRPr lang="en-US" sz="1000" b="1" i="0" strike="noStrike">
            <a:solidFill>
              <a:srgbClr val="0000FF"/>
            </a:solidFill>
            <a:latin typeface="Arial"/>
            <a:cs typeface="Arial"/>
          </a:endParaRPr>
        </a:p>
      </xdr:txBody>
    </xdr:sp>
    <xdr:clientData/>
  </xdr:twoCellAnchor>
  <xdr:twoCellAnchor>
    <xdr:from>
      <xdr:col>16</xdr:col>
      <xdr:colOff>0</xdr:colOff>
      <xdr:row>34</xdr:row>
      <xdr:rowOff>142875</xdr:rowOff>
    </xdr:from>
    <xdr:to>
      <xdr:col>16</xdr:col>
      <xdr:colOff>0</xdr:colOff>
      <xdr:row>36</xdr:row>
      <xdr:rowOff>152400</xdr:rowOff>
    </xdr:to>
    <xdr:grpSp>
      <xdr:nvGrpSpPr>
        <xdr:cNvPr id="5" name="Group 25"/>
        <xdr:cNvGrpSpPr>
          <a:grpSpLocks/>
        </xdr:cNvGrpSpPr>
      </xdr:nvGrpSpPr>
      <xdr:grpSpPr bwMode="auto">
        <a:xfrm>
          <a:off x="33108900" y="65131950"/>
          <a:ext cx="0" cy="4333875"/>
          <a:chOff x="953" y="747"/>
          <a:chExt cx="76" cy="41"/>
        </a:xfrm>
      </xdr:grpSpPr>
      <xdr:sp macro="" textlink="">
        <xdr:nvSpPr>
          <xdr:cNvPr id="6" name="Text Box 26"/>
          <xdr:cNvSpPr txBox="1">
            <a:spLocks noChangeArrowheads="1"/>
          </xdr:cNvSpPr>
        </xdr:nvSpPr>
        <xdr:spPr bwMode="auto">
          <a:xfrm>
            <a:off x="16906875" y="-6462072205698"/>
            <a:ext cx="0" cy="2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C</a:t>
            </a:r>
            <a:r>
              <a:rPr lang="en-US" sz="1000" b="1" i="0" strike="noStrike" baseline="-25000">
                <a:solidFill>
                  <a:srgbClr val="0000FF"/>
                </a:solidFill>
                <a:latin typeface="Arial"/>
                <a:cs typeface="Arial"/>
              </a:rPr>
              <a:t>OUT</a:t>
            </a:r>
          </a:p>
        </xdr:txBody>
      </xdr:sp>
      <xdr:sp macro="" textlink="">
        <xdr:nvSpPr>
          <xdr:cNvPr id="7" name="Text Box 27"/>
          <xdr:cNvSpPr txBox="1">
            <a:spLocks noChangeArrowheads="1" noTextEdit="1"/>
          </xdr:cNvSpPr>
        </xdr:nvSpPr>
        <xdr:spPr bwMode="auto">
          <a:xfrm>
            <a:off x="16906875" y="-11225863852848"/>
            <a:ext cx="0" cy="21"/>
          </a:xfrm>
          <a:prstGeom prst="rect">
            <a:avLst/>
          </a:prstGeom>
          <a:noFill/>
          <a:ln w="9525">
            <a:noFill/>
            <a:miter lim="800000"/>
            <a:headEnd/>
            <a:tailEnd/>
          </a:ln>
        </xdr:spPr>
        <xdr:txBody>
          <a:bodyPr vertOverflow="clip" wrap="square" lIns="27432" tIns="22860" rIns="0" bIns="0" anchor="t" upright="1"/>
          <a:lstStyle/>
          <a:p>
            <a:pPr algn="l" rtl="0">
              <a:defRPr sz="1000"/>
            </a:pPr>
            <a:fld id="{FA2B5858-D1A0-4A0D-80A7-2946C710A8EC}" type="TxLink">
              <a:rPr lang="en-US" sz="1000" b="1" i="0" u="none" strike="noStrike">
                <a:solidFill>
                  <a:srgbClr val="0000FF"/>
                </a:solidFill>
                <a:latin typeface="Arial"/>
                <a:cs typeface="Arial"/>
              </a:rPr>
              <a:pPr algn="l" rtl="0">
                <a:defRPr sz="1000"/>
              </a:pPr>
              <a:t>140µF</a:t>
            </a:fld>
            <a:endParaRPr lang="en-US" sz="1000" b="1" i="0" strike="noStrike">
              <a:solidFill>
                <a:srgbClr val="0000FF"/>
              </a:solidFill>
              <a:latin typeface="Arial"/>
              <a:cs typeface="Arial"/>
            </a:endParaRPr>
          </a:p>
        </xdr:txBody>
      </xdr:sp>
    </xdr:grpSp>
    <xdr:clientData/>
  </xdr:twoCellAnchor>
  <xdr:twoCellAnchor editAs="oneCell">
    <xdr:from>
      <xdr:col>3</xdr:col>
      <xdr:colOff>609599</xdr:colOff>
      <xdr:row>6</xdr:row>
      <xdr:rowOff>0</xdr:rowOff>
    </xdr:from>
    <xdr:to>
      <xdr:col>4</xdr:col>
      <xdr:colOff>8229599</xdr:colOff>
      <xdr:row>6</xdr:row>
      <xdr:rowOff>4480726</xdr:rowOff>
    </xdr:to>
    <xdr:pic>
      <xdr:nvPicPr>
        <xdr:cNvPr id="82"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49"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609599</xdr:colOff>
      <xdr:row>6</xdr:row>
      <xdr:rowOff>0</xdr:rowOff>
    </xdr:from>
    <xdr:to>
      <xdr:col>7</xdr:col>
      <xdr:colOff>8229599</xdr:colOff>
      <xdr:row>6</xdr:row>
      <xdr:rowOff>4480726</xdr:rowOff>
    </xdr:to>
    <xdr:pic>
      <xdr:nvPicPr>
        <xdr:cNvPr id="84" name="Picture 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16774"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8</xdr:row>
      <xdr:rowOff>0</xdr:rowOff>
    </xdr:from>
    <xdr:to>
      <xdr:col>1</xdr:col>
      <xdr:colOff>8229599</xdr:colOff>
      <xdr:row>8</xdr:row>
      <xdr:rowOff>4480726</xdr:rowOff>
    </xdr:to>
    <xdr:pic>
      <xdr:nvPicPr>
        <xdr:cNvPr id="51" name="Picture 5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4" y="578167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10</xdr:row>
      <xdr:rowOff>0</xdr:rowOff>
    </xdr:from>
    <xdr:to>
      <xdr:col>1</xdr:col>
      <xdr:colOff>8229599</xdr:colOff>
      <xdr:row>10</xdr:row>
      <xdr:rowOff>4480726</xdr:rowOff>
    </xdr:to>
    <xdr:pic>
      <xdr:nvPicPr>
        <xdr:cNvPr id="52" name="Picture 5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7724" y="10572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12</xdr:row>
      <xdr:rowOff>0</xdr:rowOff>
    </xdr:from>
    <xdr:to>
      <xdr:col>1</xdr:col>
      <xdr:colOff>8229599</xdr:colOff>
      <xdr:row>12</xdr:row>
      <xdr:rowOff>4480726</xdr:rowOff>
    </xdr:to>
    <xdr:pic>
      <xdr:nvPicPr>
        <xdr:cNvPr id="53" name="Picture 5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43642" y="1526721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14</xdr:row>
      <xdr:rowOff>-1</xdr:rowOff>
    </xdr:from>
    <xdr:to>
      <xdr:col>1</xdr:col>
      <xdr:colOff>8229599</xdr:colOff>
      <xdr:row>14</xdr:row>
      <xdr:rowOff>4480725</xdr:rowOff>
    </xdr:to>
    <xdr:pic>
      <xdr:nvPicPr>
        <xdr:cNvPr id="73" name="Picture 7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3642" y="19961678"/>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6</xdr:row>
      <xdr:rowOff>0</xdr:rowOff>
    </xdr:from>
    <xdr:to>
      <xdr:col>1</xdr:col>
      <xdr:colOff>8229599</xdr:colOff>
      <xdr:row>6</xdr:row>
      <xdr:rowOff>4480726</xdr:rowOff>
    </xdr:to>
    <xdr:pic>
      <xdr:nvPicPr>
        <xdr:cNvPr id="76" name="Picture 7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3642" y="1034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16</xdr:row>
      <xdr:rowOff>0</xdr:rowOff>
    </xdr:from>
    <xdr:to>
      <xdr:col>1</xdr:col>
      <xdr:colOff>8229599</xdr:colOff>
      <xdr:row>16</xdr:row>
      <xdr:rowOff>4480726</xdr:rowOff>
    </xdr:to>
    <xdr:pic>
      <xdr:nvPicPr>
        <xdr:cNvPr id="77" name="Picture 7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3642" y="24656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18</xdr:row>
      <xdr:rowOff>0</xdr:rowOff>
    </xdr:from>
    <xdr:to>
      <xdr:col>1</xdr:col>
      <xdr:colOff>8229599</xdr:colOff>
      <xdr:row>18</xdr:row>
      <xdr:rowOff>4480726</xdr:rowOff>
    </xdr:to>
    <xdr:pic>
      <xdr:nvPicPr>
        <xdr:cNvPr id="85" name="Picture 8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3642" y="293370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20</xdr:row>
      <xdr:rowOff>0</xdr:rowOff>
    </xdr:from>
    <xdr:to>
      <xdr:col>1</xdr:col>
      <xdr:colOff>8229599</xdr:colOff>
      <xdr:row>20</xdr:row>
      <xdr:rowOff>4480726</xdr:rowOff>
    </xdr:to>
    <xdr:pic>
      <xdr:nvPicPr>
        <xdr:cNvPr id="86" name="Picture 8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43642"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8</xdr:row>
      <xdr:rowOff>0</xdr:rowOff>
    </xdr:from>
    <xdr:to>
      <xdr:col>4</xdr:col>
      <xdr:colOff>8229599</xdr:colOff>
      <xdr:row>8</xdr:row>
      <xdr:rowOff>4480726</xdr:rowOff>
    </xdr:to>
    <xdr:pic>
      <xdr:nvPicPr>
        <xdr:cNvPr id="17" name="Picture 16"/>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82249" y="57830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10</xdr:row>
      <xdr:rowOff>0</xdr:rowOff>
    </xdr:from>
    <xdr:to>
      <xdr:col>4</xdr:col>
      <xdr:colOff>8229599</xdr:colOff>
      <xdr:row>10</xdr:row>
      <xdr:rowOff>4480726</xdr:rowOff>
    </xdr:to>
    <xdr:pic>
      <xdr:nvPicPr>
        <xdr:cNvPr id="19" name="Picture 18"/>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382249" y="104775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12</xdr:row>
      <xdr:rowOff>0</xdr:rowOff>
    </xdr:from>
    <xdr:to>
      <xdr:col>4</xdr:col>
      <xdr:colOff>8229599</xdr:colOff>
      <xdr:row>12</xdr:row>
      <xdr:rowOff>4480726</xdr:rowOff>
    </xdr:to>
    <xdr:pic>
      <xdr:nvPicPr>
        <xdr:cNvPr id="20" name="Picture 19"/>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382249" y="151719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14</xdr:row>
      <xdr:rowOff>0</xdr:rowOff>
    </xdr:from>
    <xdr:to>
      <xdr:col>4</xdr:col>
      <xdr:colOff>8229599</xdr:colOff>
      <xdr:row>14</xdr:row>
      <xdr:rowOff>4480726</xdr:rowOff>
    </xdr:to>
    <xdr:pic>
      <xdr:nvPicPr>
        <xdr:cNvPr id="21" name="Picture 2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382249" y="1986642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16</xdr:row>
      <xdr:rowOff>0</xdr:rowOff>
    </xdr:from>
    <xdr:to>
      <xdr:col>4</xdr:col>
      <xdr:colOff>8229599</xdr:colOff>
      <xdr:row>16</xdr:row>
      <xdr:rowOff>4480726</xdr:rowOff>
    </xdr:to>
    <xdr:pic>
      <xdr:nvPicPr>
        <xdr:cNvPr id="22" name="Picture 2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382249" y="2456089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18</xdr:row>
      <xdr:rowOff>0</xdr:rowOff>
    </xdr:from>
    <xdr:to>
      <xdr:col>4</xdr:col>
      <xdr:colOff>8229599</xdr:colOff>
      <xdr:row>18</xdr:row>
      <xdr:rowOff>4480726</xdr:rowOff>
    </xdr:to>
    <xdr:pic>
      <xdr:nvPicPr>
        <xdr:cNvPr id="23" name="Picture 22"/>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2249" y="29241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20</xdr:row>
      <xdr:rowOff>0</xdr:rowOff>
    </xdr:from>
    <xdr:to>
      <xdr:col>4</xdr:col>
      <xdr:colOff>8229599</xdr:colOff>
      <xdr:row>20</xdr:row>
      <xdr:rowOff>4480726</xdr:rowOff>
    </xdr:to>
    <xdr:pic>
      <xdr:nvPicPr>
        <xdr:cNvPr id="24" name="Picture 23"/>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2249"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8</xdr:row>
      <xdr:rowOff>0</xdr:rowOff>
    </xdr:from>
    <xdr:to>
      <xdr:col>7</xdr:col>
      <xdr:colOff>8229599</xdr:colOff>
      <xdr:row>8</xdr:row>
      <xdr:rowOff>4480726</xdr:rowOff>
    </xdr:to>
    <xdr:pic>
      <xdr:nvPicPr>
        <xdr:cNvPr id="25" name="Picture 2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9898590" y="576695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10</xdr:row>
      <xdr:rowOff>0</xdr:rowOff>
    </xdr:from>
    <xdr:to>
      <xdr:col>7</xdr:col>
      <xdr:colOff>8229599</xdr:colOff>
      <xdr:row>10</xdr:row>
      <xdr:rowOff>4480726</xdr:rowOff>
    </xdr:to>
    <xdr:pic>
      <xdr:nvPicPr>
        <xdr:cNvPr id="27" name="Picture 26"/>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9898590" y="10460182"/>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12</xdr:row>
      <xdr:rowOff>0</xdr:rowOff>
    </xdr:from>
    <xdr:to>
      <xdr:col>7</xdr:col>
      <xdr:colOff>8229599</xdr:colOff>
      <xdr:row>12</xdr:row>
      <xdr:rowOff>4480726</xdr:rowOff>
    </xdr:to>
    <xdr:pic>
      <xdr:nvPicPr>
        <xdr:cNvPr id="28" name="Picture 27"/>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9898590" y="1515340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14</xdr:row>
      <xdr:rowOff>0</xdr:rowOff>
    </xdr:from>
    <xdr:to>
      <xdr:col>7</xdr:col>
      <xdr:colOff>8229599</xdr:colOff>
      <xdr:row>14</xdr:row>
      <xdr:rowOff>4480726</xdr:rowOff>
    </xdr:to>
    <xdr:pic>
      <xdr:nvPicPr>
        <xdr:cNvPr id="29" name="Picture 28"/>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898590" y="19846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16</xdr:row>
      <xdr:rowOff>0</xdr:rowOff>
    </xdr:from>
    <xdr:to>
      <xdr:col>7</xdr:col>
      <xdr:colOff>8229599</xdr:colOff>
      <xdr:row>16</xdr:row>
      <xdr:rowOff>4480726</xdr:rowOff>
    </xdr:to>
    <xdr:pic>
      <xdr:nvPicPr>
        <xdr:cNvPr id="31" name="Picture 30"/>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898590" y="245398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18</xdr:row>
      <xdr:rowOff>0</xdr:rowOff>
    </xdr:from>
    <xdr:to>
      <xdr:col>7</xdr:col>
      <xdr:colOff>8229599</xdr:colOff>
      <xdr:row>18</xdr:row>
      <xdr:rowOff>4480726</xdr:rowOff>
    </xdr:to>
    <xdr:pic>
      <xdr:nvPicPr>
        <xdr:cNvPr id="33" name="Picture 32"/>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9898590" y="2923309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20</xdr:row>
      <xdr:rowOff>0</xdr:rowOff>
    </xdr:from>
    <xdr:to>
      <xdr:col>7</xdr:col>
      <xdr:colOff>8229599</xdr:colOff>
      <xdr:row>20</xdr:row>
      <xdr:rowOff>4480726</xdr:rowOff>
    </xdr:to>
    <xdr:pic>
      <xdr:nvPicPr>
        <xdr:cNvPr id="34" name="Picture 33"/>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898590" y="33943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6</xdr:col>
          <xdr:colOff>876300</xdr:colOff>
          <xdr:row>31</xdr:row>
          <xdr:rowOff>0</xdr:rowOff>
        </xdr:to>
        <xdr:sp macro="" textlink="">
          <xdr:nvSpPr>
            <xdr:cNvPr id="674505" name="Drop Down 713" hidden="1">
              <a:extLst>
                <a:ext uri="{63B3BB69-23CF-44E3-9099-C40C66FF867C}">
                  <a14:compatExt spid="_x0000_s674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xdr:rowOff>
        </xdr:from>
        <xdr:to>
          <xdr:col>6</xdr:col>
          <xdr:colOff>876300</xdr:colOff>
          <xdr:row>32</xdr:row>
          <xdr:rowOff>0</xdr:rowOff>
        </xdr:to>
        <xdr:sp macro="" textlink="">
          <xdr:nvSpPr>
            <xdr:cNvPr id="674508" name="Drop Down 716" hidden="1">
              <a:extLst>
                <a:ext uri="{63B3BB69-23CF-44E3-9099-C40C66FF867C}">
                  <a14:compatExt spid="_x0000_s674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9525</xdr:rowOff>
        </xdr:from>
        <xdr:to>
          <xdr:col>6</xdr:col>
          <xdr:colOff>876300</xdr:colOff>
          <xdr:row>36</xdr:row>
          <xdr:rowOff>0</xdr:rowOff>
        </xdr:to>
        <xdr:sp macro="" textlink="">
          <xdr:nvSpPr>
            <xdr:cNvPr id="674527" name="Drop Down 735" hidden="1">
              <a:extLst>
                <a:ext uri="{63B3BB69-23CF-44E3-9099-C40C66FF867C}">
                  <a14:compatExt spid="_x0000_s674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6</xdr:col>
          <xdr:colOff>876300</xdr:colOff>
          <xdr:row>41</xdr:row>
          <xdr:rowOff>0</xdr:rowOff>
        </xdr:to>
        <xdr:sp macro="" textlink="">
          <xdr:nvSpPr>
            <xdr:cNvPr id="674534" name="Drop Down 742" hidden="1">
              <a:extLst>
                <a:ext uri="{63B3BB69-23CF-44E3-9099-C40C66FF867C}">
                  <a14:compatExt spid="_x0000_s674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6</xdr:col>
          <xdr:colOff>876300</xdr:colOff>
          <xdr:row>38</xdr:row>
          <xdr:rowOff>0</xdr:rowOff>
        </xdr:to>
        <xdr:sp macro="" textlink="">
          <xdr:nvSpPr>
            <xdr:cNvPr id="674536" name="Drop Down 744" hidden="1">
              <a:extLst>
                <a:ext uri="{63B3BB69-23CF-44E3-9099-C40C66FF867C}">
                  <a14:compatExt spid="_x0000_s674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9525</xdr:rowOff>
        </xdr:from>
        <xdr:to>
          <xdr:col>6</xdr:col>
          <xdr:colOff>876300</xdr:colOff>
          <xdr:row>37</xdr:row>
          <xdr:rowOff>0</xdr:rowOff>
        </xdr:to>
        <xdr:sp macro="" textlink="">
          <xdr:nvSpPr>
            <xdr:cNvPr id="674539" name="Drop Down 747" hidden="1">
              <a:extLst>
                <a:ext uri="{63B3BB69-23CF-44E3-9099-C40C66FF867C}">
                  <a14:compatExt spid="_x0000_s674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9525</xdr:rowOff>
        </xdr:from>
        <xdr:to>
          <xdr:col>6</xdr:col>
          <xdr:colOff>876300</xdr:colOff>
          <xdr:row>40</xdr:row>
          <xdr:rowOff>0</xdr:rowOff>
        </xdr:to>
        <xdr:sp macro="" textlink="">
          <xdr:nvSpPr>
            <xdr:cNvPr id="674540" name="Drop Down 748" hidden="1">
              <a:extLst>
                <a:ext uri="{63B3BB69-23CF-44E3-9099-C40C66FF867C}">
                  <a14:compatExt spid="_x0000_s674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9525</xdr:rowOff>
        </xdr:from>
        <xdr:to>
          <xdr:col>6</xdr:col>
          <xdr:colOff>876300</xdr:colOff>
          <xdr:row>42</xdr:row>
          <xdr:rowOff>0</xdr:rowOff>
        </xdr:to>
        <xdr:sp macro="" textlink="">
          <xdr:nvSpPr>
            <xdr:cNvPr id="674541" name="Drop Down 749" hidden="1">
              <a:extLst>
                <a:ext uri="{63B3BB69-23CF-44E3-9099-C40C66FF867C}">
                  <a14:compatExt spid="_x0000_s674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9525</xdr:rowOff>
        </xdr:from>
        <xdr:to>
          <xdr:col>6</xdr:col>
          <xdr:colOff>876300</xdr:colOff>
          <xdr:row>43</xdr:row>
          <xdr:rowOff>0</xdr:rowOff>
        </xdr:to>
        <xdr:sp macro="" textlink="">
          <xdr:nvSpPr>
            <xdr:cNvPr id="674542" name="Drop Down 750" hidden="1">
              <a:extLst>
                <a:ext uri="{63B3BB69-23CF-44E3-9099-C40C66FF867C}">
                  <a14:compatExt spid="_x0000_s674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9525</xdr:rowOff>
        </xdr:from>
        <xdr:to>
          <xdr:col>6</xdr:col>
          <xdr:colOff>876300</xdr:colOff>
          <xdr:row>44</xdr:row>
          <xdr:rowOff>0</xdr:rowOff>
        </xdr:to>
        <xdr:sp macro="" textlink="">
          <xdr:nvSpPr>
            <xdr:cNvPr id="674543" name="Drop Down 751" hidden="1">
              <a:extLst>
                <a:ext uri="{63B3BB69-23CF-44E3-9099-C40C66FF867C}">
                  <a14:compatExt spid="_x0000_s674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6</xdr:col>
          <xdr:colOff>876300</xdr:colOff>
          <xdr:row>35</xdr:row>
          <xdr:rowOff>0</xdr:rowOff>
        </xdr:to>
        <xdr:sp macro="" textlink="">
          <xdr:nvSpPr>
            <xdr:cNvPr id="674544" name="Drop Down 752" hidden="1">
              <a:extLst>
                <a:ext uri="{63B3BB69-23CF-44E3-9099-C40C66FF867C}">
                  <a14:compatExt spid="_x0000_s674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9525</xdr:rowOff>
        </xdr:from>
        <xdr:to>
          <xdr:col>6</xdr:col>
          <xdr:colOff>876300</xdr:colOff>
          <xdr:row>45</xdr:row>
          <xdr:rowOff>0</xdr:rowOff>
        </xdr:to>
        <xdr:sp macro="" textlink="">
          <xdr:nvSpPr>
            <xdr:cNvPr id="674632" name="Drop Down 840" hidden="1">
              <a:extLst>
                <a:ext uri="{63B3BB69-23CF-44E3-9099-C40C66FF867C}">
                  <a14:compatExt spid="_x0000_s674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6</xdr:col>
          <xdr:colOff>876300</xdr:colOff>
          <xdr:row>34</xdr:row>
          <xdr:rowOff>0</xdr:rowOff>
        </xdr:to>
        <xdr:sp macro="" textlink="">
          <xdr:nvSpPr>
            <xdr:cNvPr id="674633" name="Drop Down 841" hidden="1">
              <a:extLst>
                <a:ext uri="{63B3BB69-23CF-44E3-9099-C40C66FF867C}">
                  <a14:compatExt spid="_x0000_s674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370999</xdr:colOff>
          <xdr:row>0</xdr:row>
          <xdr:rowOff>95250</xdr:rowOff>
        </xdr:from>
        <xdr:to>
          <xdr:col>7</xdr:col>
          <xdr:colOff>906899</xdr:colOff>
          <xdr:row>26</xdr:row>
          <xdr:rowOff>57258</xdr:rowOff>
        </xdr:to>
        <xdr:pic>
          <xdr:nvPicPr>
            <xdr:cNvPr id="77" name="Picture 8888"/>
            <xdr:cNvPicPr>
              <a:picLocks noChangeAspect="1" noChangeArrowheads="1"/>
              <a:extLst>
                <a:ext uri="{84589F7E-364E-4C9E-8A38-B11213B215E9}">
                  <a14:cameraTool cellRange="PICTURE1" spid="_x0000_s706354"/>
                </a:ext>
              </a:extLst>
            </xdr:cNvPicPr>
          </xdr:nvPicPr>
          <xdr:blipFill>
            <a:blip xmlns:r="http://schemas.openxmlformats.org/officeDocument/2006/relationships" r:embed="rId1"/>
            <a:srcRect/>
            <a:stretch>
              <a:fillRect/>
            </a:stretch>
          </xdr:blipFill>
          <xdr:spPr bwMode="auto">
            <a:xfrm>
              <a:off x="370999" y="95250"/>
              <a:ext cx="7308175" cy="4172058"/>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420742</xdr:colOff>
      <xdr:row>9</xdr:row>
      <xdr:rowOff>23494</xdr:rowOff>
    </xdr:from>
    <xdr:to>
      <xdr:col>1</xdr:col>
      <xdr:colOff>743582</xdr:colOff>
      <xdr:row>10</xdr:row>
      <xdr:rowOff>95608</xdr:rowOff>
    </xdr:to>
    <xdr:sp macro="" textlink="">
      <xdr:nvSpPr>
        <xdr:cNvPr id="78" name="Text Box 244"/>
        <xdr:cNvSpPr txBox="1">
          <a:spLocks noChangeArrowheads="1"/>
        </xdr:cNvSpPr>
      </xdr:nvSpPr>
      <xdr:spPr bwMode="auto">
        <a:xfrm>
          <a:off x="1058917" y="148081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6</xdr:col>
      <xdr:colOff>847596</xdr:colOff>
      <xdr:row>7</xdr:row>
      <xdr:rowOff>63609</xdr:rowOff>
    </xdr:from>
    <xdr:to>
      <xdr:col>7</xdr:col>
      <xdr:colOff>265709</xdr:colOff>
      <xdr:row>8</xdr:row>
      <xdr:rowOff>84849</xdr:rowOff>
    </xdr:to>
    <xdr:sp macro="" textlink="'Variable Mgmt'!B213">
      <xdr:nvSpPr>
        <xdr:cNvPr id="79" name="Text Box 267"/>
        <xdr:cNvSpPr txBox="1">
          <a:spLocks noChangeArrowheads="1" noTextEdit="1"/>
        </xdr:cNvSpPr>
      </xdr:nvSpPr>
      <xdr:spPr bwMode="auto">
        <a:xfrm>
          <a:off x="6543546" y="119708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47µF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5</xdr:col>
      <xdr:colOff>224042</xdr:colOff>
      <xdr:row>9</xdr:row>
      <xdr:rowOff>105784</xdr:rowOff>
    </xdr:from>
    <xdr:to>
      <xdr:col>5</xdr:col>
      <xdr:colOff>675647</xdr:colOff>
      <xdr:row>11</xdr:row>
      <xdr:rowOff>40383</xdr:rowOff>
    </xdr:to>
    <xdr:sp macro="" textlink="'Variable Mgmt'!B199">
      <xdr:nvSpPr>
        <xdr:cNvPr id="80" name="Text Box 275"/>
        <xdr:cNvSpPr txBox="1">
          <a:spLocks noChangeArrowheads="1" noTextEdit="1"/>
        </xdr:cNvSpPr>
      </xdr:nvSpPr>
      <xdr:spPr bwMode="auto">
        <a:xfrm>
          <a:off x="5015117" y="1563109"/>
          <a:ext cx="451605" cy="258449"/>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100" b="0" i="0" u="none" strike="noStrike" baseline="0">
              <a:solidFill>
                <a:srgbClr val="000000"/>
              </a:solidFill>
              <a:latin typeface="Arial" pitchFamily="34" charset="0"/>
              <a:cs typeface="Arial" pitchFamily="34" charset="0"/>
            </a:rPr>
            <a:pPr algn="ctr" rtl="0">
              <a:defRPr sz="1000"/>
            </a:pPr>
            <a:t>44µH</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xdr:col>
      <xdr:colOff>329828</xdr:colOff>
      <xdr:row>10</xdr:row>
      <xdr:rowOff>96372</xdr:rowOff>
    </xdr:from>
    <xdr:to>
      <xdr:col>2</xdr:col>
      <xdr:colOff>37577</xdr:colOff>
      <xdr:row>11</xdr:row>
      <xdr:rowOff>132518</xdr:rowOff>
    </xdr:to>
    <xdr:sp macro="" textlink="'Variable Mgmt'!B218">
      <xdr:nvSpPr>
        <xdr:cNvPr id="81" name="Text Box 276"/>
        <xdr:cNvSpPr txBox="1">
          <a:spLocks noChangeArrowheads="1" noTextEdit="1"/>
        </xdr:cNvSpPr>
      </xdr:nvSpPr>
      <xdr:spPr bwMode="auto">
        <a:xfrm>
          <a:off x="968003" y="1715622"/>
          <a:ext cx="469749" cy="198071"/>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xdr:col>
      <xdr:colOff>198843</xdr:colOff>
      <xdr:row>21</xdr:row>
      <xdr:rowOff>104015</xdr:rowOff>
    </xdr:from>
    <xdr:to>
      <xdr:col>2</xdr:col>
      <xdr:colOff>642811</xdr:colOff>
      <xdr:row>23</xdr:row>
      <xdr:rowOff>62417</xdr:rowOff>
    </xdr:to>
    <xdr:sp macro="" textlink="'Variable Mgmt'!D245">
      <xdr:nvSpPr>
        <xdr:cNvPr id="82" name="Text Box 281"/>
        <xdr:cNvSpPr txBox="1">
          <a:spLocks noChangeArrowheads="1" noTextEdit="1"/>
        </xdr:cNvSpPr>
      </xdr:nvSpPr>
      <xdr:spPr bwMode="auto">
        <a:xfrm>
          <a:off x="1599018" y="3504440"/>
          <a:ext cx="443968" cy="282252"/>
        </a:xfrm>
        <a:prstGeom prst="rect">
          <a:avLst/>
        </a:prstGeom>
        <a:noFill/>
        <a:ln w="9525">
          <a:noFill/>
          <a:miter lim="800000"/>
          <a:headEnd/>
          <a:tailEnd/>
        </a:ln>
      </xdr:spPr>
      <xdr:txBody>
        <a:bodyPr vertOverflow="clip" wrap="square" lIns="27432" tIns="22860" rIns="0" bIns="0" anchor="ctr" upright="1"/>
        <a:lstStyle/>
        <a:p>
          <a:pPr algn="l" rtl="0">
            <a:defRPr sz="1000"/>
          </a:pPr>
          <a:fld id="{F2115F91-8BFD-4C9B-9969-8B2C04ADF4C5}" type="TxLink">
            <a:rPr lang="en-US" sz="1100" b="0" i="0" u="none" strike="noStrike">
              <a:solidFill>
                <a:srgbClr val="000000"/>
              </a:solidFill>
              <a:latin typeface="Arial"/>
              <a:cs typeface="Arial"/>
            </a:rPr>
            <a:pPr algn="l" rtl="0">
              <a:defRPr sz="1000"/>
            </a:pPr>
            <a:t> </a:t>
          </a:fld>
          <a:endParaRPr lang="en-US" sz="1100" b="0" i="0" strike="noStrike">
            <a:solidFill>
              <a:srgbClr val="000000"/>
            </a:solidFill>
            <a:latin typeface="Arial" pitchFamily="34" charset="0"/>
            <a:cs typeface="Arial" pitchFamily="34" charset="0"/>
          </a:endParaRPr>
        </a:p>
      </xdr:txBody>
    </xdr:sp>
    <xdr:clientData/>
  </xdr:twoCellAnchor>
  <xdr:twoCellAnchor>
    <xdr:from>
      <xdr:col>0</xdr:col>
      <xdr:colOff>344923</xdr:colOff>
      <xdr:row>2</xdr:row>
      <xdr:rowOff>118526</xdr:rowOff>
    </xdr:from>
    <xdr:to>
      <xdr:col>1</xdr:col>
      <xdr:colOff>219275</xdr:colOff>
      <xdr:row>5</xdr:row>
      <xdr:rowOff>91586</xdr:rowOff>
    </xdr:to>
    <xdr:sp macro="" textlink="'Variable Mgmt'!B205">
      <xdr:nvSpPr>
        <xdr:cNvPr id="85" name="Text Box 283"/>
        <xdr:cNvSpPr txBox="1">
          <a:spLocks noChangeArrowheads="1" noTextEdit="1"/>
        </xdr:cNvSpPr>
      </xdr:nvSpPr>
      <xdr:spPr bwMode="auto">
        <a:xfrm>
          <a:off x="344923" y="442376"/>
          <a:ext cx="512527" cy="458835"/>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24V</a:t>
          </a:fld>
          <a:endParaRPr lang="en-US" sz="1400" b="1" i="0" strike="noStrike">
            <a:solidFill>
              <a:srgbClr val="FF0000"/>
            </a:solidFill>
            <a:latin typeface="Arial" pitchFamily="34" charset="0"/>
            <a:cs typeface="Arial" pitchFamily="34" charset="0"/>
          </a:endParaRPr>
        </a:p>
      </xdr:txBody>
    </xdr:sp>
    <xdr:clientData/>
  </xdr:twoCellAnchor>
  <xdr:twoCellAnchor>
    <xdr:from>
      <xdr:col>7</xdr:col>
      <xdr:colOff>269013</xdr:colOff>
      <xdr:row>3</xdr:row>
      <xdr:rowOff>3197</xdr:rowOff>
    </xdr:from>
    <xdr:to>
      <xdr:col>7</xdr:col>
      <xdr:colOff>935407</xdr:colOff>
      <xdr:row>5</xdr:row>
      <xdr:rowOff>25976</xdr:rowOff>
    </xdr:to>
    <xdr:sp macro="" textlink="'Variable Mgmt'!B208">
      <xdr:nvSpPr>
        <xdr:cNvPr id="87" name="Text Box 285"/>
        <xdr:cNvSpPr txBox="1">
          <a:spLocks noChangeArrowheads="1" noTextEdit="1"/>
        </xdr:cNvSpPr>
      </xdr:nvSpPr>
      <xdr:spPr bwMode="auto">
        <a:xfrm>
          <a:off x="7041288" y="48897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5V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7</xdr:col>
      <xdr:colOff>125849</xdr:colOff>
      <xdr:row>4</xdr:row>
      <xdr:rowOff>112611</xdr:rowOff>
    </xdr:from>
    <xdr:to>
      <xdr:col>7</xdr:col>
      <xdr:colOff>678298</xdr:colOff>
      <xdr:row>6</xdr:row>
      <xdr:rowOff>93051</xdr:rowOff>
    </xdr:to>
    <xdr:sp macro="" textlink="'Variable Mgmt'!B263">
      <xdr:nvSpPr>
        <xdr:cNvPr id="88" name="Text Box 286"/>
        <xdr:cNvSpPr txBox="1">
          <a:spLocks noChangeArrowheads="1" noTextEdit="1"/>
        </xdr:cNvSpPr>
      </xdr:nvSpPr>
      <xdr:spPr bwMode="auto">
        <a:xfrm>
          <a:off x="6898124" y="760311"/>
          <a:ext cx="552449"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0.5A</a:t>
          </a:fld>
          <a:endParaRPr lang="en-US" sz="1350" b="1" i="0" strike="noStrike">
            <a:solidFill>
              <a:srgbClr val="FF0000"/>
            </a:solidFill>
            <a:latin typeface="Arial" pitchFamily="34" charset="0"/>
            <a:cs typeface="Arial" pitchFamily="34" charset="0"/>
          </a:endParaRPr>
        </a:p>
      </xdr:txBody>
    </xdr:sp>
    <xdr:clientData/>
  </xdr:twoCellAnchor>
  <xdr:twoCellAnchor>
    <xdr:from>
      <xdr:col>2</xdr:col>
      <xdr:colOff>217360</xdr:colOff>
      <xdr:row>7</xdr:row>
      <xdr:rowOff>99362</xdr:rowOff>
    </xdr:from>
    <xdr:to>
      <xdr:col>2</xdr:col>
      <xdr:colOff>742058</xdr:colOff>
      <xdr:row>9</xdr:row>
      <xdr:rowOff>29041</xdr:rowOff>
    </xdr:to>
    <xdr:sp macro="" textlink="'Variable Mgmt'!C237">
      <xdr:nvSpPr>
        <xdr:cNvPr id="92" name="Text Box 268"/>
        <xdr:cNvSpPr txBox="1">
          <a:spLocks noChangeArrowheads="1" noTextEdit="1"/>
        </xdr:cNvSpPr>
      </xdr:nvSpPr>
      <xdr:spPr bwMode="auto">
        <a:xfrm>
          <a:off x="1617535" y="1232837"/>
          <a:ext cx="524698" cy="253529"/>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1000" b="0" i="0" u="none" strike="noStrike">
              <a:solidFill>
                <a:srgbClr val="000000"/>
              </a:solidFill>
              <a:latin typeface="Arial"/>
              <a:cs typeface="Arial"/>
            </a:rPr>
            <a:pPr algn="l" rtl="0">
              <a:defRPr sz="1000"/>
            </a:pPr>
            <a:t> </a:t>
          </a:fld>
          <a:endParaRPr lang="el-GR" sz="1000" b="0" i="0" strike="noStrike">
            <a:solidFill>
              <a:srgbClr val="000000"/>
            </a:solidFill>
            <a:latin typeface="Arial" pitchFamily="34" charset="0"/>
            <a:cs typeface="Arial" pitchFamily="34" charset="0"/>
          </a:endParaRPr>
        </a:p>
      </xdr:txBody>
    </xdr:sp>
    <xdr:clientData/>
  </xdr:twoCellAnchor>
  <xdr:twoCellAnchor>
    <xdr:from>
      <xdr:col>2</xdr:col>
      <xdr:colOff>198310</xdr:colOff>
      <xdr:row>13</xdr:row>
      <xdr:rowOff>137646</xdr:rowOff>
    </xdr:from>
    <xdr:to>
      <xdr:col>2</xdr:col>
      <xdr:colOff>723008</xdr:colOff>
      <xdr:row>15</xdr:row>
      <xdr:rowOff>31908</xdr:rowOff>
    </xdr:to>
    <xdr:sp macro="" textlink="'Variable Mgmt'!C238">
      <xdr:nvSpPr>
        <xdr:cNvPr id="93" name="Text Box 268"/>
        <xdr:cNvSpPr txBox="1">
          <a:spLocks noChangeArrowheads="1" noTextEdit="1"/>
        </xdr:cNvSpPr>
      </xdr:nvSpPr>
      <xdr:spPr bwMode="auto">
        <a:xfrm>
          <a:off x="1598485" y="2242671"/>
          <a:ext cx="524698" cy="218112"/>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1000" b="0" i="0" u="none" strike="noStrike">
              <a:solidFill>
                <a:srgbClr val="000000"/>
              </a:solidFill>
              <a:latin typeface="Arial"/>
              <a:cs typeface="Arial"/>
            </a:rPr>
            <a:pPr algn="l" rtl="0">
              <a:defRPr sz="1000"/>
            </a:pPr>
            <a:t> </a:t>
          </a:fld>
          <a:endParaRPr lang="el-GR" sz="1000" b="0" i="0" strike="noStrike">
            <a:solidFill>
              <a:srgbClr val="000000"/>
            </a:solidFill>
            <a:latin typeface="Arial" pitchFamily="34" charset="0"/>
            <a:cs typeface="Arial" pitchFamily="34" charset="0"/>
          </a:endParaRPr>
        </a:p>
      </xdr:txBody>
    </xdr:sp>
    <xdr:clientData/>
  </xdr:twoCellAnchor>
  <xdr:twoCellAnchor>
    <xdr:from>
      <xdr:col>4</xdr:col>
      <xdr:colOff>659751</xdr:colOff>
      <xdr:row>14</xdr:row>
      <xdr:rowOff>38988</xdr:rowOff>
    </xdr:from>
    <xdr:to>
      <xdr:col>5</xdr:col>
      <xdr:colOff>29192</xdr:colOff>
      <xdr:row>15</xdr:row>
      <xdr:rowOff>121560</xdr:rowOff>
    </xdr:to>
    <xdr:sp macro="" textlink="'Variable Mgmt'!C227">
      <xdr:nvSpPr>
        <xdr:cNvPr id="94" name="Text Box 268"/>
        <xdr:cNvSpPr txBox="1">
          <a:spLocks noChangeArrowheads="1" noTextEdit="1"/>
        </xdr:cNvSpPr>
      </xdr:nvSpPr>
      <xdr:spPr bwMode="auto">
        <a:xfrm>
          <a:off x="4298301" y="2305938"/>
          <a:ext cx="521966" cy="244497"/>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158kΩ</a:t>
          </a:fld>
          <a:endParaRPr lang="el-GR" sz="1800" b="0" i="0" strike="noStrike">
            <a:solidFill>
              <a:srgbClr val="000000"/>
            </a:solidFill>
            <a:latin typeface="Arial" pitchFamily="34" charset="0"/>
            <a:cs typeface="Arial" pitchFamily="34" charset="0"/>
          </a:endParaRPr>
        </a:p>
      </xdr:txBody>
    </xdr:sp>
    <xdr:clientData/>
  </xdr:twoCellAnchor>
  <xdr:twoCellAnchor>
    <xdr:from>
      <xdr:col>5</xdr:col>
      <xdr:colOff>157931</xdr:colOff>
      <xdr:row>20</xdr:row>
      <xdr:rowOff>88956</xdr:rowOff>
    </xdr:from>
    <xdr:to>
      <xdr:col>5</xdr:col>
      <xdr:colOff>672415</xdr:colOff>
      <xdr:row>21</xdr:row>
      <xdr:rowOff>128452</xdr:rowOff>
    </xdr:to>
    <xdr:sp macro="" textlink="'Variable Mgmt'!C241">
      <xdr:nvSpPr>
        <xdr:cNvPr id="95" name="Text Box 265"/>
        <xdr:cNvSpPr txBox="1">
          <a:spLocks noChangeArrowheads="1" noTextEdit="1"/>
        </xdr:cNvSpPr>
      </xdr:nvSpPr>
      <xdr:spPr bwMode="auto">
        <a:xfrm>
          <a:off x="4949006" y="3327456"/>
          <a:ext cx="514484"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0</xdr:col>
      <xdr:colOff>95250</xdr:colOff>
      <xdr:row>5</xdr:row>
      <xdr:rowOff>6666</xdr:rowOff>
    </xdr:from>
    <xdr:to>
      <xdr:col>1</xdr:col>
      <xdr:colOff>740109</xdr:colOff>
      <xdr:row>6</xdr:row>
      <xdr:rowOff>133349</xdr:rowOff>
    </xdr:to>
    <xdr:sp macro="" textlink="'Variable Mgmt'!B206">
      <xdr:nvSpPr>
        <xdr:cNvPr id="96" name="Text Box 283"/>
        <xdr:cNvSpPr txBox="1">
          <a:spLocks noChangeArrowheads="1" noTextEdit="1"/>
        </xdr:cNvSpPr>
      </xdr:nvSpPr>
      <xdr:spPr bwMode="auto">
        <a:xfrm>
          <a:off x="95250" y="816291"/>
          <a:ext cx="1283034" cy="288608"/>
        </a:xfrm>
        <a:prstGeom prst="rect">
          <a:avLst/>
        </a:prstGeom>
        <a:noFill/>
        <a:ln w="9525">
          <a:noFill/>
          <a:miter lim="800000"/>
          <a:headEnd/>
          <a:tailEnd/>
        </a:ln>
      </xdr:spPr>
      <xdr:txBody>
        <a:bodyPr vertOverflow="clip" wrap="square" lIns="27432" tIns="22860" rIns="0" bIns="0" anchor="t" upright="1"/>
        <a:lstStyle/>
        <a:p>
          <a:pPr algn="ctr" rtl="0">
            <a:defRPr sz="1000"/>
          </a:pPr>
          <a:fld id="{47315316-35F3-49E7-A4CE-EA42773D1FAE}" type="TxLink">
            <a:rPr lang="en-US" sz="1200" b="1" i="0" u="none" strike="noStrike">
              <a:solidFill>
                <a:srgbClr val="000000"/>
              </a:solidFill>
              <a:latin typeface="Arial"/>
              <a:cs typeface="Arial"/>
            </a:rPr>
            <a:pPr algn="ctr" rtl="0">
              <a:defRPr sz="1000"/>
            </a:pPr>
            <a:t>15V...48V</a:t>
          </a:fld>
          <a:endParaRPr lang="en-US" sz="1200" b="1" i="0" strike="noStrike">
            <a:solidFill>
              <a:srgbClr val="000000"/>
            </a:solidFill>
            <a:latin typeface="Arial" pitchFamily="34" charset="0"/>
            <a:cs typeface="Arial" pitchFamily="34" charset="0"/>
          </a:endParaRPr>
        </a:p>
      </xdr:txBody>
    </xdr:sp>
    <xdr:clientData/>
  </xdr:twoCellAnchor>
  <xdr:twoCellAnchor>
    <xdr:from>
      <xdr:col>4</xdr:col>
      <xdr:colOff>679229</xdr:colOff>
      <xdr:row>18</xdr:row>
      <xdr:rowOff>149860</xdr:rowOff>
    </xdr:from>
    <xdr:to>
      <xdr:col>4</xdr:col>
      <xdr:colOff>1010101</xdr:colOff>
      <xdr:row>20</xdr:row>
      <xdr:rowOff>77900</xdr:rowOff>
    </xdr:to>
    <xdr:sp macro="" textlink="'Variable Mgmt'!C233">
      <xdr:nvSpPr>
        <xdr:cNvPr id="97" name="Text Box 225"/>
        <xdr:cNvSpPr txBox="1">
          <a:spLocks noChangeArrowheads="1"/>
        </xdr:cNvSpPr>
      </xdr:nvSpPr>
      <xdr:spPr bwMode="auto">
        <a:xfrm>
          <a:off x="4317779" y="3064510"/>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 </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4</xdr:col>
      <xdr:colOff>631623</xdr:colOff>
      <xdr:row>20</xdr:row>
      <xdr:rowOff>71205</xdr:rowOff>
    </xdr:from>
    <xdr:to>
      <xdr:col>4</xdr:col>
      <xdr:colOff>1147003</xdr:colOff>
      <xdr:row>21</xdr:row>
      <xdr:rowOff>142012</xdr:rowOff>
    </xdr:to>
    <xdr:sp macro="" textlink="'Variable Mgmt'!B233">
      <xdr:nvSpPr>
        <xdr:cNvPr id="98" name="Text Box 268"/>
        <xdr:cNvSpPr txBox="1">
          <a:spLocks noChangeArrowheads="1" noTextEdit="1"/>
        </xdr:cNvSpPr>
      </xdr:nvSpPr>
      <xdr:spPr bwMode="auto">
        <a:xfrm>
          <a:off x="4270173" y="3309705"/>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 </a:t>
          </a:fld>
          <a:endParaRPr lang="el-GR" sz="1100" b="0" i="0" strike="noStrike">
            <a:solidFill>
              <a:srgbClr val="000000"/>
            </a:solidFill>
            <a:latin typeface="Arial" pitchFamily="34" charset="0"/>
            <a:cs typeface="Arial" pitchFamily="34" charset="0"/>
          </a:endParaRPr>
        </a:p>
      </xdr:txBody>
    </xdr:sp>
    <xdr:clientData/>
  </xdr:twoCellAnchor>
  <xdr:twoCellAnchor>
    <xdr:from>
      <xdr:col>2</xdr:col>
      <xdr:colOff>237557</xdr:colOff>
      <xdr:row>6</xdr:row>
      <xdr:rowOff>57806</xdr:rowOff>
    </xdr:from>
    <xdr:to>
      <xdr:col>2</xdr:col>
      <xdr:colOff>639607</xdr:colOff>
      <xdr:row>7</xdr:row>
      <xdr:rowOff>125922</xdr:rowOff>
    </xdr:to>
    <xdr:sp macro="" textlink="'Variable Mgmt'!C236">
      <xdr:nvSpPr>
        <xdr:cNvPr id="99" name="Text Box 264"/>
        <xdr:cNvSpPr txBox="1">
          <a:spLocks noChangeArrowheads="1" noTextEdit="1"/>
        </xdr:cNvSpPr>
      </xdr:nvSpPr>
      <xdr:spPr bwMode="auto">
        <a:xfrm>
          <a:off x="1637732" y="1029356"/>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 </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237557</xdr:colOff>
      <xdr:row>12</xdr:row>
      <xdr:rowOff>115234</xdr:rowOff>
    </xdr:from>
    <xdr:to>
      <xdr:col>2</xdr:col>
      <xdr:colOff>661587</xdr:colOff>
      <xdr:row>13</xdr:row>
      <xdr:rowOff>135750</xdr:rowOff>
    </xdr:to>
    <xdr:sp macro="" textlink="'Variable Mgmt'!D236">
      <xdr:nvSpPr>
        <xdr:cNvPr id="100" name="Text Box 264"/>
        <xdr:cNvSpPr txBox="1">
          <a:spLocks noChangeArrowheads="1" noTextEdit="1"/>
        </xdr:cNvSpPr>
      </xdr:nvSpPr>
      <xdr:spPr bwMode="auto">
        <a:xfrm>
          <a:off x="1637732" y="2058334"/>
          <a:ext cx="424030" cy="182441"/>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 </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216427</xdr:colOff>
      <xdr:row>20</xdr:row>
      <xdr:rowOff>331</xdr:rowOff>
    </xdr:from>
    <xdr:to>
      <xdr:col>2</xdr:col>
      <xdr:colOff>660395</xdr:colOff>
      <xdr:row>22</xdr:row>
      <xdr:rowOff>12593</xdr:rowOff>
    </xdr:to>
    <xdr:sp macro="" textlink="'Variable Mgmt'!C246">
      <xdr:nvSpPr>
        <xdr:cNvPr id="101" name="Text Box 281"/>
        <xdr:cNvSpPr txBox="1">
          <a:spLocks noChangeArrowheads="1" noTextEdit="1"/>
        </xdr:cNvSpPr>
      </xdr:nvSpPr>
      <xdr:spPr bwMode="auto">
        <a:xfrm>
          <a:off x="1616602" y="3238831"/>
          <a:ext cx="443968" cy="336112"/>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 </a:t>
          </a:fld>
          <a:endParaRPr lang="en-US" sz="1100" b="0" i="0" strike="noStrike">
            <a:solidFill>
              <a:srgbClr val="000000"/>
            </a:solidFill>
            <a:latin typeface="Arial" pitchFamily="34" charset="0"/>
            <a:cs typeface="Arial" pitchFamily="34" charset="0"/>
          </a:endParaRPr>
        </a:p>
      </xdr:txBody>
    </xdr:sp>
    <xdr:clientData/>
  </xdr:twoCellAnchor>
  <xdr:twoCellAnchor>
    <xdr:from>
      <xdr:col>4</xdr:col>
      <xdr:colOff>682414</xdr:colOff>
      <xdr:row>12</xdr:row>
      <xdr:rowOff>161265</xdr:rowOff>
    </xdr:from>
    <xdr:to>
      <xdr:col>4</xdr:col>
      <xdr:colOff>1005254</xdr:colOff>
      <xdr:row>14</xdr:row>
      <xdr:rowOff>69989</xdr:rowOff>
    </xdr:to>
    <xdr:sp macro="" textlink="">
      <xdr:nvSpPr>
        <xdr:cNvPr id="103" name="Text Box 244"/>
        <xdr:cNvSpPr txBox="1">
          <a:spLocks noChangeArrowheads="1"/>
        </xdr:cNvSpPr>
      </xdr:nvSpPr>
      <xdr:spPr bwMode="auto">
        <a:xfrm>
          <a:off x="4320964" y="2104365"/>
          <a:ext cx="322840" cy="232574"/>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5</xdr:col>
      <xdr:colOff>184207</xdr:colOff>
      <xdr:row>19</xdr:row>
      <xdr:rowOff>9801</xdr:rowOff>
    </xdr:from>
    <xdr:to>
      <xdr:col>5</xdr:col>
      <xdr:colOff>571224</xdr:colOff>
      <xdr:row>20</xdr:row>
      <xdr:rowOff>81258</xdr:rowOff>
    </xdr:to>
    <xdr:sp macro="" textlink="">
      <xdr:nvSpPr>
        <xdr:cNvPr id="104" name="Text Box 244"/>
        <xdr:cNvSpPr txBox="1">
          <a:spLocks noChangeArrowheads="1"/>
        </xdr:cNvSpPr>
      </xdr:nvSpPr>
      <xdr:spPr bwMode="auto">
        <a:xfrm>
          <a:off x="4975282" y="3086376"/>
          <a:ext cx="387017"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4</xdr:col>
      <xdr:colOff>216702</xdr:colOff>
      <xdr:row>5</xdr:row>
      <xdr:rowOff>7931</xdr:rowOff>
    </xdr:from>
    <xdr:to>
      <xdr:col>4</xdr:col>
      <xdr:colOff>680586</xdr:colOff>
      <xdr:row>6</xdr:row>
      <xdr:rowOff>105017</xdr:rowOff>
    </xdr:to>
    <xdr:sp macro="" textlink="">
      <xdr:nvSpPr>
        <xdr:cNvPr id="105" name="Text Box 235"/>
        <xdr:cNvSpPr txBox="1">
          <a:spLocks noChangeArrowheads="1"/>
        </xdr:cNvSpPr>
      </xdr:nvSpPr>
      <xdr:spPr bwMode="auto">
        <a:xfrm>
          <a:off x="3855252" y="817556"/>
          <a:ext cx="463884" cy="259011"/>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4</xdr:col>
      <xdr:colOff>501318</xdr:colOff>
      <xdr:row>9</xdr:row>
      <xdr:rowOff>20387</xdr:rowOff>
    </xdr:from>
    <xdr:to>
      <xdr:col>4</xdr:col>
      <xdr:colOff>770618</xdr:colOff>
      <xdr:row>10</xdr:row>
      <xdr:rowOff>119671</xdr:rowOff>
    </xdr:to>
    <xdr:sp macro="" textlink="">
      <xdr:nvSpPr>
        <xdr:cNvPr id="126" name="Text Box 235"/>
        <xdr:cNvSpPr txBox="1">
          <a:spLocks noChangeArrowheads="1"/>
        </xdr:cNvSpPr>
      </xdr:nvSpPr>
      <xdr:spPr bwMode="auto">
        <a:xfrm>
          <a:off x="4139868" y="1477712"/>
          <a:ext cx="269300" cy="261209"/>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xdr:twoCellAnchor>
    <xdr:from>
      <xdr:col>5</xdr:col>
      <xdr:colOff>142399</xdr:colOff>
      <xdr:row>8</xdr:row>
      <xdr:rowOff>104775</xdr:rowOff>
    </xdr:from>
    <xdr:to>
      <xdr:col>5</xdr:col>
      <xdr:colOff>790575</xdr:colOff>
      <xdr:row>10</xdr:row>
      <xdr:rowOff>0</xdr:rowOff>
    </xdr:to>
    <xdr:sp macro="" textlink="'Variable Mgmt'!B201">
      <xdr:nvSpPr>
        <xdr:cNvPr id="127" name="Text Box 265"/>
        <xdr:cNvSpPr txBox="1">
          <a:spLocks noChangeArrowheads="1" noTextEdit="1"/>
        </xdr:cNvSpPr>
      </xdr:nvSpPr>
      <xdr:spPr bwMode="auto">
        <a:xfrm>
          <a:off x="4933474" y="1400175"/>
          <a:ext cx="648176" cy="219075"/>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3 : 1</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7</xdr:col>
      <xdr:colOff>288063</xdr:colOff>
      <xdr:row>11</xdr:row>
      <xdr:rowOff>136547</xdr:rowOff>
    </xdr:from>
    <xdr:to>
      <xdr:col>7</xdr:col>
      <xdr:colOff>954457</xdr:colOff>
      <xdr:row>13</xdr:row>
      <xdr:rowOff>159326</xdr:rowOff>
    </xdr:to>
    <xdr:sp macro="" textlink="'Variable Mgmt'!B209">
      <xdr:nvSpPr>
        <xdr:cNvPr id="128" name="Text Box 285"/>
        <xdr:cNvSpPr txBox="1">
          <a:spLocks noChangeArrowheads="1" noTextEdit="1"/>
        </xdr:cNvSpPr>
      </xdr:nvSpPr>
      <xdr:spPr bwMode="auto">
        <a:xfrm>
          <a:off x="7060338" y="19177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133350</xdr:colOff>
      <xdr:row>13</xdr:row>
      <xdr:rowOff>74511</xdr:rowOff>
    </xdr:from>
    <xdr:to>
      <xdr:col>7</xdr:col>
      <xdr:colOff>733425</xdr:colOff>
      <xdr:row>15</xdr:row>
      <xdr:rowOff>54951</xdr:rowOff>
    </xdr:to>
    <xdr:sp macro="" textlink="'Variable Mgmt'!B264">
      <xdr:nvSpPr>
        <xdr:cNvPr id="129" name="Text Box 286"/>
        <xdr:cNvSpPr txBox="1">
          <a:spLocks noChangeArrowheads="1" noTextEdit="1"/>
        </xdr:cNvSpPr>
      </xdr:nvSpPr>
      <xdr:spPr bwMode="auto">
        <a:xfrm>
          <a:off x="6905625" y="2179536"/>
          <a:ext cx="600075"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7</xdr:col>
      <xdr:colOff>278538</xdr:colOff>
      <xdr:row>14</xdr:row>
      <xdr:rowOff>146072</xdr:rowOff>
    </xdr:from>
    <xdr:to>
      <xdr:col>7</xdr:col>
      <xdr:colOff>944932</xdr:colOff>
      <xdr:row>17</xdr:row>
      <xdr:rowOff>6926</xdr:rowOff>
    </xdr:to>
    <xdr:sp macro="" textlink="'Variable Mgmt'!B210">
      <xdr:nvSpPr>
        <xdr:cNvPr id="130" name="Text Box 285"/>
        <xdr:cNvSpPr txBox="1">
          <a:spLocks noChangeArrowheads="1" noTextEdit="1"/>
        </xdr:cNvSpPr>
      </xdr:nvSpPr>
      <xdr:spPr bwMode="auto">
        <a:xfrm>
          <a:off x="7050813" y="24130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105866</xdr:colOff>
      <xdr:row>16</xdr:row>
      <xdr:rowOff>84036</xdr:rowOff>
    </xdr:from>
    <xdr:to>
      <xdr:col>7</xdr:col>
      <xdr:colOff>859940</xdr:colOff>
      <xdr:row>18</xdr:row>
      <xdr:rowOff>64476</xdr:rowOff>
    </xdr:to>
    <xdr:sp macro="" textlink="'Variable Mgmt'!B265">
      <xdr:nvSpPr>
        <xdr:cNvPr id="131" name="Text Box 286"/>
        <xdr:cNvSpPr txBox="1">
          <a:spLocks noChangeArrowheads="1" noTextEdit="1"/>
        </xdr:cNvSpPr>
      </xdr:nvSpPr>
      <xdr:spPr bwMode="auto">
        <a:xfrm>
          <a:off x="6878141" y="2674836"/>
          <a:ext cx="754074"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6</xdr:col>
      <xdr:colOff>847596</xdr:colOff>
      <xdr:row>13</xdr:row>
      <xdr:rowOff>111234</xdr:rowOff>
    </xdr:from>
    <xdr:to>
      <xdr:col>7</xdr:col>
      <xdr:colOff>265709</xdr:colOff>
      <xdr:row>14</xdr:row>
      <xdr:rowOff>132474</xdr:rowOff>
    </xdr:to>
    <xdr:sp macro="" textlink="'Variable Mgmt'!D213">
      <xdr:nvSpPr>
        <xdr:cNvPr id="132" name="Text Box 267"/>
        <xdr:cNvSpPr txBox="1">
          <a:spLocks noChangeArrowheads="1" noTextEdit="1"/>
        </xdr:cNvSpPr>
      </xdr:nvSpPr>
      <xdr:spPr bwMode="auto">
        <a:xfrm>
          <a:off x="6543546" y="2216259"/>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1BBBBB7F-554B-4BC8-BF86-B8FB4EA76457}" type="TxLink">
            <a:rPr lang="en-US" sz="11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6</xdr:col>
      <xdr:colOff>847596</xdr:colOff>
      <xdr:row>16</xdr:row>
      <xdr:rowOff>35034</xdr:rowOff>
    </xdr:from>
    <xdr:to>
      <xdr:col>7</xdr:col>
      <xdr:colOff>265709</xdr:colOff>
      <xdr:row>17</xdr:row>
      <xdr:rowOff>56274</xdr:rowOff>
    </xdr:to>
    <xdr:sp macro="" textlink="'Variable Mgmt'!C213">
      <xdr:nvSpPr>
        <xdr:cNvPr id="133" name="Text Box 267"/>
        <xdr:cNvSpPr txBox="1">
          <a:spLocks noChangeArrowheads="1" noTextEdit="1"/>
        </xdr:cNvSpPr>
      </xdr:nvSpPr>
      <xdr:spPr bwMode="auto">
        <a:xfrm>
          <a:off x="6543546" y="262583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 </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5</xdr:col>
      <xdr:colOff>262430</xdr:colOff>
      <xdr:row>2</xdr:row>
      <xdr:rowOff>13969</xdr:rowOff>
    </xdr:from>
    <xdr:to>
      <xdr:col>5</xdr:col>
      <xdr:colOff>585270</xdr:colOff>
      <xdr:row>3</xdr:row>
      <xdr:rowOff>86083</xdr:rowOff>
    </xdr:to>
    <xdr:sp macro="" textlink="">
      <xdr:nvSpPr>
        <xdr:cNvPr id="134" name="Text Box 244"/>
        <xdr:cNvSpPr txBox="1">
          <a:spLocks noChangeArrowheads="1"/>
        </xdr:cNvSpPr>
      </xdr:nvSpPr>
      <xdr:spPr bwMode="auto">
        <a:xfrm>
          <a:off x="5053505" y="337819"/>
          <a:ext cx="322840" cy="234039"/>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5</xdr:col>
          <xdr:colOff>895350</xdr:colOff>
          <xdr:row>32</xdr:row>
          <xdr:rowOff>9525</xdr:rowOff>
        </xdr:from>
        <xdr:to>
          <xdr:col>6</xdr:col>
          <xdr:colOff>866775</xdr:colOff>
          <xdr:row>33</xdr:row>
          <xdr:rowOff>0</xdr:rowOff>
        </xdr:to>
        <xdr:sp macro="" textlink="">
          <xdr:nvSpPr>
            <xdr:cNvPr id="706019" name="Drop Down 1507" hidden="1">
              <a:extLst>
                <a:ext uri="{63B3BB69-23CF-44E3-9099-C40C66FF867C}">
                  <a14:compatExt spid="_x0000_s706019"/>
                </a:ext>
              </a:extLst>
            </xdr:cNvPr>
            <xdr:cNvSpPr/>
          </xdr:nvSpPr>
          <xdr:spPr>
            <a:xfrm>
              <a:off x="0" y="0"/>
              <a:ext cx="0" cy="0"/>
            </a:xfrm>
            <a:prstGeom prst="rect">
              <a:avLst/>
            </a:prstGeom>
          </xdr:spPr>
        </xdr:sp>
        <xdr:clientData/>
      </xdr:twoCellAnchor>
    </mc:Choice>
    <mc:Fallback/>
  </mc:AlternateContent>
  <xdr:twoCellAnchor>
    <xdr:from>
      <xdr:col>3</xdr:col>
      <xdr:colOff>382642</xdr:colOff>
      <xdr:row>7</xdr:row>
      <xdr:rowOff>137794</xdr:rowOff>
    </xdr:from>
    <xdr:to>
      <xdr:col>3</xdr:col>
      <xdr:colOff>705482</xdr:colOff>
      <xdr:row>9</xdr:row>
      <xdr:rowOff>47983</xdr:rowOff>
    </xdr:to>
    <xdr:sp macro="" textlink="">
      <xdr:nvSpPr>
        <xdr:cNvPr id="47" name="Text Box 244"/>
        <xdr:cNvSpPr txBox="1">
          <a:spLocks noChangeArrowheads="1"/>
        </xdr:cNvSpPr>
      </xdr:nvSpPr>
      <xdr:spPr bwMode="auto">
        <a:xfrm>
          <a:off x="2678167" y="127126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U</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38</xdr:row>
          <xdr:rowOff>9525</xdr:rowOff>
        </xdr:from>
        <xdr:to>
          <xdr:col>6</xdr:col>
          <xdr:colOff>876300</xdr:colOff>
          <xdr:row>39</xdr:row>
          <xdr:rowOff>0</xdr:rowOff>
        </xdr:to>
        <xdr:sp macro="" textlink="">
          <xdr:nvSpPr>
            <xdr:cNvPr id="706028" name="Drop Down 1516" hidden="1">
              <a:extLst>
                <a:ext uri="{63B3BB69-23CF-44E3-9099-C40C66FF867C}">
                  <a14:compatExt spid="_x0000_s706028"/>
                </a:ext>
              </a:extLst>
            </xdr:cNvPr>
            <xdr:cNvSpPr/>
          </xdr:nvSpPr>
          <xdr:spPr>
            <a:xfrm>
              <a:off x="0" y="0"/>
              <a:ext cx="0" cy="0"/>
            </a:xfrm>
            <a:prstGeom prst="rect">
              <a:avLst/>
            </a:prstGeom>
          </xdr:spPr>
        </xdr:sp>
        <xdr:clientData/>
      </xdr:twoCellAnchor>
    </mc:Choice>
    <mc:Fallback/>
  </mc:AlternateContent>
  <xdr:twoCellAnchor>
    <xdr:from>
      <xdr:col>3</xdr:col>
      <xdr:colOff>466725</xdr:colOff>
      <xdr:row>13</xdr:row>
      <xdr:rowOff>66675</xdr:rowOff>
    </xdr:from>
    <xdr:to>
      <xdr:col>3</xdr:col>
      <xdr:colOff>1238250</xdr:colOff>
      <xdr:row>15</xdr:row>
      <xdr:rowOff>56417</xdr:rowOff>
    </xdr:to>
    <xdr:sp macro="" textlink="">
      <xdr:nvSpPr>
        <xdr:cNvPr id="49" name="TextBox 48"/>
        <xdr:cNvSpPr txBox="1"/>
      </xdr:nvSpPr>
      <xdr:spPr bwMode="auto">
        <a:xfrm>
          <a:off x="2762250" y="2171700"/>
          <a:ext cx="771525" cy="313592"/>
        </a:xfrm>
        <a:prstGeom prst="rect">
          <a:avLst/>
        </a:prstGeom>
        <a:solidFill>
          <a:srgbClr val="CCFFFF"/>
        </a:solidFill>
        <a:ln w="9525">
          <a:noFill/>
          <a:miter lim="800000"/>
          <a:headEnd/>
          <a:tailEnd/>
        </a:ln>
      </xdr:spPr>
      <xdr:txBody>
        <a:bodyPr vertOverflow="clip" horzOverflow="clip" wrap="square" lIns="27432" tIns="27432" rIns="0" bIns="0" rtlCol="0" anchor="t" upright="1"/>
        <a:lstStyle/>
        <a:p>
          <a:pPr algn="ctr" rtl="0"/>
          <a:r>
            <a:rPr lang="en-US" sz="1400" b="1" i="0" strike="noStrike">
              <a:solidFill>
                <a:srgbClr val="FF0000"/>
              </a:solidFill>
              <a:latin typeface="Arial" panose="020B0604020202020204" pitchFamily="34" charset="0"/>
              <a:cs typeface="Arial" panose="020B0604020202020204" pitchFamily="34" charset="0"/>
            </a:rPr>
            <a:t>LM5181</a:t>
          </a:r>
          <a:endParaRPr lang="en-US" sz="1100" b="1" i="0" strike="noStrike">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7</xdr:row>
      <xdr:rowOff>38100</xdr:rowOff>
    </xdr:from>
    <xdr:to>
      <xdr:col>10</xdr:col>
      <xdr:colOff>419100</xdr:colOff>
      <xdr:row>62</xdr:row>
      <xdr:rowOff>107170</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704975"/>
          <a:ext cx="5972175" cy="8974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533400</xdr:colOff>
      <xdr:row>7</xdr:row>
      <xdr:rowOff>38100</xdr:rowOff>
    </xdr:from>
    <xdr:to>
      <xdr:col>21</xdr:col>
      <xdr:colOff>552450</xdr:colOff>
      <xdr:row>62</xdr:row>
      <xdr:rowOff>145539</xdr:rowOff>
    </xdr:to>
    <xdr:pic>
      <xdr:nvPicPr>
        <xdr:cNvPr id="10" name="Picture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704975"/>
          <a:ext cx="6124575" cy="9013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6</xdr:row>
          <xdr:rowOff>19050</xdr:rowOff>
        </xdr:from>
        <xdr:to>
          <xdr:col>10</xdr:col>
          <xdr:colOff>666750</xdr:colOff>
          <xdr:row>7</xdr:row>
          <xdr:rowOff>95250</xdr:rowOff>
        </xdr:to>
        <xdr:sp macro="" textlink="">
          <xdr:nvSpPr>
            <xdr:cNvPr id="721921" name="Drop Down 1" hidden="1">
              <a:extLst>
                <a:ext uri="{63B3BB69-23CF-44E3-9099-C40C66FF867C}">
                  <a14:compatExt spid="_x0000_s721921"/>
                </a:ext>
              </a:extLst>
            </xdr:cNvPr>
            <xdr:cNvSpPr/>
          </xdr:nvSpPr>
          <xdr:spPr>
            <a:xfrm>
              <a:off x="0" y="0"/>
              <a:ext cx="0" cy="0"/>
            </a:xfrm>
            <a:prstGeom prst="rect">
              <a:avLst/>
            </a:prstGeom>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152400</xdr:colOff>
      <xdr:row>9</xdr:row>
      <xdr:rowOff>0</xdr:rowOff>
    </xdr:from>
    <xdr:to>
      <xdr:col>23</xdr:col>
      <xdr:colOff>38100</xdr:colOff>
      <xdr:row>40</xdr:row>
      <xdr:rowOff>1732</xdr:rowOff>
    </xdr:to>
    <xdr:graphicFrame macro="">
      <xdr:nvGraphicFramePr>
        <xdr:cNvPr id="3"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40</xdr:row>
      <xdr:rowOff>123825</xdr:rowOff>
    </xdr:from>
    <xdr:to>
      <xdr:col>23</xdr:col>
      <xdr:colOff>19050</xdr:colOff>
      <xdr:row>71</xdr:row>
      <xdr:rowOff>125557</xdr:rowOff>
    </xdr:to>
    <xdr:graphicFrame macro="">
      <xdr:nvGraphicFramePr>
        <xdr:cNvPr id="4"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200025</xdr:colOff>
      <xdr:row>40</xdr:row>
      <xdr:rowOff>114300</xdr:rowOff>
    </xdr:from>
    <xdr:to>
      <xdr:col>46</xdr:col>
      <xdr:colOff>333375</xdr:colOff>
      <xdr:row>71</xdr:row>
      <xdr:rowOff>116032</xdr:rowOff>
    </xdr:to>
    <xdr:graphicFrame macro="">
      <xdr:nvGraphicFramePr>
        <xdr:cNvPr id="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228600</xdr:colOff>
      <xdr:row>9</xdr:row>
      <xdr:rowOff>28575</xdr:rowOff>
    </xdr:from>
    <xdr:to>
      <xdr:col>46</xdr:col>
      <xdr:colOff>361950</xdr:colOff>
      <xdr:row>40</xdr:row>
      <xdr:rowOff>30307</xdr:rowOff>
    </xdr:to>
    <xdr:graphicFrame macro="">
      <xdr:nvGraphicFramePr>
        <xdr:cNvPr id="7"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159205</xdr:colOff>
      <xdr:row>72</xdr:row>
      <xdr:rowOff>141513</xdr:rowOff>
    </xdr:from>
    <xdr:to>
      <xdr:col>23</xdr:col>
      <xdr:colOff>0</xdr:colOff>
      <xdr:row>101</xdr:row>
      <xdr:rowOff>123825</xdr:rowOff>
    </xdr:to>
    <xdr:graphicFrame macro="">
      <xdr:nvGraphicFramePr>
        <xdr:cNvPr id="9"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342900</xdr:colOff>
      <xdr:row>9</xdr:row>
      <xdr:rowOff>19050</xdr:rowOff>
    </xdr:from>
    <xdr:to>
      <xdr:col>27</xdr:col>
      <xdr:colOff>47625</xdr:colOff>
      <xdr:row>40</xdr:row>
      <xdr:rowOff>20782</xdr:rowOff>
    </xdr:to>
    <xdr:graphicFrame macro="">
      <xdr:nvGraphicFramePr>
        <xdr:cNvPr id="2"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352425</xdr:colOff>
      <xdr:row>41</xdr:row>
      <xdr:rowOff>0</xdr:rowOff>
    </xdr:from>
    <xdr:to>
      <xdr:col>27</xdr:col>
      <xdr:colOff>57150</xdr:colOff>
      <xdr:row>72</xdr:row>
      <xdr:rowOff>1732</xdr:rowOff>
    </xdr:to>
    <xdr:graphicFrame macro="">
      <xdr:nvGraphicFramePr>
        <xdr:cNvPr id="3"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194582</xdr:colOff>
      <xdr:row>41</xdr:row>
      <xdr:rowOff>21771</xdr:rowOff>
    </xdr:from>
    <xdr:to>
      <xdr:col>47</xdr:col>
      <xdr:colOff>123825</xdr:colOff>
      <xdr:row>72</xdr:row>
      <xdr:rowOff>23503</xdr:rowOff>
    </xdr:to>
    <xdr:graphicFrame macro="">
      <xdr:nvGraphicFramePr>
        <xdr:cNvPr id="4"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228600</xdr:colOff>
      <xdr:row>9</xdr:row>
      <xdr:rowOff>28575</xdr:rowOff>
    </xdr:from>
    <xdr:to>
      <xdr:col>47</xdr:col>
      <xdr:colOff>19050</xdr:colOff>
      <xdr:row>40</xdr:row>
      <xdr:rowOff>30307</xdr:rowOff>
    </xdr:to>
    <xdr:graphicFrame macro="">
      <xdr:nvGraphicFramePr>
        <xdr:cNvPr id="5"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329046</xdr:colOff>
      <xdr:row>72</xdr:row>
      <xdr:rowOff>138546</xdr:rowOff>
    </xdr:from>
    <xdr:to>
      <xdr:col>27</xdr:col>
      <xdr:colOff>33771</xdr:colOff>
      <xdr:row>103</xdr:row>
      <xdr:rowOff>140278</xdr:rowOff>
    </xdr:to>
    <xdr:graphicFrame macro="">
      <xdr:nvGraphicFramePr>
        <xdr:cNvPr id="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12</xdr:row>
      <xdr:rowOff>0</xdr:rowOff>
    </xdr:from>
    <xdr:to>
      <xdr:col>33</xdr:col>
      <xdr:colOff>248709</xdr:colOff>
      <xdr:row>40</xdr:row>
      <xdr:rowOff>61288</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111</xdr:row>
      <xdr:rowOff>114300</xdr:rowOff>
    </xdr:from>
    <xdr:to>
      <xdr:col>20</xdr:col>
      <xdr:colOff>161925</xdr:colOff>
      <xdr:row>144</xdr:row>
      <xdr:rowOff>76200</xdr:rowOff>
    </xdr:to>
    <xdr:graphicFrame macro="">
      <xdr:nvGraphicFramePr>
        <xdr:cNvPr id="3"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1600199</xdr:colOff>
      <xdr:row>4</xdr:row>
      <xdr:rowOff>95250</xdr:rowOff>
    </xdr:from>
    <xdr:to>
      <xdr:col>4</xdr:col>
      <xdr:colOff>3267074</xdr:colOff>
      <xdr:row>4</xdr:row>
      <xdr:rowOff>535385</xdr:rowOff>
    </xdr:to>
    <xdr:pic>
      <xdr:nvPicPr>
        <xdr:cNvPr id="4" name="Picture 84"/>
        <xdr:cNvPicPr>
          <a:picLocks noChangeAspect="1" noChangeArrowheads="1"/>
        </xdr:cNvPicPr>
      </xdr:nvPicPr>
      <xdr:blipFill>
        <a:blip xmlns:r="http://schemas.openxmlformats.org/officeDocument/2006/relationships" r:embed="rId2" cstate="print"/>
        <a:srcRect/>
        <a:stretch>
          <a:fillRect/>
        </a:stretch>
      </xdr:blipFill>
      <xdr:spPr bwMode="auto">
        <a:xfrm>
          <a:off x="4857749" y="800100"/>
          <a:ext cx="1666875" cy="440135"/>
        </a:xfrm>
        <a:prstGeom prst="rect">
          <a:avLst/>
        </a:prstGeom>
        <a:noFill/>
        <a:ln w="1">
          <a:noFill/>
          <a:miter lim="800000"/>
          <a:headEnd/>
          <a:tailEnd type="none" w="med" len="med"/>
        </a:ln>
        <a:effectLst/>
      </xdr:spPr>
    </xdr:pic>
    <xdr:clientData/>
  </xdr:twoCellAnchor>
  <xdr:twoCellAnchor>
    <xdr:from>
      <xdr:col>0</xdr:col>
      <xdr:colOff>95250</xdr:colOff>
      <xdr:row>148</xdr:row>
      <xdr:rowOff>76200</xdr:rowOff>
    </xdr:from>
    <xdr:to>
      <xdr:col>20</xdr:col>
      <xdr:colOff>687917</xdr:colOff>
      <xdr:row>181</xdr:row>
      <xdr:rowOff>38100</xdr:rowOff>
    </xdr:to>
    <xdr:graphicFrame macro="">
      <xdr:nvGraphicFramePr>
        <xdr:cNvPr id="8"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22</xdr:col>
          <xdr:colOff>180975</xdr:colOff>
          <xdr:row>111</xdr:row>
          <xdr:rowOff>142875</xdr:rowOff>
        </xdr:from>
        <xdr:to>
          <xdr:col>36</xdr:col>
          <xdr:colOff>9525</xdr:colOff>
          <xdr:row>125</xdr:row>
          <xdr:rowOff>142875</xdr:rowOff>
        </xdr:to>
        <xdr:sp macro="" textlink="">
          <xdr:nvSpPr>
            <xdr:cNvPr id="683009" name="Object 1" hidden="1">
              <a:extLst>
                <a:ext uri="{63B3BB69-23CF-44E3-9099-C40C66FF867C}">
                  <a14:compatExt spid="_x0000_s683009"/>
                </a:ext>
              </a:extLst>
            </xdr:cNvPr>
            <xdr:cNvSpPr/>
          </xdr:nvSpPr>
          <xdr:spPr>
            <a:xfrm>
              <a:off x="0" y="0"/>
              <a:ext cx="0" cy="0"/>
            </a:xfrm>
            <a:prstGeom prst="rect">
              <a:avLst/>
            </a:prstGeom>
          </xdr:spPr>
        </xdr:sp>
        <xdr:clientData/>
      </xdr:twoCellAnchor>
    </mc:Choice>
    <mc:Fallback/>
  </mc:AlternateContent>
  <xdr:twoCellAnchor>
    <xdr:from>
      <xdr:col>0</xdr:col>
      <xdr:colOff>392906</xdr:colOff>
      <xdr:row>218</xdr:row>
      <xdr:rowOff>130969</xdr:rowOff>
    </xdr:from>
    <xdr:to>
      <xdr:col>19</xdr:col>
      <xdr:colOff>626267</xdr:colOff>
      <xdr:row>250</xdr:row>
      <xdr:rowOff>124619</xdr:rowOff>
    </xdr:to>
    <xdr:graphicFrame macro="">
      <xdr:nvGraphicFramePr>
        <xdr:cNvPr id="13"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35718</xdr:colOff>
      <xdr:row>255</xdr:row>
      <xdr:rowOff>47626</xdr:rowOff>
    </xdr:from>
    <xdr:to>
      <xdr:col>13</xdr:col>
      <xdr:colOff>16668</xdr:colOff>
      <xdr:row>287</xdr:row>
      <xdr:rowOff>104776</xdr:rowOff>
    </xdr:to>
    <xdr:graphicFrame macro="">
      <xdr:nvGraphicFramePr>
        <xdr:cNvPr id="1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289</xdr:row>
      <xdr:rowOff>66675</xdr:rowOff>
    </xdr:from>
    <xdr:to>
      <xdr:col>13</xdr:col>
      <xdr:colOff>9525</xdr:colOff>
      <xdr:row>321</xdr:row>
      <xdr:rowOff>123825</xdr:rowOff>
    </xdr:to>
    <xdr:graphicFrame macro="">
      <xdr:nvGraphicFramePr>
        <xdr:cNvPr id="15"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95251</xdr:colOff>
      <xdr:row>182</xdr:row>
      <xdr:rowOff>100853</xdr:rowOff>
    </xdr:from>
    <xdr:to>
      <xdr:col>20</xdr:col>
      <xdr:colOff>708023</xdr:colOff>
      <xdr:row>215</xdr:row>
      <xdr:rowOff>62753</xdr:rowOff>
    </xdr:to>
    <xdr:graphicFrame macro="">
      <xdr:nvGraphicFramePr>
        <xdr:cNvPr id="17"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56">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74.2%</a:t>
          </a:fld>
          <a:endParaRPr lang="en-US" sz="1100" b="1" i="0" u="none" strike="noStrike" baseline="0">
            <a:solidFill>
              <a:srgbClr val="000000"/>
            </a:solidFill>
            <a:latin typeface="Arial" pitchFamily="34" charset="0"/>
            <a:cs typeface="Arial"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27432" tIns="27432" rIns="0" bIns="0" anchor="t" upright="1"/>
      <a:lstStyle>
        <a:defPPr algn="l" rtl="0">
          <a:defRPr sz="1100" b="0" i="0" strike="noStrike">
            <a:solidFill>
              <a:srgbClr val="000000"/>
            </a:solidFill>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printerSettings" Target="../printerSettings/printerSettings1.bin"/><Relationship Id="rId1" Type="http://schemas.openxmlformats.org/officeDocument/2006/relationships/hyperlink" Target="http://www.ti.com/widevi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image" Target="../media/image15.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I53"/>
  <sheetViews>
    <sheetView tabSelected="1" zoomScaleNormal="100" zoomScaleSheetLayoutView="70" workbookViewId="0">
      <selection activeCell="E6" sqref="E6"/>
    </sheetView>
  </sheetViews>
  <sheetFormatPr defaultColWidth="9.140625" defaultRowHeight="12.75" x14ac:dyDescent="0.2"/>
  <cols>
    <col min="1" max="1" width="8.28515625" style="109" customWidth="1"/>
    <col min="2" max="2" width="8.28515625" style="48" customWidth="1"/>
    <col min="3" max="3" width="13.5703125" style="48" customWidth="1"/>
    <col min="4" max="4" width="9.85546875" style="48" customWidth="1"/>
    <col min="5" max="5" width="9.140625" style="48" customWidth="1"/>
    <col min="6" max="6" width="8.7109375" style="48" customWidth="1"/>
    <col min="7" max="7" width="2.7109375" style="48" customWidth="1"/>
    <col min="8" max="9" width="8.28515625" style="48" customWidth="1"/>
    <col min="10" max="10" width="13.7109375" style="48" customWidth="1"/>
    <col min="11" max="11" width="10" style="48" customWidth="1"/>
    <col min="12" max="12" width="9.42578125" style="48" customWidth="1"/>
    <col min="13" max="13" width="8.7109375" style="48" customWidth="1"/>
    <col min="14" max="15" width="9.140625" style="48"/>
    <col min="16" max="18" width="10.140625" style="48" customWidth="1"/>
    <col min="19" max="19" width="10" style="48" bestFit="1" customWidth="1"/>
    <col min="20" max="25" width="9.140625" style="48"/>
    <col min="26" max="26" width="29" style="48" customWidth="1"/>
    <col min="27" max="27" width="3.140625" style="48" customWidth="1"/>
    <col min="28" max="16384" width="9.140625" style="48"/>
  </cols>
  <sheetData>
    <row r="1" spans="1:27" ht="47.25" customHeight="1" x14ac:dyDescent="0.2">
      <c r="A1" s="533" t="s">
        <v>705</v>
      </c>
      <c r="B1" s="531"/>
      <c r="C1" s="531"/>
      <c r="D1" s="531"/>
      <c r="E1" s="531"/>
      <c r="F1" s="531"/>
      <c r="G1" s="531"/>
      <c r="H1" s="531"/>
      <c r="I1" s="531"/>
      <c r="J1" s="531"/>
      <c r="K1" s="531"/>
      <c r="L1" s="531"/>
      <c r="M1" s="531"/>
      <c r="N1" s="531"/>
      <c r="O1" s="531"/>
      <c r="P1" s="531"/>
      <c r="Q1" s="531"/>
      <c r="R1" s="532"/>
      <c r="S1" s="532"/>
      <c r="T1" s="532"/>
      <c r="U1" s="532"/>
      <c r="V1" s="424"/>
      <c r="W1" s="424"/>
      <c r="X1" s="424"/>
      <c r="Y1" s="424"/>
      <c r="Z1" s="424"/>
      <c r="AA1" s="424"/>
    </row>
    <row r="2" spans="1:27" ht="14.1" customHeight="1" x14ac:dyDescent="0.45">
      <c r="A2" s="405"/>
      <c r="B2" s="406"/>
      <c r="C2" s="406"/>
      <c r="D2" s="406"/>
      <c r="E2" s="406"/>
      <c r="F2" s="406"/>
      <c r="G2" s="406"/>
      <c r="H2" s="406"/>
      <c r="I2" s="406"/>
      <c r="J2" s="406"/>
      <c r="K2" s="406"/>
      <c r="L2" s="406"/>
      <c r="M2" s="406"/>
      <c r="N2" s="406"/>
      <c r="O2" s="419"/>
      <c r="P2" s="406"/>
      <c r="Q2" s="406"/>
      <c r="R2" s="414"/>
      <c r="S2" s="512"/>
      <c r="T2" s="512"/>
      <c r="U2" s="512"/>
      <c r="V2" s="512"/>
      <c r="W2" s="512"/>
      <c r="X2" s="512"/>
      <c r="Y2" s="512"/>
      <c r="Z2" s="512"/>
      <c r="AA2" s="512"/>
    </row>
    <row r="3" spans="1:27" ht="15.95" customHeight="1" x14ac:dyDescent="0.45">
      <c r="A3" s="407" t="s">
        <v>105</v>
      </c>
      <c r="B3" s="408"/>
      <c r="C3" s="420" t="s">
        <v>106</v>
      </c>
      <c r="D3" s="409"/>
      <c r="E3" s="85"/>
      <c r="F3" s="411" t="s">
        <v>59</v>
      </c>
      <c r="G3" s="410"/>
      <c r="H3" s="406"/>
      <c r="I3" s="406"/>
      <c r="J3" s="410"/>
      <c r="K3" s="412"/>
      <c r="L3" s="413"/>
      <c r="M3" s="414"/>
      <c r="N3" s="414"/>
      <c r="O3" s="512"/>
      <c r="P3" s="2"/>
      <c r="Q3" s="414" t="s">
        <v>77</v>
      </c>
      <c r="R3" s="414"/>
      <c r="S3" s="512"/>
      <c r="T3" s="512"/>
      <c r="U3" s="534" t="s">
        <v>319</v>
      </c>
      <c r="V3" s="512"/>
      <c r="W3" s="512"/>
      <c r="X3" s="512"/>
      <c r="Y3" s="512"/>
      <c r="Z3" s="512"/>
      <c r="AA3" s="512"/>
    </row>
    <row r="4" spans="1:27" ht="14.1" customHeight="1" thickBot="1" x14ac:dyDescent="0.35">
      <c r="A4" s="415"/>
      <c r="B4" s="416"/>
      <c r="C4" s="417"/>
      <c r="D4" s="417"/>
      <c r="E4" s="417"/>
      <c r="F4" s="417"/>
      <c r="G4" s="417"/>
      <c r="H4" s="417"/>
      <c r="I4" s="417"/>
      <c r="J4" s="417"/>
      <c r="K4" s="417"/>
      <c r="L4" s="417"/>
      <c r="M4" s="418"/>
      <c r="N4" s="418"/>
      <c r="O4" s="418"/>
      <c r="P4" s="418"/>
      <c r="Q4" s="418"/>
      <c r="R4" s="414"/>
      <c r="S4" s="512"/>
      <c r="T4" s="512"/>
      <c r="U4" s="512"/>
      <c r="V4" s="512"/>
      <c r="W4" s="512"/>
      <c r="X4" s="512"/>
      <c r="Y4" s="512"/>
      <c r="Z4" s="512"/>
      <c r="AA4" s="512"/>
    </row>
    <row r="5" spans="1:27" ht="19.5" customHeight="1" thickBot="1" x14ac:dyDescent="0.35">
      <c r="A5" s="108" t="s">
        <v>101</v>
      </c>
      <c r="B5" s="83"/>
      <c r="C5" s="49"/>
      <c r="D5" s="49"/>
      <c r="E5" s="50"/>
      <c r="F5" s="49"/>
      <c r="G5" s="74"/>
      <c r="H5" s="604" t="s">
        <v>366</v>
      </c>
      <c r="I5" s="94"/>
      <c r="J5" s="95"/>
      <c r="K5" s="95"/>
      <c r="L5" s="96"/>
      <c r="M5" s="362"/>
      <c r="N5" s="51"/>
      <c r="O5" s="51"/>
      <c r="P5" s="51"/>
      <c r="Q5" s="51"/>
      <c r="R5" s="513"/>
      <c r="S5" s="513"/>
      <c r="T5" s="513"/>
      <c r="U5" s="513"/>
      <c r="V5" s="513"/>
      <c r="W5" s="513"/>
      <c r="X5" s="513"/>
      <c r="Y5" s="513"/>
      <c r="Z5" s="517"/>
      <c r="AA5" s="512"/>
    </row>
    <row r="6" spans="1:27" ht="15.75" customHeight="1" x14ac:dyDescent="0.2">
      <c r="A6" s="143"/>
      <c r="B6" s="144"/>
      <c r="C6" s="145"/>
      <c r="D6" s="146" t="s">
        <v>375</v>
      </c>
      <c r="E6" s="147">
        <v>15</v>
      </c>
      <c r="F6" s="434" t="s">
        <v>0</v>
      </c>
      <c r="G6" s="92"/>
      <c r="H6" s="465"/>
      <c r="I6" s="521"/>
      <c r="J6" s="212"/>
      <c r="K6" s="522" t="s">
        <v>686</v>
      </c>
      <c r="L6" s="652">
        <f>Lmin</f>
        <v>37.484999999999999</v>
      </c>
      <c r="M6" s="655" t="s">
        <v>96</v>
      </c>
      <c r="N6" s="51"/>
      <c r="O6" s="51"/>
      <c r="P6" s="51"/>
      <c r="Q6" s="51"/>
      <c r="R6" s="84"/>
      <c r="S6" s="84"/>
      <c r="T6" s="77"/>
      <c r="U6" s="77"/>
      <c r="V6" s="77"/>
      <c r="W6" s="77"/>
      <c r="X6" s="77"/>
      <c r="Y6" s="77"/>
      <c r="Z6" s="518"/>
      <c r="AA6" s="512"/>
    </row>
    <row r="7" spans="1:27" ht="14.25" customHeight="1" x14ac:dyDescent="0.25">
      <c r="A7" s="137"/>
      <c r="B7" s="136"/>
      <c r="C7" s="138"/>
      <c r="D7" s="148" t="s">
        <v>376</v>
      </c>
      <c r="E7" s="149">
        <v>24</v>
      </c>
      <c r="F7" s="435" t="s">
        <v>0</v>
      </c>
      <c r="G7" s="92"/>
      <c r="H7" s="90"/>
      <c r="I7" s="91"/>
      <c r="J7" s="89"/>
      <c r="K7" s="102" t="s">
        <v>373</v>
      </c>
      <c r="L7" s="149">
        <v>44</v>
      </c>
      <c r="M7" s="435" t="s">
        <v>96</v>
      </c>
      <c r="N7" s="51"/>
      <c r="O7" s="51"/>
      <c r="P7" s="51"/>
      <c r="Q7" s="51"/>
      <c r="R7" s="84"/>
      <c r="S7" s="84"/>
      <c r="T7" s="77"/>
      <c r="U7" s="77"/>
      <c r="V7" s="77"/>
      <c r="W7" s="77"/>
      <c r="X7" s="77"/>
      <c r="Y7" s="77"/>
      <c r="Z7" s="518"/>
      <c r="AA7" s="512"/>
    </row>
    <row r="8" spans="1:27" ht="15.75" customHeight="1" x14ac:dyDescent="0.2">
      <c r="A8" s="137"/>
      <c r="B8" s="136"/>
      <c r="C8" s="138"/>
      <c r="D8" s="148" t="s">
        <v>377</v>
      </c>
      <c r="E8" s="149">
        <v>48</v>
      </c>
      <c r="F8" s="435" t="s">
        <v>0</v>
      </c>
      <c r="G8" s="92"/>
      <c r="H8" s="90"/>
      <c r="I8" s="91"/>
      <c r="J8" s="89"/>
      <c r="K8" s="102" t="s">
        <v>543</v>
      </c>
      <c r="L8" s="149">
        <v>200</v>
      </c>
      <c r="M8" s="435" t="s">
        <v>20</v>
      </c>
      <c r="N8" s="51"/>
      <c r="O8" s="51"/>
      <c r="P8" s="51"/>
      <c r="Q8" s="51"/>
      <c r="R8" s="84"/>
      <c r="S8" s="84"/>
      <c r="T8" s="77"/>
      <c r="U8" s="77"/>
      <c r="V8" s="77"/>
      <c r="W8" s="77"/>
      <c r="X8" s="77"/>
      <c r="Y8" s="77"/>
      <c r="Z8" s="518"/>
      <c r="AA8" s="512"/>
    </row>
    <row r="9" spans="1:27" ht="15.75" customHeight="1" x14ac:dyDescent="0.2">
      <c r="A9" s="137"/>
      <c r="B9" s="136"/>
      <c r="C9" s="138"/>
      <c r="D9" s="148" t="s">
        <v>374</v>
      </c>
      <c r="E9" s="602">
        <v>32</v>
      </c>
      <c r="F9" s="150"/>
      <c r="G9" s="92"/>
      <c r="H9" s="90"/>
      <c r="I9" s="91"/>
      <c r="J9" s="89"/>
      <c r="K9" s="102" t="str">
        <f>CHOOSE(MODE, "Secondary Winding DCR", "Secondary Winding #1 DCR")</f>
        <v>Secondary Winding DCR</v>
      </c>
      <c r="L9" s="149">
        <v>40</v>
      </c>
      <c r="M9" s="435" t="s">
        <v>20</v>
      </c>
      <c r="N9" s="51"/>
      <c r="O9" s="51"/>
      <c r="P9" s="51"/>
      <c r="Q9" s="51"/>
      <c r="R9" s="84"/>
      <c r="S9" s="84"/>
      <c r="T9" s="77"/>
      <c r="U9" s="77"/>
      <c r="V9" s="77"/>
      <c r="W9" s="77"/>
      <c r="X9" s="77"/>
      <c r="Y9" s="77"/>
      <c r="Z9" s="518"/>
      <c r="AA9" s="512"/>
    </row>
    <row r="10" spans="1:27" ht="15.75" customHeight="1" x14ac:dyDescent="0.2">
      <c r="A10" s="137"/>
      <c r="B10" s="136"/>
      <c r="C10" s="138"/>
      <c r="D10" s="148" t="str">
        <f>CHOOSE(MODE, "Output Voltage, VOUT ", "Output Voltage, VOUT1")</f>
        <v xml:space="preserve">Output Voltage, VOUT </v>
      </c>
      <c r="E10" s="149">
        <v>5</v>
      </c>
      <c r="F10" s="435" t="s">
        <v>0</v>
      </c>
      <c r="G10" s="92"/>
      <c r="H10" s="90"/>
      <c r="I10" s="91"/>
      <c r="J10" s="89"/>
      <c r="K10" s="102" t="str">
        <f>CHOOSE(MODE, "", "Secondary Winding #2 DCR")</f>
        <v/>
      </c>
      <c r="L10" s="149">
        <v>90</v>
      </c>
      <c r="M10" s="435" t="str">
        <f>CHOOSE(MODE, "", "mΩ")</f>
        <v/>
      </c>
      <c r="N10" s="51"/>
      <c r="O10" s="51"/>
      <c r="P10" s="51"/>
      <c r="Q10" s="51"/>
      <c r="R10" s="84"/>
      <c r="S10" s="84"/>
      <c r="T10" s="77"/>
      <c r="U10" s="77"/>
      <c r="V10" s="77"/>
      <c r="W10" s="77"/>
      <c r="X10" s="77"/>
      <c r="Y10" s="77"/>
      <c r="Z10" s="518"/>
      <c r="AA10" s="512"/>
    </row>
    <row r="11" spans="1:27" ht="15.75" customHeight="1" thickBot="1" x14ac:dyDescent="0.25">
      <c r="A11" s="140"/>
      <c r="B11" s="157"/>
      <c r="C11" s="519"/>
      <c r="D11" s="525" t="str">
        <f>CHOOSE(MODE, "Rated Output Current, IOUT ", "Rated Output Current, IOUT1")</f>
        <v xml:space="preserve">Rated Output Current, IOUT </v>
      </c>
      <c r="E11" s="526">
        <v>0.5</v>
      </c>
      <c r="F11" s="527" t="s">
        <v>1</v>
      </c>
      <c r="G11" s="92"/>
      <c r="H11" s="90"/>
      <c r="I11" s="77"/>
      <c r="J11" s="77"/>
      <c r="K11" s="102" t="s">
        <v>690</v>
      </c>
      <c r="L11" s="149">
        <v>1000</v>
      </c>
      <c r="M11" s="435" t="s">
        <v>689</v>
      </c>
      <c r="N11" s="51"/>
      <c r="O11" s="51"/>
      <c r="P11" s="51"/>
      <c r="Q11" s="51"/>
      <c r="R11" s="84"/>
      <c r="S11" s="84"/>
      <c r="T11" s="77"/>
      <c r="U11" s="77"/>
      <c r="V11" s="77"/>
      <c r="W11" s="77"/>
      <c r="X11" s="77"/>
      <c r="Y11" s="77"/>
      <c r="Z11" s="518"/>
      <c r="AA11" s="512"/>
    </row>
    <row r="12" spans="1:27" ht="15.75" customHeight="1" x14ac:dyDescent="0.2">
      <c r="A12" s="77"/>
      <c r="B12" s="77"/>
      <c r="C12" s="77"/>
      <c r="D12" s="148" t="str">
        <f>CHOOSE(MODE, "", "Output Voltage, VOUT2")</f>
        <v/>
      </c>
      <c r="E12" s="149">
        <v>-5</v>
      </c>
      <c r="F12" s="435" t="str">
        <f>CHOOSE(MODE, "", "V", "V")</f>
        <v/>
      </c>
      <c r="G12" s="92"/>
      <c r="H12" s="90"/>
      <c r="I12" s="91"/>
      <c r="J12" s="89"/>
      <c r="K12" s="88" t="str">
        <f>IF(MODE=1, "Transformer Turns Ratio, Pri : Sec", "Turns Ratio, PRI : SEC1")</f>
        <v>Transformer Turns Ratio, Pri : Sec</v>
      </c>
      <c r="L12" s="443"/>
      <c r="M12" s="464"/>
      <c r="N12" s="51"/>
      <c r="O12" s="51"/>
      <c r="P12" s="51"/>
      <c r="Q12" s="51"/>
      <c r="R12" s="84"/>
      <c r="S12" s="84"/>
      <c r="T12" s="77"/>
      <c r="U12" s="77"/>
      <c r="V12" s="77"/>
      <c r="W12" s="77"/>
      <c r="X12" s="77"/>
      <c r="Y12" s="77"/>
      <c r="Z12" s="518"/>
      <c r="AA12" s="512"/>
    </row>
    <row r="13" spans="1:27" ht="15.75" customHeight="1" thickBot="1" x14ac:dyDescent="0.25">
      <c r="A13" s="140"/>
      <c r="B13" s="157"/>
      <c r="C13" s="519"/>
      <c r="D13" s="525" t="str">
        <f>CHOOSE(MODE, "", "Rated Output Current, IOUT2")</f>
        <v/>
      </c>
      <c r="E13" s="526">
        <v>0.5</v>
      </c>
      <c r="F13" s="527" t="str">
        <f>CHOOSE(MODE, "", "A", "A")</f>
        <v/>
      </c>
      <c r="G13" s="92"/>
      <c r="H13" s="137"/>
      <c r="I13" s="136"/>
      <c r="J13" s="138"/>
      <c r="K13" s="89" t="str">
        <f>CHOOSE(MODE, "Diode Max Rev Voltage (Spike Not Included)", "Turns Ratio, SEC1 : SEC2")</f>
        <v>Diode Max Rev Voltage (Spike Not Included)</v>
      </c>
      <c r="L13" s="653">
        <f>CHOOSE(MODE, ROUND(VRRM_DIODE,0), ROUND(Nsec1sec2,2))</f>
        <v>21</v>
      </c>
      <c r="M13" s="464" t="str">
        <f>CHOOSE(MODE, "V", "")</f>
        <v>V</v>
      </c>
      <c r="N13" s="51"/>
      <c r="O13" s="51"/>
      <c r="P13" s="51"/>
      <c r="Q13" s="51"/>
      <c r="R13" s="84"/>
      <c r="S13" s="84"/>
      <c r="T13" s="77"/>
      <c r="U13" s="77"/>
      <c r="V13" s="77"/>
      <c r="W13" s="77"/>
      <c r="X13" s="77"/>
      <c r="Y13" s="77"/>
      <c r="Z13" s="518"/>
      <c r="AA13" s="512"/>
    </row>
    <row r="14" spans="1:27" ht="15.75" customHeight="1" x14ac:dyDescent="0.2">
      <c r="A14" s="432"/>
      <c r="B14" s="77"/>
      <c r="C14" s="77"/>
      <c r="D14" s="77"/>
      <c r="E14" s="77"/>
      <c r="F14" s="528"/>
      <c r="G14" s="93"/>
      <c r="H14" s="137"/>
      <c r="I14" s="136"/>
      <c r="J14" s="622"/>
      <c r="K14" s="138" t="s">
        <v>684</v>
      </c>
      <c r="L14" s="664">
        <f>Don_Vinmin*100</f>
        <v>51.456310679611647</v>
      </c>
      <c r="M14" s="657" t="s">
        <v>685</v>
      </c>
      <c r="N14" s="51"/>
      <c r="O14" s="51"/>
      <c r="P14" s="51"/>
      <c r="Q14" s="51"/>
      <c r="R14" s="84"/>
      <c r="S14" s="84"/>
      <c r="T14" s="77"/>
      <c r="U14" s="77"/>
      <c r="V14" s="77"/>
      <c r="W14" s="77"/>
      <c r="X14" s="77"/>
      <c r="Y14" s="77"/>
      <c r="Z14" s="518"/>
      <c r="AA14" s="512"/>
    </row>
    <row r="15" spans="1:27" ht="19.5" customHeight="1" thickBot="1" x14ac:dyDescent="0.35">
      <c r="A15" s="108" t="s">
        <v>299</v>
      </c>
      <c r="B15" s="94"/>
      <c r="C15" s="95"/>
      <c r="D15" s="95"/>
      <c r="E15" s="96"/>
      <c r="F15" s="95"/>
      <c r="G15" s="92"/>
      <c r="H15" s="623"/>
      <c r="I15" s="516"/>
      <c r="J15" s="516"/>
      <c r="K15" s="519" t="s">
        <v>625</v>
      </c>
      <c r="L15" s="659">
        <f>'Variable Mgmt'!B38</f>
        <v>2.592987804878049</v>
      </c>
      <c r="M15" s="658" t="s">
        <v>45</v>
      </c>
      <c r="N15" s="51"/>
      <c r="O15" s="51"/>
      <c r="P15" s="51"/>
      <c r="Q15" s="51"/>
      <c r="R15" s="84"/>
      <c r="S15" s="84"/>
      <c r="T15" s="77"/>
      <c r="U15" s="77"/>
      <c r="V15" s="77"/>
      <c r="W15" s="77"/>
      <c r="X15" s="77"/>
      <c r="Y15" s="77"/>
      <c r="Z15" s="518"/>
      <c r="AA15" s="512"/>
    </row>
    <row r="16" spans="1:27" ht="15.75" customHeight="1" x14ac:dyDescent="0.2">
      <c r="A16" s="392"/>
      <c r="B16" s="595"/>
      <c r="C16" s="596"/>
      <c r="D16" s="212" t="s">
        <v>318</v>
      </c>
      <c r="E16" s="632">
        <f>'Variable Mgmt'!B119</f>
        <v>2.2000000000000002</v>
      </c>
      <c r="F16" s="436" t="s">
        <v>97</v>
      </c>
      <c r="G16" s="92"/>
      <c r="H16" s="91"/>
      <c r="I16" s="51"/>
      <c r="J16" s="51"/>
      <c r="K16" s="89"/>
      <c r="L16" s="51"/>
      <c r="M16" s="91"/>
      <c r="N16" s="51"/>
      <c r="O16" s="51"/>
      <c r="P16" s="51"/>
      <c r="Q16" s="51"/>
      <c r="R16" s="84"/>
      <c r="S16" s="84"/>
      <c r="T16" s="77"/>
      <c r="U16" s="77"/>
      <c r="V16" s="77"/>
      <c r="W16" s="77"/>
      <c r="X16" s="77"/>
      <c r="Y16" s="77"/>
      <c r="Z16" s="518"/>
      <c r="AA16" s="512"/>
    </row>
    <row r="17" spans="1:27" ht="15.75" customHeight="1" x14ac:dyDescent="0.25">
      <c r="A17" s="99"/>
      <c r="B17" s="91"/>
      <c r="C17" s="98"/>
      <c r="D17" s="102" t="s">
        <v>141</v>
      </c>
      <c r="E17" s="100">
        <v>10</v>
      </c>
      <c r="F17" s="437" t="s">
        <v>97</v>
      </c>
      <c r="G17" s="92"/>
      <c r="H17" s="91"/>
      <c r="I17" s="51"/>
      <c r="J17" s="51"/>
      <c r="K17" s="51"/>
      <c r="L17" s="51"/>
      <c r="M17" s="51"/>
      <c r="N17" s="51"/>
      <c r="O17" s="51"/>
      <c r="P17" s="51"/>
      <c r="Q17" s="51"/>
      <c r="R17" s="84"/>
      <c r="S17" s="84"/>
      <c r="T17" s="77"/>
      <c r="U17" s="77"/>
      <c r="V17" s="77"/>
      <c r="W17" s="77"/>
      <c r="X17" s="77"/>
      <c r="Y17" s="77"/>
      <c r="Z17" s="518"/>
      <c r="AA17" s="512"/>
    </row>
    <row r="18" spans="1:27" ht="15.75" customHeight="1" x14ac:dyDescent="0.2">
      <c r="A18" s="99"/>
      <c r="B18" s="91"/>
      <c r="C18" s="154"/>
      <c r="D18" s="148" t="s">
        <v>104</v>
      </c>
      <c r="E18" s="153">
        <v>5</v>
      </c>
      <c r="F18" s="438" t="s">
        <v>20</v>
      </c>
      <c r="G18" s="92"/>
      <c r="H18" s="91"/>
      <c r="I18" s="51"/>
      <c r="J18" s="51"/>
      <c r="K18" s="51"/>
      <c r="L18" s="51"/>
      <c r="M18" s="51"/>
      <c r="N18" s="51"/>
      <c r="O18" s="51"/>
      <c r="P18" s="51"/>
      <c r="Q18" s="51"/>
      <c r="R18" s="84"/>
      <c r="S18" s="84"/>
      <c r="T18" s="77"/>
      <c r="U18" s="77"/>
      <c r="V18" s="77"/>
      <c r="W18" s="77"/>
      <c r="X18" s="77"/>
      <c r="Y18" s="77"/>
      <c r="Z18" s="518"/>
      <c r="AA18" s="512"/>
    </row>
    <row r="19" spans="1:27" ht="15.75" customHeight="1" thickBot="1" x14ac:dyDescent="0.35">
      <c r="A19" s="103"/>
      <c r="B19" s="104"/>
      <c r="C19" s="110"/>
      <c r="D19" s="214" t="s">
        <v>510</v>
      </c>
      <c r="E19" s="215">
        <f>Vinripple2</f>
        <v>53.005019416870738</v>
      </c>
      <c r="F19" s="107" t="s">
        <v>103</v>
      </c>
      <c r="G19" s="92"/>
      <c r="H19" s="91"/>
      <c r="I19" s="51"/>
      <c r="J19" s="51"/>
      <c r="K19" s="51"/>
      <c r="L19" s="51"/>
      <c r="M19" s="51"/>
      <c r="N19" s="51"/>
      <c r="O19" s="51"/>
      <c r="P19" s="51"/>
      <c r="Q19" s="51"/>
      <c r="R19" s="84"/>
      <c r="S19" s="84"/>
      <c r="T19" s="77"/>
      <c r="U19" s="77"/>
      <c r="V19" s="77"/>
      <c r="W19" s="77"/>
      <c r="X19" s="77"/>
      <c r="Y19" s="77"/>
      <c r="Z19" s="518"/>
      <c r="AA19" s="512"/>
    </row>
    <row r="20" spans="1:27" ht="15.75" customHeight="1" thickBot="1" x14ac:dyDescent="0.25">
      <c r="A20" s="429"/>
      <c r="B20" s="430"/>
      <c r="C20" s="431"/>
      <c r="D20" s="431" t="str">
        <f>CHOOSE(MODE, "Minimum Output Capacitance", "Minimum Output Capacitance, Output #1")</f>
        <v>Minimum Output Capacitance</v>
      </c>
      <c r="E20" s="651">
        <f>'Variable Mgmt'!B94</f>
        <v>28.298334324806667</v>
      </c>
      <c r="F20" s="436" t="s">
        <v>97</v>
      </c>
      <c r="G20" s="606"/>
      <c r="H20" s="596"/>
      <c r="I20" s="605"/>
      <c r="J20" s="513"/>
      <c r="K20" s="431" t="str">
        <f>CHOOSE(MODE, "", "Minimum Output Capacitance, Output #2")</f>
        <v/>
      </c>
      <c r="L20" s="651">
        <f>'Variable Mgmt'!B104</f>
        <v>13.072048611111116</v>
      </c>
      <c r="M20" s="436" t="s">
        <v>97</v>
      </c>
      <c r="N20" s="51"/>
      <c r="O20" s="51"/>
      <c r="P20" s="51"/>
      <c r="Q20" s="51"/>
      <c r="R20" s="84"/>
      <c r="S20" s="84"/>
      <c r="T20" s="77"/>
      <c r="U20" s="77"/>
      <c r="V20" s="77"/>
      <c r="W20" s="77"/>
      <c r="X20" s="77"/>
      <c r="Y20" s="77"/>
      <c r="Z20" s="518"/>
      <c r="AA20" s="512"/>
    </row>
    <row r="21" spans="1:27" ht="15.75" customHeight="1" x14ac:dyDescent="0.2">
      <c r="A21" s="90"/>
      <c r="B21" s="91"/>
      <c r="C21" s="138"/>
      <c r="D21" s="155" t="s">
        <v>140</v>
      </c>
      <c r="E21" s="149">
        <v>47</v>
      </c>
      <c r="F21" s="435" t="s">
        <v>97</v>
      </c>
      <c r="G21" s="607"/>
      <c r="H21" s="91"/>
      <c r="I21" s="51"/>
      <c r="J21" s="77"/>
      <c r="K21" s="155" t="s">
        <v>551</v>
      </c>
      <c r="L21" s="149">
        <v>22</v>
      </c>
      <c r="M21" s="435" t="s">
        <v>97</v>
      </c>
      <c r="N21" s="51"/>
      <c r="O21" s="51"/>
      <c r="P21" s="51"/>
      <c r="Q21" s="51"/>
      <c r="R21" s="84"/>
      <c r="S21" s="84"/>
      <c r="T21" s="77"/>
      <c r="U21" s="77"/>
      <c r="V21" s="77"/>
      <c r="W21" s="77"/>
      <c r="X21" s="77"/>
      <c r="Y21" s="77"/>
      <c r="Z21" s="518"/>
      <c r="AA21" s="512"/>
    </row>
    <row r="22" spans="1:27" ht="16.5" customHeight="1" thickBot="1" x14ac:dyDescent="0.25">
      <c r="A22" s="90"/>
      <c r="B22" s="91"/>
      <c r="C22" s="154"/>
      <c r="D22" s="148" t="s">
        <v>552</v>
      </c>
      <c r="E22" s="153">
        <v>3</v>
      </c>
      <c r="F22" s="438" t="s">
        <v>20</v>
      </c>
      <c r="G22" s="608"/>
      <c r="H22" s="91"/>
      <c r="I22" s="51"/>
      <c r="J22" s="77"/>
      <c r="K22" s="148" t="s">
        <v>552</v>
      </c>
      <c r="L22" s="153">
        <v>3</v>
      </c>
      <c r="M22" s="438" t="s">
        <v>20</v>
      </c>
      <c r="N22" s="51"/>
      <c r="O22" s="51"/>
      <c r="P22" s="51"/>
      <c r="Q22" s="51"/>
      <c r="R22" s="84"/>
      <c r="S22" s="84"/>
      <c r="T22" s="77"/>
      <c r="U22" s="77"/>
      <c r="V22" s="77"/>
      <c r="W22" s="77"/>
      <c r="X22" s="77"/>
      <c r="Y22" s="77"/>
      <c r="Z22" s="518"/>
      <c r="AA22" s="512"/>
    </row>
    <row r="23" spans="1:27" ht="15.75" customHeight="1" thickBot="1" x14ac:dyDescent="0.35">
      <c r="A23" s="103"/>
      <c r="B23" s="106"/>
      <c r="C23" s="106"/>
      <c r="D23" s="214" t="str">
        <f>CHOOSE(MODE, "Resulting Output Voltage Ripple", "Resulting Output Voltage Ripple, Output #1")</f>
        <v>Resulting Output Voltage Ripple</v>
      </c>
      <c r="E23" s="215">
        <f>Vripple1_actual</f>
        <v>15.4064346926714</v>
      </c>
      <c r="F23" s="107" t="s">
        <v>103</v>
      </c>
      <c r="G23" s="606"/>
      <c r="H23" s="106"/>
      <c r="I23" s="516"/>
      <c r="J23" s="515"/>
      <c r="K23" s="214" t="str">
        <f>CHOOSE(MODE, "", "Resulting Output Voltage Ripple, Output #2")</f>
        <v/>
      </c>
      <c r="L23" s="215">
        <f>Vripple2_actual</f>
        <v>31.209201388888896</v>
      </c>
      <c r="M23" s="107" t="s">
        <v>103</v>
      </c>
      <c r="N23" s="51"/>
      <c r="O23" s="51"/>
      <c r="P23" s="51"/>
      <c r="Q23" s="51"/>
      <c r="R23" s="84"/>
      <c r="S23" s="84"/>
      <c r="T23" s="77"/>
      <c r="U23" s="77"/>
      <c r="V23" s="77"/>
      <c r="W23" s="77"/>
      <c r="X23" s="77"/>
      <c r="Y23" s="77"/>
      <c r="Z23" s="518"/>
      <c r="AA23" s="512"/>
    </row>
    <row r="24" spans="1:27" ht="13.5" customHeight="1" x14ac:dyDescent="0.2">
      <c r="A24" s="432"/>
      <c r="B24" s="77"/>
      <c r="C24" s="77"/>
      <c r="D24" s="77"/>
      <c r="E24" s="77"/>
      <c r="F24" s="77"/>
      <c r="G24" s="77"/>
      <c r="H24" s="77"/>
      <c r="I24" s="77"/>
      <c r="J24" s="77"/>
      <c r="K24" s="77"/>
      <c r="L24" s="77"/>
      <c r="M24" s="77"/>
      <c r="N24" s="51"/>
      <c r="O24" s="51"/>
      <c r="P24" s="51"/>
      <c r="Q24" s="51"/>
      <c r="R24" s="84"/>
      <c r="S24" s="84"/>
      <c r="T24" s="77"/>
      <c r="U24" s="77"/>
      <c r="V24" s="77"/>
      <c r="W24" s="77"/>
      <c r="X24" s="77"/>
      <c r="Y24" s="77"/>
      <c r="Z24" s="518"/>
      <c r="AA24" s="512"/>
    </row>
    <row r="25" spans="1:27" ht="19.5" customHeight="1" thickBot="1" x14ac:dyDescent="0.35">
      <c r="A25" s="108" t="s">
        <v>394</v>
      </c>
      <c r="B25" s="97"/>
      <c r="C25" s="91"/>
      <c r="D25" s="89"/>
      <c r="E25" s="91"/>
      <c r="F25" s="91"/>
      <c r="G25" s="91"/>
      <c r="H25" s="91"/>
      <c r="I25" s="51"/>
      <c r="J25" s="51"/>
      <c r="K25" s="51"/>
      <c r="L25" s="51"/>
      <c r="M25" s="51"/>
      <c r="N25" s="51"/>
      <c r="O25" s="51"/>
      <c r="P25" s="51"/>
      <c r="Q25" s="51"/>
      <c r="R25" s="84"/>
      <c r="S25" s="84"/>
      <c r="T25" s="77"/>
      <c r="U25" s="77"/>
      <c r="V25" s="77"/>
      <c r="W25" s="77"/>
      <c r="X25" s="77"/>
      <c r="Y25" s="77"/>
      <c r="Z25" s="518"/>
      <c r="AA25" s="512"/>
    </row>
    <row r="26" spans="1:27" ht="15.75" customHeight="1" x14ac:dyDescent="0.2">
      <c r="A26" s="143"/>
      <c r="B26" s="144"/>
      <c r="C26" s="212"/>
      <c r="D26" s="212" t="s">
        <v>379</v>
      </c>
      <c r="E26" s="599">
        <f>Rfb_recommend</f>
        <v>157.5</v>
      </c>
      <c r="F26" s="530" t="s">
        <v>21</v>
      </c>
      <c r="G26" s="91"/>
      <c r="H26" s="91"/>
      <c r="I26" s="51"/>
      <c r="J26" s="51"/>
      <c r="K26" s="51"/>
      <c r="L26" s="51"/>
      <c r="M26" s="51"/>
      <c r="N26" s="51"/>
      <c r="O26" s="51"/>
      <c r="P26" s="51"/>
      <c r="Q26" s="51"/>
      <c r="R26" s="84"/>
      <c r="S26" s="84"/>
      <c r="T26" s="77"/>
      <c r="U26" s="77"/>
      <c r="V26" s="77"/>
      <c r="W26" s="77"/>
      <c r="X26" s="77"/>
      <c r="Y26" s="77"/>
      <c r="Z26" s="518"/>
      <c r="AA26" s="512"/>
    </row>
    <row r="27" spans="1:27" ht="15.75" customHeight="1" thickBot="1" x14ac:dyDescent="0.25">
      <c r="A27" s="137"/>
      <c r="B27" s="136"/>
      <c r="C27" s="138"/>
      <c r="D27" s="155" t="s">
        <v>378</v>
      </c>
      <c r="E27" s="156">
        <v>158</v>
      </c>
      <c r="F27" s="150" t="str">
        <f>IF(Vout=Vref,"","kΩ")</f>
        <v>kΩ</v>
      </c>
      <c r="G27" s="91"/>
      <c r="H27" s="91"/>
      <c r="I27" s="51"/>
      <c r="J27" s="51"/>
      <c r="K27" s="51"/>
      <c r="L27" s="51"/>
      <c r="M27" s="51"/>
      <c r="N27" s="51"/>
      <c r="O27" s="51"/>
      <c r="P27" s="51"/>
      <c r="Q27" s="51"/>
      <c r="R27" s="84"/>
      <c r="S27" s="84"/>
      <c r="T27" s="77"/>
      <c r="U27" s="77"/>
      <c r="V27" s="77"/>
      <c r="W27" s="77"/>
      <c r="X27" s="77"/>
      <c r="Y27" s="77"/>
      <c r="Z27" s="518"/>
      <c r="AA27" s="512"/>
    </row>
    <row r="28" spans="1:27" ht="14.1" customHeight="1" x14ac:dyDescent="0.2">
      <c r="A28" s="396"/>
      <c r="B28" s="397"/>
      <c r="C28" s="398"/>
      <c r="D28" s="399" t="s">
        <v>293</v>
      </c>
      <c r="E28" s="400"/>
      <c r="F28" s="401"/>
      <c r="G28" s="92"/>
      <c r="H28" s="91"/>
      <c r="I28" s="51"/>
      <c r="J28" s="51"/>
      <c r="K28" s="51"/>
      <c r="L28" s="51"/>
      <c r="M28" s="51"/>
      <c r="N28" s="51"/>
      <c r="O28" s="51"/>
      <c r="P28" s="51"/>
      <c r="Q28" s="51"/>
      <c r="R28" s="84"/>
      <c r="S28" s="84"/>
      <c r="T28" s="77"/>
      <c r="U28" s="77"/>
      <c r="V28" s="77"/>
      <c r="W28" s="77"/>
      <c r="X28" s="77"/>
      <c r="Y28" s="77"/>
      <c r="Z28" s="518"/>
      <c r="AA28" s="512"/>
    </row>
    <row r="29" spans="1:27" ht="16.5" customHeight="1" x14ac:dyDescent="0.2">
      <c r="A29" s="137"/>
      <c r="B29" s="136"/>
      <c r="C29" s="136"/>
      <c r="D29" s="152" t="str">
        <f>CHOOSE(MODE_SS,"Soft-Start Time","*Leave SS Pin Open or Supply by Ext. Bias")</f>
        <v>*Leave SS Pin Open or Supply by Ext. Bias</v>
      </c>
      <c r="E29" s="153">
        <v>8</v>
      </c>
      <c r="F29" s="150" t="s">
        <v>63</v>
      </c>
      <c r="G29" s="92"/>
      <c r="H29" s="91"/>
      <c r="I29" s="51"/>
      <c r="J29" s="51"/>
      <c r="K29" s="51"/>
      <c r="L29" s="51"/>
      <c r="M29" s="51"/>
      <c r="N29" s="51"/>
      <c r="O29" s="51"/>
      <c r="P29" s="51"/>
      <c r="Q29" s="51"/>
      <c r="R29" s="84"/>
      <c r="S29" s="84"/>
      <c r="T29" s="77"/>
      <c r="U29" s="77"/>
      <c r="V29" s="77"/>
      <c r="W29" s="77"/>
      <c r="X29" s="77"/>
      <c r="Y29" s="77"/>
      <c r="Z29" s="518"/>
      <c r="AA29" s="512"/>
    </row>
    <row r="30" spans="1:27" ht="16.5" customHeight="1" thickBot="1" x14ac:dyDescent="0.35">
      <c r="A30" s="140"/>
      <c r="B30" s="141"/>
      <c r="C30" s="141"/>
      <c r="D30" s="379" t="s">
        <v>142</v>
      </c>
      <c r="E30" s="395">
        <f>IF(Tss&gt;0.0001,Css_u*1000000000,"N/A")</f>
        <v>39</v>
      </c>
      <c r="F30" s="142" t="s">
        <v>56</v>
      </c>
      <c r="G30" s="92"/>
      <c r="H30" s="91"/>
      <c r="I30" s="51"/>
      <c r="J30" s="51"/>
      <c r="K30" s="51"/>
      <c r="L30" s="51"/>
      <c r="M30" s="51"/>
      <c r="N30" s="51"/>
      <c r="O30" s="51"/>
      <c r="P30" s="51"/>
      <c r="Q30" s="51"/>
      <c r="R30" s="84"/>
      <c r="S30" s="84"/>
      <c r="T30" s="77"/>
      <c r="U30" s="77"/>
      <c r="V30" s="77"/>
      <c r="W30" s="77"/>
      <c r="X30" s="77"/>
      <c r="Y30" s="77"/>
      <c r="Z30" s="518"/>
      <c r="AA30" s="512"/>
    </row>
    <row r="31" spans="1:27" ht="15.75" customHeight="1" x14ac:dyDescent="0.2">
      <c r="A31" s="137"/>
      <c r="B31" s="136"/>
      <c r="C31" s="136"/>
      <c r="D31" s="88" t="s">
        <v>392</v>
      </c>
      <c r="E31" s="151"/>
      <c r="F31" s="139"/>
      <c r="G31" s="91"/>
      <c r="H31" s="91"/>
      <c r="I31" s="51"/>
      <c r="J31" s="51"/>
      <c r="K31" s="51"/>
      <c r="L31" s="51"/>
      <c r="M31" s="51"/>
      <c r="N31" s="51"/>
      <c r="O31" s="51"/>
      <c r="P31" s="51"/>
      <c r="Q31" s="51"/>
      <c r="R31" s="84"/>
      <c r="S31" s="84"/>
      <c r="T31" s="77"/>
      <c r="U31" s="77"/>
      <c r="V31" s="77"/>
      <c r="W31" s="77"/>
      <c r="X31" s="77"/>
      <c r="Y31" s="77"/>
      <c r="Z31" s="518"/>
      <c r="AA31" s="512"/>
    </row>
    <row r="32" spans="1:27" ht="15.75" customHeight="1" x14ac:dyDescent="0.2">
      <c r="A32" s="137"/>
      <c r="B32" s="136"/>
      <c r="C32" s="136"/>
      <c r="D32" s="88" t="str">
        <f>CHOOSE(TC,"Diode Voltage Drop Thermal Coefficient","*Leave TC Pin Open")</f>
        <v>*Leave TC Pin Open</v>
      </c>
      <c r="E32" s="603">
        <v>-3</v>
      </c>
      <c r="F32" s="139" t="s">
        <v>391</v>
      </c>
      <c r="G32" s="91"/>
      <c r="H32" s="91"/>
      <c r="I32" s="51"/>
      <c r="J32" s="51"/>
      <c r="K32" s="51"/>
      <c r="L32" s="51"/>
      <c r="M32" s="51"/>
      <c r="N32" s="51"/>
      <c r="O32" s="51"/>
      <c r="P32" s="51"/>
      <c r="Q32" s="51"/>
      <c r="R32" s="84"/>
      <c r="S32" s="84"/>
      <c r="T32" s="77"/>
      <c r="U32" s="77"/>
      <c r="V32" s="77"/>
      <c r="W32" s="77"/>
      <c r="X32" s="77"/>
      <c r="Y32" s="77"/>
      <c r="Z32" s="518"/>
      <c r="AA32" s="512"/>
    </row>
    <row r="33" spans="1:35" ht="15.75" customHeight="1" thickBot="1" x14ac:dyDescent="0.25">
      <c r="A33" s="140"/>
      <c r="B33" s="157"/>
      <c r="C33" s="157"/>
      <c r="D33" s="519" t="s">
        <v>393</v>
      </c>
      <c r="E33" s="540">
        <f>RTC</f>
        <v>52.3</v>
      </c>
      <c r="F33" s="541" t="s">
        <v>21</v>
      </c>
      <c r="G33" s="91"/>
      <c r="H33" s="91"/>
      <c r="I33" s="51"/>
      <c r="J33" s="51"/>
      <c r="K33" s="75"/>
      <c r="L33" s="51"/>
      <c r="M33" s="51"/>
      <c r="N33" s="51"/>
      <c r="O33" s="51"/>
      <c r="P33" s="51"/>
      <c r="Q33" s="51"/>
      <c r="R33" s="84"/>
      <c r="S33" s="84"/>
      <c r="T33" s="77"/>
      <c r="U33" s="77"/>
      <c r="V33" s="77"/>
      <c r="W33" s="77"/>
      <c r="X33" s="77"/>
      <c r="Y33" s="77"/>
      <c r="Z33" s="518"/>
      <c r="AA33" s="512"/>
    </row>
    <row r="34" spans="1:35" ht="16.5" customHeight="1" x14ac:dyDescent="0.2">
      <c r="A34" s="137"/>
      <c r="B34" s="136"/>
      <c r="C34" s="136"/>
      <c r="D34" s="155" t="s">
        <v>307</v>
      </c>
      <c r="E34" s="151"/>
      <c r="F34" s="139"/>
      <c r="G34" s="91"/>
      <c r="H34" s="91"/>
      <c r="I34" s="51"/>
      <c r="J34" s="51"/>
      <c r="K34" s="51"/>
      <c r="L34" s="51"/>
      <c r="M34" s="51"/>
      <c r="N34" s="51"/>
      <c r="O34" s="51"/>
      <c r="P34" s="51"/>
      <c r="Q34" s="51"/>
      <c r="R34" s="84"/>
      <c r="S34" s="84"/>
      <c r="T34" s="77"/>
      <c r="U34" s="77"/>
      <c r="V34" s="77"/>
      <c r="W34" s="77"/>
      <c r="X34" s="77"/>
      <c r="Y34" s="77"/>
      <c r="Z34" s="518"/>
      <c r="AA34" s="512"/>
    </row>
    <row r="35" spans="1:35" ht="15.75" customHeight="1" x14ac:dyDescent="0.2">
      <c r="A35" s="137"/>
      <c r="B35" s="136"/>
      <c r="C35" s="154"/>
      <c r="D35" s="155" t="str">
        <f>CHOOSE(MODE_UVLO, "Input UVLO Turn-On Threshold", "*Connect EN pin to VIN or Logic HIGH")</f>
        <v>*Connect EN pin to VIN or Logic HIGH</v>
      </c>
      <c r="E35" s="156">
        <v>4.5</v>
      </c>
      <c r="F35" s="150" t="s">
        <v>0</v>
      </c>
      <c r="G35" s="91"/>
      <c r="H35" s="91"/>
      <c r="I35" s="84"/>
      <c r="J35" s="84"/>
      <c r="K35" s="84"/>
      <c r="L35" s="216"/>
      <c r="M35" s="51"/>
      <c r="N35" s="51"/>
      <c r="O35" s="51"/>
      <c r="P35" s="51"/>
      <c r="Q35" s="51"/>
      <c r="R35" s="84"/>
      <c r="S35" s="84"/>
      <c r="T35" s="77"/>
      <c r="U35" s="77"/>
      <c r="V35" s="77"/>
      <c r="W35" s="77"/>
      <c r="X35" s="77"/>
      <c r="Y35" s="77"/>
      <c r="Z35" s="518"/>
      <c r="AA35" s="512"/>
    </row>
    <row r="36" spans="1:35" ht="15.75" customHeight="1" thickBot="1" x14ac:dyDescent="0.25">
      <c r="A36" s="140"/>
      <c r="B36" s="157"/>
      <c r="C36" s="157"/>
      <c r="D36" s="440" t="str">
        <f>CHOOSE(MODE_UVLO, "Input UVLO Turn-Off Threshold", "")</f>
        <v/>
      </c>
      <c r="E36" s="441">
        <v>4</v>
      </c>
      <c r="F36" s="442" t="s">
        <v>0</v>
      </c>
      <c r="G36" s="91"/>
      <c r="H36" s="138"/>
      <c r="I36" s="217"/>
      <c r="J36" s="219"/>
      <c r="K36" s="84"/>
      <c r="L36" s="84"/>
      <c r="M36" s="51"/>
      <c r="N36" s="51"/>
      <c r="O36" s="51"/>
      <c r="P36" s="51"/>
      <c r="Q36" s="51"/>
      <c r="R36" s="84"/>
      <c r="S36" s="84"/>
      <c r="T36" s="77"/>
      <c r="U36" s="77"/>
      <c r="V36" s="77"/>
      <c r="W36" s="77"/>
      <c r="X36" s="77"/>
      <c r="Y36" s="77"/>
      <c r="Z36" s="518"/>
      <c r="AA36" s="512"/>
    </row>
    <row r="37" spans="1:35" ht="15.75" customHeight="1" x14ac:dyDescent="0.2">
      <c r="A37" s="465"/>
      <c r="B37" s="136"/>
      <c r="C37" s="154"/>
      <c r="D37" s="138" t="s">
        <v>383</v>
      </c>
      <c r="E37" s="590">
        <f>'Variable Mgmt'!F149</f>
        <v>69.8</v>
      </c>
      <c r="F37" s="139" t="s">
        <v>21</v>
      </c>
      <c r="G37" s="91"/>
      <c r="H37" s="221"/>
      <c r="I37" s="152"/>
      <c r="J37" s="601"/>
      <c r="K37" s="220"/>
      <c r="L37" s="84"/>
      <c r="M37" s="51"/>
      <c r="N37" s="51"/>
      <c r="O37" s="51"/>
      <c r="P37" s="51"/>
      <c r="Q37" s="51"/>
      <c r="R37" s="84"/>
      <c r="S37" s="84"/>
      <c r="T37" s="77"/>
      <c r="U37" s="77"/>
      <c r="V37" s="77"/>
      <c r="W37" s="77"/>
      <c r="X37" s="77"/>
      <c r="Y37" s="77"/>
      <c r="Z37" s="518"/>
      <c r="AA37" s="512"/>
    </row>
    <row r="38" spans="1:35" ht="15.75" customHeight="1" thickBot="1" x14ac:dyDescent="0.25">
      <c r="A38" s="140"/>
      <c r="B38" s="157"/>
      <c r="C38" s="157"/>
      <c r="D38" s="519" t="s">
        <v>295</v>
      </c>
      <c r="E38" s="520">
        <f>'Variable Mgmt'!F150</f>
        <v>34.800000000000004</v>
      </c>
      <c r="F38" s="142" t="s">
        <v>21</v>
      </c>
      <c r="G38" s="91"/>
      <c r="H38" s="91"/>
      <c r="I38" s="84"/>
      <c r="J38" s="218"/>
      <c r="K38" s="84"/>
      <c r="L38" s="84"/>
      <c r="M38" s="51"/>
      <c r="N38" s="51"/>
      <c r="O38" s="51"/>
      <c r="P38" s="51"/>
      <c r="Q38" s="51" t="s">
        <v>78</v>
      </c>
      <c r="R38" s="84"/>
      <c r="S38" s="84"/>
      <c r="T38" s="77"/>
      <c r="U38" s="77"/>
      <c r="V38" s="77"/>
      <c r="W38" s="77"/>
      <c r="X38" s="77"/>
      <c r="Y38" s="77"/>
      <c r="Z38" s="518"/>
      <c r="AA38" s="512"/>
    </row>
    <row r="39" spans="1:35" ht="13.5" customHeight="1" x14ac:dyDescent="0.2">
      <c r="A39" s="465"/>
      <c r="B39" s="521"/>
      <c r="C39" s="521"/>
      <c r="D39" s="522"/>
      <c r="E39" s="523"/>
      <c r="F39" s="524"/>
      <c r="G39" s="91"/>
      <c r="H39" s="91"/>
      <c r="I39" s="51"/>
      <c r="J39" s="76"/>
      <c r="K39" s="51"/>
      <c r="L39" s="51"/>
      <c r="M39" s="51"/>
      <c r="N39" s="51"/>
      <c r="O39" s="51"/>
      <c r="P39" s="51"/>
      <c r="Q39" s="51"/>
      <c r="R39" s="84"/>
      <c r="S39" s="84"/>
      <c r="T39" s="77"/>
      <c r="U39" s="77"/>
      <c r="V39" s="77"/>
      <c r="W39" s="77"/>
      <c r="X39" s="77"/>
      <c r="Y39" s="77"/>
      <c r="Z39" s="518"/>
      <c r="AA39" s="512"/>
    </row>
    <row r="40" spans="1:35" ht="19.5" customHeight="1" thickBot="1" x14ac:dyDescent="0.25">
      <c r="A40" s="466" t="s">
        <v>509</v>
      </c>
      <c r="B40" s="91"/>
      <c r="C40" s="91"/>
      <c r="D40" s="89"/>
      <c r="E40" s="101"/>
      <c r="F40" s="91"/>
      <c r="G40" s="91"/>
      <c r="H40" s="91"/>
      <c r="I40" s="51"/>
      <c r="J40" s="76"/>
      <c r="K40" s="51"/>
      <c r="L40" s="51"/>
      <c r="M40" s="51"/>
      <c r="N40" s="51"/>
      <c r="O40" s="51"/>
      <c r="P40" s="51"/>
      <c r="Q40" s="51"/>
      <c r="R40" s="84"/>
      <c r="S40" s="84"/>
      <c r="T40" s="77"/>
      <c r="U40" s="77"/>
      <c r="V40" s="77"/>
      <c r="W40" s="77"/>
      <c r="X40" s="77"/>
      <c r="Y40" s="77"/>
      <c r="Z40" s="518"/>
      <c r="AA40" s="512"/>
    </row>
    <row r="41" spans="1:35" ht="15.75" customHeight="1" x14ac:dyDescent="0.25">
      <c r="A41" s="586"/>
      <c r="B41" s="513"/>
      <c r="C41" s="513"/>
      <c r="D41" s="587" t="s">
        <v>666</v>
      </c>
      <c r="E41" s="591">
        <v>0.25</v>
      </c>
      <c r="F41" s="588" t="s">
        <v>0</v>
      </c>
      <c r="G41" s="91"/>
      <c r="H41" s="91"/>
      <c r="I41" s="51"/>
      <c r="J41" s="76"/>
      <c r="K41" s="51"/>
      <c r="L41" s="51"/>
      <c r="M41" s="51"/>
      <c r="N41" s="51"/>
      <c r="O41" s="51"/>
      <c r="P41" s="51"/>
      <c r="Q41" s="51"/>
      <c r="R41" s="84"/>
      <c r="S41" s="84"/>
      <c r="T41" s="77"/>
      <c r="U41" s="77"/>
      <c r="V41" s="77"/>
      <c r="W41" s="77"/>
      <c r="X41" s="77"/>
      <c r="Y41" s="77"/>
      <c r="Z41" s="518"/>
      <c r="AA41" s="512"/>
    </row>
    <row r="42" spans="1:35" ht="15.75" customHeight="1" x14ac:dyDescent="0.25">
      <c r="A42" s="432"/>
      <c r="B42" s="77"/>
      <c r="C42" s="77"/>
      <c r="D42" s="649" t="s">
        <v>667</v>
      </c>
      <c r="E42" s="100">
        <v>0.3</v>
      </c>
      <c r="F42" s="437" t="s">
        <v>0</v>
      </c>
      <c r="G42" s="91"/>
      <c r="H42" s="91"/>
      <c r="I42" s="51"/>
      <c r="J42" s="76"/>
      <c r="K42" s="51"/>
      <c r="L42" s="51"/>
      <c r="M42" s="51"/>
      <c r="N42" s="51"/>
      <c r="O42" s="51"/>
      <c r="P42" s="51"/>
      <c r="Q42" s="51"/>
      <c r="R42" s="84"/>
      <c r="S42" s="84"/>
      <c r="T42" s="77"/>
      <c r="U42" s="77"/>
      <c r="V42" s="77"/>
      <c r="W42" s="77"/>
      <c r="X42" s="77"/>
      <c r="Y42" s="77"/>
      <c r="Z42" s="518"/>
      <c r="AA42" s="512"/>
    </row>
    <row r="43" spans="1:35" ht="15.75" customHeight="1" x14ac:dyDescent="0.2">
      <c r="A43" s="90"/>
      <c r="B43" s="136"/>
      <c r="C43" s="136"/>
      <c r="D43" s="155" t="s">
        <v>306</v>
      </c>
      <c r="E43" s="585">
        <v>77</v>
      </c>
      <c r="F43" s="438" t="s">
        <v>84</v>
      </c>
      <c r="G43" s="91"/>
      <c r="H43" s="91"/>
      <c r="I43" s="51"/>
      <c r="J43" s="76"/>
      <c r="K43" s="51"/>
      <c r="L43" s="51"/>
      <c r="M43" s="51"/>
      <c r="N43" s="51"/>
      <c r="O43" s="51"/>
      <c r="P43" s="51"/>
      <c r="Q43" s="51"/>
      <c r="R43" s="84"/>
      <c r="S43" s="84"/>
      <c r="T43" s="77"/>
      <c r="U43" s="77"/>
      <c r="V43" s="77"/>
      <c r="W43" s="77"/>
      <c r="X43" s="77"/>
      <c r="Y43" s="77"/>
      <c r="Z43" s="518"/>
      <c r="AA43" s="512"/>
    </row>
    <row r="44" spans="1:35" ht="15.75" customHeight="1" x14ac:dyDescent="0.25">
      <c r="A44" s="90"/>
      <c r="B44" s="91"/>
      <c r="C44" s="91"/>
      <c r="D44" s="88" t="s">
        <v>520</v>
      </c>
      <c r="E44" s="380">
        <v>55</v>
      </c>
      <c r="F44" s="437" t="s">
        <v>102</v>
      </c>
      <c r="G44" s="91"/>
      <c r="H44" s="91"/>
      <c r="I44" s="51"/>
      <c r="J44" s="51"/>
      <c r="K44" s="51"/>
      <c r="L44" s="51"/>
      <c r="M44" s="51"/>
      <c r="N44" s="51"/>
      <c r="O44" s="51"/>
      <c r="P44" s="51"/>
      <c r="Q44" s="51"/>
      <c r="R44" s="84"/>
      <c r="S44" s="84"/>
      <c r="T44" s="77"/>
      <c r="U44" s="77"/>
      <c r="V44" s="77"/>
      <c r="W44" s="77"/>
      <c r="X44" s="77"/>
      <c r="Y44" s="77"/>
      <c r="Z44" s="518"/>
      <c r="AA44" s="512"/>
    </row>
    <row r="45" spans="1:35" ht="15.75" customHeight="1" x14ac:dyDescent="0.3">
      <c r="A45" s="90"/>
      <c r="B45" s="91"/>
      <c r="C45" s="91"/>
      <c r="D45" s="89" t="s">
        <v>370</v>
      </c>
      <c r="E45" s="376">
        <f>CHOOSE(MODE, 'Calculations - Single'!BO105, 'Calculations - Dual'!BN105)</f>
        <v>123.76190028267121</v>
      </c>
      <c r="F45" s="105" t="s">
        <v>294</v>
      </c>
      <c r="G45" s="91"/>
      <c r="H45" s="91"/>
      <c r="I45" s="51"/>
      <c r="J45" s="51"/>
      <c r="K45" s="51"/>
      <c r="L45" s="51"/>
      <c r="M45" s="51"/>
      <c r="N45" s="51"/>
      <c r="O45" s="51"/>
      <c r="P45" s="51"/>
      <c r="Q45" s="51"/>
      <c r="R45" s="84"/>
      <c r="S45" s="84"/>
      <c r="T45" s="77"/>
      <c r="U45" s="77"/>
      <c r="V45" s="77"/>
      <c r="W45" s="77"/>
      <c r="X45" s="77"/>
      <c r="Y45" s="77"/>
      <c r="Z45" s="518"/>
      <c r="AA45" s="512"/>
    </row>
    <row r="46" spans="1:35" ht="15.75" customHeight="1" thickBot="1" x14ac:dyDescent="0.35">
      <c r="A46" s="103"/>
      <c r="B46" s="104"/>
      <c r="C46" s="104"/>
      <c r="D46" s="379" t="s">
        <v>542</v>
      </c>
      <c r="E46" s="529">
        <f>E44+E45/1000*ThetaJA</f>
        <v>64.529666321765689</v>
      </c>
      <c r="F46" s="439" t="s">
        <v>102</v>
      </c>
      <c r="G46" s="91"/>
      <c r="H46" s="91"/>
      <c r="I46" s="51"/>
      <c r="J46" s="51"/>
      <c r="K46" s="51"/>
      <c r="L46" s="51"/>
      <c r="M46" s="51"/>
      <c r="N46" s="51"/>
      <c r="O46" s="51"/>
      <c r="P46" s="51"/>
      <c r="Q46" s="51"/>
      <c r="R46" s="84"/>
      <c r="S46" s="84"/>
      <c r="T46" s="77"/>
      <c r="U46" s="77"/>
      <c r="V46" s="77"/>
      <c r="W46" s="77"/>
      <c r="X46" s="77"/>
      <c r="Y46" s="77"/>
      <c r="Z46" s="518"/>
      <c r="AA46" s="512"/>
    </row>
    <row r="47" spans="1:35" ht="15.75" customHeight="1" thickBot="1" x14ac:dyDescent="0.25">
      <c r="A47" s="103"/>
      <c r="B47" s="106"/>
      <c r="C47" s="106"/>
      <c r="D47" s="106"/>
      <c r="E47" s="579"/>
      <c r="F47" s="106"/>
      <c r="G47" s="106"/>
      <c r="H47" s="106"/>
      <c r="I47" s="516"/>
      <c r="J47" s="516"/>
      <c r="K47" s="516"/>
      <c r="L47" s="516"/>
      <c r="M47" s="516"/>
      <c r="N47" s="516"/>
      <c r="O47" s="516"/>
      <c r="P47" s="516"/>
      <c r="Q47" s="516"/>
      <c r="R47" s="514"/>
      <c r="S47" s="514"/>
      <c r="T47" s="514"/>
      <c r="U47" s="515"/>
      <c r="V47" s="515"/>
      <c r="W47" s="514"/>
      <c r="X47" s="514"/>
      <c r="Y47" s="514"/>
      <c r="Z47" s="580"/>
      <c r="AA47" s="512"/>
      <c r="AB47" s="24"/>
      <c r="AC47" s="24"/>
      <c r="AD47" s="24"/>
      <c r="AG47" s="24"/>
      <c r="AH47" s="24"/>
      <c r="AI47" s="24"/>
    </row>
    <row r="48" spans="1:35" x14ac:dyDescent="0.2">
      <c r="A48" s="422"/>
      <c r="B48" s="423"/>
      <c r="C48" s="424"/>
      <c r="D48" s="424"/>
      <c r="E48" s="424"/>
      <c r="F48" s="424"/>
      <c r="G48" s="424"/>
      <c r="H48" s="424"/>
      <c r="I48" s="424"/>
      <c r="J48" s="424"/>
      <c r="K48" s="424"/>
      <c r="L48" s="424"/>
      <c r="M48" s="424"/>
      <c r="N48" s="424"/>
      <c r="O48" s="424"/>
      <c r="P48" s="424"/>
      <c r="Q48" s="424"/>
      <c r="R48" s="421"/>
      <c r="S48" s="421"/>
      <c r="T48" s="421"/>
      <c r="U48" s="512"/>
      <c r="V48" s="512"/>
      <c r="W48" s="421"/>
      <c r="X48" s="421"/>
      <c r="Y48" s="421"/>
      <c r="Z48" s="512"/>
      <c r="AA48" s="512"/>
      <c r="AB48" s="24"/>
      <c r="AC48" s="24"/>
      <c r="AD48" s="24"/>
      <c r="AG48" s="24"/>
      <c r="AH48" s="24"/>
      <c r="AI48" s="24"/>
    </row>
    <row r="49" spans="1:35" x14ac:dyDescent="0.2">
      <c r="A49" s="47"/>
      <c r="B49" s="47"/>
      <c r="C49" s="47"/>
      <c r="D49" s="47"/>
      <c r="E49" s="47"/>
      <c r="F49" s="47"/>
      <c r="G49" s="47"/>
      <c r="H49" s="47"/>
      <c r="I49" s="47"/>
      <c r="J49" s="47"/>
      <c r="K49" s="47"/>
      <c r="L49" s="47"/>
      <c r="M49" s="47"/>
      <c r="N49" s="47"/>
      <c r="O49" s="47"/>
      <c r="P49" s="47"/>
      <c r="Q49" s="47"/>
      <c r="R49" s="24"/>
      <c r="S49" s="24"/>
      <c r="T49" s="24"/>
      <c r="W49" s="24"/>
      <c r="X49" s="24"/>
      <c r="Y49" s="24"/>
      <c r="AB49" s="24"/>
      <c r="AC49" s="24"/>
      <c r="AD49" s="24"/>
      <c r="AG49" s="24"/>
      <c r="AH49" s="24"/>
      <c r="AI49" s="24"/>
    </row>
    <row r="50" spans="1:35" x14ac:dyDescent="0.2">
      <c r="B50" s="47"/>
      <c r="C50" s="47"/>
      <c r="D50" s="47"/>
      <c r="E50" s="47"/>
      <c r="F50" s="47"/>
      <c r="G50" s="47"/>
      <c r="H50" s="47"/>
      <c r="I50" s="47"/>
      <c r="J50" s="47"/>
      <c r="K50" s="47"/>
      <c r="L50" s="47"/>
      <c r="R50" s="24"/>
      <c r="S50" s="24"/>
      <c r="T50" s="24"/>
      <c r="W50" s="24"/>
      <c r="X50" s="24"/>
      <c r="Y50" s="24"/>
      <c r="AB50" s="24"/>
      <c r="AC50" s="24"/>
      <c r="AD50" s="24"/>
      <c r="AG50" s="24"/>
      <c r="AH50" s="24"/>
      <c r="AI50" s="24"/>
    </row>
    <row r="51" spans="1:35" x14ac:dyDescent="0.2">
      <c r="B51" s="47"/>
      <c r="C51" s="47"/>
      <c r="D51" s="47"/>
      <c r="E51" s="47"/>
      <c r="F51" s="47"/>
      <c r="G51" s="47"/>
      <c r="H51" s="47"/>
      <c r="I51" s="47"/>
      <c r="J51" s="47"/>
      <c r="K51" s="47"/>
      <c r="L51" s="47"/>
      <c r="R51" s="24"/>
      <c r="S51" s="24"/>
      <c r="T51" s="24"/>
      <c r="W51" s="24"/>
      <c r="X51" s="24"/>
      <c r="Y51" s="24"/>
      <c r="AB51" s="24"/>
      <c r="AC51" s="24"/>
      <c r="AD51" s="24"/>
      <c r="AG51" s="24"/>
      <c r="AH51" s="24"/>
      <c r="AI51" s="24"/>
    </row>
    <row r="52" spans="1:35" x14ac:dyDescent="0.2">
      <c r="B52" s="47"/>
      <c r="C52" s="47"/>
      <c r="D52" s="47"/>
      <c r="E52" s="47"/>
      <c r="F52" s="47"/>
      <c r="G52" s="47"/>
      <c r="H52" s="47"/>
      <c r="I52" s="47"/>
      <c r="J52" s="47"/>
      <c r="K52" s="47"/>
      <c r="L52" s="47"/>
      <c r="R52" s="24"/>
      <c r="S52" s="24"/>
      <c r="T52" s="24"/>
      <c r="W52" s="24"/>
      <c r="X52" s="24"/>
      <c r="Y52" s="24"/>
      <c r="AB52" s="24"/>
      <c r="AC52" s="24"/>
      <c r="AD52" s="24"/>
      <c r="AG52" s="24"/>
      <c r="AH52" s="24"/>
      <c r="AI52" s="24"/>
    </row>
    <row r="53" spans="1:35" x14ac:dyDescent="0.2">
      <c r="B53" s="47"/>
      <c r="C53" s="47"/>
      <c r="D53" s="47"/>
      <c r="E53" s="47"/>
      <c r="F53" s="47"/>
      <c r="G53" s="47"/>
      <c r="H53" s="47"/>
      <c r="I53" s="47"/>
      <c r="J53" s="47"/>
      <c r="K53" s="47"/>
      <c r="L53" s="47"/>
      <c r="R53" s="24"/>
      <c r="S53" s="24"/>
      <c r="T53" s="24"/>
      <c r="W53" s="24"/>
      <c r="X53" s="24"/>
      <c r="Y53" s="24"/>
      <c r="AB53" s="24"/>
      <c r="AC53" s="24"/>
      <c r="AD53" s="24"/>
      <c r="AG53" s="24"/>
      <c r="AH53" s="24"/>
      <c r="AI53" s="24"/>
    </row>
  </sheetData>
  <sheetProtection password="CCC8" sheet="1" objects="1" scenarios="1" selectLockedCells="1"/>
  <phoneticPr fontId="6" type="noConversion"/>
  <conditionalFormatting sqref="E6:E8">
    <cfRule type="cellIs" dxfId="59" priority="101" stopIfTrue="1" operator="notBetween">
      <formula>65</formula>
      <formula>4.5</formula>
    </cfRule>
  </conditionalFormatting>
  <conditionalFormatting sqref="E10">
    <cfRule type="cellIs" dxfId="58" priority="98" stopIfTrue="1" operator="notBetween">
      <formula>-200</formula>
      <formula>200</formula>
    </cfRule>
  </conditionalFormatting>
  <conditionalFormatting sqref="E21">
    <cfRule type="cellIs" dxfId="57" priority="95" stopIfTrue="1" operator="lessThan">
      <formula>$E$20</formula>
    </cfRule>
  </conditionalFormatting>
  <conditionalFormatting sqref="E17">
    <cfRule type="cellIs" dxfId="56" priority="91" stopIfTrue="1" operator="lessThan">
      <formula>$E$16</formula>
    </cfRule>
  </conditionalFormatting>
  <conditionalFormatting sqref="E18">
    <cfRule type="cellIs" dxfId="55" priority="90" stopIfTrue="1" operator="equal">
      <formula>0</formula>
    </cfRule>
  </conditionalFormatting>
  <conditionalFormatting sqref="E35">
    <cfRule type="cellIs" dxfId="54" priority="87" operator="notBetween">
      <formula>65</formula>
      <formula>4.5</formula>
    </cfRule>
  </conditionalFormatting>
  <conditionalFormatting sqref="E29">
    <cfRule type="cellIs" dxfId="53" priority="85" operator="lessThan">
      <formula>6</formula>
    </cfRule>
  </conditionalFormatting>
  <conditionalFormatting sqref="F14">
    <cfRule type="expression" dxfId="52" priority="74">
      <formula>(MODE=2)</formula>
    </cfRule>
  </conditionalFormatting>
  <conditionalFormatting sqref="E29:F29">
    <cfRule type="expression" dxfId="51" priority="69">
      <formula>OR(MODE_SS=2,MODE_SS=3)</formula>
    </cfRule>
  </conditionalFormatting>
  <conditionalFormatting sqref="D29">
    <cfRule type="expression" dxfId="50" priority="68">
      <formula>OR(MODE_SS=2,MODE_SS=3)</formula>
    </cfRule>
  </conditionalFormatting>
  <conditionalFormatting sqref="D30:F30">
    <cfRule type="expression" dxfId="49" priority="67">
      <formula>OR(MODE_SS=2,MODE_SS=3)</formula>
    </cfRule>
  </conditionalFormatting>
  <conditionalFormatting sqref="D35">
    <cfRule type="expression" dxfId="48" priority="65">
      <formula>MODE_UVLO=2</formula>
    </cfRule>
  </conditionalFormatting>
  <conditionalFormatting sqref="C37:F39 E35:F36">
    <cfRule type="expression" dxfId="47" priority="39">
      <formula>MODE_UVLO=2</formula>
    </cfRule>
  </conditionalFormatting>
  <conditionalFormatting sqref="D36">
    <cfRule type="expression" dxfId="46" priority="62">
      <formula>MODE_UVLO=2</formula>
    </cfRule>
  </conditionalFormatting>
  <conditionalFormatting sqref="E46">
    <cfRule type="cellIs" dxfId="45" priority="47" operator="notBetween">
      <formula>-40</formula>
      <formula>150</formula>
    </cfRule>
  </conditionalFormatting>
  <conditionalFormatting sqref="E44">
    <cfRule type="cellIs" dxfId="44" priority="46" operator="notBetween">
      <formula>-40</formula>
      <formula>150</formula>
    </cfRule>
  </conditionalFormatting>
  <conditionalFormatting sqref="F20">
    <cfRule type="cellIs" dxfId="43" priority="45" stopIfTrue="1" operator="lessThanOrEqual">
      <formula>0</formula>
    </cfRule>
  </conditionalFormatting>
  <conditionalFormatting sqref="A36:F36">
    <cfRule type="expression" dxfId="42" priority="29">
      <formula>MODE_UVLO=1</formula>
    </cfRule>
  </conditionalFormatting>
  <conditionalFormatting sqref="A39:F39">
    <cfRule type="expression" dxfId="41" priority="38">
      <formula>MODE_UVLO=2</formula>
    </cfRule>
  </conditionalFormatting>
  <conditionalFormatting sqref="F37:F38">
    <cfRule type="expression" dxfId="40" priority="37">
      <formula>MODE_UVLO=2</formula>
    </cfRule>
  </conditionalFormatting>
  <conditionalFormatting sqref="E36">
    <cfRule type="cellIs" dxfId="39" priority="63" operator="notBetween">
      <formula>3.5</formula>
      <formula>$E$35</formula>
    </cfRule>
  </conditionalFormatting>
  <conditionalFormatting sqref="F16">
    <cfRule type="cellIs" dxfId="38" priority="27" stopIfTrue="1" operator="lessThanOrEqual">
      <formula>0</formula>
    </cfRule>
  </conditionalFormatting>
  <conditionalFormatting sqref="E11">
    <cfRule type="cellIs" dxfId="37" priority="26" operator="between">
      <formula>-0.0001</formula>
      <formula>0.0001</formula>
    </cfRule>
  </conditionalFormatting>
  <conditionalFormatting sqref="E11">
    <cfRule type="expression" dxfId="36" priority="53">
      <formula>"Iout&gt;2"</formula>
    </cfRule>
  </conditionalFormatting>
  <conditionalFormatting sqref="J37">
    <cfRule type="cellIs" dxfId="35" priority="109" stopIfTrue="1" operator="notBetween">
      <formula>600</formula>
      <formula>50</formula>
    </cfRule>
    <cfRule type="cellIs" dxfId="34" priority="110" stopIfTrue="1" operator="greaterThan">
      <formula>$E$9</formula>
    </cfRule>
  </conditionalFormatting>
  <conditionalFormatting sqref="E12">
    <cfRule type="cellIs" dxfId="33" priority="25" operator="notBetween">
      <formula>-200</formula>
      <formula>200</formula>
    </cfRule>
  </conditionalFormatting>
  <conditionalFormatting sqref="E13">
    <cfRule type="cellIs" dxfId="32" priority="23" operator="between">
      <formula>-0.0001</formula>
      <formula>0.0001</formula>
    </cfRule>
  </conditionalFormatting>
  <conditionalFormatting sqref="E13">
    <cfRule type="expression" dxfId="31" priority="24">
      <formula>Iout2 &gt; 2</formula>
    </cfRule>
  </conditionalFormatting>
  <conditionalFormatting sqref="E22">
    <cfRule type="cellIs" dxfId="30" priority="19" stopIfTrue="1" operator="equal">
      <formula>0</formula>
    </cfRule>
  </conditionalFormatting>
  <conditionalFormatting sqref="D32">
    <cfRule type="expression" dxfId="29" priority="14">
      <formula>OR(TC=2)</formula>
    </cfRule>
  </conditionalFormatting>
  <conditionalFormatting sqref="D33:F33 E32:F32">
    <cfRule type="expression" dxfId="28" priority="13">
      <formula>OR(TC=2)</formula>
    </cfRule>
  </conditionalFormatting>
  <conditionalFormatting sqref="L22">
    <cfRule type="cellIs" dxfId="27" priority="7" stopIfTrue="1" operator="equal">
      <formula>0</formula>
    </cfRule>
  </conditionalFormatting>
  <conditionalFormatting sqref="L21">
    <cfRule type="cellIs" dxfId="26" priority="9" stopIfTrue="1" operator="lessThan">
      <formula>$L$20</formula>
    </cfRule>
  </conditionalFormatting>
  <conditionalFormatting sqref="M20">
    <cfRule type="cellIs" dxfId="25" priority="8" stopIfTrue="1" operator="lessThanOrEqual">
      <formula>0</formula>
    </cfRule>
  </conditionalFormatting>
  <hyperlinks>
    <hyperlink ref="C3" r:id="rId1"/>
  </hyperlinks>
  <printOptions horizontalCentered="1" verticalCentered="1"/>
  <pageMargins left="0.1" right="0.1" top="0.1" bottom="0.1" header="0.25" footer="0.25"/>
  <pageSetup scale="61" orientation="landscape" r:id="rId2"/>
  <headerFooter alignWithMargins="0"/>
  <rowBreaks count="1" manualBreakCount="1">
    <brk id="48"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72895" r:id="rId6" name="Spinner 127">
              <controlPr defaultSize="0" autoPict="0">
                <anchor moveWithCells="1" sizeWithCells="1">
                  <from>
                    <xdr:col>5</xdr:col>
                    <xdr:colOff>123825</xdr:colOff>
                    <xdr:row>6</xdr:row>
                    <xdr:rowOff>9525</xdr:rowOff>
                  </from>
                  <to>
                    <xdr:col>5</xdr:col>
                    <xdr:colOff>304800</xdr:colOff>
                    <xdr:row>7</xdr:row>
                    <xdr:rowOff>28575</xdr:rowOff>
                  </to>
                </anchor>
              </controlPr>
            </control>
          </mc:Choice>
        </mc:AlternateContent>
        <mc:AlternateContent xmlns:mc="http://schemas.openxmlformats.org/markup-compatibility/2006">
          <mc:Choice Requires="x14">
            <control shapeId="672935" r:id="rId7" name="Drop Down 167">
              <controlPr defaultSize="0" autoLine="0" autoPict="0">
                <anchor moveWithCells="1">
                  <from>
                    <xdr:col>4</xdr:col>
                    <xdr:colOff>9525</xdr:colOff>
                    <xdr:row>27</xdr:row>
                    <xdr:rowOff>0</xdr:rowOff>
                  </from>
                  <to>
                    <xdr:col>5</xdr:col>
                    <xdr:colOff>276225</xdr:colOff>
                    <xdr:row>28</xdr:row>
                    <xdr:rowOff>28575</xdr:rowOff>
                  </to>
                </anchor>
              </controlPr>
            </control>
          </mc:Choice>
        </mc:AlternateContent>
        <mc:AlternateContent xmlns:mc="http://schemas.openxmlformats.org/markup-compatibility/2006">
          <mc:Choice Requires="x14">
            <control shapeId="673043" r:id="rId8" name="Drop Down 275">
              <controlPr defaultSize="0" autoLine="0" autoPict="0">
                <anchor moveWithCells="1">
                  <from>
                    <xdr:col>4</xdr:col>
                    <xdr:colOff>9525</xdr:colOff>
                    <xdr:row>33</xdr:row>
                    <xdr:rowOff>0</xdr:rowOff>
                  </from>
                  <to>
                    <xdr:col>5</xdr:col>
                    <xdr:colOff>257175</xdr:colOff>
                    <xdr:row>33</xdr:row>
                    <xdr:rowOff>200025</xdr:rowOff>
                  </to>
                </anchor>
              </controlPr>
            </control>
          </mc:Choice>
        </mc:AlternateContent>
        <mc:AlternateContent xmlns:mc="http://schemas.openxmlformats.org/markup-compatibility/2006">
          <mc:Choice Requires="x14">
            <control shapeId="697343" r:id="rId9" name="Drop Down 3071">
              <controlPr defaultSize="0" autoLine="0" autoPict="0">
                <anchor moveWithCells="1">
                  <from>
                    <xdr:col>11</xdr:col>
                    <xdr:colOff>9525</xdr:colOff>
                    <xdr:row>11</xdr:row>
                    <xdr:rowOff>0</xdr:rowOff>
                  </from>
                  <to>
                    <xdr:col>12</xdr:col>
                    <xdr:colOff>66675</xdr:colOff>
                    <xdr:row>12</xdr:row>
                    <xdr:rowOff>9525</xdr:rowOff>
                  </to>
                </anchor>
              </controlPr>
            </control>
          </mc:Choice>
        </mc:AlternateContent>
        <mc:AlternateContent xmlns:mc="http://schemas.openxmlformats.org/markup-compatibility/2006">
          <mc:Choice Requires="x14">
            <control shapeId="714798" r:id="rId10" name="Drop Down 3118">
              <controlPr defaultSize="0" autoLine="0" autoPict="0">
                <anchor moveWithCells="1">
                  <from>
                    <xdr:col>4</xdr:col>
                    <xdr:colOff>0</xdr:colOff>
                    <xdr:row>30</xdr:row>
                    <xdr:rowOff>9525</xdr:rowOff>
                  </from>
                  <to>
                    <xdr:col>5</xdr:col>
                    <xdr:colOff>266700</xdr:colOff>
                    <xdr:row>31</xdr:row>
                    <xdr:rowOff>9525</xdr:rowOff>
                  </to>
                </anchor>
              </controlPr>
            </control>
          </mc:Choice>
        </mc:AlternateContent>
        <mc:AlternateContent xmlns:mc="http://schemas.openxmlformats.org/markup-compatibility/2006">
          <mc:Choice Requires="x14">
            <control shapeId="715085" r:id="rId11" name="Drop Down 3405">
              <controlPr locked="0" defaultSize="0" autoLine="0" autoPict="0">
                <anchor moveWithCells="1">
                  <from>
                    <xdr:col>4</xdr:col>
                    <xdr:colOff>0</xdr:colOff>
                    <xdr:row>7</xdr:row>
                    <xdr:rowOff>190500</xdr:rowOff>
                  </from>
                  <to>
                    <xdr:col>5</xdr:col>
                    <xdr:colOff>76200</xdr:colOff>
                    <xdr:row>8</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9" id="{2F97F2FF-95A0-40C5-B045-6ADA68EA7C2F}">
            <xm:f>'Variable Mgmt'!$B$52</xm:f>
            <x14:dxf>
              <font>
                <strike val="0"/>
                <color theme="0"/>
              </font>
              <fill>
                <patternFill>
                  <bgColor theme="0"/>
                </patternFill>
              </fill>
            </x14:dxf>
          </x14:cfRule>
          <xm:sqref>E12:E13</xm:sqref>
        </x14:conditionalFormatting>
        <x14:conditionalFormatting xmlns:xm="http://schemas.microsoft.com/office/excel/2006/main">
          <x14:cfRule type="expression" priority="141" id="{9B976DD7-FFA8-454F-A63D-186A721FDF9C}">
            <xm:f>'Variable Mgmt'!$B$52</xm:f>
            <x14:dxf>
              <border>
                <bottom/>
                <vertical/>
                <horizontal/>
              </border>
            </x14:dxf>
          </x14:cfRule>
          <xm:sqref>A12:F13</xm:sqref>
        </x14:conditionalFormatting>
        <x14:conditionalFormatting xmlns:xm="http://schemas.microsoft.com/office/excel/2006/main">
          <x14:cfRule type="expression" priority="142" id="{25C53C6F-CE07-4419-8FCF-F6B8FCD8434A}">
            <xm:f>'Variable Mgmt'!$B$52</xm:f>
            <x14:dxf>
              <border>
                <right/>
                <vertical/>
                <horizontal/>
              </border>
            </x14:dxf>
          </x14:cfRule>
          <xm:sqref>F12:F13</xm:sqref>
        </x14:conditionalFormatting>
        <x14:conditionalFormatting xmlns:xm="http://schemas.microsoft.com/office/excel/2006/main">
          <x14:cfRule type="expression" priority="12" id="{56BB0655-3B2C-4E9D-AD05-7700A46C30F4}">
            <xm:f>'Variable Mgmt'!$B$52=FALSE</xm:f>
            <x14:dxf>
              <border>
                <bottom/>
                <vertical/>
                <horizontal/>
              </border>
            </x14:dxf>
          </x14:cfRule>
          <xm:sqref>A12:F12</xm:sqref>
        </x14:conditionalFormatting>
        <x14:conditionalFormatting xmlns:xm="http://schemas.microsoft.com/office/excel/2006/main">
          <x14:cfRule type="expression" priority="11" id="{7DE853EF-1754-4C48-A140-FF26B3EC5CF8}">
            <xm:f>'Variable Mgmt'!$B$52=FALSE</xm:f>
            <x14:dxf>
              <border>
                <bottom/>
                <vertical/>
                <horizontal/>
              </border>
            </x14:dxf>
          </x14:cfRule>
          <xm:sqref>A11:F11</xm:sqref>
        </x14:conditionalFormatting>
        <x14:conditionalFormatting xmlns:xm="http://schemas.microsoft.com/office/excel/2006/main">
          <x14:cfRule type="expression" priority="6" id="{18CE8F81-B526-43C7-B5F1-BAA9C73809CD}">
            <xm:f>'Variable Mgmt'!$B$52=TRUE</xm:f>
            <x14:dxf>
              <font>
                <color theme="0"/>
              </font>
              <fill>
                <patternFill>
                  <bgColor theme="0"/>
                </patternFill>
              </fill>
              <border>
                <right/>
                <top/>
                <bottom/>
              </border>
            </x14:dxf>
          </x14:cfRule>
          <xm:sqref>K20:M23</xm:sqref>
        </x14:conditionalFormatting>
        <x14:conditionalFormatting xmlns:xm="http://schemas.microsoft.com/office/excel/2006/main">
          <x14:cfRule type="expression" priority="5" id="{B42E45EE-F49B-4512-9DB9-8B85B95C6919}">
            <xm:f>'Variable Mgmt'!$B$52=TRUE</xm:f>
            <x14:dxf>
              <border>
                <left/>
                <right/>
                <top/>
                <bottom/>
                <vertical/>
                <horizontal/>
              </border>
            </x14:dxf>
          </x14:cfRule>
          <xm:sqref>H20:J23</xm:sqref>
        </x14:conditionalFormatting>
        <x14:conditionalFormatting xmlns:xm="http://schemas.microsoft.com/office/excel/2006/main">
          <x14:cfRule type="expression" priority="4" id="{8076779E-531E-4945-9FF1-9C72CDB0D6DC}">
            <xm:f>'Variable Mgmt'!$B$52=TRUE</xm:f>
            <x14:dxf>
              <border>
                <top/>
                <bottom/>
                <vertical/>
                <horizontal/>
              </border>
            </x14:dxf>
          </x14:cfRule>
          <xm:sqref>G21:G22</xm:sqref>
        </x14:conditionalFormatting>
        <x14:conditionalFormatting xmlns:xm="http://schemas.microsoft.com/office/excel/2006/main">
          <x14:cfRule type="expression" priority="145" id="{2E385B5D-C8C9-48C7-B4AE-E1A8F27EB6E6}">
            <xm:f>AND('Variable Mgmt'!#REF!&gt;'Variable Mgmt'!$B$56*1/1000, MODE=1)</xm:f>
            <x14:dxf>
              <font>
                <color rgb="FFFF0000"/>
              </font>
            </x14:dxf>
          </x14:cfRule>
          <xm:sqref>L7</xm:sqref>
        </x14:conditionalFormatting>
        <x14:conditionalFormatting xmlns:xm="http://schemas.microsoft.com/office/excel/2006/main">
          <x14:cfRule type="expression" priority="146" id="{EE277573-B7FD-4D2F-97C3-CC46EAD89E7B}">
            <xm:f>AND('Variable Mgmt'!#REF!&gt;'Variable Mgmt'!$B$56*1/1000, MODE=1)</xm:f>
            <x14:dxf>
              <font>
                <b/>
                <i val="0"/>
                <color rgb="FFFF0000"/>
              </font>
            </x14:dxf>
          </x14:cfRule>
          <xm:sqref>L12</xm:sqref>
        </x14:conditionalFormatting>
        <x14:conditionalFormatting xmlns:xm="http://schemas.microsoft.com/office/excel/2006/main">
          <x14:cfRule type="expression" priority="3" id="{DA50B535-B6B5-4DFB-9CBC-C505A48C7EB5}">
            <xm:f>'Variable Mgmt'!$B$52=TRUE</xm:f>
            <x14:dxf>
              <font>
                <color theme="0"/>
              </font>
              <fill>
                <patternFill>
                  <bgColor theme="0"/>
                </patternFill>
              </fill>
            </x14:dxf>
          </x14:cfRule>
          <xm:sqref>L10</xm:sqref>
        </x14:conditionalFormatting>
        <x14:conditionalFormatting xmlns:xm="http://schemas.microsoft.com/office/excel/2006/main">
          <x14:cfRule type="expression" priority="2" id="{FB76FAF3-E114-4E5D-9585-0FED8547CF75}">
            <xm:f>'Variable Mgmt'!$D$38=TRUE</xm:f>
            <x14:dxf>
              <font>
                <color theme="0"/>
              </font>
              <fill>
                <patternFill patternType="solid">
                  <fgColor auto="1"/>
                  <bgColor rgb="FFFF0000"/>
                </patternFill>
              </fill>
            </x14:dxf>
          </x14:cfRule>
          <xm:sqref>L15:M15</xm:sqref>
        </x14:conditionalFormatting>
        <x14:conditionalFormatting xmlns:xm="http://schemas.microsoft.com/office/excel/2006/main">
          <x14:cfRule type="expression" priority="1" id="{2E35C64D-1122-4B17-B495-E52D781938E1}">
            <xm:f>'Variable Mgmt'!$D$61=TRUE</xm:f>
            <x14:dxf>
              <font>
                <strike val="0"/>
                <color theme="0"/>
              </font>
              <fill>
                <patternFill>
                  <bgColor rgb="FFFF0000"/>
                </patternFill>
              </fill>
            </x14:dxf>
          </x14:cfRule>
          <xm:sqref>L14:M14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2:B7"/>
  <sheetViews>
    <sheetView topLeftCell="A7" zoomScaleNormal="100" workbookViewId="0">
      <selection activeCell="B12" sqref="B12"/>
    </sheetView>
  </sheetViews>
  <sheetFormatPr defaultRowHeight="12.75" x14ac:dyDescent="0.2"/>
  <cols>
    <col min="2" max="2" width="126.42578125" customWidth="1"/>
  </cols>
  <sheetData>
    <row r="2" spans="1:2" ht="17.25" customHeight="1" x14ac:dyDescent="0.2">
      <c r="A2" s="78" t="str">
        <f>CHOOSE(MODE, "Fsw_SINGLE", "Fsw_DUAL")</f>
        <v>Fsw_SINGLE</v>
      </c>
    </row>
    <row r="5" spans="1:2" ht="409.5" customHeight="1" x14ac:dyDescent="0.2">
      <c r="B5" s="366"/>
    </row>
    <row r="6" spans="1:2" ht="17.100000000000001" customHeight="1" x14ac:dyDescent="0.2"/>
    <row r="7" spans="1:2" ht="409.5" customHeight="1" x14ac:dyDescent="0.2">
      <c r="B7" s="366"/>
    </row>
  </sheetData>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2:T67"/>
  <sheetViews>
    <sheetView topLeftCell="C8" zoomScaleNormal="100" zoomScaleSheetLayoutView="145" workbookViewId="0">
      <selection activeCell="H21" sqref="H21"/>
    </sheetView>
  </sheetViews>
  <sheetFormatPr defaultRowHeight="12.75" x14ac:dyDescent="0.2"/>
  <cols>
    <col min="1" max="1" width="12.7109375" style="366" customWidth="1"/>
    <col min="2" max="2" width="124.7109375" style="12" customWidth="1"/>
    <col min="3" max="4" width="9.140625" style="366"/>
    <col min="5" max="5" width="124.7109375" style="8" customWidth="1"/>
    <col min="8" max="8" width="124.7109375" style="367" customWidth="1"/>
  </cols>
  <sheetData>
    <row r="2" spans="1:15" x14ac:dyDescent="0.2">
      <c r="A2" s="366" t="str">
        <f>'Variable Mgmt'!K44</f>
        <v>SCH_SINGLE_UVLOint_SSint_TCno</v>
      </c>
    </row>
    <row r="5" spans="1:15" s="366" customFormat="1" ht="13.5" customHeight="1" x14ac:dyDescent="0.2">
      <c r="E5" s="367"/>
      <c r="H5" s="367"/>
    </row>
    <row r="6" spans="1:15" s="366" customFormat="1" ht="16.5" customHeight="1" x14ac:dyDescent="0.2">
      <c r="E6" s="367"/>
      <c r="H6" s="367"/>
    </row>
    <row r="7" spans="1:15" ht="357" customHeight="1" x14ac:dyDescent="0.2">
      <c r="B7" s="13"/>
      <c r="E7" s="394"/>
      <c r="F7" s="12"/>
      <c r="G7" s="12"/>
      <c r="I7" s="12"/>
      <c r="J7" s="12"/>
      <c r="K7" s="12"/>
      <c r="L7" s="12"/>
      <c r="M7" s="12"/>
      <c r="N7" s="12"/>
    </row>
    <row r="8" spans="1:15" s="366" customFormat="1" ht="17.25" customHeight="1" x14ac:dyDescent="0.2">
      <c r="B8" s="367"/>
      <c r="E8" s="367"/>
      <c r="H8" s="367"/>
      <c r="O8" s="368"/>
    </row>
    <row r="9" spans="1:15" ht="357" customHeight="1" x14ac:dyDescent="0.2">
      <c r="B9" s="113"/>
      <c r="D9" s="367"/>
      <c r="E9" s="394"/>
      <c r="F9" s="366"/>
      <c r="G9" s="12"/>
      <c r="I9" s="12"/>
      <c r="J9" s="12"/>
      <c r="K9" s="12"/>
      <c r="L9" s="12"/>
      <c r="M9" s="12"/>
      <c r="N9" s="12"/>
      <c r="O9" s="369"/>
    </row>
    <row r="10" spans="1:15" s="366" customFormat="1" x14ac:dyDescent="0.2">
      <c r="E10" s="367"/>
      <c r="H10" s="367"/>
    </row>
    <row r="11" spans="1:15" ht="357" customHeight="1" x14ac:dyDescent="0.2">
      <c r="B11" s="394"/>
      <c r="D11" s="367"/>
      <c r="E11" s="367"/>
      <c r="F11" s="366"/>
      <c r="G11" s="12"/>
      <c r="I11" s="12"/>
      <c r="J11" s="12"/>
      <c r="K11" s="12"/>
      <c r="L11" s="12"/>
      <c r="M11" s="12"/>
      <c r="N11" s="12"/>
      <c r="O11" s="369"/>
    </row>
    <row r="12" spans="1:15" x14ac:dyDescent="0.2">
      <c r="B12" s="366"/>
      <c r="E12" s="367"/>
      <c r="F12" s="366"/>
      <c r="G12" s="12"/>
      <c r="I12" s="12"/>
      <c r="J12" s="12"/>
      <c r="K12" s="12"/>
      <c r="L12" s="12"/>
      <c r="M12" s="12"/>
      <c r="N12" s="12"/>
    </row>
    <row r="13" spans="1:15" ht="357" customHeight="1" x14ac:dyDescent="0.2">
      <c r="B13" s="394"/>
      <c r="E13" s="367"/>
      <c r="F13" s="366"/>
      <c r="G13" s="12"/>
      <c r="I13" s="12"/>
      <c r="J13" s="12"/>
      <c r="K13" s="12"/>
      <c r="L13" s="12"/>
      <c r="M13" s="12"/>
      <c r="N13" s="12"/>
      <c r="O13" s="369"/>
    </row>
    <row r="14" spans="1:15" x14ac:dyDescent="0.2">
      <c r="B14" s="366"/>
      <c r="E14" s="367"/>
      <c r="F14" s="366"/>
      <c r="G14" s="12"/>
      <c r="I14" s="12"/>
      <c r="J14" s="12"/>
      <c r="K14" s="12"/>
      <c r="L14" s="12"/>
      <c r="M14" s="12"/>
      <c r="N14" s="12"/>
    </row>
    <row r="15" spans="1:15" ht="357" customHeight="1" x14ac:dyDescent="0.2">
      <c r="E15" s="367"/>
      <c r="F15" s="366"/>
      <c r="G15" s="12"/>
      <c r="I15" s="12"/>
      <c r="J15" s="12"/>
      <c r="K15" s="12"/>
      <c r="L15" s="12"/>
      <c r="M15" s="12"/>
      <c r="N15" s="12"/>
      <c r="O15" s="369"/>
    </row>
    <row r="16" spans="1:15" x14ac:dyDescent="0.2">
      <c r="B16" s="366"/>
      <c r="E16" s="367"/>
      <c r="F16" s="12"/>
      <c r="G16" s="12"/>
      <c r="I16" s="12"/>
      <c r="J16" s="12"/>
      <c r="K16" s="12"/>
      <c r="L16" s="12"/>
      <c r="M16" s="12"/>
      <c r="N16" s="12"/>
    </row>
    <row r="17" spans="2:15" ht="357" customHeight="1" x14ac:dyDescent="0.2">
      <c r="B17" s="394"/>
      <c r="E17" s="367"/>
      <c r="F17" s="366"/>
      <c r="G17" s="12"/>
      <c r="I17" s="12"/>
      <c r="J17" s="12"/>
      <c r="K17" s="12"/>
      <c r="L17" s="12"/>
      <c r="M17" s="12"/>
      <c r="N17" s="12"/>
      <c r="O17" s="369"/>
    </row>
    <row r="18" spans="2:15" ht="12" customHeight="1" x14ac:dyDescent="0.2">
      <c r="B18" s="366"/>
      <c r="E18" s="367"/>
      <c r="F18" s="12"/>
      <c r="G18" s="12"/>
      <c r="I18" s="12"/>
      <c r="J18" s="12"/>
      <c r="K18" s="12"/>
      <c r="L18" s="12"/>
      <c r="M18" s="12"/>
      <c r="N18" s="12"/>
    </row>
    <row r="19" spans="2:15" ht="357" customHeight="1" x14ac:dyDescent="0.2">
      <c r="B19" s="366"/>
      <c r="E19" s="367"/>
      <c r="F19" s="12"/>
      <c r="G19" s="12"/>
      <c r="I19" s="12"/>
      <c r="J19" s="12"/>
      <c r="K19" s="12"/>
      <c r="L19" s="12"/>
      <c r="M19" s="12"/>
      <c r="N19" s="12"/>
    </row>
    <row r="20" spans="2:15" ht="13.5" customHeight="1" x14ac:dyDescent="0.2">
      <c r="B20" s="366"/>
      <c r="E20" s="367"/>
      <c r="F20" s="12"/>
      <c r="G20" s="12"/>
      <c r="I20" s="12"/>
      <c r="J20" s="12"/>
      <c r="K20" s="12"/>
      <c r="L20" s="12"/>
      <c r="M20" s="12"/>
      <c r="N20" s="12"/>
    </row>
    <row r="21" spans="2:15" ht="357" customHeight="1" x14ac:dyDescent="0.2">
      <c r="B21" s="366"/>
      <c r="E21" s="367"/>
      <c r="F21" s="12"/>
      <c r="G21" s="12"/>
      <c r="I21" s="12"/>
      <c r="J21" s="12"/>
      <c r="K21" s="12"/>
      <c r="L21" s="12"/>
      <c r="M21" s="12"/>
      <c r="N21" s="12"/>
    </row>
    <row r="22" spans="2:15" x14ac:dyDescent="0.2">
      <c r="B22" s="366"/>
      <c r="E22" s="367"/>
      <c r="F22" s="12"/>
      <c r="G22" s="12"/>
      <c r="I22" s="12"/>
      <c r="J22" s="12"/>
      <c r="K22" s="12"/>
      <c r="L22" s="12"/>
      <c r="M22" s="12"/>
      <c r="N22" s="12"/>
    </row>
    <row r="23" spans="2:15" ht="357" customHeight="1" x14ac:dyDescent="0.2">
      <c r="B23" s="366"/>
      <c r="E23" s="367"/>
      <c r="F23" s="12"/>
      <c r="G23" s="12"/>
      <c r="I23" s="12"/>
      <c r="J23" s="12"/>
      <c r="K23" s="12"/>
      <c r="L23" s="12"/>
      <c r="M23" s="12"/>
      <c r="N23" s="12"/>
    </row>
    <row r="24" spans="2:15" x14ac:dyDescent="0.2">
      <c r="B24" s="366"/>
      <c r="E24" s="367"/>
      <c r="F24" s="12"/>
      <c r="G24" s="12"/>
      <c r="I24" s="12"/>
      <c r="J24" s="12"/>
      <c r="K24" s="12"/>
      <c r="L24" s="12"/>
      <c r="M24" s="12"/>
      <c r="N24" s="12"/>
    </row>
    <row r="25" spans="2:15" ht="327.75" customHeight="1" x14ac:dyDescent="0.2">
      <c r="B25" s="366"/>
      <c r="E25" s="367"/>
      <c r="F25" s="12"/>
      <c r="G25" s="12"/>
      <c r="I25" s="12"/>
      <c r="J25" s="12"/>
      <c r="K25" s="12"/>
      <c r="L25" s="12"/>
      <c r="M25" s="12"/>
      <c r="N25" s="12"/>
    </row>
    <row r="26" spans="2:15" x14ac:dyDescent="0.2">
      <c r="E26" s="367"/>
      <c r="F26" s="12"/>
      <c r="G26" s="12"/>
      <c r="I26" s="12"/>
      <c r="J26" s="12"/>
      <c r="K26" s="12"/>
      <c r="L26" s="12"/>
      <c r="M26" s="12"/>
      <c r="N26" s="12"/>
    </row>
    <row r="27" spans="2:15" ht="327.60000000000002" customHeight="1" x14ac:dyDescent="0.2">
      <c r="B27" s="366"/>
      <c r="E27" s="367"/>
      <c r="F27" s="12"/>
      <c r="G27" s="12"/>
      <c r="I27" s="12"/>
      <c r="J27" s="12"/>
      <c r="K27" s="12"/>
      <c r="L27" s="12"/>
      <c r="M27" s="12"/>
      <c r="N27" s="12"/>
    </row>
    <row r="28" spans="2:15" x14ac:dyDescent="0.2">
      <c r="B28" s="366"/>
      <c r="E28" s="367"/>
      <c r="F28" s="12"/>
      <c r="G28" s="12"/>
      <c r="I28" s="12"/>
      <c r="J28" s="12"/>
      <c r="K28" s="12"/>
      <c r="L28" s="12"/>
      <c r="M28" s="12"/>
      <c r="N28" s="12"/>
    </row>
    <row r="29" spans="2:15" ht="327.75" customHeight="1" x14ac:dyDescent="0.2">
      <c r="B29" s="366"/>
      <c r="E29" s="367"/>
      <c r="F29" s="12"/>
      <c r="G29" s="12"/>
      <c r="I29" s="12"/>
      <c r="J29" s="12"/>
      <c r="K29" s="12"/>
      <c r="L29" s="12"/>
      <c r="M29" s="12"/>
      <c r="N29" s="12"/>
    </row>
    <row r="30" spans="2:15" ht="13.5" customHeight="1" x14ac:dyDescent="0.2">
      <c r="B30" s="366"/>
      <c r="E30" s="367"/>
      <c r="F30" s="12"/>
      <c r="G30" s="12"/>
      <c r="I30" s="12"/>
      <c r="J30" s="12"/>
      <c r="K30" s="12"/>
      <c r="L30" s="12"/>
      <c r="M30" s="12"/>
      <c r="N30" s="12"/>
    </row>
    <row r="31" spans="2:15" ht="327.75" customHeight="1" x14ac:dyDescent="0.2">
      <c r="B31" s="366"/>
      <c r="E31" s="367"/>
      <c r="F31" s="12"/>
      <c r="G31" s="12"/>
      <c r="I31" s="12"/>
      <c r="J31" s="12"/>
      <c r="K31" s="12"/>
      <c r="L31" s="12"/>
      <c r="M31" s="12"/>
      <c r="N31" s="12"/>
    </row>
    <row r="32" spans="2:15" ht="13.5" customHeight="1" x14ac:dyDescent="0.2">
      <c r="B32" s="366"/>
      <c r="E32" s="367"/>
      <c r="F32" s="12"/>
      <c r="G32" s="12"/>
      <c r="I32" s="12"/>
      <c r="J32" s="12"/>
      <c r="K32" s="12"/>
      <c r="L32" s="12"/>
      <c r="M32" s="12"/>
      <c r="N32" s="12"/>
    </row>
    <row r="33" spans="2:20" ht="327.75" customHeight="1" x14ac:dyDescent="0.2">
      <c r="B33" s="366"/>
      <c r="E33" s="367"/>
      <c r="F33" s="12"/>
      <c r="G33" s="12"/>
      <c r="I33" s="12"/>
      <c r="J33" s="12"/>
      <c r="K33" s="12"/>
      <c r="L33" s="12"/>
      <c r="M33" s="12"/>
      <c r="N33" s="12"/>
    </row>
    <row r="34" spans="2:20" ht="13.5" customHeight="1" x14ac:dyDescent="0.2">
      <c r="B34" s="366"/>
      <c r="E34" s="367"/>
      <c r="F34" s="12"/>
      <c r="G34" s="12"/>
      <c r="I34" s="12"/>
      <c r="J34" s="12"/>
      <c r="K34" s="12"/>
      <c r="L34" s="12"/>
      <c r="M34" s="12"/>
      <c r="N34" s="12"/>
    </row>
    <row r="35" spans="2:20" ht="327.60000000000002" customHeight="1" x14ac:dyDescent="0.2">
      <c r="B35" s="366"/>
      <c r="E35" s="367"/>
      <c r="F35" s="12"/>
      <c r="G35" s="12"/>
      <c r="I35" s="12"/>
      <c r="J35" s="12"/>
      <c r="K35" s="12"/>
      <c r="L35" s="12"/>
      <c r="M35" s="12"/>
      <c r="N35" s="12"/>
    </row>
    <row r="36" spans="2:20" ht="13.5" customHeight="1" x14ac:dyDescent="0.2">
      <c r="B36" s="366"/>
      <c r="E36" s="367"/>
      <c r="F36" s="12"/>
      <c r="G36" s="12"/>
      <c r="I36" s="12"/>
      <c r="J36" s="12"/>
      <c r="K36" s="12"/>
      <c r="L36" s="12"/>
      <c r="M36" s="12"/>
      <c r="N36" s="12"/>
    </row>
    <row r="37" spans="2:20" ht="327.75" customHeight="1" x14ac:dyDescent="0.2">
      <c r="B37" s="366"/>
      <c r="E37" s="367"/>
      <c r="F37" s="12"/>
      <c r="G37" s="12"/>
      <c r="I37" s="12"/>
      <c r="J37" s="12"/>
      <c r="K37" s="12"/>
      <c r="L37" s="12"/>
      <c r="M37" s="12"/>
      <c r="N37" s="12"/>
    </row>
    <row r="38" spans="2:20" ht="13.5" customHeight="1" x14ac:dyDescent="0.35">
      <c r="B38" s="366"/>
      <c r="E38" s="367"/>
      <c r="F38" s="12"/>
      <c r="G38" s="370"/>
      <c r="I38" s="371"/>
      <c r="J38" s="12"/>
      <c r="K38" s="12"/>
      <c r="L38" s="12"/>
      <c r="M38" s="12"/>
      <c r="N38" s="12"/>
    </row>
    <row r="39" spans="2:20" ht="327.75" customHeight="1" x14ac:dyDescent="0.2">
      <c r="B39" s="366"/>
      <c r="E39" s="367"/>
      <c r="F39" s="12"/>
      <c r="G39" s="12"/>
      <c r="I39" s="371"/>
      <c r="J39" s="12"/>
      <c r="K39" s="12"/>
      <c r="L39" s="12"/>
      <c r="M39" s="12"/>
      <c r="N39" s="12"/>
    </row>
    <row r="40" spans="2:20" x14ac:dyDescent="0.2">
      <c r="B40" s="366"/>
      <c r="E40" s="367"/>
      <c r="F40" s="12"/>
      <c r="G40" s="12"/>
      <c r="I40" s="12"/>
      <c r="J40" s="12"/>
      <c r="K40" s="12"/>
      <c r="L40" s="12"/>
      <c r="M40" s="12"/>
      <c r="N40" s="12"/>
      <c r="O40" s="12"/>
      <c r="P40" s="12"/>
      <c r="Q40" s="14"/>
      <c r="S40" s="372"/>
      <c r="T40" s="372"/>
    </row>
    <row r="41" spans="2:20" ht="327.75" customHeight="1" x14ac:dyDescent="0.2">
      <c r="B41" s="366"/>
      <c r="E41" s="367"/>
      <c r="F41" s="12"/>
      <c r="G41" s="12"/>
      <c r="I41" s="12"/>
      <c r="J41" s="12"/>
      <c r="K41" s="12"/>
      <c r="L41" s="12"/>
      <c r="M41" s="12"/>
      <c r="N41" s="12"/>
      <c r="O41" s="12"/>
      <c r="P41" s="12"/>
      <c r="Q41" s="14"/>
      <c r="S41" s="372"/>
    </row>
    <row r="42" spans="2:20" x14ac:dyDescent="0.2">
      <c r="B42" s="366"/>
      <c r="E42" s="367"/>
      <c r="F42" s="12"/>
      <c r="G42" s="12"/>
      <c r="I42" s="12"/>
      <c r="J42" s="12"/>
      <c r="K42" s="12"/>
      <c r="L42" s="12"/>
      <c r="M42" s="12"/>
      <c r="N42" s="12"/>
      <c r="O42" s="12"/>
      <c r="P42" s="12"/>
      <c r="Q42" s="14"/>
      <c r="S42" s="372"/>
    </row>
    <row r="43" spans="2:20" ht="327.75" customHeight="1" x14ac:dyDescent="0.2">
      <c r="B43" s="366"/>
      <c r="E43" s="367"/>
      <c r="F43" s="12"/>
      <c r="G43" s="12"/>
      <c r="I43" s="12"/>
      <c r="J43" s="12"/>
      <c r="K43" s="12"/>
      <c r="L43" s="12"/>
      <c r="M43" s="12"/>
      <c r="N43" s="12"/>
      <c r="O43" s="12"/>
      <c r="P43" s="12"/>
      <c r="Q43" s="14"/>
      <c r="S43" s="372"/>
    </row>
    <row r="44" spans="2:20" x14ac:dyDescent="0.2">
      <c r="B44" s="366"/>
      <c r="E44" s="367"/>
      <c r="F44" s="12"/>
      <c r="G44" s="12"/>
      <c r="I44" s="12"/>
      <c r="J44" s="12"/>
      <c r="K44" s="12"/>
      <c r="L44" s="12"/>
      <c r="M44" s="12"/>
      <c r="N44" s="12"/>
      <c r="O44" s="12"/>
      <c r="P44" s="12"/>
      <c r="Q44" s="14"/>
      <c r="S44" s="372"/>
    </row>
    <row r="45" spans="2:20" ht="327.75" customHeight="1" x14ac:dyDescent="0.2">
      <c r="B45" s="366"/>
      <c r="E45" s="367"/>
      <c r="F45" s="12"/>
      <c r="G45" s="12"/>
      <c r="I45" s="12"/>
      <c r="J45" s="12"/>
      <c r="K45" s="12"/>
      <c r="L45" s="12"/>
      <c r="M45" s="12"/>
      <c r="N45" s="12"/>
      <c r="O45" s="12"/>
      <c r="P45" s="12"/>
      <c r="Q45" s="14"/>
      <c r="S45" s="372"/>
    </row>
    <row r="46" spans="2:20" x14ac:dyDescent="0.2">
      <c r="B46" s="366"/>
      <c r="E46" s="367"/>
      <c r="F46" s="12"/>
      <c r="G46" s="12"/>
      <c r="I46" s="12"/>
      <c r="J46" s="12"/>
      <c r="K46" s="12"/>
      <c r="L46" s="12"/>
      <c r="M46" s="12"/>
      <c r="N46" s="12"/>
      <c r="O46" s="12"/>
      <c r="P46" s="12"/>
      <c r="Q46" s="14"/>
      <c r="S46" s="372"/>
    </row>
    <row r="47" spans="2:20" ht="327.75" customHeight="1" x14ac:dyDescent="0.2">
      <c r="B47" s="366"/>
      <c r="E47" s="367"/>
      <c r="F47" s="12"/>
      <c r="G47" s="12"/>
      <c r="I47" s="12"/>
      <c r="J47" s="12"/>
      <c r="K47" s="12"/>
      <c r="L47" s="12"/>
      <c r="M47" s="12"/>
      <c r="N47" s="12"/>
      <c r="O47" s="12"/>
      <c r="P47" s="12"/>
      <c r="Q47" s="14"/>
      <c r="S47" s="373"/>
    </row>
    <row r="48" spans="2:20" x14ac:dyDescent="0.2">
      <c r="B48" s="366"/>
      <c r="E48" s="367"/>
      <c r="F48" s="12"/>
      <c r="G48" s="12"/>
      <c r="I48" s="12"/>
      <c r="J48" s="12"/>
      <c r="K48" s="12"/>
      <c r="L48" s="12"/>
      <c r="M48" s="12"/>
      <c r="N48" s="12"/>
      <c r="O48" s="12"/>
      <c r="P48" s="12"/>
      <c r="Q48" s="14"/>
      <c r="S48" s="372"/>
    </row>
    <row r="49" spans="2:19" ht="327.75" customHeight="1" x14ac:dyDescent="0.2">
      <c r="B49" s="366"/>
      <c r="E49" s="367"/>
      <c r="F49" s="12"/>
      <c r="G49" s="12"/>
      <c r="I49" s="12"/>
      <c r="J49" s="12"/>
      <c r="K49" s="12"/>
      <c r="L49" s="12"/>
      <c r="M49" s="12"/>
      <c r="N49" s="12"/>
      <c r="O49" s="12"/>
      <c r="P49" s="12"/>
      <c r="Q49" s="14"/>
      <c r="S49" s="372"/>
    </row>
    <row r="50" spans="2:19" x14ac:dyDescent="0.2">
      <c r="B50" s="366"/>
      <c r="E50" s="367"/>
      <c r="F50" s="12"/>
      <c r="G50" s="12"/>
      <c r="I50" s="12"/>
      <c r="J50" s="12"/>
      <c r="K50" s="12"/>
      <c r="L50" s="12"/>
      <c r="M50" s="12"/>
      <c r="N50" s="12"/>
      <c r="O50" s="12"/>
      <c r="P50" s="12"/>
      <c r="Q50" s="14"/>
      <c r="S50" s="372"/>
    </row>
    <row r="51" spans="2:19" x14ac:dyDescent="0.2">
      <c r="B51" s="366"/>
      <c r="E51" s="367"/>
      <c r="F51" s="12"/>
      <c r="G51" s="12"/>
      <c r="I51" s="12"/>
      <c r="J51" s="12"/>
      <c r="K51" s="12"/>
      <c r="L51" s="12"/>
      <c r="M51" s="12"/>
      <c r="N51" s="12"/>
      <c r="O51" s="12"/>
      <c r="P51" s="12"/>
      <c r="Q51" s="14"/>
      <c r="S51" s="372"/>
    </row>
    <row r="52" spans="2:19" x14ac:dyDescent="0.2">
      <c r="B52" s="366"/>
      <c r="E52" s="367"/>
      <c r="F52" s="12"/>
      <c r="G52" s="12"/>
      <c r="I52" s="12"/>
      <c r="J52" s="12"/>
      <c r="K52" s="12"/>
      <c r="L52" s="12"/>
      <c r="M52" s="12"/>
      <c r="N52" s="12"/>
      <c r="O52" s="12"/>
      <c r="P52" s="12"/>
      <c r="Q52" s="14"/>
      <c r="S52" s="372"/>
    </row>
    <row r="53" spans="2:19" x14ac:dyDescent="0.2">
      <c r="B53" s="366"/>
      <c r="E53" s="367"/>
      <c r="F53" s="12"/>
      <c r="G53" s="12"/>
      <c r="I53" s="12"/>
      <c r="J53" s="12"/>
      <c r="K53" s="12"/>
      <c r="L53" s="12"/>
      <c r="M53" s="12"/>
      <c r="N53" s="12"/>
    </row>
    <row r="54" spans="2:19" x14ac:dyDescent="0.2">
      <c r="B54" s="366"/>
      <c r="E54" s="367"/>
      <c r="F54" s="12"/>
      <c r="G54" s="12"/>
      <c r="I54" s="12"/>
      <c r="J54" s="12"/>
      <c r="K54" s="12"/>
      <c r="L54" s="12"/>
      <c r="M54" s="12"/>
      <c r="N54" s="12"/>
    </row>
    <row r="55" spans="2:19" x14ac:dyDescent="0.2">
      <c r="B55" s="366"/>
      <c r="E55" s="367"/>
      <c r="F55" s="12"/>
      <c r="G55" s="12"/>
      <c r="I55" s="12"/>
      <c r="J55" s="12"/>
      <c r="K55" s="12"/>
      <c r="L55" s="12"/>
      <c r="M55" s="12"/>
      <c r="N55" s="12"/>
      <c r="R55" s="15"/>
    </row>
    <row r="56" spans="2:19" x14ac:dyDescent="0.2">
      <c r="B56" s="366"/>
      <c r="E56" s="367"/>
      <c r="F56" s="12"/>
      <c r="G56" s="12"/>
      <c r="I56" s="12"/>
      <c r="J56" s="12"/>
      <c r="K56" s="12"/>
      <c r="L56" s="12"/>
      <c r="M56" s="12"/>
      <c r="N56" s="12"/>
    </row>
    <row r="57" spans="2:19" x14ac:dyDescent="0.2">
      <c r="B57" s="366"/>
      <c r="E57" s="367"/>
      <c r="F57" s="12"/>
      <c r="G57" s="12"/>
      <c r="I57" s="12"/>
      <c r="J57" s="12"/>
      <c r="K57" s="12"/>
      <c r="L57" s="12"/>
      <c r="M57" s="12"/>
      <c r="N57" s="12"/>
    </row>
    <row r="58" spans="2:19" x14ac:dyDescent="0.2">
      <c r="E58" s="13"/>
      <c r="F58" s="12"/>
      <c r="G58" s="12"/>
      <c r="I58" s="12"/>
      <c r="J58" s="12"/>
      <c r="K58" s="12"/>
      <c r="L58" s="12"/>
      <c r="M58" s="12"/>
      <c r="N58" s="12"/>
    </row>
    <row r="59" spans="2:19" x14ac:dyDescent="0.2">
      <c r="E59" s="13"/>
      <c r="F59" s="12"/>
      <c r="G59" s="12"/>
      <c r="I59" s="12"/>
      <c r="J59" s="12"/>
      <c r="K59" s="12"/>
      <c r="L59" s="12"/>
      <c r="M59" s="12"/>
      <c r="N59" s="12"/>
    </row>
    <row r="60" spans="2:19" x14ac:dyDescent="0.2">
      <c r="E60" s="13"/>
      <c r="F60" s="12"/>
      <c r="G60" s="12"/>
      <c r="I60" s="12"/>
      <c r="J60" s="12"/>
      <c r="K60" s="12"/>
      <c r="L60" s="12"/>
      <c r="M60" s="12"/>
      <c r="N60" s="12"/>
    </row>
    <row r="61" spans="2:19" x14ac:dyDescent="0.2">
      <c r="E61" s="13"/>
      <c r="F61" s="12"/>
      <c r="G61" s="12"/>
      <c r="I61" s="12"/>
      <c r="J61" s="12"/>
      <c r="K61" s="12"/>
      <c r="L61" s="12"/>
      <c r="M61" s="12"/>
      <c r="N61" s="12"/>
    </row>
    <row r="62" spans="2:19" x14ac:dyDescent="0.2">
      <c r="E62" s="13"/>
      <c r="F62" s="12"/>
      <c r="G62" s="12"/>
      <c r="I62" s="12"/>
      <c r="J62" s="12"/>
      <c r="K62" s="12"/>
      <c r="L62" s="12"/>
      <c r="M62" s="12"/>
      <c r="N62" s="12"/>
    </row>
    <row r="63" spans="2:19" x14ac:dyDescent="0.2">
      <c r="E63" s="13"/>
      <c r="F63" s="12"/>
      <c r="G63" s="12"/>
      <c r="I63" s="12"/>
      <c r="J63" s="12"/>
      <c r="K63" s="12"/>
      <c r="L63" s="12"/>
      <c r="M63" s="12"/>
      <c r="N63" s="12"/>
    </row>
    <row r="64" spans="2:19" x14ac:dyDescent="0.2">
      <c r="E64" s="13"/>
      <c r="F64" s="12"/>
      <c r="G64" s="12"/>
      <c r="I64" s="12"/>
      <c r="J64" s="12"/>
      <c r="K64" s="12"/>
      <c r="L64" s="12"/>
      <c r="M64" s="12"/>
      <c r="N64" s="12"/>
    </row>
    <row r="65" spans="5:18" x14ac:dyDescent="0.2">
      <c r="E65" s="13"/>
      <c r="F65" s="12"/>
      <c r="G65" s="12"/>
      <c r="I65" s="12"/>
      <c r="J65" s="12"/>
      <c r="K65" s="12"/>
      <c r="L65" s="12"/>
      <c r="M65" s="12"/>
      <c r="N65" s="12"/>
    </row>
    <row r="66" spans="5:18" x14ac:dyDescent="0.2">
      <c r="E66" s="13"/>
      <c r="F66" s="12"/>
      <c r="G66" s="12"/>
      <c r="I66" s="12"/>
      <c r="J66" s="12"/>
      <c r="K66" s="12"/>
      <c r="L66" s="12"/>
      <c r="M66" s="12"/>
      <c r="N66" s="12"/>
      <c r="R66" s="15"/>
    </row>
    <row r="67" spans="5:18" x14ac:dyDescent="0.2">
      <c r="E67" s="13"/>
      <c r="F67" s="12"/>
      <c r="G67" s="12"/>
      <c r="I67" s="12"/>
      <c r="J67" s="12"/>
      <c r="K67" s="12"/>
      <c r="L67" s="12"/>
      <c r="M67" s="12"/>
      <c r="N67" s="12"/>
    </row>
  </sheetData>
  <conditionalFormatting sqref="O6">
    <cfRule type="cellIs" dxfId="0" priority="1" stopIfTrue="1" operator="equal">
      <formula>"n"</formula>
    </cfRule>
  </conditionalFormatting>
  <pageMargins left="0.75" right="0.75" top="1" bottom="1" header="0.5" footer="0.5"/>
  <pageSetup scale="8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K159"/>
  <sheetViews>
    <sheetView workbookViewId="0">
      <selection activeCell="I10" sqref="I10"/>
    </sheetView>
  </sheetViews>
  <sheetFormatPr defaultRowHeight="12.75" x14ac:dyDescent="0.2"/>
  <cols>
    <col min="1" max="1" width="17.28515625" customWidth="1"/>
    <col min="2" max="2" width="12" bestFit="1" customWidth="1"/>
    <col min="8" max="8" width="12.140625" customWidth="1"/>
    <col min="9" max="9" width="12.42578125" bestFit="1" customWidth="1"/>
    <col min="10" max="10" width="15.42578125" customWidth="1"/>
  </cols>
  <sheetData>
    <row r="2" spans="1:11" x14ac:dyDescent="0.2">
      <c r="A2" t="s">
        <v>68</v>
      </c>
      <c r="B2" t="s">
        <v>66</v>
      </c>
      <c r="C2" t="s">
        <v>14</v>
      </c>
      <c r="D2" t="s">
        <v>28</v>
      </c>
      <c r="E2" t="s">
        <v>75</v>
      </c>
    </row>
    <row r="3" spans="1:11" x14ac:dyDescent="0.2">
      <c r="A3" t="s">
        <v>71</v>
      </c>
      <c r="B3">
        <f>Css</f>
        <v>4.0000000000000001E-8</v>
      </c>
      <c r="C3">
        <f>Cout</f>
        <v>47</v>
      </c>
      <c r="D3">
        <f>Cin</f>
        <v>10</v>
      </c>
      <c r="E3">
        <f>Cb</f>
        <v>0</v>
      </c>
      <c r="H3" t="s">
        <v>73</v>
      </c>
      <c r="I3" t="s">
        <v>74</v>
      </c>
      <c r="J3" s="4" t="s">
        <v>70</v>
      </c>
    </row>
    <row r="4" spans="1:11" x14ac:dyDescent="0.2">
      <c r="A4" s="7" t="s">
        <v>70</v>
      </c>
      <c r="B4" s="7">
        <f>SUM(B6:B158)/1000000000000</f>
        <v>3.8999999999999998E-8</v>
      </c>
      <c r="C4" s="7">
        <f>SUM(C6:C158)/1000000000000</f>
        <v>0</v>
      </c>
      <c r="D4" s="7">
        <f>SUM(D6:D158)/1000000000000</f>
        <v>0</v>
      </c>
      <c r="E4" s="7">
        <f t="shared" ref="E4" si="0">IF(E3="OPEN","OPEN",SUM(E6:E158)/1000000000000)</f>
        <v>0</v>
      </c>
      <c r="H4" s="78" t="s">
        <v>139</v>
      </c>
      <c r="I4" t="e">
        <f>Rt</f>
        <v>#NAME?</v>
      </c>
      <c r="J4" s="4" t="e">
        <f t="shared" ref="J4:J9" si="1">IF(I4&gt;(INT(0.5+100*POWER(10,IF(96*(LOG(I4)-INT(LOG(I4)))-ROUND(96*(LOG(I4)-INT(LOG(I4))),0)&lt;0,ROUND(96*(LOG(I4)-INT(LOG(I4))),0)-1,ROUND(96*(LOG(I4)-INT(LOG(I4))),0))/96))*POWER(10,INT(LOG(I4))-2)+INT(0.5+100*POWER(10,(IF(96*(LOG(I4)-INT(LOG(I4)))-ROUND(96*(LOG(I4)-INT(LOG(I4))),0)&lt;0,ROUND(96*(LOG(I4)-INT(LOG(I4))),0)-1,ROUND(96*(LOG(I4)-INT(LOG(I4))),0))+1)/96))*POWER(10,INT(LOG(I4))-2))/2,INT(0.5+100*POWER(10,(IF(96*(LOG(I4)-INT(LOG(I4)))-ROUND(96*(LOG(I4)-INT(LOG(I4))),0)&lt;0,ROUND(96*(LOG(I4)-INT(LOG(I4))),0)-1,ROUND(96*(LOG(I4)-INT(LOG(I4))),0))+1)/96))*POWER(10,INT(LOG(I4))-2),INT(0.5+100*POWER(10,IF(96*(LOG(I4)-INT(LOG(I4)))-ROUND(96*(LOG(I4)-INT(LOG(I4))),0)&lt;0,ROUND(96*(LOG(I4)-INT(LOG(I4))),0)-1,ROUND(96*(LOG(I4)-INT(LOG(I4))),0))/96))*POWER(10,INT(LOG(I4))-2))</f>
        <v>#NAME?</v>
      </c>
      <c r="K4" s="18" t="s">
        <v>136</v>
      </c>
    </row>
    <row r="5" spans="1:11" x14ac:dyDescent="0.2">
      <c r="A5" t="s">
        <v>69</v>
      </c>
      <c r="J5" s="4"/>
      <c r="K5" s="18"/>
    </row>
    <row r="6" spans="1:11" x14ac:dyDescent="0.2">
      <c r="A6">
        <v>0.47</v>
      </c>
      <c r="B6">
        <f t="shared" ref="B6:E6" si="2">IF(IF((B$3*10^12-$A7)*(B$3*10^12-$A6)*-1&lt;0,0,1)*IF(ABS(B$3*10^12-$A7)&gt;(B$3*10^12-$A6),$A6,$A7)=B7,0,IF((B$3*10^12-$A7)*(B$3*10^12-$A6)*-1&lt;0,0,1)*IF(ABS(B$3*10^12-$A7)&gt;(B$3*10^12-$A6),$A6,$A7))</f>
        <v>0</v>
      </c>
      <c r="C6">
        <f t="shared" si="2"/>
        <v>0</v>
      </c>
      <c r="D6">
        <f t="shared" si="2"/>
        <v>0</v>
      </c>
      <c r="E6">
        <f t="shared" si="2"/>
        <v>0</v>
      </c>
      <c r="H6" s="78" t="s">
        <v>163</v>
      </c>
      <c r="I6" t="e">
        <f>Rshunt</f>
        <v>#NAME?</v>
      </c>
      <c r="J6" s="4" t="e">
        <f t="shared" si="1"/>
        <v>#NAME?</v>
      </c>
      <c r="K6" s="18" t="s">
        <v>136</v>
      </c>
    </row>
    <row r="7" spans="1:11" x14ac:dyDescent="0.2">
      <c r="A7">
        <v>0.56000000000000005</v>
      </c>
      <c r="B7">
        <f t="shared" ref="B7:B70" si="3">IF(IF((B$3*10^12-$A8)*(B$3*10^12-$A7)*-1&lt;0,0,1)*IF(ABS(B$3*10^12-$A8)&gt;(B$3*10^12-$A7),$A7,$A8)=B8,0,IF((B$3*10^12-$A8)*(B$3*10^12-$A7)*-1&lt;0,0,1)*IF(ABS(B$3*10^12-$A8)&gt;(B$3*10^12-$A7),$A7,$A8))</f>
        <v>0</v>
      </c>
      <c r="C7">
        <f t="shared" ref="C7:C69" si="4">IF(IF((C$3*10^12-$A8)*(C$3*10^12-$A7)*-1&lt;0,0,1)*IF(ABS(C$3*10^12-$A8)&gt;(C$3*10^12-$A7),$A7,$A8)=C8,0,IF((C$3*10^12-$A8)*(C$3*10^12-$A7)*-1&lt;0,0,1)*IF(ABS(C$3*10^12-$A8)&gt;(C$3*10^12-$A7),$A7,$A8))</f>
        <v>0</v>
      </c>
      <c r="D7">
        <f t="shared" ref="D7:D69" si="5">IF(IF((D$3*10^12-$A8)*(D$3*10^12-$A7)*-1&lt;0,0,1)*IF(ABS(D$3*10^12-$A8)&gt;(D$3*10^12-$A7),$A7,$A8)=D8,0,IF((D$3*10^12-$A8)*(D$3*10^12-$A7)*-1&lt;0,0,1)*IF(ABS(D$3*10^12-$A8)&gt;(D$3*10^12-$A7),$A7,$A8))</f>
        <v>0</v>
      </c>
      <c r="E7">
        <f t="shared" ref="E7:E37" si="6">IF(IF((E$3*10^12-$A8)*(E$3*10^12-$A7)*-1&lt;0,0,1)*IF(ABS(E$3*10^12-$A8)&gt;(E$3*10^12-$A7),$A7,$A8)=E8,0,IF((E$3*10^12-$A8)*(E$3*10^12-$A7)*-1&lt;0,0,1)*IF(ABS(E$3*10^12-$A8)&gt;(E$3*10^12-$A7),$A7,$A8))</f>
        <v>0</v>
      </c>
      <c r="H7" t="s">
        <v>79</v>
      </c>
      <c r="I7" t="e">
        <f>Rcea1</f>
        <v>#NAME?</v>
      </c>
      <c r="J7" s="4" t="e">
        <f t="shared" si="1"/>
        <v>#NAME?</v>
      </c>
      <c r="K7" s="18" t="s">
        <v>136</v>
      </c>
    </row>
    <row r="8" spans="1:11" x14ac:dyDescent="0.2">
      <c r="A8">
        <v>0.68</v>
      </c>
      <c r="B8">
        <f t="shared" si="3"/>
        <v>0</v>
      </c>
      <c r="C8">
        <f t="shared" si="4"/>
        <v>0</v>
      </c>
      <c r="D8">
        <f t="shared" si="5"/>
        <v>0</v>
      </c>
      <c r="E8">
        <f t="shared" si="6"/>
        <v>0</v>
      </c>
      <c r="J8" s="4"/>
      <c r="K8" s="18"/>
    </row>
    <row r="9" spans="1:11" x14ac:dyDescent="0.2">
      <c r="A9">
        <v>0.82</v>
      </c>
      <c r="B9">
        <f t="shared" si="3"/>
        <v>0</v>
      </c>
      <c r="C9">
        <f t="shared" si="4"/>
        <v>0</v>
      </c>
      <c r="D9">
        <f t="shared" si="5"/>
        <v>0</v>
      </c>
      <c r="E9">
        <f t="shared" si="6"/>
        <v>0</v>
      </c>
      <c r="H9" t="s">
        <v>388</v>
      </c>
      <c r="I9">
        <f>RTC_1</f>
        <v>52666.666666666664</v>
      </c>
      <c r="J9" s="4">
        <f t="shared" si="1"/>
        <v>52300</v>
      </c>
      <c r="K9" s="18" t="s">
        <v>136</v>
      </c>
    </row>
    <row r="10" spans="1:11" x14ac:dyDescent="0.2">
      <c r="A10">
        <v>1</v>
      </c>
      <c r="B10">
        <f t="shared" si="3"/>
        <v>0</v>
      </c>
      <c r="C10">
        <f t="shared" si="4"/>
        <v>0</v>
      </c>
      <c r="D10">
        <f t="shared" si="5"/>
        <v>0</v>
      </c>
      <c r="E10">
        <f t="shared" si="6"/>
        <v>0</v>
      </c>
      <c r="H10" t="s">
        <v>17</v>
      </c>
      <c r="I10">
        <f>Rfb</f>
        <v>158000</v>
      </c>
      <c r="J10" s="4">
        <f>IF(I10="OPEN","OPEN",IF(I10&gt;(INT(0.5+100*POWER(10,IF(96*(LOG(I10)-INT(LOG(I10)))-ROUND(96*(LOG(I10)-INT(LOG(I10))),0)&lt;0,ROUND(96*(LOG(I10)-INT(LOG(I10))),0)-1,ROUND(96*(LOG(I10)-INT(LOG(I10))),0))/96))*POWER(10,INT(LOG(I10))-2)+INT(0.5+100*POWER(10,(IF(96*(LOG(I10)-INT(LOG(I10)))-ROUND(96*(LOG(I10)-INT(LOG(I10))),0)&lt;0,ROUND(96*(LOG(I10)-INT(LOG(I10))),0)-1,ROUND(96*(LOG(I10)-INT(LOG(I10))),0))+1)/96))*POWER(10,INT(LOG(I10))-2))/2,INT(0.5+100*POWER(10,(IF(96*(LOG(I10)-INT(LOG(I10)))-ROUND(96*(LOG(I10)-INT(LOG(I10))),0)&lt;0,ROUND(96*(LOG(I10)-INT(LOG(I10))),0)-1,ROUND(96*(LOG(I10)-INT(LOG(I10))),0))+1)/96))*POWER(10,INT(LOG(I10))-2),INT(0.5+100*POWER(10,IF(96*(LOG(I10)-INT(LOG(I10)))-ROUND(96*(LOG(I10)-INT(LOG(I10))),0)&lt;0,ROUND(96*(LOG(I10)-INT(LOG(I10))),0)-1,ROUND(96*(LOG(I10)-INT(LOG(I10))),0))/96))*POWER(10,INT(LOG(I10))-2)))</f>
        <v>158000</v>
      </c>
      <c r="K10" s="18" t="s">
        <v>136</v>
      </c>
    </row>
    <row r="11" spans="1:11" x14ac:dyDescent="0.2">
      <c r="A11">
        <v>1.2</v>
      </c>
      <c r="B11">
        <f t="shared" si="3"/>
        <v>0</v>
      </c>
      <c r="C11">
        <f t="shared" si="4"/>
        <v>0</v>
      </c>
      <c r="D11">
        <f t="shared" si="5"/>
        <v>0</v>
      </c>
      <c r="E11">
        <f t="shared" si="6"/>
        <v>0</v>
      </c>
      <c r="J11" s="4"/>
    </row>
    <row r="12" spans="1:11" x14ac:dyDescent="0.2">
      <c r="A12">
        <v>1.5</v>
      </c>
      <c r="B12">
        <f t="shared" si="3"/>
        <v>0</v>
      </c>
      <c r="C12">
        <f t="shared" si="4"/>
        <v>0</v>
      </c>
      <c r="D12">
        <f t="shared" si="5"/>
        <v>0</v>
      </c>
      <c r="E12">
        <f t="shared" si="6"/>
        <v>0</v>
      </c>
      <c r="J12" s="4"/>
    </row>
    <row r="13" spans="1:11" x14ac:dyDescent="0.2">
      <c r="A13">
        <v>1.8</v>
      </c>
      <c r="B13">
        <f t="shared" si="3"/>
        <v>0</v>
      </c>
      <c r="C13">
        <f t="shared" si="4"/>
        <v>0</v>
      </c>
      <c r="D13">
        <f t="shared" si="5"/>
        <v>0</v>
      </c>
      <c r="E13">
        <f t="shared" si="6"/>
        <v>0</v>
      </c>
      <c r="H13" s="78" t="s">
        <v>76</v>
      </c>
      <c r="I13" t="e">
        <f>Rs_ideal*1000</f>
        <v>#NAME?</v>
      </c>
      <c r="J13" s="4" t="e">
        <f>IF(I13=0,0,IF(I13&gt;(INT(0.5+100*POWER(10,IF(96*(LOG(I13)-INT(LOG(I13)))-ROUND(96*(LOG(I13)-INT(LOG(I13))),0)&lt;0,ROUND(96*(LOG(I13)-INT(LOG(I13))),0)-1,ROUND(96*(LOG(I13)-INT(LOG(I13))),0))/96))*POWER(10,INT(LOG(I13))-2)+INT(0.5+100*POWER(10,(IF(96*(LOG(I13)-INT(LOG(I13)))-ROUND(96*(LOG(I13)-INT(LOG(I13))),0)&lt;0,ROUND(96*(LOG(I13)-INT(LOG(I13))),0)-1,ROUND(96*(LOG(I13)-INT(LOG(I13))),0))+1)/96))*POWER(10,INT(LOG(I13))-2))/2,INT(0.5+100*POWER(10,(IF(96*(LOG(I13)-INT(LOG(I13)))-ROUND(96*(LOG(I13)-INT(LOG(I13))),0)&lt;0,ROUND(96*(LOG(I13)-INT(LOG(I13))),0)-1,ROUND(96*(LOG(I13)-INT(LOG(I13))),0))+1)/96))*POWER(10,INT(LOG(I13))-2),INT(0.5+100*POWER(10,IF(96*(LOG(I13)-INT(LOG(I13)))-ROUND(96*(LOG(I13)-INT(LOG(I13))),0)&lt;0,ROUND(96*(LOG(I13)-INT(LOG(I13))),0)-1,ROUND(96*(LOG(I13)-INT(LOG(I13))),0))/96))*POWER(10,INT(LOG(I13))-2)))</f>
        <v>#NAME?</v>
      </c>
      <c r="K13" s="18" t="s">
        <v>162</v>
      </c>
    </row>
    <row r="14" spans="1:11" x14ac:dyDescent="0.2">
      <c r="A14">
        <v>2.2000000000000002</v>
      </c>
      <c r="B14">
        <f t="shared" ref="B14:E14" si="7">IF(IF((B$3*10^12-$A15)*(B$3*10^12-$A14)*-1&lt;0,0,1)*IF(ABS(B$3*10^12-$A15)&gt;(B$3*10^12-$A14),$A14,$A15)=B15,0,IF((B$3*10^12-$A15)*(B$3*10^12-$A14)*-1&lt;0,0,1)*IF(ABS(B$3*10^12-$A15)&gt;(B$3*10^12-$A14),$A14,$A15))</f>
        <v>0</v>
      </c>
      <c r="C14">
        <f t="shared" si="7"/>
        <v>0</v>
      </c>
      <c r="D14">
        <f t="shared" si="7"/>
        <v>0</v>
      </c>
      <c r="E14">
        <f t="shared" si="7"/>
        <v>0</v>
      </c>
      <c r="H14" s="78" t="s">
        <v>161</v>
      </c>
      <c r="I14" t="e">
        <f>Cslope_ideal</f>
        <v>#NAME?</v>
      </c>
      <c r="J14" t="e">
        <f>#REF!*1000000000000</f>
        <v>#REF!</v>
      </c>
      <c r="K14" s="78" t="s">
        <v>15</v>
      </c>
    </row>
    <row r="15" spans="1:11" x14ac:dyDescent="0.2">
      <c r="A15">
        <v>2.7</v>
      </c>
      <c r="B15">
        <f t="shared" si="3"/>
        <v>0</v>
      </c>
      <c r="C15">
        <f t="shared" si="4"/>
        <v>0</v>
      </c>
      <c r="D15">
        <f t="shared" si="5"/>
        <v>0</v>
      </c>
      <c r="E15">
        <f t="shared" si="6"/>
        <v>0</v>
      </c>
    </row>
    <row r="16" spans="1:11" x14ac:dyDescent="0.2">
      <c r="A16">
        <v>3.3</v>
      </c>
      <c r="B16">
        <f t="shared" si="3"/>
        <v>0</v>
      </c>
      <c r="C16">
        <f t="shared" si="4"/>
        <v>0</v>
      </c>
      <c r="D16">
        <f t="shared" si="5"/>
        <v>0</v>
      </c>
      <c r="E16">
        <f t="shared" si="6"/>
        <v>0</v>
      </c>
      <c r="H16" s="78" t="s">
        <v>130</v>
      </c>
      <c r="I16">
        <f>Ruvlo1</f>
        <v>69.999999999999929</v>
      </c>
      <c r="J16" s="4">
        <f>IF(I16="OPEN","OPEN",IF(I16&gt;(INT(0.5+100*POWER(10,IF(96*(LOG(I16)-INT(LOG(I16)))-ROUND(96*(LOG(I16)-INT(LOG(I16))),0)&lt;0,ROUND(96*(LOG(I16)-INT(LOG(I16))),0)-1,ROUND(96*(LOG(I16)-INT(LOG(I16))),0))/96))*POWER(10,INT(LOG(I16))-2)+INT(0.5+100*POWER(10,(IF(96*(LOG(I16)-INT(LOG(I16)))-ROUND(96*(LOG(I16)-INT(LOG(I16))),0)&lt;0,ROUND(96*(LOG(I16)-INT(LOG(I16))),0)-1,ROUND(96*(LOG(I16)-INT(LOG(I16))),0))+1)/96))*POWER(10,INT(LOG(I16))-2))/2,INT(0.5+100*POWER(10,(IF(96*(LOG(I16)-INT(LOG(I16)))-ROUND(96*(LOG(I16)-INT(LOG(I16))),0)&lt;0,ROUND(96*(LOG(I16)-INT(LOG(I16))),0)-1,ROUND(96*(LOG(I16)-INT(LOG(I16))),0))+1)/96))*POWER(10,INT(LOG(I16))-2),INT(0.5+100*POWER(10,IF(96*(LOG(I16)-INT(LOG(I16)))-ROUND(96*(LOG(I16)-INT(LOG(I16))),0)&lt;0,ROUND(96*(LOG(I16)-INT(LOG(I16))),0)-1,ROUND(96*(LOG(I16)-INT(LOG(I16))),0))/96))*POWER(10,INT(LOG(I16))-2)))</f>
        <v>69.8</v>
      </c>
      <c r="K16" s="18" t="s">
        <v>113</v>
      </c>
    </row>
    <row r="17" spans="1:11" x14ac:dyDescent="0.2">
      <c r="A17">
        <v>3.9</v>
      </c>
      <c r="B17">
        <f t="shared" si="3"/>
        <v>0</v>
      </c>
      <c r="C17">
        <f t="shared" si="4"/>
        <v>0</v>
      </c>
      <c r="D17">
        <f t="shared" si="5"/>
        <v>0</v>
      </c>
      <c r="E17">
        <f t="shared" si="6"/>
        <v>0</v>
      </c>
      <c r="H17" s="78" t="s">
        <v>131</v>
      </c>
      <c r="I17" s="179">
        <f>Ruvlo2</f>
        <v>34.9</v>
      </c>
      <c r="J17" s="4">
        <f>IF(I17="OPEN","OPEN",IF(I17&gt;(INT(0.5+100*POWER(10,IF(96*(LOG(I17)-INT(LOG(I17)))-ROUND(96*(LOG(I17)-INT(LOG(I17))),0)&lt;0,ROUND(96*(LOG(I17)-INT(LOG(I17))),0)-1,ROUND(96*(LOG(I17)-INT(LOG(I17))),0))/96))*POWER(10,INT(LOG(I17))-2)+INT(0.5+100*POWER(10,(IF(96*(LOG(I17)-INT(LOG(I17)))-ROUND(96*(LOG(I17)-INT(LOG(I17))),0)&lt;0,ROUND(96*(LOG(I17)-INT(LOG(I17))),0)-1,ROUND(96*(LOG(I17)-INT(LOG(I17))),0))+1)/96))*POWER(10,INT(LOG(I17))-2))/2,INT(0.5+100*POWER(10,(IF(96*(LOG(I17)-INT(LOG(I17)))-ROUND(96*(LOG(I17)-INT(LOG(I17))),0)&lt;0,ROUND(96*(LOG(I17)-INT(LOG(I17))),0)-1,ROUND(96*(LOG(I17)-INT(LOG(I17))),0))+1)/96))*POWER(10,INT(LOG(I17))-2),INT(0.5+100*POWER(10,IF(96*(LOG(I17)-INT(LOG(I17)))-ROUND(96*(LOG(I17)-INT(LOG(I17))),0)&lt;0,ROUND(96*(LOG(I17)-INT(LOG(I17))),0)-1,ROUND(96*(LOG(I17)-INT(LOG(I17))),0))/96))*POWER(10,INT(LOG(I17))-2)))</f>
        <v>34.800000000000004</v>
      </c>
      <c r="K17" s="18" t="s">
        <v>113</v>
      </c>
    </row>
    <row r="18" spans="1:11" x14ac:dyDescent="0.2">
      <c r="A18">
        <v>4.7</v>
      </c>
      <c r="B18">
        <f t="shared" si="3"/>
        <v>0</v>
      </c>
      <c r="C18">
        <f t="shared" si="4"/>
        <v>0</v>
      </c>
      <c r="D18">
        <f t="shared" si="5"/>
        <v>0</v>
      </c>
      <c r="E18">
        <f t="shared" si="6"/>
        <v>0</v>
      </c>
      <c r="H18" s="78" t="s">
        <v>297</v>
      </c>
      <c r="I18" s="179" t="e">
        <f>Rhys</f>
        <v>#NAME?</v>
      </c>
      <c r="J18" s="4" t="e">
        <f>IF(I18="OPEN","OPEN",IF(I18&gt;(INT(0.5+100*POWER(10,IF(96*(LOG(I18)-INT(LOG(I18)))-ROUND(96*(LOG(I18)-INT(LOG(I18))),0)&lt;0,ROUND(96*(LOG(I18)-INT(LOG(I18))),0)-1,ROUND(96*(LOG(I18)-INT(LOG(I18))),0))/96))*POWER(10,INT(LOG(I18))-2)+INT(0.5+100*POWER(10,(IF(96*(LOG(I18)-INT(LOG(I18)))-ROUND(96*(LOG(I18)-INT(LOG(I18))),0)&lt;0,ROUND(96*(LOG(I18)-INT(LOG(I18))),0)-1,ROUND(96*(LOG(I18)-INT(LOG(I18))),0))+1)/96))*POWER(10,INT(LOG(I18))-2))/2,INT(0.5+100*POWER(10,(IF(96*(LOG(I18)-INT(LOG(I18)))-ROUND(96*(LOG(I18)-INT(LOG(I18))),0)&lt;0,ROUND(96*(LOG(I18)-INT(LOG(I18))),0)-1,ROUND(96*(LOG(I18)-INT(LOG(I18))),0))+1)/96))*POWER(10,INT(LOG(I18))-2),INT(0.5+100*POWER(10,IF(96*(LOG(I18)-INT(LOG(I18)))-ROUND(96*(LOG(I18)-INT(LOG(I18))),0)&lt;0,ROUND(96*(LOG(I18)-INT(LOG(I18))),0)-1,ROUND(96*(LOG(I18)-INT(LOG(I18))),0))/96))*POWER(10,INT(LOG(I18))-2)))</f>
        <v>#NAME?</v>
      </c>
      <c r="K18" s="18" t="s">
        <v>113</v>
      </c>
    </row>
    <row r="19" spans="1:11" x14ac:dyDescent="0.2">
      <c r="A19">
        <v>5.6</v>
      </c>
      <c r="B19">
        <f t="shared" si="3"/>
        <v>0</v>
      </c>
      <c r="C19">
        <f t="shared" si="4"/>
        <v>0</v>
      </c>
      <c r="D19">
        <f t="shared" si="5"/>
        <v>0</v>
      </c>
      <c r="E19">
        <f t="shared" si="6"/>
        <v>0</v>
      </c>
    </row>
    <row r="20" spans="1:11" x14ac:dyDescent="0.2">
      <c r="A20">
        <v>6.8</v>
      </c>
      <c r="B20">
        <f t="shared" si="3"/>
        <v>0</v>
      </c>
      <c r="C20">
        <f t="shared" si="4"/>
        <v>0</v>
      </c>
      <c r="D20">
        <f t="shared" si="5"/>
        <v>0</v>
      </c>
      <c r="E20">
        <f t="shared" si="6"/>
        <v>0</v>
      </c>
      <c r="H20" s="78"/>
      <c r="J20" s="4"/>
    </row>
    <row r="21" spans="1:11" x14ac:dyDescent="0.2">
      <c r="A21">
        <v>8.1999999999999993</v>
      </c>
      <c r="B21">
        <f t="shared" si="3"/>
        <v>0</v>
      </c>
      <c r="C21">
        <f t="shared" si="4"/>
        <v>0</v>
      </c>
      <c r="D21">
        <f t="shared" si="5"/>
        <v>0</v>
      </c>
      <c r="E21">
        <f t="shared" si="6"/>
        <v>0</v>
      </c>
      <c r="J21" s="4"/>
    </row>
    <row r="22" spans="1:11" x14ac:dyDescent="0.2">
      <c r="A22">
        <v>10</v>
      </c>
      <c r="B22">
        <f t="shared" si="3"/>
        <v>0</v>
      </c>
      <c r="C22">
        <f t="shared" si="4"/>
        <v>0</v>
      </c>
      <c r="D22">
        <f t="shared" si="5"/>
        <v>0</v>
      </c>
      <c r="E22">
        <f t="shared" si="6"/>
        <v>0</v>
      </c>
      <c r="H22" s="78"/>
      <c r="J22" s="4"/>
      <c r="K22" s="18"/>
    </row>
    <row r="23" spans="1:11" x14ac:dyDescent="0.2">
      <c r="A23">
        <v>12</v>
      </c>
      <c r="B23">
        <f t="shared" si="3"/>
        <v>0</v>
      </c>
      <c r="C23">
        <f t="shared" si="4"/>
        <v>0</v>
      </c>
      <c r="D23">
        <f t="shared" si="5"/>
        <v>0</v>
      </c>
      <c r="E23">
        <f t="shared" si="6"/>
        <v>0</v>
      </c>
    </row>
    <row r="24" spans="1:11" x14ac:dyDescent="0.2">
      <c r="A24">
        <v>15</v>
      </c>
      <c r="B24">
        <f t="shared" si="3"/>
        <v>0</v>
      </c>
      <c r="C24">
        <f t="shared" si="4"/>
        <v>0</v>
      </c>
      <c r="D24">
        <f t="shared" si="5"/>
        <v>0</v>
      </c>
      <c r="E24">
        <f t="shared" si="6"/>
        <v>0</v>
      </c>
      <c r="J24" s="4"/>
    </row>
    <row r="25" spans="1:11" x14ac:dyDescent="0.2">
      <c r="A25">
        <v>18</v>
      </c>
      <c r="B25">
        <f t="shared" si="3"/>
        <v>0</v>
      </c>
      <c r="C25">
        <f t="shared" si="4"/>
        <v>0</v>
      </c>
      <c r="D25">
        <f t="shared" si="5"/>
        <v>0</v>
      </c>
      <c r="E25">
        <f t="shared" si="6"/>
        <v>0</v>
      </c>
      <c r="H25" s="78"/>
      <c r="J25" s="4"/>
      <c r="K25" s="18"/>
    </row>
    <row r="26" spans="1:11" x14ac:dyDescent="0.2">
      <c r="A26">
        <v>22</v>
      </c>
      <c r="B26">
        <f t="shared" si="3"/>
        <v>0</v>
      </c>
      <c r="C26">
        <f t="shared" si="4"/>
        <v>0</v>
      </c>
      <c r="D26">
        <f t="shared" si="5"/>
        <v>0</v>
      </c>
      <c r="E26">
        <f t="shared" si="6"/>
        <v>0</v>
      </c>
    </row>
    <row r="27" spans="1:11" x14ac:dyDescent="0.2">
      <c r="A27">
        <v>27</v>
      </c>
      <c r="B27">
        <f t="shared" si="3"/>
        <v>0</v>
      </c>
      <c r="C27">
        <f t="shared" si="4"/>
        <v>0</v>
      </c>
      <c r="D27">
        <f t="shared" si="5"/>
        <v>0</v>
      </c>
      <c r="E27">
        <f t="shared" si="6"/>
        <v>0</v>
      </c>
    </row>
    <row r="28" spans="1:11" x14ac:dyDescent="0.2">
      <c r="A28">
        <v>33</v>
      </c>
      <c r="B28">
        <f t="shared" si="3"/>
        <v>0</v>
      </c>
      <c r="C28">
        <f t="shared" si="4"/>
        <v>0</v>
      </c>
      <c r="D28">
        <f t="shared" si="5"/>
        <v>0</v>
      </c>
      <c r="E28">
        <f t="shared" si="6"/>
        <v>0</v>
      </c>
      <c r="H28" s="5"/>
      <c r="K28" s="18"/>
    </row>
    <row r="29" spans="1:11" x14ac:dyDescent="0.2">
      <c r="A29">
        <v>39</v>
      </c>
      <c r="B29">
        <f t="shared" si="3"/>
        <v>0</v>
      </c>
      <c r="C29">
        <f t="shared" si="4"/>
        <v>0</v>
      </c>
      <c r="D29">
        <f t="shared" si="5"/>
        <v>0</v>
      </c>
      <c r="E29">
        <f t="shared" si="6"/>
        <v>0</v>
      </c>
      <c r="H29" s="5"/>
      <c r="K29" s="78"/>
    </row>
    <row r="30" spans="1:11" x14ac:dyDescent="0.2">
      <c r="A30">
        <v>47</v>
      </c>
      <c r="B30">
        <f t="shared" si="3"/>
        <v>0</v>
      </c>
      <c r="C30">
        <f t="shared" si="4"/>
        <v>0</v>
      </c>
      <c r="D30">
        <f t="shared" si="5"/>
        <v>0</v>
      </c>
      <c r="E30">
        <f t="shared" si="6"/>
        <v>0</v>
      </c>
      <c r="H30" s="5"/>
      <c r="K30" s="78"/>
    </row>
    <row r="31" spans="1:11" x14ac:dyDescent="0.2">
      <c r="A31">
        <v>56</v>
      </c>
      <c r="B31">
        <f t="shared" si="3"/>
        <v>0</v>
      </c>
      <c r="C31">
        <f t="shared" si="4"/>
        <v>0</v>
      </c>
      <c r="D31">
        <f t="shared" si="5"/>
        <v>0</v>
      </c>
      <c r="E31">
        <f t="shared" si="6"/>
        <v>0</v>
      </c>
      <c r="H31" s="5"/>
      <c r="K31" s="18"/>
    </row>
    <row r="32" spans="1:11" x14ac:dyDescent="0.2">
      <c r="A32">
        <v>68</v>
      </c>
      <c r="B32">
        <f t="shared" si="3"/>
        <v>0</v>
      </c>
      <c r="C32">
        <f t="shared" si="4"/>
        <v>0</v>
      </c>
      <c r="D32">
        <f t="shared" si="5"/>
        <v>0</v>
      </c>
      <c r="E32">
        <f t="shared" si="6"/>
        <v>0</v>
      </c>
      <c r="H32" s="5"/>
      <c r="K32" s="78"/>
    </row>
    <row r="33" spans="1:8" x14ac:dyDescent="0.2">
      <c r="A33">
        <v>82</v>
      </c>
      <c r="B33">
        <f t="shared" si="3"/>
        <v>0</v>
      </c>
      <c r="C33">
        <f t="shared" si="4"/>
        <v>0</v>
      </c>
      <c r="D33">
        <f t="shared" si="5"/>
        <v>0</v>
      </c>
      <c r="E33">
        <f t="shared" si="6"/>
        <v>0</v>
      </c>
    </row>
    <row r="34" spans="1:8" x14ac:dyDescent="0.2">
      <c r="A34">
        <f>A22*10</f>
        <v>100</v>
      </c>
      <c r="B34">
        <f t="shared" si="3"/>
        <v>0</v>
      </c>
      <c r="C34">
        <f t="shared" si="4"/>
        <v>0</v>
      </c>
      <c r="D34">
        <f t="shared" si="5"/>
        <v>0</v>
      </c>
      <c r="E34">
        <f t="shared" si="6"/>
        <v>0</v>
      </c>
      <c r="H34" s="78"/>
    </row>
    <row r="35" spans="1:8" x14ac:dyDescent="0.2">
      <c r="A35">
        <f t="shared" ref="A35:A98" si="8">A23*10</f>
        <v>120</v>
      </c>
      <c r="B35">
        <f t="shared" si="3"/>
        <v>0</v>
      </c>
      <c r="C35">
        <f t="shared" si="4"/>
        <v>0</v>
      </c>
      <c r="D35">
        <f t="shared" si="5"/>
        <v>0</v>
      </c>
      <c r="E35">
        <f t="shared" si="6"/>
        <v>0</v>
      </c>
      <c r="H35" s="78"/>
    </row>
    <row r="36" spans="1:8" x14ac:dyDescent="0.2">
      <c r="A36">
        <f t="shared" si="8"/>
        <v>150</v>
      </c>
      <c r="B36">
        <f t="shared" si="3"/>
        <v>0</v>
      </c>
      <c r="C36">
        <f t="shared" si="4"/>
        <v>0</v>
      </c>
      <c r="D36">
        <f t="shared" si="5"/>
        <v>0</v>
      </c>
      <c r="E36">
        <f t="shared" si="6"/>
        <v>0</v>
      </c>
    </row>
    <row r="37" spans="1:8" x14ac:dyDescent="0.2">
      <c r="A37">
        <f t="shared" si="8"/>
        <v>180</v>
      </c>
      <c r="B37">
        <f t="shared" si="3"/>
        <v>0</v>
      </c>
      <c r="C37">
        <f t="shared" si="4"/>
        <v>0</v>
      </c>
      <c r="D37">
        <f t="shared" si="5"/>
        <v>0</v>
      </c>
      <c r="E37">
        <f t="shared" si="6"/>
        <v>0</v>
      </c>
    </row>
    <row r="38" spans="1:8" x14ac:dyDescent="0.2">
      <c r="A38">
        <f t="shared" si="8"/>
        <v>220</v>
      </c>
      <c r="B38">
        <f t="shared" si="3"/>
        <v>0</v>
      </c>
      <c r="C38">
        <f t="shared" si="4"/>
        <v>0</v>
      </c>
      <c r="D38">
        <f t="shared" si="5"/>
        <v>0</v>
      </c>
      <c r="E38">
        <f t="shared" ref="E38:E69" si="9">IF(IF((E$3*10^12-$A39)*(E$3*10^12-$A38)*-1&lt;0,0,1)*IF(ABS(E$3*10^12-$A39)&gt;(E$3*10^12-$A38),$A38,$A39)=E39,0,IF((E$3*10^12-$A39)*(E$3*10^12-$A38)*-1&lt;0,0,1)*IF(ABS(E$3*10^12-$A39)&gt;(E$3*10^12-$A38),$A38,$A39))</f>
        <v>0</v>
      </c>
    </row>
    <row r="39" spans="1:8" x14ac:dyDescent="0.2">
      <c r="A39">
        <f t="shared" si="8"/>
        <v>270</v>
      </c>
      <c r="B39">
        <f t="shared" si="3"/>
        <v>0</v>
      </c>
      <c r="C39">
        <f t="shared" si="4"/>
        <v>0</v>
      </c>
      <c r="D39">
        <f t="shared" si="5"/>
        <v>0</v>
      </c>
      <c r="E39">
        <f t="shared" si="9"/>
        <v>0</v>
      </c>
    </row>
    <row r="40" spans="1:8" x14ac:dyDescent="0.2">
      <c r="A40">
        <f t="shared" si="8"/>
        <v>330</v>
      </c>
      <c r="B40">
        <f t="shared" si="3"/>
        <v>0</v>
      </c>
      <c r="C40">
        <f t="shared" si="4"/>
        <v>0</v>
      </c>
      <c r="D40">
        <f t="shared" si="5"/>
        <v>0</v>
      </c>
      <c r="E40">
        <f t="shared" si="9"/>
        <v>0</v>
      </c>
    </row>
    <row r="41" spans="1:8" x14ac:dyDescent="0.2">
      <c r="A41">
        <f t="shared" si="8"/>
        <v>390</v>
      </c>
      <c r="B41">
        <f t="shared" si="3"/>
        <v>0</v>
      </c>
      <c r="C41">
        <f t="shared" si="4"/>
        <v>0</v>
      </c>
      <c r="D41">
        <f t="shared" si="5"/>
        <v>0</v>
      </c>
      <c r="E41">
        <f t="shared" si="9"/>
        <v>0</v>
      </c>
    </row>
    <row r="42" spans="1:8" x14ac:dyDescent="0.2">
      <c r="A42">
        <f t="shared" si="8"/>
        <v>470</v>
      </c>
      <c r="B42">
        <f t="shared" si="3"/>
        <v>0</v>
      </c>
      <c r="C42">
        <f t="shared" si="4"/>
        <v>0</v>
      </c>
      <c r="D42">
        <f t="shared" si="5"/>
        <v>0</v>
      </c>
      <c r="E42">
        <f t="shared" si="9"/>
        <v>0</v>
      </c>
    </row>
    <row r="43" spans="1:8" x14ac:dyDescent="0.2">
      <c r="A43">
        <f t="shared" si="8"/>
        <v>560</v>
      </c>
      <c r="B43">
        <f t="shared" si="3"/>
        <v>0</v>
      </c>
      <c r="C43">
        <f t="shared" si="4"/>
        <v>0</v>
      </c>
      <c r="D43">
        <f t="shared" si="5"/>
        <v>0</v>
      </c>
      <c r="E43">
        <f t="shared" si="9"/>
        <v>0</v>
      </c>
    </row>
    <row r="44" spans="1:8" x14ac:dyDescent="0.2">
      <c r="A44">
        <f t="shared" si="8"/>
        <v>680</v>
      </c>
      <c r="B44">
        <f t="shared" si="3"/>
        <v>0</v>
      </c>
      <c r="C44">
        <f t="shared" si="4"/>
        <v>0</v>
      </c>
      <c r="D44">
        <f t="shared" si="5"/>
        <v>0</v>
      </c>
      <c r="E44">
        <f t="shared" si="9"/>
        <v>0</v>
      </c>
    </row>
    <row r="45" spans="1:8" x14ac:dyDescent="0.2">
      <c r="A45">
        <f>A33*10</f>
        <v>820</v>
      </c>
      <c r="B45">
        <f t="shared" si="3"/>
        <v>0</v>
      </c>
      <c r="C45">
        <f t="shared" si="4"/>
        <v>0</v>
      </c>
      <c r="D45">
        <f t="shared" si="5"/>
        <v>0</v>
      </c>
      <c r="E45">
        <f t="shared" si="9"/>
        <v>0</v>
      </c>
    </row>
    <row r="46" spans="1:8" x14ac:dyDescent="0.2">
      <c r="A46">
        <f t="shared" si="8"/>
        <v>1000</v>
      </c>
      <c r="B46">
        <f t="shared" si="3"/>
        <v>0</v>
      </c>
      <c r="C46">
        <f t="shared" si="4"/>
        <v>0</v>
      </c>
      <c r="D46">
        <f t="shared" si="5"/>
        <v>0</v>
      </c>
      <c r="E46">
        <f t="shared" si="9"/>
        <v>0</v>
      </c>
    </row>
    <row r="47" spans="1:8" x14ac:dyDescent="0.2">
      <c r="A47">
        <f t="shared" si="8"/>
        <v>1200</v>
      </c>
      <c r="B47">
        <f t="shared" si="3"/>
        <v>0</v>
      </c>
      <c r="C47">
        <f t="shared" si="4"/>
        <v>0</v>
      </c>
      <c r="D47">
        <f t="shared" si="5"/>
        <v>0</v>
      </c>
      <c r="E47">
        <f t="shared" si="9"/>
        <v>0</v>
      </c>
    </row>
    <row r="48" spans="1:8" x14ac:dyDescent="0.2">
      <c r="A48">
        <f t="shared" si="8"/>
        <v>1500</v>
      </c>
      <c r="B48">
        <f t="shared" si="3"/>
        <v>0</v>
      </c>
      <c r="C48">
        <f t="shared" si="4"/>
        <v>0</v>
      </c>
      <c r="D48">
        <f t="shared" si="5"/>
        <v>0</v>
      </c>
      <c r="E48">
        <f t="shared" si="9"/>
        <v>0</v>
      </c>
    </row>
    <row r="49" spans="1:5" x14ac:dyDescent="0.2">
      <c r="A49">
        <f t="shared" si="8"/>
        <v>1800</v>
      </c>
      <c r="B49">
        <f t="shared" si="3"/>
        <v>0</v>
      </c>
      <c r="C49">
        <f t="shared" si="4"/>
        <v>0</v>
      </c>
      <c r="D49">
        <f t="shared" si="5"/>
        <v>0</v>
      </c>
      <c r="E49">
        <f t="shared" si="9"/>
        <v>0</v>
      </c>
    </row>
    <row r="50" spans="1:5" x14ac:dyDescent="0.2">
      <c r="A50">
        <f t="shared" si="8"/>
        <v>2200</v>
      </c>
      <c r="B50">
        <f t="shared" si="3"/>
        <v>0</v>
      </c>
      <c r="C50">
        <f t="shared" si="4"/>
        <v>0</v>
      </c>
      <c r="D50">
        <f t="shared" si="5"/>
        <v>0</v>
      </c>
      <c r="E50">
        <f t="shared" si="9"/>
        <v>0</v>
      </c>
    </row>
    <row r="51" spans="1:5" x14ac:dyDescent="0.2">
      <c r="A51">
        <f t="shared" si="8"/>
        <v>2700</v>
      </c>
      <c r="B51">
        <f t="shared" si="3"/>
        <v>0</v>
      </c>
      <c r="C51">
        <f t="shared" si="4"/>
        <v>0</v>
      </c>
      <c r="D51">
        <f t="shared" si="5"/>
        <v>0</v>
      </c>
      <c r="E51">
        <f t="shared" si="9"/>
        <v>0</v>
      </c>
    </row>
    <row r="52" spans="1:5" x14ac:dyDescent="0.2">
      <c r="A52">
        <f t="shared" si="8"/>
        <v>3300</v>
      </c>
      <c r="B52">
        <f t="shared" si="3"/>
        <v>0</v>
      </c>
      <c r="C52">
        <f t="shared" si="4"/>
        <v>0</v>
      </c>
      <c r="D52">
        <f t="shared" si="5"/>
        <v>0</v>
      </c>
      <c r="E52">
        <f t="shared" si="9"/>
        <v>0</v>
      </c>
    </row>
    <row r="53" spans="1:5" x14ac:dyDescent="0.2">
      <c r="A53">
        <f t="shared" si="8"/>
        <v>3900</v>
      </c>
      <c r="B53">
        <f t="shared" si="3"/>
        <v>0</v>
      </c>
      <c r="C53">
        <f t="shared" si="4"/>
        <v>0</v>
      </c>
      <c r="D53">
        <f t="shared" si="5"/>
        <v>0</v>
      </c>
      <c r="E53">
        <f t="shared" si="9"/>
        <v>0</v>
      </c>
    </row>
    <row r="54" spans="1:5" x14ac:dyDescent="0.2">
      <c r="A54">
        <f t="shared" si="8"/>
        <v>4700</v>
      </c>
      <c r="B54">
        <f t="shared" si="3"/>
        <v>0</v>
      </c>
      <c r="C54">
        <f t="shared" si="4"/>
        <v>0</v>
      </c>
      <c r="D54">
        <f t="shared" si="5"/>
        <v>0</v>
      </c>
      <c r="E54">
        <f t="shared" si="9"/>
        <v>0</v>
      </c>
    </row>
    <row r="55" spans="1:5" x14ac:dyDescent="0.2">
      <c r="A55">
        <f t="shared" si="8"/>
        <v>5600</v>
      </c>
      <c r="B55">
        <f t="shared" si="3"/>
        <v>0</v>
      </c>
      <c r="C55">
        <f t="shared" si="4"/>
        <v>0</v>
      </c>
      <c r="D55">
        <f t="shared" si="5"/>
        <v>0</v>
      </c>
      <c r="E55">
        <f t="shared" si="9"/>
        <v>0</v>
      </c>
    </row>
    <row r="56" spans="1:5" x14ac:dyDescent="0.2">
      <c r="A56">
        <f t="shared" si="8"/>
        <v>6800</v>
      </c>
      <c r="B56">
        <f t="shared" si="3"/>
        <v>0</v>
      </c>
      <c r="C56">
        <f t="shared" si="4"/>
        <v>0</v>
      </c>
      <c r="D56">
        <f t="shared" si="5"/>
        <v>0</v>
      </c>
      <c r="E56">
        <f t="shared" si="9"/>
        <v>0</v>
      </c>
    </row>
    <row r="57" spans="1:5" x14ac:dyDescent="0.2">
      <c r="A57">
        <f t="shared" si="8"/>
        <v>8200</v>
      </c>
      <c r="B57">
        <f t="shared" si="3"/>
        <v>0</v>
      </c>
      <c r="C57">
        <f t="shared" si="4"/>
        <v>0</v>
      </c>
      <c r="D57">
        <f t="shared" si="5"/>
        <v>0</v>
      </c>
      <c r="E57">
        <f t="shared" si="9"/>
        <v>0</v>
      </c>
    </row>
    <row r="58" spans="1:5" x14ac:dyDescent="0.2">
      <c r="A58">
        <f t="shared" si="8"/>
        <v>10000</v>
      </c>
      <c r="B58">
        <f t="shared" si="3"/>
        <v>0</v>
      </c>
      <c r="C58">
        <f t="shared" si="4"/>
        <v>0</v>
      </c>
      <c r="D58">
        <f t="shared" si="5"/>
        <v>0</v>
      </c>
      <c r="E58">
        <f t="shared" si="9"/>
        <v>0</v>
      </c>
    </row>
    <row r="59" spans="1:5" x14ac:dyDescent="0.2">
      <c r="A59">
        <f t="shared" si="8"/>
        <v>12000</v>
      </c>
      <c r="B59">
        <f t="shared" si="3"/>
        <v>0</v>
      </c>
      <c r="C59">
        <f t="shared" si="4"/>
        <v>0</v>
      </c>
      <c r="D59">
        <f t="shared" si="5"/>
        <v>0</v>
      </c>
      <c r="E59">
        <f t="shared" si="9"/>
        <v>0</v>
      </c>
    </row>
    <row r="60" spans="1:5" x14ac:dyDescent="0.2">
      <c r="A60">
        <f t="shared" si="8"/>
        <v>15000</v>
      </c>
      <c r="B60">
        <f t="shared" si="3"/>
        <v>0</v>
      </c>
      <c r="C60">
        <f t="shared" si="4"/>
        <v>0</v>
      </c>
      <c r="D60">
        <f t="shared" si="5"/>
        <v>0</v>
      </c>
      <c r="E60">
        <f t="shared" si="9"/>
        <v>0</v>
      </c>
    </row>
    <row r="61" spans="1:5" x14ac:dyDescent="0.2">
      <c r="A61">
        <f t="shared" si="8"/>
        <v>18000</v>
      </c>
      <c r="B61">
        <f t="shared" si="3"/>
        <v>0</v>
      </c>
      <c r="C61">
        <f t="shared" si="4"/>
        <v>0</v>
      </c>
      <c r="D61">
        <f t="shared" si="5"/>
        <v>0</v>
      </c>
      <c r="E61">
        <f t="shared" si="9"/>
        <v>0</v>
      </c>
    </row>
    <row r="62" spans="1:5" x14ac:dyDescent="0.2">
      <c r="A62">
        <f t="shared" si="8"/>
        <v>22000</v>
      </c>
      <c r="B62">
        <f t="shared" si="3"/>
        <v>0</v>
      </c>
      <c r="C62">
        <f t="shared" si="4"/>
        <v>0</v>
      </c>
      <c r="D62">
        <f t="shared" si="5"/>
        <v>0</v>
      </c>
      <c r="E62">
        <f t="shared" si="9"/>
        <v>0</v>
      </c>
    </row>
    <row r="63" spans="1:5" x14ac:dyDescent="0.2">
      <c r="A63">
        <f t="shared" si="8"/>
        <v>27000</v>
      </c>
      <c r="B63">
        <f t="shared" si="3"/>
        <v>0</v>
      </c>
      <c r="C63">
        <f t="shared" si="4"/>
        <v>0</v>
      </c>
      <c r="D63">
        <f t="shared" si="5"/>
        <v>0</v>
      </c>
      <c r="E63">
        <f t="shared" si="9"/>
        <v>0</v>
      </c>
    </row>
    <row r="64" spans="1:5" x14ac:dyDescent="0.2">
      <c r="A64">
        <f t="shared" si="8"/>
        <v>33000</v>
      </c>
      <c r="B64">
        <f t="shared" si="3"/>
        <v>0</v>
      </c>
      <c r="C64">
        <f t="shared" si="4"/>
        <v>0</v>
      </c>
      <c r="D64">
        <f t="shared" si="5"/>
        <v>0</v>
      </c>
      <c r="E64">
        <f t="shared" si="9"/>
        <v>0</v>
      </c>
    </row>
    <row r="65" spans="1:5" x14ac:dyDescent="0.2">
      <c r="A65">
        <f t="shared" si="8"/>
        <v>39000</v>
      </c>
      <c r="B65">
        <f t="shared" si="3"/>
        <v>39000</v>
      </c>
      <c r="C65">
        <f t="shared" si="4"/>
        <v>0</v>
      </c>
      <c r="D65">
        <f t="shared" si="5"/>
        <v>0</v>
      </c>
      <c r="E65">
        <f t="shared" si="9"/>
        <v>0</v>
      </c>
    </row>
    <row r="66" spans="1:5" x14ac:dyDescent="0.2">
      <c r="A66">
        <f t="shared" si="8"/>
        <v>47000</v>
      </c>
      <c r="B66">
        <f t="shared" si="3"/>
        <v>0</v>
      </c>
      <c r="C66">
        <f t="shared" si="4"/>
        <v>0</v>
      </c>
      <c r="D66">
        <f t="shared" si="5"/>
        <v>0</v>
      </c>
      <c r="E66">
        <f t="shared" si="9"/>
        <v>0</v>
      </c>
    </row>
    <row r="67" spans="1:5" x14ac:dyDescent="0.2">
      <c r="A67">
        <f t="shared" si="8"/>
        <v>56000</v>
      </c>
      <c r="B67">
        <f t="shared" si="3"/>
        <v>0</v>
      </c>
      <c r="C67">
        <f t="shared" si="4"/>
        <v>0</v>
      </c>
      <c r="D67">
        <f t="shared" si="5"/>
        <v>0</v>
      </c>
      <c r="E67">
        <f t="shared" si="9"/>
        <v>0</v>
      </c>
    </row>
    <row r="68" spans="1:5" x14ac:dyDescent="0.2">
      <c r="A68">
        <f t="shared" si="8"/>
        <v>68000</v>
      </c>
      <c r="B68">
        <f t="shared" si="3"/>
        <v>0</v>
      </c>
      <c r="C68">
        <f t="shared" si="4"/>
        <v>0</v>
      </c>
      <c r="D68">
        <f t="shared" si="5"/>
        <v>0</v>
      </c>
      <c r="E68">
        <f t="shared" si="9"/>
        <v>0</v>
      </c>
    </row>
    <row r="69" spans="1:5" x14ac:dyDescent="0.2">
      <c r="A69">
        <f t="shared" si="8"/>
        <v>82000</v>
      </c>
      <c r="B69">
        <f t="shared" si="3"/>
        <v>0</v>
      </c>
      <c r="C69">
        <f t="shared" si="4"/>
        <v>0</v>
      </c>
      <c r="D69">
        <f t="shared" si="5"/>
        <v>0</v>
      </c>
      <c r="E69">
        <f t="shared" si="9"/>
        <v>0</v>
      </c>
    </row>
    <row r="70" spans="1:5" x14ac:dyDescent="0.2">
      <c r="A70">
        <f t="shared" si="8"/>
        <v>100000</v>
      </c>
      <c r="B70">
        <f t="shared" si="3"/>
        <v>0</v>
      </c>
      <c r="C70">
        <f t="shared" ref="C70:D70" si="10">IF(IF((C$3*10^12-$A71)*(C$3*10^12-$A70)*-1&lt;0,0,1)*IF(ABS(C$3*10^12-$A71)&gt;(C$3*10^12-$A70),$A70,$A71)=C71,0,IF((C$3*10^12-$A71)*(C$3*10^12-$A70)*-1&lt;0,0,1)*IF(ABS(C$3*10^12-$A71)&gt;(C$3*10^12-$A70),$A70,$A71))</f>
        <v>0</v>
      </c>
      <c r="D70">
        <f t="shared" si="10"/>
        <v>0</v>
      </c>
      <c r="E70">
        <f t="shared" ref="E70:E101" si="11">IF(IF((E$3*10^12-$A71)*(E$3*10^12-$A70)*-1&lt;0,0,1)*IF(ABS(E$3*10^12-$A71)&gt;(E$3*10^12-$A70),$A70,$A71)=E71,0,IF((E$3*10^12-$A71)*(E$3*10^12-$A70)*-1&lt;0,0,1)*IF(ABS(E$3*10^12-$A71)&gt;(E$3*10^12-$A70),$A70,$A71))</f>
        <v>0</v>
      </c>
    </row>
    <row r="71" spans="1:5" x14ac:dyDescent="0.2">
      <c r="A71">
        <f t="shared" si="8"/>
        <v>120000</v>
      </c>
      <c r="B71">
        <f t="shared" ref="B71:B134" si="12">IF(IF((B$3*10^12-$A72)*(B$3*10^12-$A71)*-1&lt;0,0,1)*IF(ABS(B$3*10^12-$A72)&gt;(B$3*10^12-$A71),$A71,$A72)=B72,0,IF((B$3*10^12-$A72)*(B$3*10^12-$A71)*-1&lt;0,0,1)*IF(ABS(B$3*10^12-$A72)&gt;(B$3*10^12-$A71),$A71,$A72))</f>
        <v>0</v>
      </c>
      <c r="C71">
        <f t="shared" ref="C71:C133" si="13">IF(IF((C$3*10^12-$A72)*(C$3*10^12-$A71)*-1&lt;0,0,1)*IF(ABS(C$3*10^12-$A72)&gt;(C$3*10^12-$A71),$A71,$A72)=C72,0,IF((C$3*10^12-$A72)*(C$3*10^12-$A71)*-1&lt;0,0,1)*IF(ABS(C$3*10^12-$A72)&gt;(C$3*10^12-$A71),$A71,$A72))</f>
        <v>0</v>
      </c>
      <c r="D71">
        <f t="shared" ref="D71:D102" si="14">IF(IF((D$3*10^12-$A72)*(D$3*10^12-$A71)*-1&lt;0,0,1)*IF(ABS(D$3*10^12-$A72)&gt;(D$3*10^12-$A71),$A71,$A72)=D72,0,IF((D$3*10^12-$A72)*(D$3*10^12-$A71)*-1&lt;0,0,1)*IF(ABS(D$3*10^12-$A72)&gt;(D$3*10^12-$A71),$A71,$A72))</f>
        <v>0</v>
      </c>
      <c r="E71">
        <f t="shared" si="11"/>
        <v>0</v>
      </c>
    </row>
    <row r="72" spans="1:5" x14ac:dyDescent="0.2">
      <c r="A72">
        <f t="shared" si="8"/>
        <v>150000</v>
      </c>
      <c r="B72">
        <f t="shared" si="12"/>
        <v>0</v>
      </c>
      <c r="C72">
        <f t="shared" si="13"/>
        <v>0</v>
      </c>
      <c r="D72">
        <f t="shared" si="14"/>
        <v>0</v>
      </c>
      <c r="E72">
        <f t="shared" si="11"/>
        <v>0</v>
      </c>
    </row>
    <row r="73" spans="1:5" x14ac:dyDescent="0.2">
      <c r="A73">
        <f t="shared" si="8"/>
        <v>180000</v>
      </c>
      <c r="B73">
        <f t="shared" si="12"/>
        <v>0</v>
      </c>
      <c r="C73">
        <f t="shared" si="13"/>
        <v>0</v>
      </c>
      <c r="D73">
        <f t="shared" si="14"/>
        <v>0</v>
      </c>
      <c r="E73">
        <f t="shared" si="11"/>
        <v>0</v>
      </c>
    </row>
    <row r="74" spans="1:5" x14ac:dyDescent="0.2">
      <c r="A74">
        <f t="shared" si="8"/>
        <v>220000</v>
      </c>
      <c r="B74">
        <f t="shared" si="12"/>
        <v>0</v>
      </c>
      <c r="C74">
        <f t="shared" si="13"/>
        <v>0</v>
      </c>
      <c r="D74">
        <f t="shared" si="14"/>
        <v>0</v>
      </c>
      <c r="E74">
        <f t="shared" si="11"/>
        <v>0</v>
      </c>
    </row>
    <row r="75" spans="1:5" x14ac:dyDescent="0.2">
      <c r="A75">
        <f t="shared" si="8"/>
        <v>270000</v>
      </c>
      <c r="B75">
        <f t="shared" si="12"/>
        <v>0</v>
      </c>
      <c r="C75">
        <f t="shared" si="13"/>
        <v>0</v>
      </c>
      <c r="D75">
        <f t="shared" si="14"/>
        <v>0</v>
      </c>
      <c r="E75">
        <f t="shared" si="11"/>
        <v>0</v>
      </c>
    </row>
    <row r="76" spans="1:5" x14ac:dyDescent="0.2">
      <c r="A76">
        <f t="shared" si="8"/>
        <v>330000</v>
      </c>
      <c r="B76">
        <f t="shared" si="12"/>
        <v>0</v>
      </c>
      <c r="C76">
        <f t="shared" si="13"/>
        <v>0</v>
      </c>
      <c r="D76">
        <f t="shared" si="14"/>
        <v>0</v>
      </c>
      <c r="E76">
        <f t="shared" si="11"/>
        <v>0</v>
      </c>
    </row>
    <row r="77" spans="1:5" x14ac:dyDescent="0.2">
      <c r="A77">
        <f t="shared" si="8"/>
        <v>390000</v>
      </c>
      <c r="B77">
        <f t="shared" si="12"/>
        <v>0</v>
      </c>
      <c r="C77">
        <f t="shared" si="13"/>
        <v>0</v>
      </c>
      <c r="D77">
        <f t="shared" si="14"/>
        <v>0</v>
      </c>
      <c r="E77">
        <f t="shared" si="11"/>
        <v>0</v>
      </c>
    </row>
    <row r="78" spans="1:5" x14ac:dyDescent="0.2">
      <c r="A78">
        <f t="shared" si="8"/>
        <v>470000</v>
      </c>
      <c r="B78">
        <f t="shared" si="12"/>
        <v>0</v>
      </c>
      <c r="C78">
        <f t="shared" si="13"/>
        <v>0</v>
      </c>
      <c r="D78">
        <f t="shared" si="14"/>
        <v>0</v>
      </c>
      <c r="E78">
        <f t="shared" si="11"/>
        <v>0</v>
      </c>
    </row>
    <row r="79" spans="1:5" x14ac:dyDescent="0.2">
      <c r="A79">
        <f t="shared" si="8"/>
        <v>560000</v>
      </c>
      <c r="B79">
        <f t="shared" si="12"/>
        <v>0</v>
      </c>
      <c r="C79">
        <f t="shared" si="13"/>
        <v>0</v>
      </c>
      <c r="D79">
        <f t="shared" si="14"/>
        <v>0</v>
      </c>
      <c r="E79">
        <f t="shared" si="11"/>
        <v>0</v>
      </c>
    </row>
    <row r="80" spans="1:5" x14ac:dyDescent="0.2">
      <c r="A80">
        <f t="shared" si="8"/>
        <v>680000</v>
      </c>
      <c r="B80">
        <f t="shared" si="12"/>
        <v>0</v>
      </c>
      <c r="C80">
        <f t="shared" si="13"/>
        <v>0</v>
      </c>
      <c r="D80">
        <f t="shared" si="14"/>
        <v>0</v>
      </c>
      <c r="E80">
        <f t="shared" si="11"/>
        <v>0</v>
      </c>
    </row>
    <row r="81" spans="1:5" x14ac:dyDescent="0.2">
      <c r="A81">
        <f t="shared" si="8"/>
        <v>820000</v>
      </c>
      <c r="B81">
        <f t="shared" si="12"/>
        <v>0</v>
      </c>
      <c r="C81">
        <f t="shared" si="13"/>
        <v>0</v>
      </c>
      <c r="D81">
        <f t="shared" si="14"/>
        <v>0</v>
      </c>
      <c r="E81">
        <f t="shared" si="11"/>
        <v>0</v>
      </c>
    </row>
    <row r="82" spans="1:5" x14ac:dyDescent="0.2">
      <c r="A82">
        <f t="shared" si="8"/>
        <v>1000000</v>
      </c>
      <c r="B82">
        <f t="shared" si="12"/>
        <v>0</v>
      </c>
      <c r="C82">
        <f t="shared" si="13"/>
        <v>0</v>
      </c>
      <c r="D82">
        <f t="shared" si="14"/>
        <v>0</v>
      </c>
      <c r="E82">
        <f t="shared" si="11"/>
        <v>0</v>
      </c>
    </row>
    <row r="83" spans="1:5" x14ac:dyDescent="0.2">
      <c r="A83">
        <f t="shared" si="8"/>
        <v>1200000</v>
      </c>
      <c r="B83">
        <f t="shared" si="12"/>
        <v>0</v>
      </c>
      <c r="C83">
        <f t="shared" si="13"/>
        <v>0</v>
      </c>
      <c r="D83">
        <f t="shared" si="14"/>
        <v>0</v>
      </c>
      <c r="E83">
        <f t="shared" si="11"/>
        <v>0</v>
      </c>
    </row>
    <row r="84" spans="1:5" x14ac:dyDescent="0.2">
      <c r="A84">
        <f t="shared" si="8"/>
        <v>1500000</v>
      </c>
      <c r="B84">
        <f t="shared" si="12"/>
        <v>0</v>
      </c>
      <c r="C84">
        <f t="shared" si="13"/>
        <v>0</v>
      </c>
      <c r="D84">
        <f t="shared" si="14"/>
        <v>0</v>
      </c>
      <c r="E84">
        <f t="shared" si="11"/>
        <v>0</v>
      </c>
    </row>
    <row r="85" spans="1:5" x14ac:dyDescent="0.2">
      <c r="A85">
        <f t="shared" si="8"/>
        <v>1800000</v>
      </c>
      <c r="B85">
        <f t="shared" si="12"/>
        <v>0</v>
      </c>
      <c r="C85">
        <f t="shared" si="13"/>
        <v>0</v>
      </c>
      <c r="D85">
        <f t="shared" si="14"/>
        <v>0</v>
      </c>
      <c r="E85">
        <f t="shared" si="11"/>
        <v>0</v>
      </c>
    </row>
    <row r="86" spans="1:5" x14ac:dyDescent="0.2">
      <c r="A86">
        <f t="shared" si="8"/>
        <v>2200000</v>
      </c>
      <c r="B86">
        <f t="shared" si="12"/>
        <v>0</v>
      </c>
      <c r="C86">
        <f t="shared" si="13"/>
        <v>0</v>
      </c>
      <c r="D86">
        <f t="shared" si="14"/>
        <v>0</v>
      </c>
      <c r="E86">
        <f t="shared" si="11"/>
        <v>0</v>
      </c>
    </row>
    <row r="87" spans="1:5" x14ac:dyDescent="0.2">
      <c r="A87">
        <f t="shared" si="8"/>
        <v>2700000</v>
      </c>
      <c r="B87">
        <f t="shared" si="12"/>
        <v>0</v>
      </c>
      <c r="C87">
        <f t="shared" si="13"/>
        <v>0</v>
      </c>
      <c r="D87">
        <f t="shared" si="14"/>
        <v>0</v>
      </c>
      <c r="E87">
        <f t="shared" si="11"/>
        <v>0</v>
      </c>
    </row>
    <row r="88" spans="1:5" x14ac:dyDescent="0.2">
      <c r="A88">
        <f t="shared" si="8"/>
        <v>3300000</v>
      </c>
      <c r="B88">
        <f t="shared" si="12"/>
        <v>0</v>
      </c>
      <c r="C88">
        <f t="shared" si="13"/>
        <v>0</v>
      </c>
      <c r="D88">
        <f t="shared" si="14"/>
        <v>0</v>
      </c>
      <c r="E88">
        <f t="shared" si="11"/>
        <v>0</v>
      </c>
    </row>
    <row r="89" spans="1:5" x14ac:dyDescent="0.2">
      <c r="A89">
        <f t="shared" si="8"/>
        <v>3900000</v>
      </c>
      <c r="B89">
        <f t="shared" si="12"/>
        <v>0</v>
      </c>
      <c r="C89">
        <f t="shared" si="13"/>
        <v>0</v>
      </c>
      <c r="D89">
        <f t="shared" si="14"/>
        <v>0</v>
      </c>
      <c r="E89">
        <f t="shared" si="11"/>
        <v>0</v>
      </c>
    </row>
    <row r="90" spans="1:5" x14ac:dyDescent="0.2">
      <c r="A90">
        <f t="shared" si="8"/>
        <v>4700000</v>
      </c>
      <c r="B90">
        <f t="shared" si="12"/>
        <v>0</v>
      </c>
      <c r="C90">
        <f t="shared" si="13"/>
        <v>0</v>
      </c>
      <c r="D90">
        <f t="shared" si="14"/>
        <v>0</v>
      </c>
      <c r="E90">
        <f t="shared" si="11"/>
        <v>0</v>
      </c>
    </row>
    <row r="91" spans="1:5" x14ac:dyDescent="0.2">
      <c r="A91">
        <f t="shared" si="8"/>
        <v>5600000</v>
      </c>
      <c r="B91">
        <f t="shared" si="12"/>
        <v>0</v>
      </c>
      <c r="C91">
        <f t="shared" si="13"/>
        <v>0</v>
      </c>
      <c r="D91">
        <f t="shared" si="14"/>
        <v>0</v>
      </c>
      <c r="E91">
        <f t="shared" si="11"/>
        <v>0</v>
      </c>
    </row>
    <row r="92" spans="1:5" x14ac:dyDescent="0.2">
      <c r="A92">
        <f t="shared" si="8"/>
        <v>6800000</v>
      </c>
      <c r="B92">
        <f t="shared" si="12"/>
        <v>0</v>
      </c>
      <c r="C92">
        <f t="shared" si="13"/>
        <v>0</v>
      </c>
      <c r="D92">
        <f t="shared" si="14"/>
        <v>0</v>
      </c>
      <c r="E92">
        <f t="shared" si="11"/>
        <v>0</v>
      </c>
    </row>
    <row r="93" spans="1:5" x14ac:dyDescent="0.2">
      <c r="A93">
        <f t="shared" si="8"/>
        <v>8200000</v>
      </c>
      <c r="B93">
        <f t="shared" si="12"/>
        <v>0</v>
      </c>
      <c r="C93">
        <f t="shared" si="13"/>
        <v>0</v>
      </c>
      <c r="D93">
        <f t="shared" si="14"/>
        <v>0</v>
      </c>
      <c r="E93">
        <f t="shared" si="11"/>
        <v>0</v>
      </c>
    </row>
    <row r="94" spans="1:5" x14ac:dyDescent="0.2">
      <c r="A94">
        <f t="shared" si="8"/>
        <v>10000000</v>
      </c>
      <c r="B94">
        <f t="shared" si="12"/>
        <v>0</v>
      </c>
      <c r="C94">
        <f t="shared" si="13"/>
        <v>0</v>
      </c>
      <c r="D94">
        <f t="shared" si="14"/>
        <v>0</v>
      </c>
      <c r="E94">
        <f t="shared" si="11"/>
        <v>0</v>
      </c>
    </row>
    <row r="95" spans="1:5" x14ac:dyDescent="0.2">
      <c r="A95">
        <f t="shared" si="8"/>
        <v>12000000</v>
      </c>
      <c r="B95">
        <f t="shared" si="12"/>
        <v>0</v>
      </c>
      <c r="C95">
        <f t="shared" si="13"/>
        <v>0</v>
      </c>
      <c r="D95">
        <f t="shared" si="14"/>
        <v>0</v>
      </c>
      <c r="E95">
        <f t="shared" si="11"/>
        <v>0</v>
      </c>
    </row>
    <row r="96" spans="1:5" x14ac:dyDescent="0.2">
      <c r="A96">
        <f t="shared" si="8"/>
        <v>15000000</v>
      </c>
      <c r="B96">
        <f t="shared" si="12"/>
        <v>0</v>
      </c>
      <c r="C96">
        <f t="shared" si="13"/>
        <v>0</v>
      </c>
      <c r="D96">
        <f t="shared" si="14"/>
        <v>0</v>
      </c>
      <c r="E96">
        <f t="shared" si="11"/>
        <v>0</v>
      </c>
    </row>
    <row r="97" spans="1:5" x14ac:dyDescent="0.2">
      <c r="A97">
        <f t="shared" si="8"/>
        <v>18000000</v>
      </c>
      <c r="B97">
        <f t="shared" si="12"/>
        <v>0</v>
      </c>
      <c r="C97">
        <f t="shared" si="13"/>
        <v>0</v>
      </c>
      <c r="D97">
        <f t="shared" si="14"/>
        <v>0</v>
      </c>
      <c r="E97">
        <f t="shared" si="11"/>
        <v>0</v>
      </c>
    </row>
    <row r="98" spans="1:5" x14ac:dyDescent="0.2">
      <c r="A98">
        <f t="shared" si="8"/>
        <v>22000000</v>
      </c>
      <c r="B98">
        <f t="shared" si="12"/>
        <v>0</v>
      </c>
      <c r="C98">
        <f t="shared" si="13"/>
        <v>0</v>
      </c>
      <c r="D98">
        <f t="shared" si="14"/>
        <v>0</v>
      </c>
      <c r="E98">
        <f t="shared" si="11"/>
        <v>0</v>
      </c>
    </row>
    <row r="99" spans="1:5" x14ac:dyDescent="0.2">
      <c r="A99">
        <f t="shared" ref="A99:A159" si="15">A87*10</f>
        <v>27000000</v>
      </c>
      <c r="B99">
        <f t="shared" si="12"/>
        <v>0</v>
      </c>
      <c r="C99">
        <f t="shared" si="13"/>
        <v>0</v>
      </c>
      <c r="D99">
        <f t="shared" si="14"/>
        <v>0</v>
      </c>
      <c r="E99">
        <f t="shared" si="11"/>
        <v>0</v>
      </c>
    </row>
    <row r="100" spans="1:5" x14ac:dyDescent="0.2">
      <c r="A100">
        <f t="shared" si="15"/>
        <v>33000000</v>
      </c>
      <c r="B100">
        <f t="shared" si="12"/>
        <v>0</v>
      </c>
      <c r="C100">
        <f t="shared" si="13"/>
        <v>0</v>
      </c>
      <c r="D100">
        <f t="shared" si="14"/>
        <v>0</v>
      </c>
      <c r="E100">
        <f t="shared" si="11"/>
        <v>0</v>
      </c>
    </row>
    <row r="101" spans="1:5" x14ac:dyDescent="0.2">
      <c r="A101">
        <f t="shared" si="15"/>
        <v>39000000</v>
      </c>
      <c r="B101">
        <f t="shared" si="12"/>
        <v>0</v>
      </c>
      <c r="C101">
        <f t="shared" si="13"/>
        <v>0</v>
      </c>
      <c r="D101">
        <f t="shared" si="14"/>
        <v>0</v>
      </c>
      <c r="E101">
        <f t="shared" si="11"/>
        <v>0</v>
      </c>
    </row>
    <row r="102" spans="1:5" x14ac:dyDescent="0.2">
      <c r="A102">
        <f t="shared" si="15"/>
        <v>47000000</v>
      </c>
      <c r="B102">
        <f t="shared" si="12"/>
        <v>0</v>
      </c>
      <c r="C102">
        <f t="shared" si="13"/>
        <v>0</v>
      </c>
      <c r="D102">
        <f t="shared" si="14"/>
        <v>0</v>
      </c>
      <c r="E102">
        <f t="shared" ref="E102:E133" si="16">IF(IF((E$3*10^12-$A103)*(E$3*10^12-$A102)*-1&lt;0,0,1)*IF(ABS(E$3*10^12-$A103)&gt;(E$3*10^12-$A102),$A102,$A103)=E103,0,IF((E$3*10^12-$A103)*(E$3*10^12-$A102)*-1&lt;0,0,1)*IF(ABS(E$3*10^12-$A103)&gt;(E$3*10^12-$A102),$A102,$A103))</f>
        <v>0</v>
      </c>
    </row>
    <row r="103" spans="1:5" x14ac:dyDescent="0.2">
      <c r="A103">
        <f t="shared" si="15"/>
        <v>56000000</v>
      </c>
      <c r="B103">
        <f t="shared" si="12"/>
        <v>0</v>
      </c>
      <c r="C103">
        <f t="shared" si="13"/>
        <v>0</v>
      </c>
      <c r="D103">
        <f t="shared" ref="D103:D134" si="17">IF(IF((D$3*10^12-$A104)*(D$3*10^12-$A103)*-1&lt;0,0,1)*IF(ABS(D$3*10^12-$A104)&gt;(D$3*10^12-$A103),$A103,$A104)=D104,0,IF((D$3*10^12-$A104)*(D$3*10^12-$A103)*-1&lt;0,0,1)*IF(ABS(D$3*10^12-$A104)&gt;(D$3*10^12-$A103),$A103,$A104))</f>
        <v>0</v>
      </c>
      <c r="E103">
        <f t="shared" si="16"/>
        <v>0</v>
      </c>
    </row>
    <row r="104" spans="1:5" x14ac:dyDescent="0.2">
      <c r="A104">
        <f t="shared" si="15"/>
        <v>68000000</v>
      </c>
      <c r="B104">
        <f t="shared" si="12"/>
        <v>0</v>
      </c>
      <c r="C104">
        <f t="shared" si="13"/>
        <v>0</v>
      </c>
      <c r="D104">
        <f t="shared" si="17"/>
        <v>0</v>
      </c>
      <c r="E104">
        <f t="shared" si="16"/>
        <v>0</v>
      </c>
    </row>
    <row r="105" spans="1:5" x14ac:dyDescent="0.2">
      <c r="A105">
        <f t="shared" si="15"/>
        <v>82000000</v>
      </c>
      <c r="B105">
        <f t="shared" si="12"/>
        <v>0</v>
      </c>
      <c r="C105">
        <f t="shared" si="13"/>
        <v>0</v>
      </c>
      <c r="D105">
        <f t="shared" si="17"/>
        <v>0</v>
      </c>
      <c r="E105">
        <f t="shared" si="16"/>
        <v>0</v>
      </c>
    </row>
    <row r="106" spans="1:5" x14ac:dyDescent="0.2">
      <c r="A106">
        <f t="shared" si="15"/>
        <v>100000000</v>
      </c>
      <c r="B106">
        <f t="shared" si="12"/>
        <v>0</v>
      </c>
      <c r="C106">
        <f t="shared" si="13"/>
        <v>0</v>
      </c>
      <c r="D106">
        <f t="shared" si="17"/>
        <v>0</v>
      </c>
      <c r="E106">
        <f t="shared" si="16"/>
        <v>0</v>
      </c>
    </row>
    <row r="107" spans="1:5" x14ac:dyDescent="0.2">
      <c r="A107">
        <f t="shared" si="15"/>
        <v>120000000</v>
      </c>
      <c r="B107">
        <f t="shared" si="12"/>
        <v>0</v>
      </c>
      <c r="C107">
        <f t="shared" si="13"/>
        <v>0</v>
      </c>
      <c r="D107">
        <f t="shared" si="17"/>
        <v>0</v>
      </c>
      <c r="E107">
        <f t="shared" si="16"/>
        <v>0</v>
      </c>
    </row>
    <row r="108" spans="1:5" x14ac:dyDescent="0.2">
      <c r="A108">
        <f t="shared" si="15"/>
        <v>150000000</v>
      </c>
      <c r="B108">
        <f t="shared" si="12"/>
        <v>0</v>
      </c>
      <c r="C108">
        <f t="shared" si="13"/>
        <v>0</v>
      </c>
      <c r="D108">
        <f t="shared" si="17"/>
        <v>0</v>
      </c>
      <c r="E108">
        <f t="shared" si="16"/>
        <v>0</v>
      </c>
    </row>
    <row r="109" spans="1:5" x14ac:dyDescent="0.2">
      <c r="A109">
        <f t="shared" si="15"/>
        <v>180000000</v>
      </c>
      <c r="B109">
        <f t="shared" si="12"/>
        <v>0</v>
      </c>
      <c r="C109">
        <f t="shared" si="13"/>
        <v>0</v>
      </c>
      <c r="D109">
        <f t="shared" si="17"/>
        <v>0</v>
      </c>
      <c r="E109">
        <f t="shared" si="16"/>
        <v>0</v>
      </c>
    </row>
    <row r="110" spans="1:5" x14ac:dyDescent="0.2">
      <c r="A110">
        <f t="shared" si="15"/>
        <v>220000000</v>
      </c>
      <c r="B110">
        <f t="shared" si="12"/>
        <v>0</v>
      </c>
      <c r="C110">
        <f t="shared" si="13"/>
        <v>0</v>
      </c>
      <c r="D110">
        <f t="shared" si="17"/>
        <v>0</v>
      </c>
      <c r="E110">
        <f t="shared" si="16"/>
        <v>0</v>
      </c>
    </row>
    <row r="111" spans="1:5" x14ac:dyDescent="0.2">
      <c r="A111">
        <f t="shared" si="15"/>
        <v>270000000</v>
      </c>
      <c r="B111">
        <f t="shared" si="12"/>
        <v>0</v>
      </c>
      <c r="C111">
        <f t="shared" si="13"/>
        <v>0</v>
      </c>
      <c r="D111">
        <f t="shared" si="17"/>
        <v>0</v>
      </c>
      <c r="E111">
        <f t="shared" si="16"/>
        <v>0</v>
      </c>
    </row>
    <row r="112" spans="1:5" x14ac:dyDescent="0.2">
      <c r="A112">
        <f t="shared" si="15"/>
        <v>330000000</v>
      </c>
      <c r="B112">
        <f t="shared" si="12"/>
        <v>0</v>
      </c>
      <c r="C112">
        <f t="shared" si="13"/>
        <v>0</v>
      </c>
      <c r="D112">
        <f t="shared" si="17"/>
        <v>0</v>
      </c>
      <c r="E112">
        <f t="shared" si="16"/>
        <v>0</v>
      </c>
    </row>
    <row r="113" spans="1:5" x14ac:dyDescent="0.2">
      <c r="A113">
        <f t="shared" si="15"/>
        <v>390000000</v>
      </c>
      <c r="B113">
        <f t="shared" si="12"/>
        <v>0</v>
      </c>
      <c r="C113">
        <f t="shared" si="13"/>
        <v>0</v>
      </c>
      <c r="D113">
        <f t="shared" si="17"/>
        <v>0</v>
      </c>
      <c r="E113">
        <f t="shared" si="16"/>
        <v>0</v>
      </c>
    </row>
    <row r="114" spans="1:5" x14ac:dyDescent="0.2">
      <c r="A114">
        <f t="shared" si="15"/>
        <v>470000000</v>
      </c>
      <c r="B114">
        <f t="shared" si="12"/>
        <v>0</v>
      </c>
      <c r="C114">
        <f t="shared" si="13"/>
        <v>0</v>
      </c>
      <c r="D114">
        <f t="shared" si="17"/>
        <v>0</v>
      </c>
      <c r="E114">
        <f t="shared" si="16"/>
        <v>0</v>
      </c>
    </row>
    <row r="115" spans="1:5" x14ac:dyDescent="0.2">
      <c r="A115">
        <f t="shared" si="15"/>
        <v>560000000</v>
      </c>
      <c r="B115">
        <f t="shared" si="12"/>
        <v>0</v>
      </c>
      <c r="C115">
        <f t="shared" si="13"/>
        <v>0</v>
      </c>
      <c r="D115">
        <f t="shared" si="17"/>
        <v>0</v>
      </c>
      <c r="E115">
        <f t="shared" si="16"/>
        <v>0</v>
      </c>
    </row>
    <row r="116" spans="1:5" x14ac:dyDescent="0.2">
      <c r="A116">
        <f t="shared" si="15"/>
        <v>680000000</v>
      </c>
      <c r="B116">
        <f t="shared" si="12"/>
        <v>0</v>
      </c>
      <c r="C116">
        <f t="shared" si="13"/>
        <v>0</v>
      </c>
      <c r="D116">
        <f t="shared" si="17"/>
        <v>0</v>
      </c>
      <c r="E116">
        <f t="shared" si="16"/>
        <v>0</v>
      </c>
    </row>
    <row r="117" spans="1:5" x14ac:dyDescent="0.2">
      <c r="A117">
        <f t="shared" si="15"/>
        <v>820000000</v>
      </c>
      <c r="B117">
        <f t="shared" si="12"/>
        <v>0</v>
      </c>
      <c r="C117">
        <f t="shared" si="13"/>
        <v>0</v>
      </c>
      <c r="D117">
        <f t="shared" si="17"/>
        <v>0</v>
      </c>
      <c r="E117">
        <f t="shared" si="16"/>
        <v>0</v>
      </c>
    </row>
    <row r="118" spans="1:5" x14ac:dyDescent="0.2">
      <c r="A118">
        <f t="shared" si="15"/>
        <v>1000000000</v>
      </c>
      <c r="B118">
        <f t="shared" si="12"/>
        <v>0</v>
      </c>
      <c r="C118">
        <f t="shared" si="13"/>
        <v>0</v>
      </c>
      <c r="D118">
        <f t="shared" si="17"/>
        <v>0</v>
      </c>
      <c r="E118">
        <f t="shared" si="16"/>
        <v>0</v>
      </c>
    </row>
    <row r="119" spans="1:5" x14ac:dyDescent="0.2">
      <c r="A119">
        <f t="shared" si="15"/>
        <v>1200000000</v>
      </c>
      <c r="B119">
        <f t="shared" si="12"/>
        <v>0</v>
      </c>
      <c r="C119">
        <f t="shared" si="13"/>
        <v>0</v>
      </c>
      <c r="D119">
        <f t="shared" si="17"/>
        <v>0</v>
      </c>
      <c r="E119">
        <f t="shared" si="16"/>
        <v>0</v>
      </c>
    </row>
    <row r="120" spans="1:5" x14ac:dyDescent="0.2">
      <c r="A120">
        <f t="shared" si="15"/>
        <v>1500000000</v>
      </c>
      <c r="B120">
        <f t="shared" si="12"/>
        <v>0</v>
      </c>
      <c r="C120">
        <f t="shared" si="13"/>
        <v>0</v>
      </c>
      <c r="D120">
        <f t="shared" si="17"/>
        <v>0</v>
      </c>
      <c r="E120">
        <f t="shared" si="16"/>
        <v>0</v>
      </c>
    </row>
    <row r="121" spans="1:5" x14ac:dyDescent="0.2">
      <c r="A121">
        <f t="shared" si="15"/>
        <v>1800000000</v>
      </c>
      <c r="B121">
        <f t="shared" si="12"/>
        <v>0</v>
      </c>
      <c r="C121">
        <f t="shared" si="13"/>
        <v>0</v>
      </c>
      <c r="D121">
        <f t="shared" si="17"/>
        <v>0</v>
      </c>
      <c r="E121">
        <f t="shared" si="16"/>
        <v>0</v>
      </c>
    </row>
    <row r="122" spans="1:5" x14ac:dyDescent="0.2">
      <c r="A122">
        <f t="shared" si="15"/>
        <v>2200000000</v>
      </c>
      <c r="B122">
        <f t="shared" si="12"/>
        <v>0</v>
      </c>
      <c r="C122">
        <f t="shared" si="13"/>
        <v>0</v>
      </c>
      <c r="D122">
        <f t="shared" si="17"/>
        <v>0</v>
      </c>
      <c r="E122">
        <f t="shared" si="16"/>
        <v>0</v>
      </c>
    </row>
    <row r="123" spans="1:5" x14ac:dyDescent="0.2">
      <c r="A123">
        <f t="shared" si="15"/>
        <v>2700000000</v>
      </c>
      <c r="B123">
        <f t="shared" si="12"/>
        <v>0</v>
      </c>
      <c r="C123">
        <f t="shared" si="13"/>
        <v>0</v>
      </c>
      <c r="D123">
        <f t="shared" si="17"/>
        <v>0</v>
      </c>
      <c r="E123">
        <f t="shared" si="16"/>
        <v>0</v>
      </c>
    </row>
    <row r="124" spans="1:5" x14ac:dyDescent="0.2">
      <c r="A124">
        <f t="shared" si="15"/>
        <v>3300000000</v>
      </c>
      <c r="B124">
        <f t="shared" si="12"/>
        <v>0</v>
      </c>
      <c r="C124">
        <f t="shared" si="13"/>
        <v>0</v>
      </c>
      <c r="D124">
        <f t="shared" si="17"/>
        <v>0</v>
      </c>
      <c r="E124">
        <f t="shared" si="16"/>
        <v>0</v>
      </c>
    </row>
    <row r="125" spans="1:5" x14ac:dyDescent="0.2">
      <c r="A125">
        <f t="shared" si="15"/>
        <v>3900000000</v>
      </c>
      <c r="B125">
        <f t="shared" si="12"/>
        <v>0</v>
      </c>
      <c r="C125">
        <f t="shared" si="13"/>
        <v>0</v>
      </c>
      <c r="D125">
        <f t="shared" si="17"/>
        <v>0</v>
      </c>
      <c r="E125">
        <f t="shared" si="16"/>
        <v>0</v>
      </c>
    </row>
    <row r="126" spans="1:5" x14ac:dyDescent="0.2">
      <c r="A126">
        <f t="shared" si="15"/>
        <v>4700000000</v>
      </c>
      <c r="B126">
        <f t="shared" si="12"/>
        <v>0</v>
      </c>
      <c r="C126">
        <f t="shared" si="13"/>
        <v>0</v>
      </c>
      <c r="D126">
        <f t="shared" si="17"/>
        <v>0</v>
      </c>
      <c r="E126">
        <f t="shared" si="16"/>
        <v>0</v>
      </c>
    </row>
    <row r="127" spans="1:5" x14ac:dyDescent="0.2">
      <c r="A127">
        <f t="shared" si="15"/>
        <v>5600000000</v>
      </c>
      <c r="B127">
        <f t="shared" si="12"/>
        <v>0</v>
      </c>
      <c r="C127">
        <f t="shared" si="13"/>
        <v>0</v>
      </c>
      <c r="D127">
        <f t="shared" si="17"/>
        <v>0</v>
      </c>
      <c r="E127">
        <f t="shared" si="16"/>
        <v>0</v>
      </c>
    </row>
    <row r="128" spans="1:5" x14ac:dyDescent="0.2">
      <c r="A128">
        <f t="shared" si="15"/>
        <v>6800000000</v>
      </c>
      <c r="B128">
        <f t="shared" si="12"/>
        <v>0</v>
      </c>
      <c r="C128">
        <f t="shared" si="13"/>
        <v>0</v>
      </c>
      <c r="D128">
        <f t="shared" si="17"/>
        <v>0</v>
      </c>
      <c r="E128">
        <f t="shared" si="16"/>
        <v>0</v>
      </c>
    </row>
    <row r="129" spans="1:5" x14ac:dyDescent="0.2">
      <c r="A129">
        <f t="shared" si="15"/>
        <v>8200000000</v>
      </c>
      <c r="B129">
        <f t="shared" si="12"/>
        <v>0</v>
      </c>
      <c r="C129">
        <f t="shared" si="13"/>
        <v>0</v>
      </c>
      <c r="D129">
        <f t="shared" si="17"/>
        <v>0</v>
      </c>
      <c r="E129">
        <f t="shared" si="16"/>
        <v>0</v>
      </c>
    </row>
    <row r="130" spans="1:5" x14ac:dyDescent="0.2">
      <c r="A130">
        <f t="shared" si="15"/>
        <v>10000000000</v>
      </c>
      <c r="B130">
        <f t="shared" si="12"/>
        <v>0</v>
      </c>
      <c r="C130">
        <f t="shared" si="13"/>
        <v>0</v>
      </c>
      <c r="D130">
        <f t="shared" si="17"/>
        <v>0</v>
      </c>
      <c r="E130">
        <f t="shared" si="16"/>
        <v>0</v>
      </c>
    </row>
    <row r="131" spans="1:5" x14ac:dyDescent="0.2">
      <c r="A131">
        <f t="shared" si="15"/>
        <v>12000000000</v>
      </c>
      <c r="B131">
        <f t="shared" si="12"/>
        <v>0</v>
      </c>
      <c r="C131">
        <f t="shared" si="13"/>
        <v>0</v>
      </c>
      <c r="D131">
        <f t="shared" si="17"/>
        <v>0</v>
      </c>
      <c r="E131">
        <f t="shared" si="16"/>
        <v>0</v>
      </c>
    </row>
    <row r="132" spans="1:5" x14ac:dyDescent="0.2">
      <c r="A132">
        <f t="shared" si="15"/>
        <v>15000000000</v>
      </c>
      <c r="B132">
        <f t="shared" si="12"/>
        <v>0</v>
      </c>
      <c r="C132">
        <f t="shared" si="13"/>
        <v>0</v>
      </c>
      <c r="D132">
        <f t="shared" si="17"/>
        <v>0</v>
      </c>
      <c r="E132">
        <f t="shared" si="16"/>
        <v>0</v>
      </c>
    </row>
    <row r="133" spans="1:5" x14ac:dyDescent="0.2">
      <c r="A133">
        <f t="shared" si="15"/>
        <v>18000000000</v>
      </c>
      <c r="B133">
        <f t="shared" si="12"/>
        <v>0</v>
      </c>
      <c r="C133">
        <f t="shared" si="13"/>
        <v>0</v>
      </c>
      <c r="D133">
        <f t="shared" si="17"/>
        <v>0</v>
      </c>
      <c r="E133">
        <f t="shared" si="16"/>
        <v>0</v>
      </c>
    </row>
    <row r="134" spans="1:5" x14ac:dyDescent="0.2">
      <c r="A134">
        <f t="shared" si="15"/>
        <v>22000000000</v>
      </c>
      <c r="B134">
        <f t="shared" si="12"/>
        <v>0</v>
      </c>
      <c r="C134">
        <f t="shared" ref="C134:D159" si="18">IF(IF((C$3*10^12-$A135)*(C$3*10^12-$A134)*-1&lt;0,0,1)*IF(ABS(C$3*10^12-$A135)&gt;(C$3*10^12-$A134),$A134,$A135)=C135,0,IF((C$3*10^12-$A135)*(C$3*10^12-$A134)*-1&lt;0,0,1)*IF(ABS(C$3*10^12-$A135)&gt;(C$3*10^12-$A134),$A134,$A135))</f>
        <v>0</v>
      </c>
      <c r="D134">
        <f t="shared" si="17"/>
        <v>0</v>
      </c>
      <c r="E134">
        <f t="shared" ref="E134:E159" si="19">IF(IF((E$3*10^12-$A135)*(E$3*10^12-$A134)*-1&lt;0,0,1)*IF(ABS(E$3*10^12-$A135)&gt;(E$3*10^12-$A134),$A134,$A135)=E135,0,IF((E$3*10^12-$A135)*(E$3*10^12-$A134)*-1&lt;0,0,1)*IF(ABS(E$3*10^12-$A135)&gt;(E$3*10^12-$A134),$A134,$A135))</f>
        <v>0</v>
      </c>
    </row>
    <row r="135" spans="1:5" x14ac:dyDescent="0.2">
      <c r="A135">
        <f t="shared" si="15"/>
        <v>27000000000</v>
      </c>
      <c r="B135">
        <f t="shared" ref="B135:B159" si="20">IF(IF((B$3*10^12-$A136)*(B$3*10^12-$A135)*-1&lt;0,0,1)*IF(ABS(B$3*10^12-$A136)&gt;(B$3*10^12-$A135),$A135,$A136)=B136,0,IF((B$3*10^12-$A136)*(B$3*10^12-$A135)*-1&lt;0,0,1)*IF(ABS(B$3*10^12-$A136)&gt;(B$3*10^12-$A135),$A135,$A136))</f>
        <v>0</v>
      </c>
      <c r="C135">
        <f t="shared" si="18"/>
        <v>0</v>
      </c>
      <c r="D135">
        <f t="shared" si="18"/>
        <v>0</v>
      </c>
      <c r="E135">
        <f t="shared" si="19"/>
        <v>0</v>
      </c>
    </row>
    <row r="136" spans="1:5" x14ac:dyDescent="0.2">
      <c r="A136">
        <f t="shared" si="15"/>
        <v>33000000000</v>
      </c>
      <c r="B136">
        <f t="shared" si="20"/>
        <v>0</v>
      </c>
      <c r="C136">
        <f t="shared" si="18"/>
        <v>0</v>
      </c>
      <c r="D136">
        <f t="shared" si="18"/>
        <v>0</v>
      </c>
      <c r="E136">
        <f t="shared" si="19"/>
        <v>0</v>
      </c>
    </row>
    <row r="137" spans="1:5" x14ac:dyDescent="0.2">
      <c r="A137">
        <f t="shared" si="15"/>
        <v>39000000000</v>
      </c>
      <c r="B137">
        <f t="shared" si="20"/>
        <v>0</v>
      </c>
      <c r="C137">
        <f t="shared" si="18"/>
        <v>0</v>
      </c>
      <c r="D137">
        <f t="shared" si="18"/>
        <v>0</v>
      </c>
      <c r="E137">
        <f t="shared" si="19"/>
        <v>0</v>
      </c>
    </row>
    <row r="138" spans="1:5" x14ac:dyDescent="0.2">
      <c r="A138">
        <f t="shared" si="15"/>
        <v>47000000000</v>
      </c>
      <c r="B138">
        <f t="shared" si="20"/>
        <v>0</v>
      </c>
      <c r="C138">
        <f t="shared" si="18"/>
        <v>0</v>
      </c>
      <c r="D138">
        <f t="shared" si="18"/>
        <v>0</v>
      </c>
      <c r="E138">
        <f t="shared" si="19"/>
        <v>0</v>
      </c>
    </row>
    <row r="139" spans="1:5" x14ac:dyDescent="0.2">
      <c r="A139">
        <f t="shared" si="15"/>
        <v>56000000000</v>
      </c>
      <c r="B139">
        <f t="shared" si="20"/>
        <v>0</v>
      </c>
      <c r="C139">
        <f t="shared" si="18"/>
        <v>0</v>
      </c>
      <c r="D139">
        <f t="shared" si="18"/>
        <v>0</v>
      </c>
      <c r="E139">
        <f t="shared" si="19"/>
        <v>0</v>
      </c>
    </row>
    <row r="140" spans="1:5" x14ac:dyDescent="0.2">
      <c r="A140">
        <f t="shared" si="15"/>
        <v>68000000000</v>
      </c>
      <c r="B140">
        <f t="shared" si="20"/>
        <v>0</v>
      </c>
      <c r="C140">
        <f t="shared" si="18"/>
        <v>0</v>
      </c>
      <c r="D140">
        <f t="shared" si="18"/>
        <v>0</v>
      </c>
      <c r="E140">
        <f t="shared" si="19"/>
        <v>0</v>
      </c>
    </row>
    <row r="141" spans="1:5" x14ac:dyDescent="0.2">
      <c r="A141">
        <f t="shared" si="15"/>
        <v>82000000000</v>
      </c>
      <c r="B141">
        <f t="shared" si="20"/>
        <v>0</v>
      </c>
      <c r="C141">
        <f t="shared" si="18"/>
        <v>0</v>
      </c>
      <c r="D141">
        <f t="shared" si="18"/>
        <v>0</v>
      </c>
      <c r="E141">
        <f t="shared" si="19"/>
        <v>0</v>
      </c>
    </row>
    <row r="142" spans="1:5" x14ac:dyDescent="0.2">
      <c r="A142">
        <f t="shared" si="15"/>
        <v>100000000000</v>
      </c>
      <c r="B142">
        <f t="shared" si="20"/>
        <v>0</v>
      </c>
      <c r="C142">
        <f t="shared" si="18"/>
        <v>0</v>
      </c>
      <c r="D142">
        <f t="shared" si="18"/>
        <v>0</v>
      </c>
      <c r="E142">
        <f t="shared" si="19"/>
        <v>0</v>
      </c>
    </row>
    <row r="143" spans="1:5" x14ac:dyDescent="0.2">
      <c r="A143">
        <f t="shared" si="15"/>
        <v>120000000000</v>
      </c>
      <c r="B143">
        <f t="shared" si="20"/>
        <v>0</v>
      </c>
      <c r="C143">
        <f t="shared" si="18"/>
        <v>0</v>
      </c>
      <c r="D143">
        <f t="shared" si="18"/>
        <v>0</v>
      </c>
      <c r="E143">
        <f t="shared" si="19"/>
        <v>0</v>
      </c>
    </row>
    <row r="144" spans="1:5" x14ac:dyDescent="0.2">
      <c r="A144">
        <f t="shared" si="15"/>
        <v>150000000000</v>
      </c>
      <c r="B144">
        <f t="shared" si="20"/>
        <v>0</v>
      </c>
      <c r="C144">
        <f t="shared" si="18"/>
        <v>0</v>
      </c>
      <c r="D144">
        <f t="shared" si="18"/>
        <v>0</v>
      </c>
      <c r="E144">
        <f t="shared" si="19"/>
        <v>0</v>
      </c>
    </row>
    <row r="145" spans="1:5" x14ac:dyDescent="0.2">
      <c r="A145">
        <f t="shared" si="15"/>
        <v>180000000000</v>
      </c>
      <c r="B145">
        <f t="shared" si="20"/>
        <v>0</v>
      </c>
      <c r="C145">
        <f t="shared" si="18"/>
        <v>0</v>
      </c>
      <c r="D145">
        <f t="shared" si="18"/>
        <v>0</v>
      </c>
      <c r="E145">
        <f t="shared" si="19"/>
        <v>0</v>
      </c>
    </row>
    <row r="146" spans="1:5" x14ac:dyDescent="0.2">
      <c r="A146">
        <f t="shared" si="15"/>
        <v>220000000000</v>
      </c>
      <c r="B146">
        <f t="shared" si="20"/>
        <v>0</v>
      </c>
      <c r="C146">
        <f t="shared" si="18"/>
        <v>0</v>
      </c>
      <c r="D146">
        <f t="shared" si="18"/>
        <v>0</v>
      </c>
      <c r="E146">
        <f t="shared" si="19"/>
        <v>0</v>
      </c>
    </row>
    <row r="147" spans="1:5" x14ac:dyDescent="0.2">
      <c r="A147">
        <f t="shared" si="15"/>
        <v>270000000000</v>
      </c>
      <c r="B147">
        <f t="shared" si="20"/>
        <v>0</v>
      </c>
      <c r="C147">
        <f t="shared" si="18"/>
        <v>0</v>
      </c>
      <c r="D147">
        <f t="shared" si="18"/>
        <v>0</v>
      </c>
      <c r="E147">
        <f t="shared" si="19"/>
        <v>0</v>
      </c>
    </row>
    <row r="148" spans="1:5" x14ac:dyDescent="0.2">
      <c r="A148">
        <f t="shared" si="15"/>
        <v>330000000000</v>
      </c>
      <c r="B148">
        <f t="shared" si="20"/>
        <v>0</v>
      </c>
      <c r="C148">
        <f t="shared" si="18"/>
        <v>0</v>
      </c>
      <c r="D148">
        <f t="shared" si="18"/>
        <v>0</v>
      </c>
      <c r="E148">
        <f t="shared" si="19"/>
        <v>0</v>
      </c>
    </row>
    <row r="149" spans="1:5" x14ac:dyDescent="0.2">
      <c r="A149">
        <f t="shared" si="15"/>
        <v>390000000000</v>
      </c>
      <c r="B149">
        <f t="shared" si="20"/>
        <v>0</v>
      </c>
      <c r="C149">
        <f t="shared" si="18"/>
        <v>0</v>
      </c>
      <c r="D149">
        <f t="shared" si="18"/>
        <v>0</v>
      </c>
      <c r="E149">
        <f t="shared" si="19"/>
        <v>0</v>
      </c>
    </row>
    <row r="150" spans="1:5" x14ac:dyDescent="0.2">
      <c r="A150">
        <f t="shared" si="15"/>
        <v>470000000000</v>
      </c>
      <c r="B150">
        <f t="shared" si="20"/>
        <v>0</v>
      </c>
      <c r="C150">
        <f t="shared" si="18"/>
        <v>0</v>
      </c>
      <c r="D150">
        <f t="shared" si="18"/>
        <v>0</v>
      </c>
      <c r="E150">
        <f t="shared" si="19"/>
        <v>0</v>
      </c>
    </row>
    <row r="151" spans="1:5" x14ac:dyDescent="0.2">
      <c r="A151">
        <f t="shared" si="15"/>
        <v>560000000000</v>
      </c>
      <c r="B151">
        <f t="shared" si="20"/>
        <v>0</v>
      </c>
      <c r="C151">
        <f t="shared" si="18"/>
        <v>0</v>
      </c>
      <c r="D151">
        <f t="shared" si="18"/>
        <v>0</v>
      </c>
      <c r="E151">
        <f t="shared" si="19"/>
        <v>0</v>
      </c>
    </row>
    <row r="152" spans="1:5" x14ac:dyDescent="0.2">
      <c r="A152">
        <f t="shared" si="15"/>
        <v>680000000000</v>
      </c>
      <c r="B152">
        <f t="shared" si="20"/>
        <v>0</v>
      </c>
      <c r="C152">
        <f t="shared" si="18"/>
        <v>0</v>
      </c>
      <c r="D152">
        <f t="shared" si="18"/>
        <v>0</v>
      </c>
      <c r="E152">
        <f t="shared" si="19"/>
        <v>0</v>
      </c>
    </row>
    <row r="153" spans="1:5" x14ac:dyDescent="0.2">
      <c r="A153">
        <f t="shared" si="15"/>
        <v>820000000000</v>
      </c>
      <c r="B153">
        <f t="shared" si="20"/>
        <v>0</v>
      </c>
      <c r="C153">
        <f t="shared" si="18"/>
        <v>0</v>
      </c>
      <c r="D153">
        <f t="shared" si="18"/>
        <v>0</v>
      </c>
      <c r="E153">
        <f t="shared" si="19"/>
        <v>0</v>
      </c>
    </row>
    <row r="154" spans="1:5" x14ac:dyDescent="0.2">
      <c r="A154">
        <f t="shared" si="15"/>
        <v>1000000000000</v>
      </c>
      <c r="B154">
        <f t="shared" si="20"/>
        <v>0</v>
      </c>
      <c r="C154">
        <f t="shared" si="18"/>
        <v>0</v>
      </c>
      <c r="D154">
        <f t="shared" si="18"/>
        <v>0</v>
      </c>
      <c r="E154">
        <f t="shared" si="19"/>
        <v>0</v>
      </c>
    </row>
    <row r="155" spans="1:5" x14ac:dyDescent="0.2">
      <c r="A155">
        <f t="shared" si="15"/>
        <v>1200000000000</v>
      </c>
      <c r="B155">
        <f t="shared" si="20"/>
        <v>0</v>
      </c>
      <c r="C155">
        <f t="shared" si="18"/>
        <v>0</v>
      </c>
      <c r="D155">
        <f t="shared" si="18"/>
        <v>0</v>
      </c>
      <c r="E155">
        <f t="shared" si="19"/>
        <v>0</v>
      </c>
    </row>
    <row r="156" spans="1:5" x14ac:dyDescent="0.2">
      <c r="A156">
        <f t="shared" si="15"/>
        <v>1500000000000</v>
      </c>
      <c r="B156">
        <f t="shared" si="20"/>
        <v>0</v>
      </c>
      <c r="C156">
        <f t="shared" si="18"/>
        <v>0</v>
      </c>
      <c r="D156">
        <f t="shared" si="18"/>
        <v>0</v>
      </c>
      <c r="E156">
        <f t="shared" si="19"/>
        <v>0</v>
      </c>
    </row>
    <row r="157" spans="1:5" x14ac:dyDescent="0.2">
      <c r="A157">
        <f t="shared" si="15"/>
        <v>1800000000000</v>
      </c>
      <c r="B157">
        <f t="shared" si="20"/>
        <v>0</v>
      </c>
      <c r="C157">
        <f t="shared" si="18"/>
        <v>0</v>
      </c>
      <c r="D157">
        <f t="shared" si="18"/>
        <v>0</v>
      </c>
      <c r="E157">
        <f t="shared" si="19"/>
        <v>0</v>
      </c>
    </row>
    <row r="158" spans="1:5" x14ac:dyDescent="0.2">
      <c r="A158">
        <f t="shared" si="15"/>
        <v>2200000000000</v>
      </c>
      <c r="B158">
        <f t="shared" si="20"/>
        <v>0</v>
      </c>
      <c r="C158">
        <f t="shared" si="18"/>
        <v>0</v>
      </c>
      <c r="D158">
        <f t="shared" si="18"/>
        <v>0</v>
      </c>
      <c r="E158">
        <f t="shared" si="19"/>
        <v>0</v>
      </c>
    </row>
    <row r="159" spans="1:5" x14ac:dyDescent="0.2">
      <c r="A159" s="16">
        <f t="shared" si="15"/>
        <v>2700000000000</v>
      </c>
      <c r="B159">
        <f t="shared" si="20"/>
        <v>2700000000000</v>
      </c>
      <c r="C159">
        <f t="shared" si="18"/>
        <v>0</v>
      </c>
      <c r="D159">
        <f t="shared" si="18"/>
        <v>0</v>
      </c>
      <c r="E159">
        <f t="shared" si="19"/>
        <v>2700000000000</v>
      </c>
    </row>
  </sheetData>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Q55"/>
  <sheetViews>
    <sheetView zoomScaleNormal="100" workbookViewId="0">
      <selection activeCell="J17" sqref="J17"/>
    </sheetView>
  </sheetViews>
  <sheetFormatPr defaultRowHeight="12.75" x14ac:dyDescent="0.2"/>
  <cols>
    <col min="1" max="1" width="9.5703125" style="116" customWidth="1"/>
    <col min="2" max="2" width="11.42578125" style="116" customWidth="1"/>
    <col min="3" max="3" width="13.42578125" style="116" customWidth="1"/>
    <col min="4" max="4" width="20.140625" style="116" customWidth="1"/>
    <col min="5" max="5" width="17.28515625" style="116" customWidth="1"/>
    <col min="6" max="6" width="13.5703125" style="116" customWidth="1"/>
    <col min="7" max="7" width="16.140625" style="116" customWidth="1"/>
    <col min="8" max="8" width="18.140625" style="116" customWidth="1"/>
    <col min="9" max="9" width="10.85546875" style="116" customWidth="1"/>
    <col min="10" max="10" width="15.85546875" style="116" customWidth="1"/>
    <col min="11" max="11" width="11.85546875" style="474" customWidth="1"/>
    <col min="12" max="12" width="7.85546875" style="473" customWidth="1"/>
    <col min="13" max="13" width="11.7109375" style="116" customWidth="1"/>
    <col min="14" max="254" width="9.140625" style="116"/>
    <col min="255" max="255" width="8.7109375" style="116" bestFit="1" customWidth="1"/>
    <col min="256" max="256" width="13.28515625" style="116" customWidth="1"/>
    <col min="257" max="257" width="16.140625" style="116" bestFit="1" customWidth="1"/>
    <col min="258" max="258" width="23.5703125" style="116" customWidth="1"/>
    <col min="259" max="259" width="17.28515625" style="116" customWidth="1"/>
    <col min="260" max="260" width="20.5703125" style="116" bestFit="1" customWidth="1"/>
    <col min="261" max="261" width="17.140625" style="116" customWidth="1"/>
    <col min="262" max="262" width="21.85546875" style="116" bestFit="1" customWidth="1"/>
    <col min="263" max="263" width="17.140625" style="116" bestFit="1" customWidth="1"/>
    <col min="264" max="264" width="18.140625" style="116" bestFit="1" customWidth="1"/>
    <col min="265" max="265" width="26.42578125" style="116" customWidth="1"/>
    <col min="266" max="510" width="9.140625" style="116"/>
    <col min="511" max="511" width="8.7109375" style="116" bestFit="1" customWidth="1"/>
    <col min="512" max="512" width="13.28515625" style="116" customWidth="1"/>
    <col min="513" max="513" width="16.140625" style="116" bestFit="1" customWidth="1"/>
    <col min="514" max="514" width="23.5703125" style="116" customWidth="1"/>
    <col min="515" max="515" width="17.28515625" style="116" customWidth="1"/>
    <col min="516" max="516" width="20.5703125" style="116" bestFit="1" customWidth="1"/>
    <col min="517" max="517" width="17.140625" style="116" customWidth="1"/>
    <col min="518" max="518" width="21.85546875" style="116" bestFit="1" customWidth="1"/>
    <col min="519" max="519" width="17.140625" style="116" bestFit="1" customWidth="1"/>
    <col min="520" max="520" width="18.140625" style="116" bestFit="1" customWidth="1"/>
    <col min="521" max="521" width="26.42578125" style="116" customWidth="1"/>
    <col min="522" max="766" width="9.140625" style="116"/>
    <col min="767" max="767" width="8.7109375" style="116" bestFit="1" customWidth="1"/>
    <col min="768" max="768" width="13.28515625" style="116" customWidth="1"/>
    <col min="769" max="769" width="16.140625" style="116" bestFit="1" customWidth="1"/>
    <col min="770" max="770" width="23.5703125" style="116" customWidth="1"/>
    <col min="771" max="771" width="17.28515625" style="116" customWidth="1"/>
    <col min="772" max="772" width="20.5703125" style="116" bestFit="1" customWidth="1"/>
    <col min="773" max="773" width="17.140625" style="116" customWidth="1"/>
    <col min="774" max="774" width="21.85546875" style="116" bestFit="1" customWidth="1"/>
    <col min="775" max="775" width="17.140625" style="116" bestFit="1" customWidth="1"/>
    <col min="776" max="776" width="18.140625" style="116" bestFit="1" customWidth="1"/>
    <col min="777" max="777" width="26.42578125" style="116" customWidth="1"/>
    <col min="778" max="1022" width="9.140625" style="116"/>
    <col min="1023" max="1023" width="8.7109375" style="116" bestFit="1" customWidth="1"/>
    <col min="1024" max="1024" width="13.28515625" style="116" customWidth="1"/>
    <col min="1025" max="1025" width="16.140625" style="116" bestFit="1" customWidth="1"/>
    <col min="1026" max="1026" width="23.5703125" style="116" customWidth="1"/>
    <col min="1027" max="1027" width="17.28515625" style="116" customWidth="1"/>
    <col min="1028" max="1028" width="20.5703125" style="116" bestFit="1" customWidth="1"/>
    <col min="1029" max="1029" width="17.140625" style="116" customWidth="1"/>
    <col min="1030" max="1030" width="21.85546875" style="116" bestFit="1" customWidth="1"/>
    <col min="1031" max="1031" width="17.140625" style="116" bestFit="1" customWidth="1"/>
    <col min="1032" max="1032" width="18.140625" style="116" bestFit="1" customWidth="1"/>
    <col min="1033" max="1033" width="26.42578125" style="116" customWidth="1"/>
    <col min="1034" max="1278" width="9.140625" style="116"/>
    <col min="1279" max="1279" width="8.7109375" style="116" bestFit="1" customWidth="1"/>
    <col min="1280" max="1280" width="13.28515625" style="116" customWidth="1"/>
    <col min="1281" max="1281" width="16.140625" style="116" bestFit="1" customWidth="1"/>
    <col min="1282" max="1282" width="23.5703125" style="116" customWidth="1"/>
    <col min="1283" max="1283" width="17.28515625" style="116" customWidth="1"/>
    <col min="1284" max="1284" width="20.5703125" style="116" bestFit="1" customWidth="1"/>
    <col min="1285" max="1285" width="17.140625" style="116" customWidth="1"/>
    <col min="1286" max="1286" width="21.85546875" style="116" bestFit="1" customWidth="1"/>
    <col min="1287" max="1287" width="17.140625" style="116" bestFit="1" customWidth="1"/>
    <col min="1288" max="1288" width="18.140625" style="116" bestFit="1" customWidth="1"/>
    <col min="1289" max="1289" width="26.42578125" style="116" customWidth="1"/>
    <col min="1290" max="1534" width="9.140625" style="116"/>
    <col min="1535" max="1535" width="8.7109375" style="116" bestFit="1" customWidth="1"/>
    <col min="1536" max="1536" width="13.28515625" style="116" customWidth="1"/>
    <col min="1537" max="1537" width="16.140625" style="116" bestFit="1" customWidth="1"/>
    <col min="1538" max="1538" width="23.5703125" style="116" customWidth="1"/>
    <col min="1539" max="1539" width="17.28515625" style="116" customWidth="1"/>
    <col min="1540" max="1540" width="20.5703125" style="116" bestFit="1" customWidth="1"/>
    <col min="1541" max="1541" width="17.140625" style="116" customWidth="1"/>
    <col min="1542" max="1542" width="21.85546875" style="116" bestFit="1" customWidth="1"/>
    <col min="1543" max="1543" width="17.140625" style="116" bestFit="1" customWidth="1"/>
    <col min="1544" max="1544" width="18.140625" style="116" bestFit="1" customWidth="1"/>
    <col min="1545" max="1545" width="26.42578125" style="116" customWidth="1"/>
    <col min="1546" max="1790" width="9.140625" style="116"/>
    <col min="1791" max="1791" width="8.7109375" style="116" bestFit="1" customWidth="1"/>
    <col min="1792" max="1792" width="13.28515625" style="116" customWidth="1"/>
    <col min="1793" max="1793" width="16.140625" style="116" bestFit="1" customWidth="1"/>
    <col min="1794" max="1794" width="23.5703125" style="116" customWidth="1"/>
    <col min="1795" max="1795" width="17.28515625" style="116" customWidth="1"/>
    <col min="1796" max="1796" width="20.5703125" style="116" bestFit="1" customWidth="1"/>
    <col min="1797" max="1797" width="17.140625" style="116" customWidth="1"/>
    <col min="1798" max="1798" width="21.85546875" style="116" bestFit="1" customWidth="1"/>
    <col min="1799" max="1799" width="17.140625" style="116" bestFit="1" customWidth="1"/>
    <col min="1800" max="1800" width="18.140625" style="116" bestFit="1" customWidth="1"/>
    <col min="1801" max="1801" width="26.42578125" style="116" customWidth="1"/>
    <col min="1802" max="2046" width="9.140625" style="116"/>
    <col min="2047" max="2047" width="8.7109375" style="116" bestFit="1" customWidth="1"/>
    <col min="2048" max="2048" width="13.28515625" style="116" customWidth="1"/>
    <col min="2049" max="2049" width="16.140625" style="116" bestFit="1" customWidth="1"/>
    <col min="2050" max="2050" width="23.5703125" style="116" customWidth="1"/>
    <col min="2051" max="2051" width="17.28515625" style="116" customWidth="1"/>
    <col min="2052" max="2052" width="20.5703125" style="116" bestFit="1" customWidth="1"/>
    <col min="2053" max="2053" width="17.140625" style="116" customWidth="1"/>
    <col min="2054" max="2054" width="21.85546875" style="116" bestFit="1" customWidth="1"/>
    <col min="2055" max="2055" width="17.140625" style="116" bestFit="1" customWidth="1"/>
    <col min="2056" max="2056" width="18.140625" style="116" bestFit="1" customWidth="1"/>
    <col min="2057" max="2057" width="26.42578125" style="116" customWidth="1"/>
    <col min="2058" max="2302" width="9.140625" style="116"/>
    <col min="2303" max="2303" width="8.7109375" style="116" bestFit="1" customWidth="1"/>
    <col min="2304" max="2304" width="13.28515625" style="116" customWidth="1"/>
    <col min="2305" max="2305" width="16.140625" style="116" bestFit="1" customWidth="1"/>
    <col min="2306" max="2306" width="23.5703125" style="116" customWidth="1"/>
    <col min="2307" max="2307" width="17.28515625" style="116" customWidth="1"/>
    <col min="2308" max="2308" width="20.5703125" style="116" bestFit="1" customWidth="1"/>
    <col min="2309" max="2309" width="17.140625" style="116" customWidth="1"/>
    <col min="2310" max="2310" width="21.85546875" style="116" bestFit="1" customWidth="1"/>
    <col min="2311" max="2311" width="17.140625" style="116" bestFit="1" customWidth="1"/>
    <col min="2312" max="2312" width="18.140625" style="116" bestFit="1" customWidth="1"/>
    <col min="2313" max="2313" width="26.42578125" style="116" customWidth="1"/>
    <col min="2314" max="2558" width="9.140625" style="116"/>
    <col min="2559" max="2559" width="8.7109375" style="116" bestFit="1" customWidth="1"/>
    <col min="2560" max="2560" width="13.28515625" style="116" customWidth="1"/>
    <col min="2561" max="2561" width="16.140625" style="116" bestFit="1" customWidth="1"/>
    <col min="2562" max="2562" width="23.5703125" style="116" customWidth="1"/>
    <col min="2563" max="2563" width="17.28515625" style="116" customWidth="1"/>
    <col min="2564" max="2564" width="20.5703125" style="116" bestFit="1" customWidth="1"/>
    <col min="2565" max="2565" width="17.140625" style="116" customWidth="1"/>
    <col min="2566" max="2566" width="21.85546875" style="116" bestFit="1" customWidth="1"/>
    <col min="2567" max="2567" width="17.140625" style="116" bestFit="1" customWidth="1"/>
    <col min="2568" max="2568" width="18.140625" style="116" bestFit="1" customWidth="1"/>
    <col min="2569" max="2569" width="26.42578125" style="116" customWidth="1"/>
    <col min="2570" max="2814" width="9.140625" style="116"/>
    <col min="2815" max="2815" width="8.7109375" style="116" bestFit="1" customWidth="1"/>
    <col min="2816" max="2816" width="13.28515625" style="116" customWidth="1"/>
    <col min="2817" max="2817" width="16.140625" style="116" bestFit="1" customWidth="1"/>
    <col min="2818" max="2818" width="23.5703125" style="116" customWidth="1"/>
    <col min="2819" max="2819" width="17.28515625" style="116" customWidth="1"/>
    <col min="2820" max="2820" width="20.5703125" style="116" bestFit="1" customWidth="1"/>
    <col min="2821" max="2821" width="17.140625" style="116" customWidth="1"/>
    <col min="2822" max="2822" width="21.85546875" style="116" bestFit="1" customWidth="1"/>
    <col min="2823" max="2823" width="17.140625" style="116" bestFit="1" customWidth="1"/>
    <col min="2824" max="2824" width="18.140625" style="116" bestFit="1" customWidth="1"/>
    <col min="2825" max="2825" width="26.42578125" style="116" customWidth="1"/>
    <col min="2826" max="3070" width="9.140625" style="116"/>
    <col min="3071" max="3071" width="8.7109375" style="116" bestFit="1" customWidth="1"/>
    <col min="3072" max="3072" width="13.28515625" style="116" customWidth="1"/>
    <col min="3073" max="3073" width="16.140625" style="116" bestFit="1" customWidth="1"/>
    <col min="3074" max="3074" width="23.5703125" style="116" customWidth="1"/>
    <col min="3075" max="3075" width="17.28515625" style="116" customWidth="1"/>
    <col min="3076" max="3076" width="20.5703125" style="116" bestFit="1" customWidth="1"/>
    <col min="3077" max="3077" width="17.140625" style="116" customWidth="1"/>
    <col min="3078" max="3078" width="21.85546875" style="116" bestFit="1" customWidth="1"/>
    <col min="3079" max="3079" width="17.140625" style="116" bestFit="1" customWidth="1"/>
    <col min="3080" max="3080" width="18.140625" style="116" bestFit="1" customWidth="1"/>
    <col min="3081" max="3081" width="26.42578125" style="116" customWidth="1"/>
    <col min="3082" max="3326" width="9.140625" style="116"/>
    <col min="3327" max="3327" width="8.7109375" style="116" bestFit="1" customWidth="1"/>
    <col min="3328" max="3328" width="13.28515625" style="116" customWidth="1"/>
    <col min="3329" max="3329" width="16.140625" style="116" bestFit="1" customWidth="1"/>
    <col min="3330" max="3330" width="23.5703125" style="116" customWidth="1"/>
    <col min="3331" max="3331" width="17.28515625" style="116" customWidth="1"/>
    <col min="3332" max="3332" width="20.5703125" style="116" bestFit="1" customWidth="1"/>
    <col min="3333" max="3333" width="17.140625" style="116" customWidth="1"/>
    <col min="3334" max="3334" width="21.85546875" style="116" bestFit="1" customWidth="1"/>
    <col min="3335" max="3335" width="17.140625" style="116" bestFit="1" customWidth="1"/>
    <col min="3336" max="3336" width="18.140625" style="116" bestFit="1" customWidth="1"/>
    <col min="3337" max="3337" width="26.42578125" style="116" customWidth="1"/>
    <col min="3338" max="3582" width="9.140625" style="116"/>
    <col min="3583" max="3583" width="8.7109375" style="116" bestFit="1" customWidth="1"/>
    <col min="3584" max="3584" width="13.28515625" style="116" customWidth="1"/>
    <col min="3585" max="3585" width="16.140625" style="116" bestFit="1" customWidth="1"/>
    <col min="3586" max="3586" width="23.5703125" style="116" customWidth="1"/>
    <col min="3587" max="3587" width="17.28515625" style="116" customWidth="1"/>
    <col min="3588" max="3588" width="20.5703125" style="116" bestFit="1" customWidth="1"/>
    <col min="3589" max="3589" width="17.140625" style="116" customWidth="1"/>
    <col min="3590" max="3590" width="21.85546875" style="116" bestFit="1" customWidth="1"/>
    <col min="3591" max="3591" width="17.140625" style="116" bestFit="1" customWidth="1"/>
    <col min="3592" max="3592" width="18.140625" style="116" bestFit="1" customWidth="1"/>
    <col min="3593" max="3593" width="26.42578125" style="116" customWidth="1"/>
    <col min="3594" max="3838" width="9.140625" style="116"/>
    <col min="3839" max="3839" width="8.7109375" style="116" bestFit="1" customWidth="1"/>
    <col min="3840" max="3840" width="13.28515625" style="116" customWidth="1"/>
    <col min="3841" max="3841" width="16.140625" style="116" bestFit="1" customWidth="1"/>
    <col min="3842" max="3842" width="23.5703125" style="116" customWidth="1"/>
    <col min="3843" max="3843" width="17.28515625" style="116" customWidth="1"/>
    <col min="3844" max="3844" width="20.5703125" style="116" bestFit="1" customWidth="1"/>
    <col min="3845" max="3845" width="17.140625" style="116" customWidth="1"/>
    <col min="3846" max="3846" width="21.85546875" style="116" bestFit="1" customWidth="1"/>
    <col min="3847" max="3847" width="17.140625" style="116" bestFit="1" customWidth="1"/>
    <col min="3848" max="3848" width="18.140625" style="116" bestFit="1" customWidth="1"/>
    <col min="3849" max="3849" width="26.42578125" style="116" customWidth="1"/>
    <col min="3850" max="4094" width="9.140625" style="116"/>
    <col min="4095" max="4095" width="8.7109375" style="116" bestFit="1" customWidth="1"/>
    <col min="4096" max="4096" width="13.28515625" style="116" customWidth="1"/>
    <col min="4097" max="4097" width="16.140625" style="116" bestFit="1" customWidth="1"/>
    <col min="4098" max="4098" width="23.5703125" style="116" customWidth="1"/>
    <col min="4099" max="4099" width="17.28515625" style="116" customWidth="1"/>
    <col min="4100" max="4100" width="20.5703125" style="116" bestFit="1" customWidth="1"/>
    <col min="4101" max="4101" width="17.140625" style="116" customWidth="1"/>
    <col min="4102" max="4102" width="21.85546875" style="116" bestFit="1" customWidth="1"/>
    <col min="4103" max="4103" width="17.140625" style="116" bestFit="1" customWidth="1"/>
    <col min="4104" max="4104" width="18.140625" style="116" bestFit="1" customWidth="1"/>
    <col min="4105" max="4105" width="26.42578125" style="116" customWidth="1"/>
    <col min="4106" max="4350" width="9.140625" style="116"/>
    <col min="4351" max="4351" width="8.7109375" style="116" bestFit="1" customWidth="1"/>
    <col min="4352" max="4352" width="13.28515625" style="116" customWidth="1"/>
    <col min="4353" max="4353" width="16.140625" style="116" bestFit="1" customWidth="1"/>
    <col min="4354" max="4354" width="23.5703125" style="116" customWidth="1"/>
    <col min="4355" max="4355" width="17.28515625" style="116" customWidth="1"/>
    <col min="4356" max="4356" width="20.5703125" style="116" bestFit="1" customWidth="1"/>
    <col min="4357" max="4357" width="17.140625" style="116" customWidth="1"/>
    <col min="4358" max="4358" width="21.85546875" style="116" bestFit="1" customWidth="1"/>
    <col min="4359" max="4359" width="17.140625" style="116" bestFit="1" customWidth="1"/>
    <col min="4360" max="4360" width="18.140625" style="116" bestFit="1" customWidth="1"/>
    <col min="4361" max="4361" width="26.42578125" style="116" customWidth="1"/>
    <col min="4362" max="4606" width="9.140625" style="116"/>
    <col min="4607" max="4607" width="8.7109375" style="116" bestFit="1" customWidth="1"/>
    <col min="4608" max="4608" width="13.28515625" style="116" customWidth="1"/>
    <col min="4609" max="4609" width="16.140625" style="116" bestFit="1" customWidth="1"/>
    <col min="4610" max="4610" width="23.5703125" style="116" customWidth="1"/>
    <col min="4611" max="4611" width="17.28515625" style="116" customWidth="1"/>
    <col min="4612" max="4612" width="20.5703125" style="116" bestFit="1" customWidth="1"/>
    <col min="4613" max="4613" width="17.140625" style="116" customWidth="1"/>
    <col min="4614" max="4614" width="21.85546875" style="116" bestFit="1" customWidth="1"/>
    <col min="4615" max="4615" width="17.140625" style="116" bestFit="1" customWidth="1"/>
    <col min="4616" max="4616" width="18.140625" style="116" bestFit="1" customWidth="1"/>
    <col min="4617" max="4617" width="26.42578125" style="116" customWidth="1"/>
    <col min="4618" max="4862" width="9.140625" style="116"/>
    <col min="4863" max="4863" width="8.7109375" style="116" bestFit="1" customWidth="1"/>
    <col min="4864" max="4864" width="13.28515625" style="116" customWidth="1"/>
    <col min="4865" max="4865" width="16.140625" style="116" bestFit="1" customWidth="1"/>
    <col min="4866" max="4866" width="23.5703125" style="116" customWidth="1"/>
    <col min="4867" max="4867" width="17.28515625" style="116" customWidth="1"/>
    <col min="4868" max="4868" width="20.5703125" style="116" bestFit="1" customWidth="1"/>
    <col min="4869" max="4869" width="17.140625" style="116" customWidth="1"/>
    <col min="4870" max="4870" width="21.85546875" style="116" bestFit="1" customWidth="1"/>
    <col min="4871" max="4871" width="17.140625" style="116" bestFit="1" customWidth="1"/>
    <col min="4872" max="4872" width="18.140625" style="116" bestFit="1" customWidth="1"/>
    <col min="4873" max="4873" width="26.42578125" style="116" customWidth="1"/>
    <col min="4874" max="5118" width="9.140625" style="116"/>
    <col min="5119" max="5119" width="8.7109375" style="116" bestFit="1" customWidth="1"/>
    <col min="5120" max="5120" width="13.28515625" style="116" customWidth="1"/>
    <col min="5121" max="5121" width="16.140625" style="116" bestFit="1" customWidth="1"/>
    <col min="5122" max="5122" width="23.5703125" style="116" customWidth="1"/>
    <col min="5123" max="5123" width="17.28515625" style="116" customWidth="1"/>
    <col min="5124" max="5124" width="20.5703125" style="116" bestFit="1" customWidth="1"/>
    <col min="5125" max="5125" width="17.140625" style="116" customWidth="1"/>
    <col min="5126" max="5126" width="21.85546875" style="116" bestFit="1" customWidth="1"/>
    <col min="5127" max="5127" width="17.140625" style="116" bestFit="1" customWidth="1"/>
    <col min="5128" max="5128" width="18.140625" style="116" bestFit="1" customWidth="1"/>
    <col min="5129" max="5129" width="26.42578125" style="116" customWidth="1"/>
    <col min="5130" max="5374" width="9.140625" style="116"/>
    <col min="5375" max="5375" width="8.7109375" style="116" bestFit="1" customWidth="1"/>
    <col min="5376" max="5376" width="13.28515625" style="116" customWidth="1"/>
    <col min="5377" max="5377" width="16.140625" style="116" bestFit="1" customWidth="1"/>
    <col min="5378" max="5378" width="23.5703125" style="116" customWidth="1"/>
    <col min="5379" max="5379" width="17.28515625" style="116" customWidth="1"/>
    <col min="5380" max="5380" width="20.5703125" style="116" bestFit="1" customWidth="1"/>
    <col min="5381" max="5381" width="17.140625" style="116" customWidth="1"/>
    <col min="5382" max="5382" width="21.85546875" style="116" bestFit="1" customWidth="1"/>
    <col min="5383" max="5383" width="17.140625" style="116" bestFit="1" customWidth="1"/>
    <col min="5384" max="5384" width="18.140625" style="116" bestFit="1" customWidth="1"/>
    <col min="5385" max="5385" width="26.42578125" style="116" customWidth="1"/>
    <col min="5386" max="5630" width="9.140625" style="116"/>
    <col min="5631" max="5631" width="8.7109375" style="116" bestFit="1" customWidth="1"/>
    <col min="5632" max="5632" width="13.28515625" style="116" customWidth="1"/>
    <col min="5633" max="5633" width="16.140625" style="116" bestFit="1" customWidth="1"/>
    <col min="5634" max="5634" width="23.5703125" style="116" customWidth="1"/>
    <col min="5635" max="5635" width="17.28515625" style="116" customWidth="1"/>
    <col min="5636" max="5636" width="20.5703125" style="116" bestFit="1" customWidth="1"/>
    <col min="5637" max="5637" width="17.140625" style="116" customWidth="1"/>
    <col min="5638" max="5638" width="21.85546875" style="116" bestFit="1" customWidth="1"/>
    <col min="5639" max="5639" width="17.140625" style="116" bestFit="1" customWidth="1"/>
    <col min="5640" max="5640" width="18.140625" style="116" bestFit="1" customWidth="1"/>
    <col min="5641" max="5641" width="26.42578125" style="116" customWidth="1"/>
    <col min="5642" max="5886" width="9.140625" style="116"/>
    <col min="5887" max="5887" width="8.7109375" style="116" bestFit="1" customWidth="1"/>
    <col min="5888" max="5888" width="13.28515625" style="116" customWidth="1"/>
    <col min="5889" max="5889" width="16.140625" style="116" bestFit="1" customWidth="1"/>
    <col min="5890" max="5890" width="23.5703125" style="116" customWidth="1"/>
    <col min="5891" max="5891" width="17.28515625" style="116" customWidth="1"/>
    <col min="5892" max="5892" width="20.5703125" style="116" bestFit="1" customWidth="1"/>
    <col min="5893" max="5893" width="17.140625" style="116" customWidth="1"/>
    <col min="5894" max="5894" width="21.85546875" style="116" bestFit="1" customWidth="1"/>
    <col min="5895" max="5895" width="17.140625" style="116" bestFit="1" customWidth="1"/>
    <col min="5896" max="5896" width="18.140625" style="116" bestFit="1" customWidth="1"/>
    <col min="5897" max="5897" width="26.42578125" style="116" customWidth="1"/>
    <col min="5898" max="6142" width="9.140625" style="116"/>
    <col min="6143" max="6143" width="8.7109375" style="116" bestFit="1" customWidth="1"/>
    <col min="6144" max="6144" width="13.28515625" style="116" customWidth="1"/>
    <col min="6145" max="6145" width="16.140625" style="116" bestFit="1" customWidth="1"/>
    <col min="6146" max="6146" width="23.5703125" style="116" customWidth="1"/>
    <col min="6147" max="6147" width="17.28515625" style="116" customWidth="1"/>
    <col min="6148" max="6148" width="20.5703125" style="116" bestFit="1" customWidth="1"/>
    <col min="6149" max="6149" width="17.140625" style="116" customWidth="1"/>
    <col min="6150" max="6150" width="21.85546875" style="116" bestFit="1" customWidth="1"/>
    <col min="6151" max="6151" width="17.140625" style="116" bestFit="1" customWidth="1"/>
    <col min="6152" max="6152" width="18.140625" style="116" bestFit="1" customWidth="1"/>
    <col min="6153" max="6153" width="26.42578125" style="116" customWidth="1"/>
    <col min="6154" max="6398" width="9.140625" style="116"/>
    <col min="6399" max="6399" width="8.7109375" style="116" bestFit="1" customWidth="1"/>
    <col min="6400" max="6400" width="13.28515625" style="116" customWidth="1"/>
    <col min="6401" max="6401" width="16.140625" style="116" bestFit="1" customWidth="1"/>
    <col min="6402" max="6402" width="23.5703125" style="116" customWidth="1"/>
    <col min="6403" max="6403" width="17.28515625" style="116" customWidth="1"/>
    <col min="6404" max="6404" width="20.5703125" style="116" bestFit="1" customWidth="1"/>
    <col min="6405" max="6405" width="17.140625" style="116" customWidth="1"/>
    <col min="6406" max="6406" width="21.85546875" style="116" bestFit="1" customWidth="1"/>
    <col min="6407" max="6407" width="17.140625" style="116" bestFit="1" customWidth="1"/>
    <col min="6408" max="6408" width="18.140625" style="116" bestFit="1" customWidth="1"/>
    <col min="6409" max="6409" width="26.42578125" style="116" customWidth="1"/>
    <col min="6410" max="6654" width="9.140625" style="116"/>
    <col min="6655" max="6655" width="8.7109375" style="116" bestFit="1" customWidth="1"/>
    <col min="6656" max="6656" width="13.28515625" style="116" customWidth="1"/>
    <col min="6657" max="6657" width="16.140625" style="116" bestFit="1" customWidth="1"/>
    <col min="6658" max="6658" width="23.5703125" style="116" customWidth="1"/>
    <col min="6659" max="6659" width="17.28515625" style="116" customWidth="1"/>
    <col min="6660" max="6660" width="20.5703125" style="116" bestFit="1" customWidth="1"/>
    <col min="6661" max="6661" width="17.140625" style="116" customWidth="1"/>
    <col min="6662" max="6662" width="21.85546875" style="116" bestFit="1" customWidth="1"/>
    <col min="6663" max="6663" width="17.140625" style="116" bestFit="1" customWidth="1"/>
    <col min="6664" max="6664" width="18.140625" style="116" bestFit="1" customWidth="1"/>
    <col min="6665" max="6665" width="26.42578125" style="116" customWidth="1"/>
    <col min="6666" max="6910" width="9.140625" style="116"/>
    <col min="6911" max="6911" width="8.7109375" style="116" bestFit="1" customWidth="1"/>
    <col min="6912" max="6912" width="13.28515625" style="116" customWidth="1"/>
    <col min="6913" max="6913" width="16.140625" style="116" bestFit="1" customWidth="1"/>
    <col min="6914" max="6914" width="23.5703125" style="116" customWidth="1"/>
    <col min="6915" max="6915" width="17.28515625" style="116" customWidth="1"/>
    <col min="6916" max="6916" width="20.5703125" style="116" bestFit="1" customWidth="1"/>
    <col min="6917" max="6917" width="17.140625" style="116" customWidth="1"/>
    <col min="6918" max="6918" width="21.85546875" style="116" bestFit="1" customWidth="1"/>
    <col min="6919" max="6919" width="17.140625" style="116" bestFit="1" customWidth="1"/>
    <col min="6920" max="6920" width="18.140625" style="116" bestFit="1" customWidth="1"/>
    <col min="6921" max="6921" width="26.42578125" style="116" customWidth="1"/>
    <col min="6922" max="7166" width="9.140625" style="116"/>
    <col min="7167" max="7167" width="8.7109375" style="116" bestFit="1" customWidth="1"/>
    <col min="7168" max="7168" width="13.28515625" style="116" customWidth="1"/>
    <col min="7169" max="7169" width="16.140625" style="116" bestFit="1" customWidth="1"/>
    <col min="7170" max="7170" width="23.5703125" style="116" customWidth="1"/>
    <col min="7171" max="7171" width="17.28515625" style="116" customWidth="1"/>
    <col min="7172" max="7172" width="20.5703125" style="116" bestFit="1" customWidth="1"/>
    <col min="7173" max="7173" width="17.140625" style="116" customWidth="1"/>
    <col min="7174" max="7174" width="21.85546875" style="116" bestFit="1" customWidth="1"/>
    <col min="7175" max="7175" width="17.140625" style="116" bestFit="1" customWidth="1"/>
    <col min="7176" max="7176" width="18.140625" style="116" bestFit="1" customWidth="1"/>
    <col min="7177" max="7177" width="26.42578125" style="116" customWidth="1"/>
    <col min="7178" max="7422" width="9.140625" style="116"/>
    <col min="7423" max="7423" width="8.7109375" style="116" bestFit="1" customWidth="1"/>
    <col min="7424" max="7424" width="13.28515625" style="116" customWidth="1"/>
    <col min="7425" max="7425" width="16.140625" style="116" bestFit="1" customWidth="1"/>
    <col min="7426" max="7426" width="23.5703125" style="116" customWidth="1"/>
    <col min="7427" max="7427" width="17.28515625" style="116" customWidth="1"/>
    <col min="7428" max="7428" width="20.5703125" style="116" bestFit="1" customWidth="1"/>
    <col min="7429" max="7429" width="17.140625" style="116" customWidth="1"/>
    <col min="7430" max="7430" width="21.85546875" style="116" bestFit="1" customWidth="1"/>
    <col min="7431" max="7431" width="17.140625" style="116" bestFit="1" customWidth="1"/>
    <col min="7432" max="7432" width="18.140625" style="116" bestFit="1" customWidth="1"/>
    <col min="7433" max="7433" width="26.42578125" style="116" customWidth="1"/>
    <col min="7434" max="7678" width="9.140625" style="116"/>
    <col min="7679" max="7679" width="8.7109375" style="116" bestFit="1" customWidth="1"/>
    <col min="7680" max="7680" width="13.28515625" style="116" customWidth="1"/>
    <col min="7681" max="7681" width="16.140625" style="116" bestFit="1" customWidth="1"/>
    <col min="7682" max="7682" width="23.5703125" style="116" customWidth="1"/>
    <col min="7683" max="7683" width="17.28515625" style="116" customWidth="1"/>
    <col min="7684" max="7684" width="20.5703125" style="116" bestFit="1" customWidth="1"/>
    <col min="7685" max="7685" width="17.140625" style="116" customWidth="1"/>
    <col min="7686" max="7686" width="21.85546875" style="116" bestFit="1" customWidth="1"/>
    <col min="7687" max="7687" width="17.140625" style="116" bestFit="1" customWidth="1"/>
    <col min="7688" max="7688" width="18.140625" style="116" bestFit="1" customWidth="1"/>
    <col min="7689" max="7689" width="26.42578125" style="116" customWidth="1"/>
    <col min="7690" max="7934" width="9.140625" style="116"/>
    <col min="7935" max="7935" width="8.7109375" style="116" bestFit="1" customWidth="1"/>
    <col min="7936" max="7936" width="13.28515625" style="116" customWidth="1"/>
    <col min="7937" max="7937" width="16.140625" style="116" bestFit="1" customWidth="1"/>
    <col min="7938" max="7938" width="23.5703125" style="116" customWidth="1"/>
    <col min="7939" max="7939" width="17.28515625" style="116" customWidth="1"/>
    <col min="7940" max="7940" width="20.5703125" style="116" bestFit="1" customWidth="1"/>
    <col min="7941" max="7941" width="17.140625" style="116" customWidth="1"/>
    <col min="7942" max="7942" width="21.85546875" style="116" bestFit="1" customWidth="1"/>
    <col min="7943" max="7943" width="17.140625" style="116" bestFit="1" customWidth="1"/>
    <col min="7944" max="7944" width="18.140625" style="116" bestFit="1" customWidth="1"/>
    <col min="7945" max="7945" width="26.42578125" style="116" customWidth="1"/>
    <col min="7946" max="8190" width="9.140625" style="116"/>
    <col min="8191" max="8191" width="8.7109375" style="116" bestFit="1" customWidth="1"/>
    <col min="8192" max="8192" width="13.28515625" style="116" customWidth="1"/>
    <col min="8193" max="8193" width="16.140625" style="116" bestFit="1" customWidth="1"/>
    <col min="8194" max="8194" width="23.5703125" style="116" customWidth="1"/>
    <col min="8195" max="8195" width="17.28515625" style="116" customWidth="1"/>
    <col min="8196" max="8196" width="20.5703125" style="116" bestFit="1" customWidth="1"/>
    <col min="8197" max="8197" width="17.140625" style="116" customWidth="1"/>
    <col min="8198" max="8198" width="21.85546875" style="116" bestFit="1" customWidth="1"/>
    <col min="8199" max="8199" width="17.140625" style="116" bestFit="1" customWidth="1"/>
    <col min="8200" max="8200" width="18.140625" style="116" bestFit="1" customWidth="1"/>
    <col min="8201" max="8201" width="26.42578125" style="116" customWidth="1"/>
    <col min="8202" max="8446" width="9.140625" style="116"/>
    <col min="8447" max="8447" width="8.7109375" style="116" bestFit="1" customWidth="1"/>
    <col min="8448" max="8448" width="13.28515625" style="116" customWidth="1"/>
    <col min="8449" max="8449" width="16.140625" style="116" bestFit="1" customWidth="1"/>
    <col min="8450" max="8450" width="23.5703125" style="116" customWidth="1"/>
    <col min="8451" max="8451" width="17.28515625" style="116" customWidth="1"/>
    <col min="8452" max="8452" width="20.5703125" style="116" bestFit="1" customWidth="1"/>
    <col min="8453" max="8453" width="17.140625" style="116" customWidth="1"/>
    <col min="8454" max="8454" width="21.85546875" style="116" bestFit="1" customWidth="1"/>
    <col min="8455" max="8455" width="17.140625" style="116" bestFit="1" customWidth="1"/>
    <col min="8456" max="8456" width="18.140625" style="116" bestFit="1" customWidth="1"/>
    <col min="8457" max="8457" width="26.42578125" style="116" customWidth="1"/>
    <col min="8458" max="8702" width="9.140625" style="116"/>
    <col min="8703" max="8703" width="8.7109375" style="116" bestFit="1" customWidth="1"/>
    <col min="8704" max="8704" width="13.28515625" style="116" customWidth="1"/>
    <col min="8705" max="8705" width="16.140625" style="116" bestFit="1" customWidth="1"/>
    <col min="8706" max="8706" width="23.5703125" style="116" customWidth="1"/>
    <col min="8707" max="8707" width="17.28515625" style="116" customWidth="1"/>
    <col min="8708" max="8708" width="20.5703125" style="116" bestFit="1" customWidth="1"/>
    <col min="8709" max="8709" width="17.140625" style="116" customWidth="1"/>
    <col min="8710" max="8710" width="21.85546875" style="116" bestFit="1" customWidth="1"/>
    <col min="8711" max="8711" width="17.140625" style="116" bestFit="1" customWidth="1"/>
    <col min="8712" max="8712" width="18.140625" style="116" bestFit="1" customWidth="1"/>
    <col min="8713" max="8713" width="26.42578125" style="116" customWidth="1"/>
    <col min="8714" max="8958" width="9.140625" style="116"/>
    <col min="8959" max="8959" width="8.7109375" style="116" bestFit="1" customWidth="1"/>
    <col min="8960" max="8960" width="13.28515625" style="116" customWidth="1"/>
    <col min="8961" max="8961" width="16.140625" style="116" bestFit="1" customWidth="1"/>
    <col min="8962" max="8962" width="23.5703125" style="116" customWidth="1"/>
    <col min="8963" max="8963" width="17.28515625" style="116" customWidth="1"/>
    <col min="8964" max="8964" width="20.5703125" style="116" bestFit="1" customWidth="1"/>
    <col min="8965" max="8965" width="17.140625" style="116" customWidth="1"/>
    <col min="8966" max="8966" width="21.85546875" style="116" bestFit="1" customWidth="1"/>
    <col min="8967" max="8967" width="17.140625" style="116" bestFit="1" customWidth="1"/>
    <col min="8968" max="8968" width="18.140625" style="116" bestFit="1" customWidth="1"/>
    <col min="8969" max="8969" width="26.42578125" style="116" customWidth="1"/>
    <col min="8970" max="9214" width="9.140625" style="116"/>
    <col min="9215" max="9215" width="8.7109375" style="116" bestFit="1" customWidth="1"/>
    <col min="9216" max="9216" width="13.28515625" style="116" customWidth="1"/>
    <col min="9217" max="9217" width="16.140625" style="116" bestFit="1" customWidth="1"/>
    <col min="9218" max="9218" width="23.5703125" style="116" customWidth="1"/>
    <col min="9219" max="9219" width="17.28515625" style="116" customWidth="1"/>
    <col min="9220" max="9220" width="20.5703125" style="116" bestFit="1" customWidth="1"/>
    <col min="9221" max="9221" width="17.140625" style="116" customWidth="1"/>
    <col min="9222" max="9222" width="21.85546875" style="116" bestFit="1" customWidth="1"/>
    <col min="9223" max="9223" width="17.140625" style="116" bestFit="1" customWidth="1"/>
    <col min="9224" max="9224" width="18.140625" style="116" bestFit="1" customWidth="1"/>
    <col min="9225" max="9225" width="26.42578125" style="116" customWidth="1"/>
    <col min="9226" max="9470" width="9.140625" style="116"/>
    <col min="9471" max="9471" width="8.7109375" style="116" bestFit="1" customWidth="1"/>
    <col min="9472" max="9472" width="13.28515625" style="116" customWidth="1"/>
    <col min="9473" max="9473" width="16.140625" style="116" bestFit="1" customWidth="1"/>
    <col min="9474" max="9474" width="23.5703125" style="116" customWidth="1"/>
    <col min="9475" max="9475" width="17.28515625" style="116" customWidth="1"/>
    <col min="9476" max="9476" width="20.5703125" style="116" bestFit="1" customWidth="1"/>
    <col min="9477" max="9477" width="17.140625" style="116" customWidth="1"/>
    <col min="9478" max="9478" width="21.85546875" style="116" bestFit="1" customWidth="1"/>
    <col min="9479" max="9479" width="17.140625" style="116" bestFit="1" customWidth="1"/>
    <col min="9480" max="9480" width="18.140625" style="116" bestFit="1" customWidth="1"/>
    <col min="9481" max="9481" width="26.42578125" style="116" customWidth="1"/>
    <col min="9482" max="9726" width="9.140625" style="116"/>
    <col min="9727" max="9727" width="8.7109375" style="116" bestFit="1" customWidth="1"/>
    <col min="9728" max="9728" width="13.28515625" style="116" customWidth="1"/>
    <col min="9729" max="9729" width="16.140625" style="116" bestFit="1" customWidth="1"/>
    <col min="9730" max="9730" width="23.5703125" style="116" customWidth="1"/>
    <col min="9731" max="9731" width="17.28515625" style="116" customWidth="1"/>
    <col min="9732" max="9732" width="20.5703125" style="116" bestFit="1" customWidth="1"/>
    <col min="9733" max="9733" width="17.140625" style="116" customWidth="1"/>
    <col min="9734" max="9734" width="21.85546875" style="116" bestFit="1" customWidth="1"/>
    <col min="9735" max="9735" width="17.140625" style="116" bestFit="1" customWidth="1"/>
    <col min="9736" max="9736" width="18.140625" style="116" bestFit="1" customWidth="1"/>
    <col min="9737" max="9737" width="26.42578125" style="116" customWidth="1"/>
    <col min="9738" max="9982" width="9.140625" style="116"/>
    <col min="9983" max="9983" width="8.7109375" style="116" bestFit="1" customWidth="1"/>
    <col min="9984" max="9984" width="13.28515625" style="116" customWidth="1"/>
    <col min="9985" max="9985" width="16.140625" style="116" bestFit="1" customWidth="1"/>
    <col min="9986" max="9986" width="23.5703125" style="116" customWidth="1"/>
    <col min="9987" max="9987" width="17.28515625" style="116" customWidth="1"/>
    <col min="9988" max="9988" width="20.5703125" style="116" bestFit="1" customWidth="1"/>
    <col min="9989" max="9989" width="17.140625" style="116" customWidth="1"/>
    <col min="9990" max="9990" width="21.85546875" style="116" bestFit="1" customWidth="1"/>
    <col min="9991" max="9991" width="17.140625" style="116" bestFit="1" customWidth="1"/>
    <col min="9992" max="9992" width="18.140625" style="116" bestFit="1" customWidth="1"/>
    <col min="9993" max="9993" width="26.42578125" style="116" customWidth="1"/>
    <col min="9994" max="10238" width="9.140625" style="116"/>
    <col min="10239" max="10239" width="8.7109375" style="116" bestFit="1" customWidth="1"/>
    <col min="10240" max="10240" width="13.28515625" style="116" customWidth="1"/>
    <col min="10241" max="10241" width="16.140625" style="116" bestFit="1" customWidth="1"/>
    <col min="10242" max="10242" width="23.5703125" style="116" customWidth="1"/>
    <col min="10243" max="10243" width="17.28515625" style="116" customWidth="1"/>
    <col min="10244" max="10244" width="20.5703125" style="116" bestFit="1" customWidth="1"/>
    <col min="10245" max="10245" width="17.140625" style="116" customWidth="1"/>
    <col min="10246" max="10246" width="21.85546875" style="116" bestFit="1" customWidth="1"/>
    <col min="10247" max="10247" width="17.140625" style="116" bestFit="1" customWidth="1"/>
    <col min="10248" max="10248" width="18.140625" style="116" bestFit="1" customWidth="1"/>
    <col min="10249" max="10249" width="26.42578125" style="116" customWidth="1"/>
    <col min="10250" max="10494" width="9.140625" style="116"/>
    <col min="10495" max="10495" width="8.7109375" style="116" bestFit="1" customWidth="1"/>
    <col min="10496" max="10496" width="13.28515625" style="116" customWidth="1"/>
    <col min="10497" max="10497" width="16.140625" style="116" bestFit="1" customWidth="1"/>
    <col min="10498" max="10498" width="23.5703125" style="116" customWidth="1"/>
    <col min="10499" max="10499" width="17.28515625" style="116" customWidth="1"/>
    <col min="10500" max="10500" width="20.5703125" style="116" bestFit="1" customWidth="1"/>
    <col min="10501" max="10501" width="17.140625" style="116" customWidth="1"/>
    <col min="10502" max="10502" width="21.85546875" style="116" bestFit="1" customWidth="1"/>
    <col min="10503" max="10503" width="17.140625" style="116" bestFit="1" customWidth="1"/>
    <col min="10504" max="10504" width="18.140625" style="116" bestFit="1" customWidth="1"/>
    <col min="10505" max="10505" width="26.42578125" style="116" customWidth="1"/>
    <col min="10506" max="10750" width="9.140625" style="116"/>
    <col min="10751" max="10751" width="8.7109375" style="116" bestFit="1" customWidth="1"/>
    <col min="10752" max="10752" width="13.28515625" style="116" customWidth="1"/>
    <col min="10753" max="10753" width="16.140625" style="116" bestFit="1" customWidth="1"/>
    <col min="10754" max="10754" width="23.5703125" style="116" customWidth="1"/>
    <col min="10755" max="10755" width="17.28515625" style="116" customWidth="1"/>
    <col min="10756" max="10756" width="20.5703125" style="116" bestFit="1" customWidth="1"/>
    <col min="10757" max="10757" width="17.140625" style="116" customWidth="1"/>
    <col min="10758" max="10758" width="21.85546875" style="116" bestFit="1" customWidth="1"/>
    <col min="10759" max="10759" width="17.140625" style="116" bestFit="1" customWidth="1"/>
    <col min="10760" max="10760" width="18.140625" style="116" bestFit="1" customWidth="1"/>
    <col min="10761" max="10761" width="26.42578125" style="116" customWidth="1"/>
    <col min="10762" max="11006" width="9.140625" style="116"/>
    <col min="11007" max="11007" width="8.7109375" style="116" bestFit="1" customWidth="1"/>
    <col min="11008" max="11008" width="13.28515625" style="116" customWidth="1"/>
    <col min="11009" max="11009" width="16.140625" style="116" bestFit="1" customWidth="1"/>
    <col min="11010" max="11010" width="23.5703125" style="116" customWidth="1"/>
    <col min="11011" max="11011" width="17.28515625" style="116" customWidth="1"/>
    <col min="11012" max="11012" width="20.5703125" style="116" bestFit="1" customWidth="1"/>
    <col min="11013" max="11013" width="17.140625" style="116" customWidth="1"/>
    <col min="11014" max="11014" width="21.85546875" style="116" bestFit="1" customWidth="1"/>
    <col min="11015" max="11015" width="17.140625" style="116" bestFit="1" customWidth="1"/>
    <col min="11016" max="11016" width="18.140625" style="116" bestFit="1" customWidth="1"/>
    <col min="11017" max="11017" width="26.42578125" style="116" customWidth="1"/>
    <col min="11018" max="11262" width="9.140625" style="116"/>
    <col min="11263" max="11263" width="8.7109375" style="116" bestFit="1" customWidth="1"/>
    <col min="11264" max="11264" width="13.28515625" style="116" customWidth="1"/>
    <col min="11265" max="11265" width="16.140625" style="116" bestFit="1" customWidth="1"/>
    <col min="11266" max="11266" width="23.5703125" style="116" customWidth="1"/>
    <col min="11267" max="11267" width="17.28515625" style="116" customWidth="1"/>
    <col min="11268" max="11268" width="20.5703125" style="116" bestFit="1" customWidth="1"/>
    <col min="11269" max="11269" width="17.140625" style="116" customWidth="1"/>
    <col min="11270" max="11270" width="21.85546875" style="116" bestFit="1" customWidth="1"/>
    <col min="11271" max="11271" width="17.140625" style="116" bestFit="1" customWidth="1"/>
    <col min="11272" max="11272" width="18.140625" style="116" bestFit="1" customWidth="1"/>
    <col min="11273" max="11273" width="26.42578125" style="116" customWidth="1"/>
    <col min="11274" max="11518" width="9.140625" style="116"/>
    <col min="11519" max="11519" width="8.7109375" style="116" bestFit="1" customWidth="1"/>
    <col min="11520" max="11520" width="13.28515625" style="116" customWidth="1"/>
    <col min="11521" max="11521" width="16.140625" style="116" bestFit="1" customWidth="1"/>
    <col min="11522" max="11522" width="23.5703125" style="116" customWidth="1"/>
    <col min="11523" max="11523" width="17.28515625" style="116" customWidth="1"/>
    <col min="11524" max="11524" width="20.5703125" style="116" bestFit="1" customWidth="1"/>
    <col min="11525" max="11525" width="17.140625" style="116" customWidth="1"/>
    <col min="11526" max="11526" width="21.85546875" style="116" bestFit="1" customWidth="1"/>
    <col min="11527" max="11527" width="17.140625" style="116" bestFit="1" customWidth="1"/>
    <col min="11528" max="11528" width="18.140625" style="116" bestFit="1" customWidth="1"/>
    <col min="11529" max="11529" width="26.42578125" style="116" customWidth="1"/>
    <col min="11530" max="11774" width="9.140625" style="116"/>
    <col min="11775" max="11775" width="8.7109375" style="116" bestFit="1" customWidth="1"/>
    <col min="11776" max="11776" width="13.28515625" style="116" customWidth="1"/>
    <col min="11777" max="11777" width="16.140625" style="116" bestFit="1" customWidth="1"/>
    <col min="11778" max="11778" width="23.5703125" style="116" customWidth="1"/>
    <col min="11779" max="11779" width="17.28515625" style="116" customWidth="1"/>
    <col min="11780" max="11780" width="20.5703125" style="116" bestFit="1" customWidth="1"/>
    <col min="11781" max="11781" width="17.140625" style="116" customWidth="1"/>
    <col min="11782" max="11782" width="21.85546875" style="116" bestFit="1" customWidth="1"/>
    <col min="11783" max="11783" width="17.140625" style="116" bestFit="1" customWidth="1"/>
    <col min="11784" max="11784" width="18.140625" style="116" bestFit="1" customWidth="1"/>
    <col min="11785" max="11785" width="26.42578125" style="116" customWidth="1"/>
    <col min="11786" max="12030" width="9.140625" style="116"/>
    <col min="12031" max="12031" width="8.7109375" style="116" bestFit="1" customWidth="1"/>
    <col min="12032" max="12032" width="13.28515625" style="116" customWidth="1"/>
    <col min="12033" max="12033" width="16.140625" style="116" bestFit="1" customWidth="1"/>
    <col min="12034" max="12034" width="23.5703125" style="116" customWidth="1"/>
    <col min="12035" max="12035" width="17.28515625" style="116" customWidth="1"/>
    <col min="12036" max="12036" width="20.5703125" style="116" bestFit="1" customWidth="1"/>
    <col min="12037" max="12037" width="17.140625" style="116" customWidth="1"/>
    <col min="12038" max="12038" width="21.85546875" style="116" bestFit="1" customWidth="1"/>
    <col min="12039" max="12039" width="17.140625" style="116" bestFit="1" customWidth="1"/>
    <col min="12040" max="12040" width="18.140625" style="116" bestFit="1" customWidth="1"/>
    <col min="12041" max="12041" width="26.42578125" style="116" customWidth="1"/>
    <col min="12042" max="12286" width="9.140625" style="116"/>
    <col min="12287" max="12287" width="8.7109375" style="116" bestFit="1" customWidth="1"/>
    <col min="12288" max="12288" width="13.28515625" style="116" customWidth="1"/>
    <col min="12289" max="12289" width="16.140625" style="116" bestFit="1" customWidth="1"/>
    <col min="12290" max="12290" width="23.5703125" style="116" customWidth="1"/>
    <col min="12291" max="12291" width="17.28515625" style="116" customWidth="1"/>
    <col min="12292" max="12292" width="20.5703125" style="116" bestFit="1" customWidth="1"/>
    <col min="12293" max="12293" width="17.140625" style="116" customWidth="1"/>
    <col min="12294" max="12294" width="21.85546875" style="116" bestFit="1" customWidth="1"/>
    <col min="12295" max="12295" width="17.140625" style="116" bestFit="1" customWidth="1"/>
    <col min="12296" max="12296" width="18.140625" style="116" bestFit="1" customWidth="1"/>
    <col min="12297" max="12297" width="26.42578125" style="116" customWidth="1"/>
    <col min="12298" max="12542" width="9.140625" style="116"/>
    <col min="12543" max="12543" width="8.7109375" style="116" bestFit="1" customWidth="1"/>
    <col min="12544" max="12544" width="13.28515625" style="116" customWidth="1"/>
    <col min="12545" max="12545" width="16.140625" style="116" bestFit="1" customWidth="1"/>
    <col min="12546" max="12546" width="23.5703125" style="116" customWidth="1"/>
    <col min="12547" max="12547" width="17.28515625" style="116" customWidth="1"/>
    <col min="12548" max="12548" width="20.5703125" style="116" bestFit="1" customWidth="1"/>
    <col min="12549" max="12549" width="17.140625" style="116" customWidth="1"/>
    <col min="12550" max="12550" width="21.85546875" style="116" bestFit="1" customWidth="1"/>
    <col min="12551" max="12551" width="17.140625" style="116" bestFit="1" customWidth="1"/>
    <col min="12552" max="12552" width="18.140625" style="116" bestFit="1" customWidth="1"/>
    <col min="12553" max="12553" width="26.42578125" style="116" customWidth="1"/>
    <col min="12554" max="12798" width="9.140625" style="116"/>
    <col min="12799" max="12799" width="8.7109375" style="116" bestFit="1" customWidth="1"/>
    <col min="12800" max="12800" width="13.28515625" style="116" customWidth="1"/>
    <col min="12801" max="12801" width="16.140625" style="116" bestFit="1" customWidth="1"/>
    <col min="12802" max="12802" width="23.5703125" style="116" customWidth="1"/>
    <col min="12803" max="12803" width="17.28515625" style="116" customWidth="1"/>
    <col min="12804" max="12804" width="20.5703125" style="116" bestFit="1" customWidth="1"/>
    <col min="12805" max="12805" width="17.140625" style="116" customWidth="1"/>
    <col min="12806" max="12806" width="21.85546875" style="116" bestFit="1" customWidth="1"/>
    <col min="12807" max="12807" width="17.140625" style="116" bestFit="1" customWidth="1"/>
    <col min="12808" max="12808" width="18.140625" style="116" bestFit="1" customWidth="1"/>
    <col min="12809" max="12809" width="26.42578125" style="116" customWidth="1"/>
    <col min="12810" max="13054" width="9.140625" style="116"/>
    <col min="13055" max="13055" width="8.7109375" style="116" bestFit="1" customWidth="1"/>
    <col min="13056" max="13056" width="13.28515625" style="116" customWidth="1"/>
    <col min="13057" max="13057" width="16.140625" style="116" bestFit="1" customWidth="1"/>
    <col min="13058" max="13058" width="23.5703125" style="116" customWidth="1"/>
    <col min="13059" max="13059" width="17.28515625" style="116" customWidth="1"/>
    <col min="13060" max="13060" width="20.5703125" style="116" bestFit="1" customWidth="1"/>
    <col min="13061" max="13061" width="17.140625" style="116" customWidth="1"/>
    <col min="13062" max="13062" width="21.85546875" style="116" bestFit="1" customWidth="1"/>
    <col min="13063" max="13063" width="17.140625" style="116" bestFit="1" customWidth="1"/>
    <col min="13064" max="13064" width="18.140625" style="116" bestFit="1" customWidth="1"/>
    <col min="13065" max="13065" width="26.42578125" style="116" customWidth="1"/>
    <col min="13066" max="13310" width="9.140625" style="116"/>
    <col min="13311" max="13311" width="8.7109375" style="116" bestFit="1" customWidth="1"/>
    <col min="13312" max="13312" width="13.28515625" style="116" customWidth="1"/>
    <col min="13313" max="13313" width="16.140625" style="116" bestFit="1" customWidth="1"/>
    <col min="13314" max="13314" width="23.5703125" style="116" customWidth="1"/>
    <col min="13315" max="13315" width="17.28515625" style="116" customWidth="1"/>
    <col min="13316" max="13316" width="20.5703125" style="116" bestFit="1" customWidth="1"/>
    <col min="13317" max="13317" width="17.140625" style="116" customWidth="1"/>
    <col min="13318" max="13318" width="21.85546875" style="116" bestFit="1" customWidth="1"/>
    <col min="13319" max="13319" width="17.140625" style="116" bestFit="1" customWidth="1"/>
    <col min="13320" max="13320" width="18.140625" style="116" bestFit="1" customWidth="1"/>
    <col min="13321" max="13321" width="26.42578125" style="116" customWidth="1"/>
    <col min="13322" max="13566" width="9.140625" style="116"/>
    <col min="13567" max="13567" width="8.7109375" style="116" bestFit="1" customWidth="1"/>
    <col min="13568" max="13568" width="13.28515625" style="116" customWidth="1"/>
    <col min="13569" max="13569" width="16.140625" style="116" bestFit="1" customWidth="1"/>
    <col min="13570" max="13570" width="23.5703125" style="116" customWidth="1"/>
    <col min="13571" max="13571" width="17.28515625" style="116" customWidth="1"/>
    <col min="13572" max="13572" width="20.5703125" style="116" bestFit="1" customWidth="1"/>
    <col min="13573" max="13573" width="17.140625" style="116" customWidth="1"/>
    <col min="13574" max="13574" width="21.85546875" style="116" bestFit="1" customWidth="1"/>
    <col min="13575" max="13575" width="17.140625" style="116" bestFit="1" customWidth="1"/>
    <col min="13576" max="13576" width="18.140625" style="116" bestFit="1" customWidth="1"/>
    <col min="13577" max="13577" width="26.42578125" style="116" customWidth="1"/>
    <col min="13578" max="13822" width="9.140625" style="116"/>
    <col min="13823" max="13823" width="8.7109375" style="116" bestFit="1" customWidth="1"/>
    <col min="13824" max="13824" width="13.28515625" style="116" customWidth="1"/>
    <col min="13825" max="13825" width="16.140625" style="116" bestFit="1" customWidth="1"/>
    <col min="13826" max="13826" width="23.5703125" style="116" customWidth="1"/>
    <col min="13827" max="13827" width="17.28515625" style="116" customWidth="1"/>
    <col min="13828" max="13828" width="20.5703125" style="116" bestFit="1" customWidth="1"/>
    <col min="13829" max="13829" width="17.140625" style="116" customWidth="1"/>
    <col min="13830" max="13830" width="21.85546875" style="116" bestFit="1" customWidth="1"/>
    <col min="13831" max="13831" width="17.140625" style="116" bestFit="1" customWidth="1"/>
    <col min="13832" max="13832" width="18.140625" style="116" bestFit="1" customWidth="1"/>
    <col min="13833" max="13833" width="26.42578125" style="116" customWidth="1"/>
    <col min="13834" max="14078" width="9.140625" style="116"/>
    <col min="14079" max="14079" width="8.7109375" style="116" bestFit="1" customWidth="1"/>
    <col min="14080" max="14080" width="13.28515625" style="116" customWidth="1"/>
    <col min="14081" max="14081" width="16.140625" style="116" bestFit="1" customWidth="1"/>
    <col min="14082" max="14082" width="23.5703125" style="116" customWidth="1"/>
    <col min="14083" max="14083" width="17.28515625" style="116" customWidth="1"/>
    <col min="14084" max="14084" width="20.5703125" style="116" bestFit="1" customWidth="1"/>
    <col min="14085" max="14085" width="17.140625" style="116" customWidth="1"/>
    <col min="14086" max="14086" width="21.85546875" style="116" bestFit="1" customWidth="1"/>
    <col min="14087" max="14087" width="17.140625" style="116" bestFit="1" customWidth="1"/>
    <col min="14088" max="14088" width="18.140625" style="116" bestFit="1" customWidth="1"/>
    <col min="14089" max="14089" width="26.42578125" style="116" customWidth="1"/>
    <col min="14090" max="14334" width="9.140625" style="116"/>
    <col min="14335" max="14335" width="8.7109375" style="116" bestFit="1" customWidth="1"/>
    <col min="14336" max="14336" width="13.28515625" style="116" customWidth="1"/>
    <col min="14337" max="14337" width="16.140625" style="116" bestFit="1" customWidth="1"/>
    <col min="14338" max="14338" width="23.5703125" style="116" customWidth="1"/>
    <col min="14339" max="14339" width="17.28515625" style="116" customWidth="1"/>
    <col min="14340" max="14340" width="20.5703125" style="116" bestFit="1" customWidth="1"/>
    <col min="14341" max="14341" width="17.140625" style="116" customWidth="1"/>
    <col min="14342" max="14342" width="21.85546875" style="116" bestFit="1" customWidth="1"/>
    <col min="14343" max="14343" width="17.140625" style="116" bestFit="1" customWidth="1"/>
    <col min="14344" max="14344" width="18.140625" style="116" bestFit="1" customWidth="1"/>
    <col min="14345" max="14345" width="26.42578125" style="116" customWidth="1"/>
    <col min="14346" max="14590" width="9.140625" style="116"/>
    <col min="14591" max="14591" width="8.7109375" style="116" bestFit="1" customWidth="1"/>
    <col min="14592" max="14592" width="13.28515625" style="116" customWidth="1"/>
    <col min="14593" max="14593" width="16.140625" style="116" bestFit="1" customWidth="1"/>
    <col min="14594" max="14594" width="23.5703125" style="116" customWidth="1"/>
    <col min="14595" max="14595" width="17.28515625" style="116" customWidth="1"/>
    <col min="14596" max="14596" width="20.5703125" style="116" bestFit="1" customWidth="1"/>
    <col min="14597" max="14597" width="17.140625" style="116" customWidth="1"/>
    <col min="14598" max="14598" width="21.85546875" style="116" bestFit="1" customWidth="1"/>
    <col min="14599" max="14599" width="17.140625" style="116" bestFit="1" customWidth="1"/>
    <col min="14600" max="14600" width="18.140625" style="116" bestFit="1" customWidth="1"/>
    <col min="14601" max="14601" width="26.42578125" style="116" customWidth="1"/>
    <col min="14602" max="14846" width="9.140625" style="116"/>
    <col min="14847" max="14847" width="8.7109375" style="116" bestFit="1" customWidth="1"/>
    <col min="14848" max="14848" width="13.28515625" style="116" customWidth="1"/>
    <col min="14849" max="14849" width="16.140625" style="116" bestFit="1" customWidth="1"/>
    <col min="14850" max="14850" width="23.5703125" style="116" customWidth="1"/>
    <col min="14851" max="14851" width="17.28515625" style="116" customWidth="1"/>
    <col min="14852" max="14852" width="20.5703125" style="116" bestFit="1" customWidth="1"/>
    <col min="14853" max="14853" width="17.140625" style="116" customWidth="1"/>
    <col min="14854" max="14854" width="21.85546875" style="116" bestFit="1" customWidth="1"/>
    <col min="14855" max="14855" width="17.140625" style="116" bestFit="1" customWidth="1"/>
    <col min="14856" max="14856" width="18.140625" style="116" bestFit="1" customWidth="1"/>
    <col min="14857" max="14857" width="26.42578125" style="116" customWidth="1"/>
    <col min="14858" max="15102" width="9.140625" style="116"/>
    <col min="15103" max="15103" width="8.7109375" style="116" bestFit="1" customWidth="1"/>
    <col min="15104" max="15104" width="13.28515625" style="116" customWidth="1"/>
    <col min="15105" max="15105" width="16.140625" style="116" bestFit="1" customWidth="1"/>
    <col min="15106" max="15106" width="23.5703125" style="116" customWidth="1"/>
    <col min="15107" max="15107" width="17.28515625" style="116" customWidth="1"/>
    <col min="15108" max="15108" width="20.5703125" style="116" bestFit="1" customWidth="1"/>
    <col min="15109" max="15109" width="17.140625" style="116" customWidth="1"/>
    <col min="15110" max="15110" width="21.85546875" style="116" bestFit="1" customWidth="1"/>
    <col min="15111" max="15111" width="17.140625" style="116" bestFit="1" customWidth="1"/>
    <col min="15112" max="15112" width="18.140625" style="116" bestFit="1" customWidth="1"/>
    <col min="15113" max="15113" width="26.42578125" style="116" customWidth="1"/>
    <col min="15114" max="15358" width="9.140625" style="116"/>
    <col min="15359" max="15359" width="8.7109375" style="116" bestFit="1" customWidth="1"/>
    <col min="15360" max="15360" width="13.28515625" style="116" customWidth="1"/>
    <col min="15361" max="15361" width="16.140625" style="116" bestFit="1" customWidth="1"/>
    <col min="15362" max="15362" width="23.5703125" style="116" customWidth="1"/>
    <col min="15363" max="15363" width="17.28515625" style="116" customWidth="1"/>
    <col min="15364" max="15364" width="20.5703125" style="116" bestFit="1" customWidth="1"/>
    <col min="15365" max="15365" width="17.140625" style="116" customWidth="1"/>
    <col min="15366" max="15366" width="21.85546875" style="116" bestFit="1" customWidth="1"/>
    <col min="15367" max="15367" width="17.140625" style="116" bestFit="1" customWidth="1"/>
    <col min="15368" max="15368" width="18.140625" style="116" bestFit="1" customWidth="1"/>
    <col min="15369" max="15369" width="26.42578125" style="116" customWidth="1"/>
    <col min="15370" max="15614" width="9.140625" style="116"/>
    <col min="15615" max="15615" width="8.7109375" style="116" bestFit="1" customWidth="1"/>
    <col min="15616" max="15616" width="13.28515625" style="116" customWidth="1"/>
    <col min="15617" max="15617" width="16.140625" style="116" bestFit="1" customWidth="1"/>
    <col min="15618" max="15618" width="23.5703125" style="116" customWidth="1"/>
    <col min="15619" max="15619" width="17.28515625" style="116" customWidth="1"/>
    <col min="15620" max="15620" width="20.5703125" style="116" bestFit="1" customWidth="1"/>
    <col min="15621" max="15621" width="17.140625" style="116" customWidth="1"/>
    <col min="15622" max="15622" width="21.85546875" style="116" bestFit="1" customWidth="1"/>
    <col min="15623" max="15623" width="17.140625" style="116" bestFit="1" customWidth="1"/>
    <col min="15624" max="15624" width="18.140625" style="116" bestFit="1" customWidth="1"/>
    <col min="15625" max="15625" width="26.42578125" style="116" customWidth="1"/>
    <col min="15626" max="15870" width="9.140625" style="116"/>
    <col min="15871" max="15871" width="8.7109375" style="116" bestFit="1" customWidth="1"/>
    <col min="15872" max="15872" width="13.28515625" style="116" customWidth="1"/>
    <col min="15873" max="15873" width="16.140625" style="116" bestFit="1" customWidth="1"/>
    <col min="15874" max="15874" width="23.5703125" style="116" customWidth="1"/>
    <col min="15875" max="15875" width="17.28515625" style="116" customWidth="1"/>
    <col min="15876" max="15876" width="20.5703125" style="116" bestFit="1" customWidth="1"/>
    <col min="15877" max="15877" width="17.140625" style="116" customWidth="1"/>
    <col min="15878" max="15878" width="21.85546875" style="116" bestFit="1" customWidth="1"/>
    <col min="15879" max="15879" width="17.140625" style="116" bestFit="1" customWidth="1"/>
    <col min="15880" max="15880" width="18.140625" style="116" bestFit="1" customWidth="1"/>
    <col min="15881" max="15881" width="26.42578125" style="116" customWidth="1"/>
    <col min="15882" max="16126" width="9.140625" style="116"/>
    <col min="16127" max="16127" width="8.7109375" style="116" bestFit="1" customWidth="1"/>
    <col min="16128" max="16128" width="13.28515625" style="116" customWidth="1"/>
    <col min="16129" max="16129" width="16.140625" style="116" bestFit="1" customWidth="1"/>
    <col min="16130" max="16130" width="23.5703125" style="116" customWidth="1"/>
    <col min="16131" max="16131" width="17.28515625" style="116" customWidth="1"/>
    <col min="16132" max="16132" width="20.5703125" style="116" bestFit="1" customWidth="1"/>
    <col min="16133" max="16133" width="17.140625" style="116" customWidth="1"/>
    <col min="16134" max="16134" width="21.85546875" style="116" bestFit="1" customWidth="1"/>
    <col min="16135" max="16135" width="17.140625" style="116" bestFit="1" customWidth="1"/>
    <col min="16136" max="16136" width="18.140625" style="116" bestFit="1" customWidth="1"/>
    <col min="16137" max="16137" width="26.42578125" style="116" customWidth="1"/>
    <col min="16138" max="16384" width="9.140625" style="116"/>
  </cols>
  <sheetData>
    <row r="1" spans="11:12" s="134" customFormat="1" x14ac:dyDescent="0.2">
      <c r="K1" s="482"/>
      <c r="L1" s="481"/>
    </row>
    <row r="2" spans="11:12" s="134" customFormat="1" x14ac:dyDescent="0.2">
      <c r="K2" s="482"/>
      <c r="L2" s="481"/>
    </row>
    <row r="3" spans="11:12" s="134" customFormat="1" x14ac:dyDescent="0.2">
      <c r="K3" s="482"/>
      <c r="L3" s="481"/>
    </row>
    <row r="4" spans="11:12" s="134" customFormat="1" x14ac:dyDescent="0.2">
      <c r="K4" s="482"/>
      <c r="L4" s="481"/>
    </row>
    <row r="5" spans="11:12" s="134" customFormat="1" x14ac:dyDescent="0.2">
      <c r="K5" s="482"/>
      <c r="L5" s="481"/>
    </row>
    <row r="6" spans="11:12" s="134" customFormat="1" x14ac:dyDescent="0.2">
      <c r="K6" s="482"/>
      <c r="L6" s="481"/>
    </row>
    <row r="7" spans="11:12" s="134" customFormat="1" x14ac:dyDescent="0.2">
      <c r="K7" s="482"/>
      <c r="L7" s="481"/>
    </row>
    <row r="8" spans="11:12" s="134" customFormat="1" x14ac:dyDescent="0.2">
      <c r="K8" s="482"/>
      <c r="L8" s="481"/>
    </row>
    <row r="9" spans="11:12" s="134" customFormat="1" x14ac:dyDescent="0.2">
      <c r="K9" s="482"/>
      <c r="L9" s="481"/>
    </row>
    <row r="10" spans="11:12" s="134" customFormat="1" x14ac:dyDescent="0.2">
      <c r="K10" s="482"/>
      <c r="L10" s="481"/>
    </row>
    <row r="11" spans="11:12" s="134" customFormat="1" x14ac:dyDescent="0.2">
      <c r="K11" s="482"/>
      <c r="L11" s="481"/>
    </row>
    <row r="12" spans="11:12" s="134" customFormat="1" x14ac:dyDescent="0.2">
      <c r="K12" s="482"/>
      <c r="L12" s="481"/>
    </row>
    <row r="13" spans="11:12" s="134" customFormat="1" x14ac:dyDescent="0.2">
      <c r="K13" s="482"/>
      <c r="L13" s="481"/>
    </row>
    <row r="14" spans="11:12" s="134" customFormat="1" x14ac:dyDescent="0.2">
      <c r="K14" s="482"/>
      <c r="L14" s="481"/>
    </row>
    <row r="15" spans="11:12" s="134" customFormat="1" x14ac:dyDescent="0.2">
      <c r="K15" s="482"/>
      <c r="L15" s="481"/>
    </row>
    <row r="16" spans="11:12" s="134" customFormat="1" x14ac:dyDescent="0.2">
      <c r="K16" s="482"/>
      <c r="L16" s="481"/>
    </row>
    <row r="17" spans="1:17" s="134" customFormat="1" x14ac:dyDescent="0.2">
      <c r="K17" s="482"/>
      <c r="L17" s="481"/>
    </row>
    <row r="18" spans="1:17" s="134" customFormat="1" x14ac:dyDescent="0.2">
      <c r="K18" s="482"/>
      <c r="L18" s="481"/>
    </row>
    <row r="19" spans="1:17" s="134" customFormat="1" x14ac:dyDescent="0.2">
      <c r="K19" s="482"/>
      <c r="L19" s="481"/>
    </row>
    <row r="20" spans="1:17" s="134" customFormat="1" x14ac:dyDescent="0.2">
      <c r="K20" s="482"/>
      <c r="L20" s="481"/>
    </row>
    <row r="21" spans="1:17" s="134" customFormat="1" x14ac:dyDescent="0.2">
      <c r="K21" s="482"/>
      <c r="L21" s="481"/>
    </row>
    <row r="22" spans="1:17" s="134" customFormat="1" x14ac:dyDescent="0.2">
      <c r="K22" s="482"/>
      <c r="L22" s="481"/>
    </row>
    <row r="23" spans="1:17" s="134" customFormat="1" x14ac:dyDescent="0.2">
      <c r="K23" s="482"/>
      <c r="L23" s="481"/>
    </row>
    <row r="24" spans="1:17" s="134" customFormat="1" x14ac:dyDescent="0.2">
      <c r="K24" s="482"/>
      <c r="L24" s="481"/>
    </row>
    <row r="25" spans="1:17" s="134" customFormat="1" x14ac:dyDescent="0.2">
      <c r="K25" s="482"/>
      <c r="L25" s="481"/>
    </row>
    <row r="26" spans="1:17" s="134" customFormat="1" x14ac:dyDescent="0.2">
      <c r="K26" s="482"/>
      <c r="L26" s="481"/>
    </row>
    <row r="27" spans="1:17" s="134" customFormat="1" x14ac:dyDescent="0.2">
      <c r="K27" s="482"/>
      <c r="L27" s="481"/>
    </row>
    <row r="28" spans="1:17" s="134" customFormat="1" ht="24.75" customHeight="1" x14ac:dyDescent="0.25">
      <c r="A28" s="508" t="str">
        <f>CHOOSE(MODE, 'Variable Mgmt'!K11,'Variable Mgmt'!K12)</f>
        <v>SINGLE Output PSR Flyback Converter, VIN = 24 V, VOUT = 5 V, IOUT = 0.5 A</v>
      </c>
      <c r="K28" s="481"/>
      <c r="L28" s="481"/>
    </row>
    <row r="29" spans="1:17" ht="24.75" customHeight="1" thickBot="1" x14ac:dyDescent="0.25">
      <c r="A29" s="117" t="s">
        <v>539</v>
      </c>
    </row>
    <row r="30" spans="1:17" ht="18" customHeight="1" x14ac:dyDescent="0.2">
      <c r="A30" s="208" t="s">
        <v>123</v>
      </c>
      <c r="B30" s="209" t="s">
        <v>122</v>
      </c>
      <c r="C30" s="209" t="s">
        <v>6</v>
      </c>
      <c r="D30" s="671" t="s">
        <v>41</v>
      </c>
      <c r="E30" s="672"/>
      <c r="F30" s="673"/>
      <c r="G30" s="209" t="s">
        <v>116</v>
      </c>
      <c r="H30" s="209" t="s">
        <v>67</v>
      </c>
      <c r="I30" s="500" t="s">
        <v>117</v>
      </c>
      <c r="J30" s="501" t="s">
        <v>350</v>
      </c>
      <c r="K30" s="502" t="s">
        <v>359</v>
      </c>
      <c r="L30" s="475"/>
      <c r="N30" s="119"/>
      <c r="Q30" s="507"/>
    </row>
    <row r="31" spans="1:17" s="119" customFormat="1" ht="17.100000000000001" customHeight="1" x14ac:dyDescent="0.2">
      <c r="A31" s="118">
        <f>ROUNDUP('Design Converter'!E17/10,0)</f>
        <v>1</v>
      </c>
      <c r="B31" s="130" t="s">
        <v>120</v>
      </c>
      <c r="C31" s="133">
        <f>Cin</f>
        <v>10</v>
      </c>
      <c r="D31" s="669" t="str">
        <f>IF(VIN_max&gt;35, "Capacitor, Ceramic, "&amp;'Variable Mgmt'!B218&amp;", 100V, X7R, 10%", "Capacitor, Ceramic, "&amp;'Variable Mgmt'!B218&amp;", 50V, X7R, 10%")</f>
        <v>Capacitor, Ceramic, 10µF, 100V, X7R, 10%</v>
      </c>
      <c r="E31" s="670"/>
      <c r="F31" s="670"/>
      <c r="G31" s="131"/>
      <c r="H31" s="132" t="s">
        <v>118</v>
      </c>
      <c r="I31" s="487" t="s">
        <v>118</v>
      </c>
      <c r="J31" s="496" t="str">
        <f>CHOOSE(Q31,'Variable Mgmt'!T56,'Variable Mgmt'!T57,'Variable Mgmt'!T58,'Variable Mgmt'!T59,'Variable Mgmt'!T60)</f>
        <v>3.2 x 2.5</v>
      </c>
      <c r="K31" s="494">
        <f>CHOOSE(Q31,'Variable Mgmt'!U56,'Variable Mgmt'!U57,'Variable Mgmt'!U58,'Variable Mgmt'!U59,'Variable Mgmt'!U60)</f>
        <v>8</v>
      </c>
      <c r="L31" s="499"/>
      <c r="Q31" s="505">
        <v>5</v>
      </c>
    </row>
    <row r="32" spans="1:17" s="119" customFormat="1" ht="17.100000000000001" customHeight="1" x14ac:dyDescent="0.2">
      <c r="A32" s="118">
        <v>1</v>
      </c>
      <c r="B32" s="130" t="s">
        <v>121</v>
      </c>
      <c r="C32" s="133">
        <f>Cout</f>
        <v>47</v>
      </c>
      <c r="D32" s="685" t="str">
        <f>CHOOSE(Cout_Voltage_Rating, "Capacitor, Ceramic, "&amp;'Variable Mgmt'!B213&amp;", 6.3V, X7R, 10%", "Capacitor, Ceramic, "&amp;'Variable Mgmt'!B213&amp;", 10V, X7R, 10%", "Capacitor, Ceramic, "&amp;'Variable Mgmt'!B213&amp;", 16V, X7R, 10%", "Capacitor, Ceramic, "&amp;'Variable Mgmt'!B213&amp;", 25V, X7R, 10%",  "Capacitor, Ceramic, "&amp;'Variable Mgmt'!B213&amp;", 50V, X7R, 10%")</f>
        <v>Capacitor, Ceramic, 47µF, 6.3V, X7R, 10%</v>
      </c>
      <c r="E32" s="686"/>
      <c r="F32" s="686"/>
      <c r="G32" s="131"/>
      <c r="H32" s="132" t="s">
        <v>118</v>
      </c>
      <c r="I32" s="487" t="s">
        <v>118</v>
      </c>
      <c r="J32" s="496" t="str">
        <f>CHOOSE(Q32,'Variable Mgmt'!T56,'Variable Mgmt'!T57,'Variable Mgmt'!T58,'Variable Mgmt'!T59,'Variable Mgmt'!T60)</f>
        <v>3.2 x 2.5</v>
      </c>
      <c r="K32" s="494">
        <f>CHOOSE(Q32,'Variable Mgmt'!U56,'Variable Mgmt'!U57,'Variable Mgmt'!U58,'Variable Mgmt'!U59,'Variable Mgmt'!U60)</f>
        <v>8</v>
      </c>
      <c r="L32" s="499"/>
      <c r="Q32" s="506">
        <v>5</v>
      </c>
    </row>
    <row r="33" spans="1:17" s="119" customFormat="1" ht="17.100000000000001" customHeight="1" x14ac:dyDescent="0.2">
      <c r="A33" s="118" t="str">
        <f>CHOOSE(MODE, "-", "1")</f>
        <v>-</v>
      </c>
      <c r="B33" s="130" t="s">
        <v>645</v>
      </c>
      <c r="C33" s="133" t="str">
        <f>CHOOSE(MODE, "-", Cout2)</f>
        <v>-</v>
      </c>
      <c r="D33" s="620" t="str">
        <f>CHOOSE(MODE, "-", CHOOSE(Cout_Voltage_Rating, "Capacitor, Ceramic, "&amp;'Variable Mgmt'!F213&amp;", 6.3V, X7R, 10%", "Capacitor, Ceramic, "&amp;'Variable Mgmt'!F213&amp;", 10V, X7R, 10%", "Capacitor, Ceramic, "&amp;'Variable Mgmt'!F213&amp;", 16V, X7R, 10%", "Capacitor, Ceramic, "&amp;'Variable Mgmt'!F213&amp;", 25V, X7R, 10%",  "Capacitor, Ceramic, "&amp;'Variable Mgmt'!F213&amp;", 50V, X7R, 10%"))</f>
        <v>-</v>
      </c>
      <c r="E33" s="621"/>
      <c r="F33" s="621"/>
      <c r="G33" s="131"/>
      <c r="H33" s="132" t="str">
        <f>CHOOSE(MODE, "-", "Std")</f>
        <v>-</v>
      </c>
      <c r="I33" s="487" t="str">
        <f>CHOOSE(MODE, "-", "Std")</f>
        <v>-</v>
      </c>
      <c r="J33" s="496" t="str">
        <f>CHOOSE(MODE, "-", CHOOSE(Q33,'Variable Mgmt'!T56,'Variable Mgmt'!T57,'Variable Mgmt'!T58,'Variable Mgmt'!T59,'Variable Mgmt'!T60))</f>
        <v>-</v>
      </c>
      <c r="K33" s="494" t="str">
        <f>CHOOSE(MODE, "-", CHOOSE(Q33,'Variable Mgmt'!U56,'Variable Mgmt'!U57,'Variable Mgmt'!U58,'Variable Mgmt'!U59,'Variable Mgmt'!U60))</f>
        <v>-</v>
      </c>
      <c r="L33" s="499"/>
      <c r="Q33" s="506">
        <v>5</v>
      </c>
    </row>
    <row r="34" spans="1:17" s="119" customFormat="1" ht="17.100000000000001" customHeight="1" x14ac:dyDescent="0.2">
      <c r="A34" s="120" t="str">
        <f>CHOOSE(MODE_SS, "1", "-", "1")</f>
        <v>-</v>
      </c>
      <c r="B34" s="121" t="str">
        <f>CHOOSE(MODE_SS, "Css", "-")</f>
        <v>-</v>
      </c>
      <c r="C34" s="647" t="str">
        <f>CHOOSE(MODE_SS, 'Standard Value Calculator'!B4*1000000000&amp;"nF", "-", "100k")</f>
        <v>-</v>
      </c>
      <c r="D34" s="687" t="str">
        <f>CHOOSE(MODE_SS, "Capacitor, Ceramic, "&amp;'Standard Value Calculator'!B4*1000000000&amp;"nF"&amp;", 16V, X7R, 10%", "-")</f>
        <v>-</v>
      </c>
      <c r="E34" s="688"/>
      <c r="F34" s="688"/>
      <c r="G34" s="123" t="s">
        <v>119</v>
      </c>
      <c r="H34" s="124" t="str">
        <f>CHOOSE(MODE_SS, "Std", "-")</f>
        <v>-</v>
      </c>
      <c r="I34" s="488" t="str">
        <f>CHOOSE(MODE_SS, "Std", "-")</f>
        <v>-</v>
      </c>
      <c r="J34" s="496" t="str">
        <f>CHOOSE(MODE_SS,CHOOSE(Q34,'Variable Mgmt'!T56,'Variable Mgmt'!T57,'Variable Mgmt'!T58),"-",CHOOSE(Q34,'Variable Mgmt'!T56,'Variable Mgmt'!T57,'Variable Mgmt'!T58))</f>
        <v>-</v>
      </c>
      <c r="K34" s="494" t="str">
        <f>CHOOSE(MODE_SS, CHOOSE(Q34,'Variable Mgmt'!U56,'Variable Mgmt'!U57,'Variable Mgmt'!U58), "-", CHOOSE(Q34,'Variable Mgmt'!U56,'Variable Mgmt'!U57,'Variable Mgmt'!U58))</f>
        <v>-</v>
      </c>
      <c r="L34" s="499"/>
      <c r="Q34" s="506">
        <v>1</v>
      </c>
    </row>
    <row r="35" spans="1:17" s="119" customFormat="1" ht="17.100000000000001" customHeight="1" x14ac:dyDescent="0.2">
      <c r="A35" s="125">
        <v>1</v>
      </c>
      <c r="B35" s="126" t="s">
        <v>647</v>
      </c>
      <c r="C35" s="127" t="s">
        <v>194</v>
      </c>
      <c r="D35" s="678" t="str">
        <f>"Rectifying Diode, Schottky"</f>
        <v>Rectifying Diode, Schottky</v>
      </c>
      <c r="E35" s="679"/>
      <c r="F35" s="679"/>
      <c r="G35" s="128" t="e">
        <f>CHOOSE(SHORT_ILIM, "-", "0603")</f>
        <v>#NAME?</v>
      </c>
      <c r="H35" s="129" t="s">
        <v>118</v>
      </c>
      <c r="I35" s="489" t="s">
        <v>118</v>
      </c>
      <c r="J35" s="640" t="str">
        <f>CHOOSE(Q35,'Variable Mgmt'!Y65,'Variable Mgmt'!Y66,'Variable Mgmt'!Y67,'Variable Mgmt'!Y68)</f>
        <v>3.6 x 1.8</v>
      </c>
      <c r="K35" s="641">
        <f>CHOOSE(Q35,'Variable Mgmt'!Z65,'Variable Mgmt'!Z66,'Variable Mgmt'!Z67,'Variable Mgmt'!Z68)</f>
        <v>6.5</v>
      </c>
      <c r="L35" s="499"/>
      <c r="Q35" s="506">
        <v>3</v>
      </c>
    </row>
    <row r="36" spans="1:17" s="119" customFormat="1" ht="17.100000000000001" customHeight="1" x14ac:dyDescent="0.2">
      <c r="A36" s="125" t="str">
        <f>CHOOSE(MODE, "-", "1")</f>
        <v>-</v>
      </c>
      <c r="B36" s="126" t="s">
        <v>646</v>
      </c>
      <c r="C36" s="127" t="str">
        <f>CHOOSE(MODE, "-", "Diode")</f>
        <v>-</v>
      </c>
      <c r="D36" s="676" t="str">
        <f>CHOOSE(MODE, "-", "Rectifying Diode, Schottky")</f>
        <v>-</v>
      </c>
      <c r="E36" s="677"/>
      <c r="F36" s="677"/>
      <c r="G36" s="128" t="s">
        <v>119</v>
      </c>
      <c r="H36" s="129" t="str">
        <f>CHOOSE(MODE, "-", "Std")</f>
        <v>-</v>
      </c>
      <c r="I36" s="489" t="str">
        <f>CHOOSE(MODE, "-", "Std")</f>
        <v>-</v>
      </c>
      <c r="J36" s="640" t="str">
        <f>CHOOSE(MODE, "-", CHOOSE(Q36,'Variable Mgmt'!Y65,'Variable Mgmt'!Y66,'Variable Mgmt'!Y67,'Variable Mgmt'!Y68))</f>
        <v>-</v>
      </c>
      <c r="K36" s="641" t="str">
        <f>CHOOSE(MODE, "-", CHOOSE(Q36,'Variable Mgmt'!Z65,'Variable Mgmt'!Z66,'Variable Mgmt'!Z67,'Variable Mgmt'!Z68))</f>
        <v>-</v>
      </c>
      <c r="L36" s="499"/>
      <c r="Q36" s="506">
        <v>3</v>
      </c>
    </row>
    <row r="37" spans="1:17" s="119" customFormat="1" ht="17.100000000000001" customHeight="1" x14ac:dyDescent="0.2">
      <c r="A37" s="125">
        <v>1</v>
      </c>
      <c r="B37" s="126" t="s">
        <v>648</v>
      </c>
      <c r="C37" s="127" t="str">
        <f>"Diode"</f>
        <v>Diode</v>
      </c>
      <c r="D37" s="645" t="str">
        <f>"Clamp Circuit Diode, Fast Recovery"</f>
        <v>Clamp Circuit Diode, Fast Recovery</v>
      </c>
      <c r="E37" s="646"/>
      <c r="F37" s="646"/>
      <c r="G37" s="128"/>
      <c r="H37" s="129" t="s">
        <v>118</v>
      </c>
      <c r="I37" s="489" t="s">
        <v>118</v>
      </c>
      <c r="J37" s="640" t="str">
        <f>CHOOSE(Q37,'Variable Mgmt'!Y65,'Variable Mgmt'!Y66,'Variable Mgmt'!Y67,'Variable Mgmt'!Y68)</f>
        <v>2.5 x 1.25</v>
      </c>
      <c r="K37" s="641">
        <f>CHOOSE(Q37,'Variable Mgmt'!Z65,'Variable Mgmt'!Z66,'Variable Mgmt'!Z67,'Variable Mgmt'!Z68)</f>
        <v>3.2</v>
      </c>
      <c r="L37" s="499"/>
      <c r="Q37" s="506">
        <v>2</v>
      </c>
    </row>
    <row r="38" spans="1:17" s="119" customFormat="1" ht="17.100000000000001" customHeight="1" x14ac:dyDescent="0.2">
      <c r="A38" s="125">
        <v>1</v>
      </c>
      <c r="B38" s="126" t="s">
        <v>643</v>
      </c>
      <c r="C38" s="127" t="s">
        <v>644</v>
      </c>
      <c r="D38" s="676" t="str">
        <f>"Clamp Circuit Diode, Zener, 24V"</f>
        <v>Clamp Circuit Diode, Zener, 24V</v>
      </c>
      <c r="E38" s="677"/>
      <c r="F38" s="677"/>
      <c r="G38" s="128" t="s">
        <v>119</v>
      </c>
      <c r="H38" s="129" t="s">
        <v>118</v>
      </c>
      <c r="I38" s="489" t="s">
        <v>118</v>
      </c>
      <c r="J38" s="640" t="str">
        <f>CHOOSE(Q38,'Variable Mgmt'!T56,'Variable Mgmt'!T57,'Variable Mgmt'!T58)</f>
        <v>2.0 x 1.25</v>
      </c>
      <c r="K38" s="641">
        <f>CHOOSE(Q38,'Variable Mgmt'!Z65,'Variable Mgmt'!Z66,'Variable Mgmt'!Z67,'Variable Mgmt'!Z68)</f>
        <v>6.5</v>
      </c>
      <c r="L38" s="499"/>
      <c r="Q38" s="506">
        <v>3</v>
      </c>
    </row>
    <row r="39" spans="1:17" s="119" customFormat="1" ht="17.100000000000001" customHeight="1" x14ac:dyDescent="0.2">
      <c r="A39" s="125">
        <v>1</v>
      </c>
      <c r="B39" s="126" t="s">
        <v>658</v>
      </c>
      <c r="C39" s="127" t="str">
        <f>Vout*1.1&amp;"V"</f>
        <v>5.5V</v>
      </c>
      <c r="D39" s="645" t="str">
        <f>"Output Clamp Diode, Zener, "&amp;ROUND(Vout*1.125,0)&amp;"V"</f>
        <v>Output Clamp Diode, Zener, 6V</v>
      </c>
      <c r="E39" s="646"/>
      <c r="F39" s="646"/>
      <c r="G39" s="128"/>
      <c r="H39" s="129" t="s">
        <v>118</v>
      </c>
      <c r="I39" s="489" t="s">
        <v>118</v>
      </c>
      <c r="J39" s="640" t="str">
        <f>CHOOSE(Q39,'Variable Mgmt'!T56,'Variable Mgmt'!T57,'Variable Mgmt'!T58)</f>
        <v>1.0 x 0.5</v>
      </c>
      <c r="K39" s="641">
        <f>CHOOSE(Q39,'Variable Mgmt'!Z65,'Variable Mgmt'!Z66,'Variable Mgmt'!Z67,'Variable Mgmt'!Z68)</f>
        <v>1.3</v>
      </c>
      <c r="L39" s="499"/>
      <c r="Q39" s="506">
        <v>1</v>
      </c>
    </row>
    <row r="40" spans="1:17" s="119" customFormat="1" ht="17.100000000000001" customHeight="1" x14ac:dyDescent="0.2">
      <c r="A40" s="120">
        <v>1</v>
      </c>
      <c r="B40" s="121" t="s">
        <v>649</v>
      </c>
      <c r="C40" s="122">
        <v>12.1</v>
      </c>
      <c r="D40" s="674">
        <f t="shared" ref="D40" si="0">C40</f>
        <v>12.1</v>
      </c>
      <c r="E40" s="675"/>
      <c r="F40" s="675"/>
      <c r="G40" s="123" t="s">
        <v>119</v>
      </c>
      <c r="H40" s="124" t="s">
        <v>118</v>
      </c>
      <c r="I40" s="488" t="s">
        <v>118</v>
      </c>
      <c r="J40" s="496" t="str">
        <f>CHOOSE(Q40,'Variable Mgmt'!T56,'Variable Mgmt'!T57,'Variable Mgmt'!T58)</f>
        <v>1.0 x 0.5</v>
      </c>
      <c r="K40" s="494">
        <f>CHOOSE(Q40,'Variable Mgmt'!U56,'Variable Mgmt'!U57,'Variable Mgmt'!U58,'Variable Mgmt'!U59,'Variable Mgmt'!U60)</f>
        <v>0.5</v>
      </c>
      <c r="L40" s="499"/>
      <c r="Q40" s="506">
        <v>1</v>
      </c>
    </row>
    <row r="41" spans="1:17" s="119" customFormat="1" ht="17.100000000000001" customHeight="1" x14ac:dyDescent="0.2">
      <c r="A41" s="120">
        <v>1</v>
      </c>
      <c r="B41" s="121" t="s">
        <v>541</v>
      </c>
      <c r="C41" s="122">
        <f>Rfb/1000</f>
        <v>158</v>
      </c>
      <c r="D41" s="674">
        <f>C41</f>
        <v>158</v>
      </c>
      <c r="E41" s="675"/>
      <c r="F41" s="675"/>
      <c r="G41" s="123" t="s">
        <v>119</v>
      </c>
      <c r="H41" s="124" t="s">
        <v>118</v>
      </c>
      <c r="I41" s="488" t="s">
        <v>118</v>
      </c>
      <c r="J41" s="496" t="str">
        <f>CHOOSE(Q41,'Variable Mgmt'!T56,'Variable Mgmt'!T57,'Variable Mgmt'!T58)</f>
        <v>1.0 x 0.5</v>
      </c>
      <c r="K41" s="494">
        <f>CHOOSE(Q41,'Variable Mgmt'!U56,'Variable Mgmt'!U57,'Variable Mgmt'!U58,'Variable Mgmt'!U59,'Variable Mgmt'!U60)</f>
        <v>0.5</v>
      </c>
      <c r="L41" s="499"/>
      <c r="Q41" s="506">
        <v>1</v>
      </c>
    </row>
    <row r="42" spans="1:17" s="119" customFormat="1" ht="17.100000000000001" customHeight="1" x14ac:dyDescent="0.2">
      <c r="A42" s="120" t="str">
        <f>CHOOSE(MODE_UVLO, "1", "-")</f>
        <v>-</v>
      </c>
      <c r="B42" s="121" t="s">
        <v>126</v>
      </c>
      <c r="C42" s="467" t="str">
        <f>CHOOSE(MODE_UVLO, 'Variable Mgmt'!H237, "-")</f>
        <v>-</v>
      </c>
      <c r="D42" s="683" t="str">
        <f>CHOOSE(MODE_UVLO, "Resistor, Chip, "&amp;'Variable Mgmt'!C237&amp;", 1/16W, 1%", "-")</f>
        <v>-</v>
      </c>
      <c r="E42" s="684"/>
      <c r="F42" s="684"/>
      <c r="G42" s="123" t="s">
        <v>119</v>
      </c>
      <c r="H42" s="124" t="str">
        <f t="shared" ref="H42:I43" si="1">CHOOSE(MODE_UVLO, "Std", "-")</f>
        <v>-</v>
      </c>
      <c r="I42" s="488" t="str">
        <f t="shared" si="1"/>
        <v>-</v>
      </c>
      <c r="J42" s="496" t="str">
        <f>CHOOSE(MODE_UVLO, CHOOSE(Q42,'Variable Mgmt'!T56,'Variable Mgmt'!T57,'Variable Mgmt'!T58), "-")</f>
        <v>-</v>
      </c>
      <c r="K42" s="494" t="str">
        <f>CHOOSE(MODE_UVLO, CHOOSE(Q42,'Variable Mgmt'!U56,'Variable Mgmt'!U57,'Variable Mgmt'!U58,'Variable Mgmt'!U59,'Variable Mgmt'!U60),"-")</f>
        <v>-</v>
      </c>
      <c r="L42" s="499"/>
      <c r="Q42" s="506">
        <v>1</v>
      </c>
    </row>
    <row r="43" spans="1:17" s="119" customFormat="1" ht="17.100000000000001" customHeight="1" x14ac:dyDescent="0.2">
      <c r="A43" s="120" t="str">
        <f>CHOOSE(MODE_UVLO, "1", "-")</f>
        <v>-</v>
      </c>
      <c r="B43" s="121" t="s">
        <v>127</v>
      </c>
      <c r="C43" s="467" t="str">
        <f>CHOOSE(MODE_UVLO, 'Variable Mgmt'!H238, "-")</f>
        <v>-</v>
      </c>
      <c r="D43" s="683" t="str">
        <f>CHOOSE(MODE_UVLO, "Resistor, Chip, "&amp;'Variable Mgmt'!C238&amp;", 1/16W, 1%", "-")</f>
        <v>-</v>
      </c>
      <c r="E43" s="684"/>
      <c r="F43" s="684"/>
      <c r="G43" s="123" t="s">
        <v>119</v>
      </c>
      <c r="H43" s="124" t="str">
        <f t="shared" si="1"/>
        <v>-</v>
      </c>
      <c r="I43" s="488" t="str">
        <f t="shared" si="1"/>
        <v>-</v>
      </c>
      <c r="J43" s="496" t="str">
        <f>CHOOSE(MODE_UVLO, CHOOSE(Q43,'Variable Mgmt'!T56,'Variable Mgmt'!T57,'Variable Mgmt'!T58), "-")</f>
        <v>-</v>
      </c>
      <c r="K43" s="494" t="str">
        <f>CHOOSE(MODE_UVLO, CHOOSE(Q43,'Variable Mgmt'!U56,'Variable Mgmt'!U57,'Variable Mgmt'!U58,'Variable Mgmt'!U59,'Variable Mgmt'!U60),"-")</f>
        <v>-</v>
      </c>
      <c r="L43" s="499"/>
      <c r="Q43" s="506">
        <v>1</v>
      </c>
    </row>
    <row r="44" spans="1:17" s="119" customFormat="1" ht="17.100000000000001" customHeight="1" x14ac:dyDescent="0.2">
      <c r="A44" s="120" t="str">
        <f>CHOOSE(MODE_TC, "1", "-")</f>
        <v>-</v>
      </c>
      <c r="B44" s="121" t="s">
        <v>531</v>
      </c>
      <c r="C44" s="122" t="str">
        <f>CHOOSE(MODE_TC, RTC, "-")</f>
        <v>-</v>
      </c>
      <c r="D44" s="674" t="str">
        <f>CHOOSE(MODE_TC, "Resistor, Chip, "&amp;'Variable Mgmt'!B233&amp;", 1/16W, 1%", "-")</f>
        <v>-</v>
      </c>
      <c r="E44" s="675"/>
      <c r="F44" s="675"/>
      <c r="G44" s="123" t="s">
        <v>119</v>
      </c>
      <c r="H44" s="124" t="str">
        <f>CHOOSE(MODE_TC, "Std", "-")</f>
        <v>-</v>
      </c>
      <c r="I44" s="488" t="str">
        <f>CHOOSE(MODE_TC, "Std", "-")</f>
        <v>-</v>
      </c>
      <c r="J44" s="496" t="str">
        <f>CHOOSE(MODE_TC, CHOOSE(Q44,'Variable Mgmt'!T56,'Variable Mgmt'!T377,'Variable Mgmt'!T58), "-")</f>
        <v>-</v>
      </c>
      <c r="K44" s="494" t="str">
        <f>CHOOSE(MODE_TC, CHOOSE(Q44,'Variable Mgmt'!U56,'Variable Mgmt'!U57,'Variable Mgmt'!U58,'Variable Mgmt'!U59,'Variable Mgmt'!U60),"-")</f>
        <v>-</v>
      </c>
      <c r="L44" s="499"/>
      <c r="Q44" s="506">
        <v>1</v>
      </c>
    </row>
    <row r="45" spans="1:17" s="643" customFormat="1" ht="16.5" customHeight="1" x14ac:dyDescent="0.2">
      <c r="A45" s="125">
        <v>1</v>
      </c>
      <c r="B45" s="126" t="s">
        <v>540</v>
      </c>
      <c r="C45" s="639">
        <f>'Design Converter'!L7</f>
        <v>44</v>
      </c>
      <c r="D45" s="680" t="str">
        <f>"Transformer, "&amp;L*1000000&amp;"µH, "&amp;'Variable Mgmt'!W44&amp;", "&amp;Rdcr_pri*1000&amp;"mΩ Pri DCR, "&amp;"2A Sat"</f>
        <v>Transformer, 44µH, 3 : 1, 200mΩ Pri DCR, 2A Sat</v>
      </c>
      <c r="E45" s="681"/>
      <c r="F45" s="682"/>
      <c r="G45" s="129" t="s">
        <v>125</v>
      </c>
      <c r="H45" s="129" t="s">
        <v>124</v>
      </c>
      <c r="I45" s="489" t="s">
        <v>124</v>
      </c>
      <c r="J45" s="640" t="str">
        <f>CHOOSE(Q45,'Variable Mgmt'!T65,'Variable Mgmt'!T66,'Variable Mgmt'!T67,'Variable Mgmt'!T68,'Variable Mgmt'!T69,'Variable Mgmt'!T70,'Variable Mgmt'!T71)</f>
        <v>10 x 10</v>
      </c>
      <c r="K45" s="648">
        <f>CHOOSE(Q45,'Variable Mgmt'!U65,'Variable Mgmt'!U66,'Variable Mgmt'!U67,'Variable Mgmt'!U68,'Variable Mgmt'!U69,'Variable Mgmt'!U70,'Variable Mgmt'!U71)</f>
        <v>100</v>
      </c>
      <c r="L45" s="642"/>
      <c r="Q45" s="644">
        <v>5</v>
      </c>
    </row>
    <row r="46" spans="1:17" ht="17.100000000000001" customHeight="1" x14ac:dyDescent="0.2">
      <c r="A46" s="471">
        <v>1</v>
      </c>
      <c r="B46" s="477" t="s">
        <v>128</v>
      </c>
      <c r="C46" s="498" t="s">
        <v>706</v>
      </c>
      <c r="D46" s="478" t="s">
        <v>707</v>
      </c>
      <c r="E46" s="479"/>
      <c r="F46" s="480"/>
      <c r="G46" s="476" t="s">
        <v>538</v>
      </c>
      <c r="H46" s="476" t="s">
        <v>706</v>
      </c>
      <c r="I46" s="478" t="s">
        <v>360</v>
      </c>
      <c r="J46" s="497" t="s">
        <v>358</v>
      </c>
      <c r="K46" s="495">
        <v>16</v>
      </c>
      <c r="L46" s="475"/>
      <c r="M46" s="475"/>
      <c r="N46" s="119"/>
      <c r="Q46" s="509"/>
    </row>
    <row r="47" spans="1:17" ht="17.100000000000001" customHeight="1" x14ac:dyDescent="0.2">
      <c r="J47" s="119"/>
      <c r="K47" s="485"/>
      <c r="L47" s="475"/>
      <c r="M47" s="475"/>
      <c r="N47" s="119"/>
    </row>
    <row r="48" spans="1:17" ht="17.25" customHeight="1" x14ac:dyDescent="0.25">
      <c r="H48" s="1" t="s">
        <v>362</v>
      </c>
      <c r="I48" s="1"/>
      <c r="J48" s="1"/>
      <c r="K48" s="503">
        <f>SUM(K31:K46)*1.25</f>
        <v>188.125</v>
      </c>
      <c r="L48" s="510" t="s">
        <v>364</v>
      </c>
      <c r="M48" s="504">
        <f>K48/25.4/25.4</f>
        <v>0.2915943331886664</v>
      </c>
      <c r="N48" s="510" t="s">
        <v>361</v>
      </c>
    </row>
    <row r="49" spans="1:14" ht="17.100000000000001" customHeight="1" x14ac:dyDescent="0.25">
      <c r="J49" s="490"/>
      <c r="K49" s="491"/>
      <c r="L49" s="492"/>
      <c r="M49" s="493"/>
      <c r="N49" s="492"/>
    </row>
    <row r="50" spans="1:14" ht="20.25" customHeight="1" x14ac:dyDescent="0.2">
      <c r="A50" s="484" t="s">
        <v>137</v>
      </c>
    </row>
    <row r="51" spans="1:14" x14ac:dyDescent="0.2">
      <c r="A51" s="116" t="s">
        <v>704</v>
      </c>
    </row>
    <row r="52" spans="1:14" x14ac:dyDescent="0.2">
      <c r="A52" s="116" t="s">
        <v>363</v>
      </c>
      <c r="K52" s="483"/>
    </row>
    <row r="53" spans="1:14" x14ac:dyDescent="0.2">
      <c r="A53" s="116" t="s">
        <v>650</v>
      </c>
    </row>
    <row r="54" spans="1:14" x14ac:dyDescent="0.2">
      <c r="A54" s="116" t="s">
        <v>651</v>
      </c>
    </row>
    <row r="55" spans="1:14" x14ac:dyDescent="0.2">
      <c r="A55" s="116" t="s">
        <v>665</v>
      </c>
    </row>
  </sheetData>
  <sheetProtection password="CCC8" sheet="1" objects="1" scenarios="1" selectLockedCells="1" selectUnlockedCells="1"/>
  <mergeCells count="14">
    <mergeCell ref="H48:J48"/>
    <mergeCell ref="D31:F31"/>
    <mergeCell ref="D30:F30"/>
    <mergeCell ref="D40:F40"/>
    <mergeCell ref="D41:F41"/>
    <mergeCell ref="D38:F38"/>
    <mergeCell ref="D36:F36"/>
    <mergeCell ref="D35:F35"/>
    <mergeCell ref="D45:F45"/>
    <mergeCell ref="D42:F42"/>
    <mergeCell ref="D43:F43"/>
    <mergeCell ref="D44:F44"/>
    <mergeCell ref="D32:F32"/>
    <mergeCell ref="D34:F34"/>
  </mergeCells>
  <printOptions horizontalCentered="1"/>
  <pageMargins left="0.23" right="0.23" top="0.7" bottom="0.61" header="0.3" footer="0.5"/>
  <pageSetup scale="84" fitToHeight="2" orientation="landscape" r:id="rId1"/>
  <headerFooter alignWithMargins="0"/>
  <rowBreaks count="1" manualBreakCount="1">
    <brk id="27" max="9" man="1"/>
  </rowBreaks>
  <ignoredErrors>
    <ignoredError sqref="G34 G36 G38 G42:G43 G40" numberStoredAsText="1"/>
    <ignoredError sqref="J36:K3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74505" r:id="rId4" name="Drop Down 713">
              <controlPr defaultSize="0" autoLine="0" autoPict="0">
                <anchor moveWithCells="1">
                  <from>
                    <xdr:col>6</xdr:col>
                    <xdr:colOff>0</xdr:colOff>
                    <xdr:row>30</xdr:row>
                    <xdr:rowOff>9525</xdr:rowOff>
                  </from>
                  <to>
                    <xdr:col>6</xdr:col>
                    <xdr:colOff>876300</xdr:colOff>
                    <xdr:row>31</xdr:row>
                    <xdr:rowOff>0</xdr:rowOff>
                  </to>
                </anchor>
              </controlPr>
            </control>
          </mc:Choice>
        </mc:AlternateContent>
        <mc:AlternateContent xmlns:mc="http://schemas.openxmlformats.org/markup-compatibility/2006">
          <mc:Choice Requires="x14">
            <control shapeId="674508" r:id="rId5" name="Drop Down 716">
              <controlPr defaultSize="0" autoLine="0" autoPict="0">
                <anchor moveWithCells="1">
                  <from>
                    <xdr:col>6</xdr:col>
                    <xdr:colOff>0</xdr:colOff>
                    <xdr:row>31</xdr:row>
                    <xdr:rowOff>9525</xdr:rowOff>
                  </from>
                  <to>
                    <xdr:col>6</xdr:col>
                    <xdr:colOff>876300</xdr:colOff>
                    <xdr:row>32</xdr:row>
                    <xdr:rowOff>0</xdr:rowOff>
                  </to>
                </anchor>
              </controlPr>
            </control>
          </mc:Choice>
        </mc:AlternateContent>
        <mc:AlternateContent xmlns:mc="http://schemas.openxmlformats.org/markup-compatibility/2006">
          <mc:Choice Requires="x14">
            <control shapeId="674527" r:id="rId6" name="Drop Down 735">
              <controlPr defaultSize="0" autoLine="0" autoPict="0">
                <anchor moveWithCells="1">
                  <from>
                    <xdr:col>6</xdr:col>
                    <xdr:colOff>0</xdr:colOff>
                    <xdr:row>35</xdr:row>
                    <xdr:rowOff>9525</xdr:rowOff>
                  </from>
                  <to>
                    <xdr:col>6</xdr:col>
                    <xdr:colOff>876300</xdr:colOff>
                    <xdr:row>36</xdr:row>
                    <xdr:rowOff>0</xdr:rowOff>
                  </to>
                </anchor>
              </controlPr>
            </control>
          </mc:Choice>
        </mc:AlternateContent>
        <mc:AlternateContent xmlns:mc="http://schemas.openxmlformats.org/markup-compatibility/2006">
          <mc:Choice Requires="x14">
            <control shapeId="674534" r:id="rId7" name="Drop Down 742">
              <controlPr defaultSize="0" autoLine="0" autoPict="0">
                <anchor moveWithCells="1">
                  <from>
                    <xdr:col>6</xdr:col>
                    <xdr:colOff>0</xdr:colOff>
                    <xdr:row>40</xdr:row>
                    <xdr:rowOff>9525</xdr:rowOff>
                  </from>
                  <to>
                    <xdr:col>6</xdr:col>
                    <xdr:colOff>876300</xdr:colOff>
                    <xdr:row>41</xdr:row>
                    <xdr:rowOff>0</xdr:rowOff>
                  </to>
                </anchor>
              </controlPr>
            </control>
          </mc:Choice>
        </mc:AlternateContent>
        <mc:AlternateContent xmlns:mc="http://schemas.openxmlformats.org/markup-compatibility/2006">
          <mc:Choice Requires="x14">
            <control shapeId="674536" r:id="rId8" name="Drop Down 744">
              <controlPr defaultSize="0" autoLine="0" autoPict="0">
                <anchor moveWithCells="1">
                  <from>
                    <xdr:col>6</xdr:col>
                    <xdr:colOff>0</xdr:colOff>
                    <xdr:row>37</xdr:row>
                    <xdr:rowOff>9525</xdr:rowOff>
                  </from>
                  <to>
                    <xdr:col>6</xdr:col>
                    <xdr:colOff>876300</xdr:colOff>
                    <xdr:row>38</xdr:row>
                    <xdr:rowOff>0</xdr:rowOff>
                  </to>
                </anchor>
              </controlPr>
            </control>
          </mc:Choice>
        </mc:AlternateContent>
        <mc:AlternateContent xmlns:mc="http://schemas.openxmlformats.org/markup-compatibility/2006">
          <mc:Choice Requires="x14">
            <control shapeId="674539" r:id="rId9" name="Drop Down 747">
              <controlPr defaultSize="0" autoLine="0" autoPict="0">
                <anchor moveWithCells="1">
                  <from>
                    <xdr:col>6</xdr:col>
                    <xdr:colOff>0</xdr:colOff>
                    <xdr:row>36</xdr:row>
                    <xdr:rowOff>9525</xdr:rowOff>
                  </from>
                  <to>
                    <xdr:col>6</xdr:col>
                    <xdr:colOff>876300</xdr:colOff>
                    <xdr:row>37</xdr:row>
                    <xdr:rowOff>0</xdr:rowOff>
                  </to>
                </anchor>
              </controlPr>
            </control>
          </mc:Choice>
        </mc:AlternateContent>
        <mc:AlternateContent xmlns:mc="http://schemas.openxmlformats.org/markup-compatibility/2006">
          <mc:Choice Requires="x14">
            <control shapeId="674540" r:id="rId10" name="Drop Down 748">
              <controlPr defaultSize="0" autoLine="0" autoPict="0">
                <anchor moveWithCells="1">
                  <from>
                    <xdr:col>6</xdr:col>
                    <xdr:colOff>0</xdr:colOff>
                    <xdr:row>39</xdr:row>
                    <xdr:rowOff>9525</xdr:rowOff>
                  </from>
                  <to>
                    <xdr:col>6</xdr:col>
                    <xdr:colOff>876300</xdr:colOff>
                    <xdr:row>40</xdr:row>
                    <xdr:rowOff>0</xdr:rowOff>
                  </to>
                </anchor>
              </controlPr>
            </control>
          </mc:Choice>
        </mc:AlternateContent>
        <mc:AlternateContent xmlns:mc="http://schemas.openxmlformats.org/markup-compatibility/2006">
          <mc:Choice Requires="x14">
            <control shapeId="674541" r:id="rId11" name="Drop Down 749">
              <controlPr defaultSize="0" autoLine="0" autoPict="0">
                <anchor moveWithCells="1">
                  <from>
                    <xdr:col>6</xdr:col>
                    <xdr:colOff>0</xdr:colOff>
                    <xdr:row>41</xdr:row>
                    <xdr:rowOff>9525</xdr:rowOff>
                  </from>
                  <to>
                    <xdr:col>6</xdr:col>
                    <xdr:colOff>876300</xdr:colOff>
                    <xdr:row>42</xdr:row>
                    <xdr:rowOff>0</xdr:rowOff>
                  </to>
                </anchor>
              </controlPr>
            </control>
          </mc:Choice>
        </mc:AlternateContent>
        <mc:AlternateContent xmlns:mc="http://schemas.openxmlformats.org/markup-compatibility/2006">
          <mc:Choice Requires="x14">
            <control shapeId="674542" r:id="rId12" name="Drop Down 750">
              <controlPr defaultSize="0" autoLine="0" autoPict="0">
                <anchor moveWithCells="1">
                  <from>
                    <xdr:col>6</xdr:col>
                    <xdr:colOff>0</xdr:colOff>
                    <xdr:row>42</xdr:row>
                    <xdr:rowOff>9525</xdr:rowOff>
                  </from>
                  <to>
                    <xdr:col>6</xdr:col>
                    <xdr:colOff>876300</xdr:colOff>
                    <xdr:row>43</xdr:row>
                    <xdr:rowOff>0</xdr:rowOff>
                  </to>
                </anchor>
              </controlPr>
            </control>
          </mc:Choice>
        </mc:AlternateContent>
        <mc:AlternateContent xmlns:mc="http://schemas.openxmlformats.org/markup-compatibility/2006">
          <mc:Choice Requires="x14">
            <control shapeId="674543" r:id="rId13" name="Drop Down 751">
              <controlPr defaultSize="0" autoLine="0" autoPict="0">
                <anchor moveWithCells="1">
                  <from>
                    <xdr:col>6</xdr:col>
                    <xdr:colOff>0</xdr:colOff>
                    <xdr:row>43</xdr:row>
                    <xdr:rowOff>9525</xdr:rowOff>
                  </from>
                  <to>
                    <xdr:col>6</xdr:col>
                    <xdr:colOff>876300</xdr:colOff>
                    <xdr:row>44</xdr:row>
                    <xdr:rowOff>0</xdr:rowOff>
                  </to>
                </anchor>
              </controlPr>
            </control>
          </mc:Choice>
        </mc:AlternateContent>
        <mc:AlternateContent xmlns:mc="http://schemas.openxmlformats.org/markup-compatibility/2006">
          <mc:Choice Requires="x14">
            <control shapeId="674544" r:id="rId14" name="Drop Down 752">
              <controlPr defaultSize="0" autoLine="0" autoPict="0">
                <anchor moveWithCells="1">
                  <from>
                    <xdr:col>6</xdr:col>
                    <xdr:colOff>0</xdr:colOff>
                    <xdr:row>34</xdr:row>
                    <xdr:rowOff>9525</xdr:rowOff>
                  </from>
                  <to>
                    <xdr:col>6</xdr:col>
                    <xdr:colOff>876300</xdr:colOff>
                    <xdr:row>35</xdr:row>
                    <xdr:rowOff>0</xdr:rowOff>
                  </to>
                </anchor>
              </controlPr>
            </control>
          </mc:Choice>
        </mc:AlternateContent>
        <mc:AlternateContent xmlns:mc="http://schemas.openxmlformats.org/markup-compatibility/2006">
          <mc:Choice Requires="x14">
            <control shapeId="674632" r:id="rId15" name="Drop Down 840">
              <controlPr defaultSize="0" autoLine="0" autoPict="0">
                <anchor moveWithCells="1">
                  <from>
                    <xdr:col>6</xdr:col>
                    <xdr:colOff>0</xdr:colOff>
                    <xdr:row>44</xdr:row>
                    <xdr:rowOff>9525</xdr:rowOff>
                  </from>
                  <to>
                    <xdr:col>6</xdr:col>
                    <xdr:colOff>876300</xdr:colOff>
                    <xdr:row>45</xdr:row>
                    <xdr:rowOff>0</xdr:rowOff>
                  </to>
                </anchor>
              </controlPr>
            </control>
          </mc:Choice>
        </mc:AlternateContent>
        <mc:AlternateContent xmlns:mc="http://schemas.openxmlformats.org/markup-compatibility/2006">
          <mc:Choice Requires="x14">
            <control shapeId="674633" r:id="rId16" name="Drop Down 841">
              <controlPr defaultSize="0" autoLine="0" autoPict="0">
                <anchor moveWithCells="1">
                  <from>
                    <xdr:col>6</xdr:col>
                    <xdr:colOff>0</xdr:colOff>
                    <xdr:row>33</xdr:row>
                    <xdr:rowOff>9525</xdr:rowOff>
                  </from>
                  <to>
                    <xdr:col>6</xdr:col>
                    <xdr:colOff>876300</xdr:colOff>
                    <xdr:row>34</xdr:row>
                    <xdr:rowOff>0</xdr:rowOff>
                  </to>
                </anchor>
              </controlPr>
            </control>
          </mc:Choice>
        </mc:AlternateContent>
        <mc:AlternateContent xmlns:mc="http://schemas.openxmlformats.org/markup-compatibility/2006">
          <mc:Choice Requires="x14">
            <control shapeId="706019" r:id="rId17" name="Drop Down 1507">
              <controlPr defaultSize="0" autoLine="0" autoPict="0">
                <anchor moveWithCells="1">
                  <from>
                    <xdr:col>5</xdr:col>
                    <xdr:colOff>895350</xdr:colOff>
                    <xdr:row>32</xdr:row>
                    <xdr:rowOff>9525</xdr:rowOff>
                  </from>
                  <to>
                    <xdr:col>6</xdr:col>
                    <xdr:colOff>866775</xdr:colOff>
                    <xdr:row>33</xdr:row>
                    <xdr:rowOff>0</xdr:rowOff>
                  </to>
                </anchor>
              </controlPr>
            </control>
          </mc:Choice>
        </mc:AlternateContent>
        <mc:AlternateContent xmlns:mc="http://schemas.openxmlformats.org/markup-compatibility/2006">
          <mc:Choice Requires="x14">
            <control shapeId="706028" r:id="rId18" name="Drop Down 1516">
              <controlPr defaultSize="0" autoLine="0" autoPict="0">
                <anchor moveWithCells="1">
                  <from>
                    <xdr:col>6</xdr:col>
                    <xdr:colOff>0</xdr:colOff>
                    <xdr:row>38</xdr:row>
                    <xdr:rowOff>9525</xdr:rowOff>
                  </from>
                  <to>
                    <xdr:col>6</xdr:col>
                    <xdr:colOff>876300</xdr:colOff>
                    <xdr:row>39</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4B8E3D35-A815-4471-905F-8419AAA9FC23}">
            <xm:f>'Variable Mgmt'!$B$52=TRUE</xm:f>
            <x14:dxf>
              <font>
                <color theme="0"/>
              </font>
            </x14:dxf>
          </x14:cfRule>
          <xm:sqref>B36</xm:sqref>
        </x14:conditionalFormatting>
        <x14:conditionalFormatting xmlns:xm="http://schemas.microsoft.com/office/excel/2006/main">
          <x14:cfRule type="expression" priority="1" id="{8521D621-BE3D-4AAE-900E-18DA0D0FAC8E}">
            <xm:f>'Variable Mgmt'!$B$52=TRUE</xm:f>
            <x14:dxf>
              <font>
                <color rgb="FFFFFF99"/>
              </font>
            </x14:dxf>
          </x14:cfRule>
          <xm:sqref>B33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R6"/>
  <sheetViews>
    <sheetView zoomScaleNormal="100" workbookViewId="0">
      <selection activeCell="A2" sqref="A2"/>
    </sheetView>
  </sheetViews>
  <sheetFormatPr defaultColWidth="9.140625" defaultRowHeight="12.75" x14ac:dyDescent="0.2"/>
  <cols>
    <col min="1" max="13" width="9.140625" style="86"/>
    <col min="14" max="14" width="11.85546875" style="86" customWidth="1"/>
    <col min="15" max="16" width="9.140625" style="86"/>
    <col min="17" max="17" width="15.7109375" style="86" customWidth="1"/>
    <col min="18" max="16384" width="9.140625" style="86"/>
  </cols>
  <sheetData>
    <row r="1" spans="1:18" s="77" customFormat="1" ht="47.25" customHeight="1" x14ac:dyDescent="0.2">
      <c r="A1" s="689" t="s">
        <v>708</v>
      </c>
      <c r="B1" s="690"/>
      <c r="C1" s="690"/>
      <c r="D1" s="690"/>
      <c r="E1" s="690"/>
      <c r="F1" s="690"/>
      <c r="G1" s="690"/>
      <c r="H1" s="690"/>
      <c r="I1" s="690"/>
      <c r="J1" s="690"/>
      <c r="K1" s="690"/>
      <c r="L1" s="690"/>
      <c r="M1" s="690"/>
      <c r="N1" s="690"/>
      <c r="O1" s="690"/>
      <c r="P1" s="690"/>
      <c r="Q1" s="690"/>
      <c r="R1" s="84"/>
    </row>
    <row r="6" spans="1:18" ht="20.25" x14ac:dyDescent="0.3">
      <c r="B6" s="87" t="s">
        <v>694</v>
      </c>
      <c r="N6" s="87" t="s">
        <v>691</v>
      </c>
    </row>
  </sheetData>
  <sheetProtection password="CCC8" sheet="1" objects="1" scenarios="1"/>
  <mergeCells count="1">
    <mergeCell ref="A1:Q1"/>
  </mergeCells>
  <pageMargins left="0.19" right="0.2" top="0.75" bottom="0.75" header="0.3" footer="0.3"/>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00FF"/>
  </sheetPr>
  <dimension ref="A1:Z275"/>
  <sheetViews>
    <sheetView workbookViewId="0">
      <pane ySplit="5" topLeftCell="A90" activePane="bottomLeft" state="frozenSplit"/>
      <selection pane="bottomLeft" activeCell="B110" sqref="B110"/>
    </sheetView>
  </sheetViews>
  <sheetFormatPr defaultRowHeight="12.75" x14ac:dyDescent="0.2"/>
  <cols>
    <col min="1" max="1" width="40.42578125" customWidth="1"/>
    <col min="2" max="2" width="11.85546875" customWidth="1"/>
    <col min="3" max="3" width="9.42578125" style="4" customWidth="1"/>
    <col min="4" max="4" width="10.28515625" customWidth="1"/>
    <col min="5" max="5" width="11.5703125" customWidth="1"/>
    <col min="6" max="6" width="14.85546875" customWidth="1"/>
    <col min="7" max="7" width="12.42578125" bestFit="1" customWidth="1"/>
    <col min="8" max="8" width="20.140625" customWidth="1"/>
    <col min="9" max="9" width="14.42578125" customWidth="1"/>
    <col min="10" max="10" width="12.42578125" bestFit="1" customWidth="1"/>
    <col min="11" max="11" width="12" customWidth="1"/>
    <col min="12" max="12" width="8.85546875" customWidth="1"/>
    <col min="13" max="13" width="7" customWidth="1"/>
    <col min="14" max="14" width="9.28515625" customWidth="1"/>
    <col min="16" max="16" width="7.140625" customWidth="1"/>
    <col min="17" max="17" width="11" customWidth="1"/>
    <col min="18" max="18" width="13.85546875" customWidth="1"/>
    <col min="19" max="19" width="5.42578125" customWidth="1"/>
    <col min="20" max="20" width="16.28515625" customWidth="1"/>
    <col min="22" max="22" width="9.7109375" customWidth="1"/>
    <col min="23" max="23" width="11.28515625" customWidth="1"/>
    <col min="24" max="24" width="5.85546875" customWidth="1"/>
    <col min="26" max="26" width="7.85546875" customWidth="1"/>
  </cols>
  <sheetData>
    <row r="1" spans="1:12" ht="30.75" customHeight="1" x14ac:dyDescent="0.4">
      <c r="A1" s="692" t="s">
        <v>172</v>
      </c>
      <c r="B1" s="692"/>
      <c r="C1" s="692"/>
      <c r="D1" s="692"/>
      <c r="E1" s="692"/>
      <c r="F1" s="692"/>
      <c r="G1" s="692"/>
      <c r="H1" s="692"/>
      <c r="I1" s="692"/>
    </row>
    <row r="2" spans="1:12" ht="12" customHeight="1" x14ac:dyDescent="0.2">
      <c r="A2" s="20"/>
      <c r="B2" s="20" t="s">
        <v>81</v>
      </c>
      <c r="C2" s="21"/>
      <c r="E2" s="20"/>
      <c r="F2" s="20"/>
      <c r="G2" s="20"/>
      <c r="H2" s="20"/>
      <c r="I2" s="20"/>
    </row>
    <row r="3" spans="1:12" ht="11.25" customHeight="1" x14ac:dyDescent="0.2">
      <c r="A3" s="20"/>
      <c r="B3" s="20" t="s">
        <v>100</v>
      </c>
      <c r="C3" s="22"/>
      <c r="E3" s="20"/>
      <c r="F3" s="20"/>
      <c r="G3" s="20"/>
      <c r="H3" s="20"/>
      <c r="I3" s="20"/>
    </row>
    <row r="4" spans="1:12" ht="11.25" customHeight="1" x14ac:dyDescent="0.2">
      <c r="A4" s="20"/>
      <c r="B4" s="20" t="s">
        <v>82</v>
      </c>
      <c r="C4" s="23"/>
      <c r="E4" s="20"/>
      <c r="F4" s="20"/>
      <c r="G4" s="20"/>
      <c r="H4" s="20"/>
      <c r="I4" s="20"/>
    </row>
    <row r="5" spans="1:12" x14ac:dyDescent="0.2">
      <c r="A5" s="4" t="s">
        <v>19</v>
      </c>
      <c r="B5" s="4" t="s">
        <v>6</v>
      </c>
      <c r="C5" s="4" t="s">
        <v>7</v>
      </c>
      <c r="E5" s="691" t="s">
        <v>9</v>
      </c>
      <c r="F5" s="691"/>
      <c r="G5" s="691"/>
      <c r="H5" s="691"/>
      <c r="I5" s="4" t="s">
        <v>174</v>
      </c>
    </row>
    <row r="6" spans="1:12" ht="16.5" thickBot="1" x14ac:dyDescent="0.3">
      <c r="A6" s="52" t="s">
        <v>61</v>
      </c>
      <c r="B6" s="41"/>
      <c r="C6" s="41"/>
      <c r="D6" s="41"/>
      <c r="E6" s="53"/>
      <c r="F6" s="53"/>
      <c r="G6" s="53"/>
      <c r="H6" s="53"/>
      <c r="I6" s="41"/>
    </row>
    <row r="7" spans="1:12" x14ac:dyDescent="0.2">
      <c r="A7" s="111" t="s">
        <v>145</v>
      </c>
      <c r="B7" s="10">
        <f>'Design Converter'!E6</f>
        <v>15</v>
      </c>
      <c r="C7" s="32" t="s">
        <v>0</v>
      </c>
      <c r="D7" s="81" t="s">
        <v>146</v>
      </c>
      <c r="E7" s="32"/>
      <c r="F7" s="32"/>
      <c r="G7" s="32"/>
      <c r="H7" s="32"/>
      <c r="I7" s="33">
        <v>1</v>
      </c>
    </row>
    <row r="8" spans="1:12" x14ac:dyDescent="0.2">
      <c r="A8" s="112" t="s">
        <v>143</v>
      </c>
      <c r="B8" s="11">
        <f>'Design Converter'!E7</f>
        <v>24</v>
      </c>
      <c r="C8" s="8" t="s">
        <v>0</v>
      </c>
      <c r="D8" s="8" t="s">
        <v>10</v>
      </c>
      <c r="F8" s="8"/>
      <c r="G8" s="8"/>
      <c r="H8" s="8"/>
      <c r="I8" s="26"/>
    </row>
    <row r="9" spans="1:12" x14ac:dyDescent="0.2">
      <c r="A9" s="112" t="s">
        <v>144</v>
      </c>
      <c r="B9" s="11">
        <f>'Design Converter'!E8</f>
        <v>48</v>
      </c>
      <c r="C9" s="8" t="s">
        <v>0</v>
      </c>
      <c r="D9" s="79" t="s">
        <v>147</v>
      </c>
      <c r="F9" s="8"/>
      <c r="G9" s="8"/>
      <c r="H9" s="8"/>
      <c r="I9" s="26"/>
    </row>
    <row r="10" spans="1:12" x14ac:dyDescent="0.2">
      <c r="A10" s="112"/>
      <c r="B10" s="211"/>
      <c r="C10" s="62"/>
      <c r="D10" s="79"/>
      <c r="F10" s="8"/>
      <c r="G10" s="8"/>
      <c r="H10" s="8"/>
      <c r="I10" s="26"/>
    </row>
    <row r="11" spans="1:12" x14ac:dyDescent="0.2">
      <c r="A11" s="25" t="s">
        <v>4</v>
      </c>
      <c r="B11" s="11">
        <f>'Design Converter'!E10</f>
        <v>5</v>
      </c>
      <c r="C11" s="8" t="s">
        <v>0</v>
      </c>
      <c r="D11" s="79" t="s">
        <v>582</v>
      </c>
      <c r="F11" s="8"/>
      <c r="G11" s="8">
        <f>(Vout+Vfwd1)*Nps</f>
        <v>15.75</v>
      </c>
      <c r="H11" s="8"/>
      <c r="I11" s="26">
        <v>1</v>
      </c>
      <c r="K11" t="str">
        <f>'Variable Mgmt'!B51&amp;" Output PSR Flyback Converter, "&amp;"VIN = "&amp;Vin&amp;" V, VOUT = "&amp;Vout&amp;" V, IOUT = "&amp;Iout&amp;" A"</f>
        <v>SINGLE Output PSR Flyback Converter, VIN = 24 V, VOUT = 5 V, IOUT = 0.5 A</v>
      </c>
    </row>
    <row r="12" spans="1:12" x14ac:dyDescent="0.2">
      <c r="A12" s="25" t="s">
        <v>5</v>
      </c>
      <c r="B12" s="593">
        <f>'Design Converter'!E11</f>
        <v>0.5</v>
      </c>
      <c r="C12" s="79" t="s">
        <v>1</v>
      </c>
      <c r="D12" s="79" t="s">
        <v>674</v>
      </c>
      <c r="F12" s="8"/>
      <c r="G12" s="8"/>
      <c r="H12" s="8"/>
      <c r="I12" s="26">
        <v>1</v>
      </c>
      <c r="K12" t="str">
        <f>'Variable Mgmt'!B51&amp;" Output PSR Flyback Converter, "&amp;"VIN = "&amp;Vin&amp;" V, VOUT1 = "&amp;Vout&amp;" V, IOUT1 = "&amp;Iout&amp;" A"&amp;", VOUT2 = "&amp;Vout2_actual&amp;" V, IOUT2 = "&amp;Iout2_actual&amp;" A"</f>
        <v>SINGLE Output PSR Flyback Converter, VIN = 24 V, VOUT1 = 5 V, IOUT1 = 0.5 A, VOUT2 = -5 V, IOUT2 = -0.5 A</v>
      </c>
      <c r="L12" s="78"/>
    </row>
    <row r="13" spans="1:12" x14ac:dyDescent="0.2">
      <c r="A13" s="112" t="s">
        <v>169</v>
      </c>
      <c r="B13" s="159">
        <f>Vout/Iout</f>
        <v>10</v>
      </c>
      <c r="C13" s="115" t="s">
        <v>45</v>
      </c>
      <c r="D13" s="113" t="s">
        <v>170</v>
      </c>
      <c r="F13" s="8"/>
      <c r="G13" s="8"/>
      <c r="H13" s="8"/>
      <c r="I13" s="26"/>
    </row>
    <row r="14" spans="1:12" x14ac:dyDescent="0.2">
      <c r="A14" s="112" t="s">
        <v>153</v>
      </c>
      <c r="B14" s="592">
        <f>Vout*Iout</f>
        <v>2.5</v>
      </c>
      <c r="C14" s="62" t="s">
        <v>45</v>
      </c>
      <c r="D14" s="113" t="s">
        <v>159</v>
      </c>
      <c r="F14" s="8"/>
      <c r="G14" s="8"/>
      <c r="H14" s="8"/>
      <c r="I14" s="26"/>
      <c r="L14" s="78"/>
    </row>
    <row r="15" spans="1:12" x14ac:dyDescent="0.2">
      <c r="B15" s="378"/>
      <c r="C15" s="62"/>
      <c r="D15" s="113"/>
      <c r="F15" s="8"/>
      <c r="G15" s="8"/>
      <c r="H15" s="8"/>
      <c r="I15" s="26"/>
      <c r="L15" s="78"/>
    </row>
    <row r="16" spans="1:12" x14ac:dyDescent="0.2">
      <c r="A16" s="112" t="s">
        <v>628</v>
      </c>
      <c r="B16" s="594">
        <f>ABS('Design Converter'!E12)</f>
        <v>5</v>
      </c>
      <c r="C16" s="8" t="s">
        <v>0</v>
      </c>
      <c r="D16" s="79" t="s">
        <v>584</v>
      </c>
      <c r="F16" s="8"/>
      <c r="G16" s="8"/>
      <c r="H16" s="8"/>
      <c r="I16" s="26"/>
      <c r="L16" s="78"/>
    </row>
    <row r="17" spans="1:23" x14ac:dyDescent="0.2">
      <c r="A17" s="112" t="s">
        <v>629</v>
      </c>
      <c r="B17" s="637">
        <f>'Design Converter'!E12</f>
        <v>-5</v>
      </c>
      <c r="C17" s="62" t="s">
        <v>0</v>
      </c>
      <c r="D17" s="79"/>
      <c r="F17" s="8"/>
      <c r="G17" s="8"/>
      <c r="H17" s="8"/>
      <c r="I17" s="26"/>
      <c r="L17" s="78"/>
    </row>
    <row r="18" spans="1:23" x14ac:dyDescent="0.2">
      <c r="A18" s="112" t="s">
        <v>512</v>
      </c>
      <c r="B18" s="594">
        <f>ABS('Design Converter'!E13)</f>
        <v>0.5</v>
      </c>
      <c r="C18" s="79" t="s">
        <v>1</v>
      </c>
      <c r="D18" s="79" t="s">
        <v>583</v>
      </c>
      <c r="F18" s="8"/>
      <c r="G18" s="8"/>
      <c r="H18" s="8"/>
      <c r="I18" s="26"/>
      <c r="L18" s="78"/>
    </row>
    <row r="19" spans="1:23" x14ac:dyDescent="0.2">
      <c r="A19" s="113" t="s">
        <v>673</v>
      </c>
      <c r="B19">
        <f>Iout2*SIGN(Vout2_actual)</f>
        <v>-0.5</v>
      </c>
      <c r="C19" s="78" t="s">
        <v>1</v>
      </c>
      <c r="F19" s="8"/>
      <c r="G19" s="8"/>
      <c r="H19" s="8"/>
      <c r="I19" s="26"/>
      <c r="L19" s="78"/>
    </row>
    <row r="20" spans="1:23" x14ac:dyDescent="0.2">
      <c r="A20" s="112" t="s">
        <v>513</v>
      </c>
      <c r="B20" s="592">
        <f>ABS(Vout2/Iout2)</f>
        <v>10</v>
      </c>
      <c r="C20" s="115" t="s">
        <v>45</v>
      </c>
      <c r="D20" s="113" t="s">
        <v>515</v>
      </c>
      <c r="F20" s="8"/>
      <c r="G20" s="8"/>
      <c r="H20" s="8"/>
      <c r="I20" s="26"/>
      <c r="K20" s="78" t="s">
        <v>548</v>
      </c>
      <c r="L20" s="78" t="s">
        <v>549</v>
      </c>
    </row>
    <row r="21" spans="1:23" x14ac:dyDescent="0.2">
      <c r="A21" s="112" t="s">
        <v>514</v>
      </c>
      <c r="B21" s="592">
        <f>ABS(Vout2*Iout2)</f>
        <v>2.5</v>
      </c>
      <c r="C21" s="62" t="s">
        <v>45</v>
      </c>
      <c r="D21" s="113" t="s">
        <v>516</v>
      </c>
      <c r="F21" s="8"/>
      <c r="G21" s="8"/>
      <c r="H21" s="8"/>
      <c r="I21" s="26"/>
      <c r="K21">
        <v>5</v>
      </c>
      <c r="L21" s="78">
        <v>-5</v>
      </c>
    </row>
    <row r="22" spans="1:23" x14ac:dyDescent="0.2">
      <c r="A22" s="112" t="s">
        <v>517</v>
      </c>
      <c r="B22" s="592">
        <f>CHOOSE(MODE, Pout, Pout + Pout2)</f>
        <v>2.5</v>
      </c>
      <c r="C22" s="62" t="s">
        <v>45</v>
      </c>
      <c r="D22" s="113" t="s">
        <v>518</v>
      </c>
      <c r="F22" s="8"/>
      <c r="G22" s="8"/>
      <c r="H22" s="8"/>
      <c r="I22" s="26"/>
      <c r="K22">
        <v>0.2</v>
      </c>
      <c r="L22" s="78">
        <v>0.2</v>
      </c>
    </row>
    <row r="23" spans="1:23" x14ac:dyDescent="0.2">
      <c r="A23" s="112"/>
      <c r="B23" s="378"/>
      <c r="C23" s="62"/>
      <c r="D23" s="113"/>
      <c r="F23" s="8"/>
      <c r="G23" s="8"/>
      <c r="H23" s="8"/>
      <c r="I23" s="26"/>
      <c r="L23" s="78"/>
    </row>
    <row r="24" spans="1:23" x14ac:dyDescent="0.2">
      <c r="A24" s="35" t="str">
        <f>CHOOSE(MODE, "Turns Ratio, PRI : SEC", "Turns Ratio, PRI : SEC1")</f>
        <v>Turns Ratio, PRI : SEC</v>
      </c>
      <c r="B24" s="575" t="str">
        <f>Nps</f>
        <v>3</v>
      </c>
      <c r="C24" s="62"/>
      <c r="D24" s="113" t="str">
        <f>CHOOSE(MODE, "TR primary-secondary (single output) = Np/Ns", "TR primary-secondary1 (dual output) = Np/Nsec1")</f>
        <v>TR primary-secondary (single output) = Np/Ns</v>
      </c>
      <c r="F24" s="8"/>
      <c r="G24" s="8"/>
      <c r="H24" s="8"/>
      <c r="I24" s="26"/>
      <c r="L24" s="78"/>
    </row>
    <row r="25" spans="1:23" x14ac:dyDescent="0.2">
      <c r="A25" s="35" t="s">
        <v>596</v>
      </c>
      <c r="B25" s="179">
        <f>Npri_sec2</f>
        <v>3</v>
      </c>
      <c r="D25" s="113" t="s">
        <v>597</v>
      </c>
      <c r="F25" s="8"/>
      <c r="G25" s="8"/>
      <c r="H25" s="8"/>
      <c r="I25" s="26"/>
      <c r="L25" s="78"/>
    </row>
    <row r="26" spans="1:23" x14ac:dyDescent="0.2">
      <c r="A26" s="35" t="s">
        <v>609</v>
      </c>
      <c r="B26" s="636">
        <f>Nsec1sec2</f>
        <v>1</v>
      </c>
      <c r="D26" s="78" t="s">
        <v>598</v>
      </c>
      <c r="F26" s="8"/>
      <c r="G26" s="8"/>
      <c r="H26" s="8"/>
      <c r="I26" s="26"/>
      <c r="L26" s="78"/>
      <c r="R26" s="163" t="s">
        <v>401</v>
      </c>
      <c r="V26" s="163" t="s">
        <v>401</v>
      </c>
    </row>
    <row r="27" spans="1:23" x14ac:dyDescent="0.2">
      <c r="H27" s="8"/>
      <c r="I27" s="26"/>
      <c r="K27" s="163" t="s">
        <v>547</v>
      </c>
      <c r="R27" s="163" t="s">
        <v>591</v>
      </c>
      <c r="V27" s="163" t="s">
        <v>592</v>
      </c>
    </row>
    <row r="28" spans="1:23" x14ac:dyDescent="0.2">
      <c r="A28" s="78" t="s">
        <v>630</v>
      </c>
      <c r="B28" s="6">
        <f>Vout+VIN_max/Nps</f>
        <v>21</v>
      </c>
      <c r="C28" s="78" t="s">
        <v>0</v>
      </c>
      <c r="G28" s="8"/>
      <c r="H28" s="8"/>
      <c r="I28" s="26"/>
      <c r="K28" s="78" t="s">
        <v>544</v>
      </c>
      <c r="L28">
        <v>1</v>
      </c>
      <c r="R28" t="str">
        <f>"5 : 1"</f>
        <v>5 : 1</v>
      </c>
      <c r="S28">
        <v>1</v>
      </c>
      <c r="V28" t="str">
        <f>CHOOSE(MODE, "Functional", "5 : 1")</f>
        <v>Functional</v>
      </c>
      <c r="W28">
        <v>1</v>
      </c>
    </row>
    <row r="29" spans="1:23" x14ac:dyDescent="0.2">
      <c r="F29" s="8"/>
      <c r="G29" s="8"/>
      <c r="H29" s="8"/>
      <c r="I29" s="26"/>
      <c r="K29" s="78" t="s">
        <v>545</v>
      </c>
      <c r="L29">
        <v>2</v>
      </c>
      <c r="R29" t="str">
        <f>"4 : 1"</f>
        <v>4 : 1</v>
      </c>
      <c r="S29">
        <v>2</v>
      </c>
      <c r="V29" t="str">
        <f>CHOOSE(MODE, "Basic", "4 : 1")</f>
        <v>Basic</v>
      </c>
      <c r="W29">
        <v>2</v>
      </c>
    </row>
    <row r="30" spans="1:23" x14ac:dyDescent="0.2">
      <c r="A30" s="112" t="s">
        <v>448</v>
      </c>
      <c r="B30" s="377">
        <f>1%*Vout*1000</f>
        <v>50</v>
      </c>
      <c r="C30" s="62" t="s">
        <v>149</v>
      </c>
      <c r="D30" s="113" t="s">
        <v>466</v>
      </c>
      <c r="F30" s="8"/>
      <c r="G30" s="8"/>
      <c r="H30" s="8"/>
      <c r="I30" s="26"/>
      <c r="K30" s="78" t="s">
        <v>546</v>
      </c>
      <c r="L30">
        <v>3</v>
      </c>
      <c r="R30" t="str">
        <f>"3 : 1"</f>
        <v>3 : 1</v>
      </c>
      <c r="S30">
        <v>3</v>
      </c>
      <c r="V30" t="str">
        <f>CHOOSE(MODE, "Reinforced", "3 : 1")</f>
        <v>Reinforced</v>
      </c>
      <c r="W30">
        <v>3</v>
      </c>
    </row>
    <row r="31" spans="1:23" x14ac:dyDescent="0.2">
      <c r="A31" s="112" t="s">
        <v>566</v>
      </c>
      <c r="B31" s="377">
        <f>1%*Vout2*1000</f>
        <v>50</v>
      </c>
      <c r="C31" s="62" t="s">
        <v>149</v>
      </c>
      <c r="D31" s="113" t="s">
        <v>565</v>
      </c>
      <c r="F31" s="8"/>
      <c r="G31" s="8"/>
      <c r="H31" s="8"/>
      <c r="I31" s="26"/>
      <c r="Q31" s="535"/>
      <c r="R31" t="str">
        <f>"2 : 1"</f>
        <v>2 : 1</v>
      </c>
      <c r="S31">
        <v>4</v>
      </c>
      <c r="V31" t="str">
        <f>CHOOSE(MODE, "", "2 : 1")</f>
        <v/>
      </c>
      <c r="W31">
        <v>4</v>
      </c>
    </row>
    <row r="32" spans="1:23" x14ac:dyDescent="0.2">
      <c r="F32" s="8"/>
      <c r="G32" s="8"/>
      <c r="H32" s="8"/>
      <c r="I32" s="26"/>
      <c r="R32" t="str">
        <f>"1.5 : 1"</f>
        <v>1.5 : 1</v>
      </c>
      <c r="S32">
        <v>5</v>
      </c>
      <c r="V32" t="str">
        <f>CHOOSE(MODE, "", "1 : 1")</f>
        <v/>
      </c>
      <c r="W32">
        <v>5</v>
      </c>
    </row>
    <row r="33" spans="1:23" x14ac:dyDescent="0.2">
      <c r="A33" s="112" t="s">
        <v>47</v>
      </c>
      <c r="B33" s="638">
        <f>IF(Vout&gt;5, 95%, 90%)</f>
        <v>0.9</v>
      </c>
      <c r="C33" s="62"/>
      <c r="D33" s="79" t="s">
        <v>176</v>
      </c>
      <c r="F33" s="8"/>
      <c r="G33" s="8"/>
      <c r="H33" s="8"/>
      <c r="I33" s="26"/>
      <c r="R33" t="str">
        <f>"1 : 1"</f>
        <v>1 : 1</v>
      </c>
      <c r="S33">
        <v>6</v>
      </c>
      <c r="V33" t="str">
        <f>CHOOSE(MODE, "", "1 : 2")</f>
        <v/>
      </c>
      <c r="W33">
        <v>6</v>
      </c>
    </row>
    <row r="34" spans="1:23" x14ac:dyDescent="0.2">
      <c r="A34" s="112" t="s">
        <v>157</v>
      </c>
      <c r="B34" s="427">
        <f>Pout/Efficiency</f>
        <v>2.7777777777777777</v>
      </c>
      <c r="C34" s="62" t="s">
        <v>45</v>
      </c>
      <c r="D34" s="113" t="s">
        <v>467</v>
      </c>
      <c r="F34" s="8"/>
      <c r="G34" s="8"/>
      <c r="H34" s="8"/>
      <c r="I34" s="26"/>
      <c r="R34" t="str">
        <f>"1 : 1.5"</f>
        <v>1 : 1.5</v>
      </c>
      <c r="S34">
        <v>7</v>
      </c>
      <c r="V34" t="str">
        <f>CHOOSE(MODE, "", "1 : 3")</f>
        <v/>
      </c>
      <c r="W34">
        <v>7</v>
      </c>
    </row>
    <row r="35" spans="1:23" x14ac:dyDescent="0.2">
      <c r="A35" s="112" t="s">
        <v>154</v>
      </c>
      <c r="B35" s="168">
        <f>Pin/VIN_min</f>
        <v>0.18518518518518517</v>
      </c>
      <c r="C35" s="62" t="s">
        <v>1</v>
      </c>
      <c r="D35" s="79"/>
      <c r="F35" s="8"/>
      <c r="G35" s="8"/>
      <c r="H35" s="8"/>
      <c r="I35" s="26"/>
      <c r="R35" t="str">
        <f>"1 : 2"</f>
        <v>1 : 2</v>
      </c>
      <c r="S35">
        <v>8</v>
      </c>
      <c r="V35" t="str">
        <f>CHOOSE(MODE, "", "1 : 4")</f>
        <v/>
      </c>
      <c r="W35">
        <v>8</v>
      </c>
    </row>
    <row r="36" spans="1:23" x14ac:dyDescent="0.2">
      <c r="A36" s="112" t="s">
        <v>155</v>
      </c>
      <c r="B36" s="168">
        <f>Pin/VIN_nom</f>
        <v>0.11574074074074074</v>
      </c>
      <c r="C36" s="62" t="s">
        <v>1</v>
      </c>
      <c r="D36" s="113" t="s">
        <v>160</v>
      </c>
      <c r="F36" s="8"/>
      <c r="G36" s="8"/>
      <c r="H36" s="8"/>
      <c r="I36" s="26">
        <v>1</v>
      </c>
      <c r="K36" s="78"/>
      <c r="R36" t="str">
        <f>"1 : 3"</f>
        <v>1 : 3</v>
      </c>
      <c r="S36">
        <v>9</v>
      </c>
      <c r="V36" t="str">
        <f>CHOOSE(MODE, "", "1 : 5")</f>
        <v/>
      </c>
      <c r="W36">
        <v>9</v>
      </c>
    </row>
    <row r="37" spans="1:23" x14ac:dyDescent="0.2">
      <c r="A37" s="112" t="s">
        <v>156</v>
      </c>
      <c r="B37" s="168">
        <f>Pin/VIN_max</f>
        <v>5.7870370370370371E-2</v>
      </c>
      <c r="C37" s="62" t="s">
        <v>1</v>
      </c>
      <c r="D37" s="79"/>
      <c r="F37" s="8"/>
      <c r="G37" s="8"/>
      <c r="H37" s="8"/>
      <c r="I37" s="26"/>
      <c r="R37" t="str">
        <f>"1 : 4"</f>
        <v>1 : 4</v>
      </c>
      <c r="S37">
        <v>10</v>
      </c>
    </row>
    <row r="38" spans="1:23" x14ac:dyDescent="0.2">
      <c r="A38" s="112" t="s">
        <v>627</v>
      </c>
      <c r="B38" s="536">
        <f>CHOOSE(MODE, 'Calculations - Single'!N110, 'Calculations - Dual'!O110+'Calculations - Dual'!P110)</f>
        <v>2.592987804878049</v>
      </c>
      <c r="C38" s="113" t="s">
        <v>45</v>
      </c>
      <c r="D38" s="79" t="b">
        <f>B38&lt;Pout_total</f>
        <v>0</v>
      </c>
      <c r="F38" s="8"/>
      <c r="G38" s="8"/>
      <c r="H38" s="8"/>
      <c r="I38" s="26"/>
      <c r="Q38" s="582" t="s">
        <v>400</v>
      </c>
      <c r="R38" s="470" t="str">
        <f>CHOOSE(Turns_Ratio, "5 : 1", "4 : 1", "3 : 1", "2 : 1", "1.5 : 1", "1 : 1", "1 : 1.5", "1 : 2", "1 : 3", "1 : 4")</f>
        <v>3 : 1</v>
      </c>
      <c r="S38" s="4">
        <v>3</v>
      </c>
      <c r="U38" s="582" t="s">
        <v>590</v>
      </c>
      <c r="V38" s="456" t="str">
        <f>CHOOSE(Turns_Ratio2, "5 : 1", "4 : 1", "3 : 1", "2 : 1", "1 : 1", "1 : 2", "1 : 3", "1 : 4", "1 : 5")</f>
        <v>1 : 5</v>
      </c>
      <c r="W38" s="4">
        <v>9</v>
      </c>
    </row>
    <row r="39" spans="1:23" x14ac:dyDescent="0.2">
      <c r="A39" s="112" t="s">
        <v>440</v>
      </c>
      <c r="B39" s="135">
        <v>350000</v>
      </c>
      <c r="C39" s="113" t="s">
        <v>8</v>
      </c>
      <c r="D39" s="79" t="s">
        <v>585</v>
      </c>
      <c r="F39" s="8"/>
      <c r="G39" s="8"/>
      <c r="H39" s="8"/>
      <c r="I39" s="26"/>
    </row>
    <row r="40" spans="1:23" x14ac:dyDescent="0.2">
      <c r="A40" s="27" t="s">
        <v>18</v>
      </c>
      <c r="B40" s="28">
        <v>1.21</v>
      </c>
      <c r="C40" s="8" t="s">
        <v>0</v>
      </c>
      <c r="D40" s="79" t="s">
        <v>586</v>
      </c>
      <c r="F40" s="8"/>
      <c r="G40" s="8"/>
      <c r="H40" s="8"/>
      <c r="I40" s="26"/>
      <c r="Q40" s="78" t="s">
        <v>459</v>
      </c>
      <c r="R40" s="470" t="str">
        <f>CHOOSE(Turns_Ratio, "5", "4 ", "3", "2", "1.5", "1", "0.66", "0.5", "0.33", "0.25")</f>
        <v>3</v>
      </c>
    </row>
    <row r="41" spans="1:23" x14ac:dyDescent="0.2">
      <c r="A41" s="112" t="s">
        <v>398</v>
      </c>
      <c r="B41" s="169">
        <f>'Design Converter'!E27*1000</f>
        <v>158000</v>
      </c>
      <c r="C41" s="115" t="s">
        <v>45</v>
      </c>
      <c r="D41" s="113" t="s">
        <v>587</v>
      </c>
      <c r="F41" s="8"/>
      <c r="G41" s="8"/>
      <c r="H41" s="8"/>
      <c r="I41" s="26"/>
      <c r="Q41" s="78" t="s">
        <v>507</v>
      </c>
      <c r="R41" s="470" t="str">
        <f>CHOOSE(Turns_Ratio, "5", "4 ", "3", "2", "1.5", "1", "0.66", "0.5", "0.33", "0.25")</f>
        <v>3</v>
      </c>
      <c r="V41" s="78" t="s">
        <v>594</v>
      </c>
      <c r="W41" s="163" t="str">
        <f>CHOOSE(Turns_Ratio, "1", "1", "1", "1", "1", "1", "1.5", "2", "3", "4")</f>
        <v>1</v>
      </c>
    </row>
    <row r="42" spans="1:23" x14ac:dyDescent="0.2">
      <c r="A42" s="112"/>
      <c r="B42" s="377"/>
      <c r="C42" s="115"/>
      <c r="D42" s="62"/>
      <c r="F42" s="8"/>
      <c r="G42" s="8"/>
      <c r="H42" s="8"/>
      <c r="I42" s="26"/>
      <c r="K42" s="78" t="s">
        <v>402</v>
      </c>
      <c r="Q42" s="78" t="s">
        <v>593</v>
      </c>
      <c r="R42" s="650">
        <f>ABS((Vout2+Vfwd1)/(Vout+Vfwd1))</f>
        <v>1</v>
      </c>
      <c r="V42" s="78" t="s">
        <v>593</v>
      </c>
      <c r="W42" s="635">
        <f>Nsec1sec2</f>
        <v>1</v>
      </c>
    </row>
    <row r="43" spans="1:23" ht="15.75" x14ac:dyDescent="0.3">
      <c r="A43" s="112" t="s">
        <v>399</v>
      </c>
      <c r="B43" s="536">
        <v>0.1</v>
      </c>
      <c r="C43" s="79" t="s">
        <v>45</v>
      </c>
      <c r="D43" s="113" t="s">
        <v>588</v>
      </c>
      <c r="F43" s="618" t="s">
        <v>589</v>
      </c>
      <c r="G43" s="8"/>
      <c r="H43" s="8"/>
      <c r="I43" s="26"/>
      <c r="Q43" s="486" t="s">
        <v>508</v>
      </c>
      <c r="R43" s="633">
        <f>Nps/Nsec1sec2</f>
        <v>3</v>
      </c>
      <c r="V43" s="4"/>
      <c r="W43" s="634">
        <f>W41*W42</f>
        <v>1</v>
      </c>
    </row>
    <row r="44" spans="1:23" ht="13.5" thickBot="1" x14ac:dyDescent="0.25">
      <c r="A44" s="29"/>
      <c r="B44" s="30"/>
      <c r="C44" s="82"/>
      <c r="D44" s="30"/>
      <c r="E44" s="30"/>
      <c r="F44" s="30"/>
      <c r="G44" s="30"/>
      <c r="H44" s="30"/>
      <c r="I44" s="31"/>
      <c r="K44" s="452" t="str">
        <f>"SCH_"&amp;B51&amp;"_"&amp;F56&amp;"_"&amp;I56&amp;"_"&amp;F50</f>
        <v>SCH_SINGLE_UVLOint_SSint_TCno</v>
      </c>
      <c r="R44" s="374">
        <f>ROUND(Nsec1sec2,1)</f>
        <v>1</v>
      </c>
      <c r="V44" s="163" t="s">
        <v>595</v>
      </c>
      <c r="W44" s="624" t="str">
        <f>CHOOSE(MODE, R38, R38&amp;" : "&amp;ROUND(W43,2))</f>
        <v>3 : 1</v>
      </c>
    </row>
    <row r="45" spans="1:23" x14ac:dyDescent="0.2">
      <c r="A45" s="8"/>
      <c r="B45" s="8"/>
      <c r="C45" s="41"/>
      <c r="D45" s="8"/>
      <c r="E45" s="8"/>
      <c r="F45" s="8"/>
      <c r="G45" s="8"/>
      <c r="H45" s="8"/>
      <c r="I45" s="8"/>
    </row>
    <row r="46" spans="1:23" ht="16.5" thickBot="1" x14ac:dyDescent="0.3">
      <c r="A46" s="52" t="s">
        <v>576</v>
      </c>
      <c r="B46" s="8"/>
      <c r="C46" s="41"/>
      <c r="D46" s="8"/>
      <c r="E46" s="8"/>
      <c r="F46" s="8"/>
      <c r="G46" s="8"/>
      <c r="H46" s="8"/>
      <c r="I46" s="8"/>
    </row>
    <row r="47" spans="1:23" ht="15.75" x14ac:dyDescent="0.25">
      <c r="A47" s="387"/>
      <c r="B47" s="388"/>
      <c r="C47" s="389"/>
      <c r="D47" s="388"/>
      <c r="E47" s="388"/>
      <c r="F47" s="388"/>
      <c r="G47" s="388"/>
      <c r="H47" s="388"/>
      <c r="I47" s="444"/>
      <c r="J47" s="444"/>
      <c r="K47" s="444"/>
      <c r="L47" s="444"/>
      <c r="M47" s="444"/>
      <c r="N47" s="444"/>
      <c r="O47" s="25"/>
    </row>
    <row r="48" spans="1:23" x14ac:dyDescent="0.2">
      <c r="A48" s="384" t="s">
        <v>367</v>
      </c>
      <c r="B48" s="79" t="s">
        <v>368</v>
      </c>
      <c r="C48" s="445">
        <v>1</v>
      </c>
      <c r="D48" s="8"/>
      <c r="E48" s="384" t="s">
        <v>386</v>
      </c>
      <c r="F48" s="79" t="s">
        <v>371</v>
      </c>
      <c r="G48" s="166" t="b">
        <v>1</v>
      </c>
      <c r="I48" s="160" t="s">
        <v>303</v>
      </c>
      <c r="J48" s="166">
        <v>1</v>
      </c>
      <c r="K48" t="str">
        <f>B51&amp;", "&amp;F50&amp;", "&amp;I50&amp;", "&amp;F56&amp;", "&amp;I56</f>
        <v>SINGLE, TCno, IlimRes, UVLOint, SSint</v>
      </c>
      <c r="O48" s="25"/>
      <c r="Q48" s="402" t="s">
        <v>337</v>
      </c>
      <c r="R48" s="4" t="s">
        <v>332</v>
      </c>
      <c r="S48" s="374">
        <v>1</v>
      </c>
    </row>
    <row r="49" spans="1:26" x14ac:dyDescent="0.2">
      <c r="A49" s="383"/>
      <c r="B49" s="79" t="s">
        <v>369</v>
      </c>
      <c r="C49" s="445">
        <v>2</v>
      </c>
      <c r="D49" s="8"/>
      <c r="E49" s="38"/>
      <c r="F49" s="79" t="s">
        <v>372</v>
      </c>
      <c r="G49" s="166" t="b">
        <v>0</v>
      </c>
      <c r="I49" s="160" t="s">
        <v>304</v>
      </c>
      <c r="J49" s="166">
        <v>2</v>
      </c>
      <c r="K49" t="str">
        <f>C51&amp;", "&amp;G50&amp;", "&amp;J50&amp;", "&amp;G56&amp;", "&amp;J56</f>
        <v>1, 2, 2, 2, 2</v>
      </c>
      <c r="O49" s="25"/>
      <c r="Q49" s="402" t="s">
        <v>339</v>
      </c>
      <c r="R49" s="4" t="s">
        <v>333</v>
      </c>
      <c r="S49" s="374">
        <v>2</v>
      </c>
    </row>
    <row r="50" spans="1:26" x14ac:dyDescent="0.2">
      <c r="B50" s="78" t="s">
        <v>521</v>
      </c>
      <c r="C50" s="597">
        <v>3</v>
      </c>
      <c r="D50" s="8"/>
      <c r="E50" s="451" t="s">
        <v>387</v>
      </c>
      <c r="F50" s="386" t="str">
        <f>CHOOSE(G50, "TCyes", "TCno")</f>
        <v>TCno</v>
      </c>
      <c r="G50" s="381">
        <v>2</v>
      </c>
      <c r="H50" s="451" t="s">
        <v>302</v>
      </c>
      <c r="I50" s="447" t="str">
        <f>CHOOSE(J50, "IlimGND", "IlimRes")</f>
        <v>IlimRes</v>
      </c>
      <c r="J50" s="381">
        <f>IF(C56=4, 1, 2)</f>
        <v>2</v>
      </c>
      <c r="K50" t="str">
        <f>C51&amp;G50&amp;J50&amp;G56&amp;J56</f>
        <v>12222</v>
      </c>
      <c r="O50" s="25"/>
      <c r="Q50" s="402" t="s">
        <v>340</v>
      </c>
      <c r="R50" s="4" t="s">
        <v>334</v>
      </c>
      <c r="S50" s="374">
        <v>3</v>
      </c>
    </row>
    <row r="51" spans="1:26" x14ac:dyDescent="0.2">
      <c r="A51" s="448" t="s">
        <v>287</v>
      </c>
      <c r="B51" s="446" t="str">
        <f>CHOOSE(C51,"SINGLE", IF(Vout2_actual&gt;0, "DUAL", "BIPOLAR"))</f>
        <v>SINGLE</v>
      </c>
      <c r="C51" s="385">
        <v>1</v>
      </c>
      <c r="D51" s="8"/>
      <c r="E51" s="8"/>
      <c r="G51" s="80">
        <f>TC</f>
        <v>2</v>
      </c>
      <c r="I51" s="381"/>
      <c r="J51" s="8"/>
      <c r="O51" s="25"/>
      <c r="Q51" s="402" t="s">
        <v>338</v>
      </c>
      <c r="R51" s="4" t="s">
        <v>335</v>
      </c>
      <c r="S51" s="374">
        <v>4</v>
      </c>
    </row>
    <row r="52" spans="1:26" x14ac:dyDescent="0.2">
      <c r="A52" s="383"/>
      <c r="B52" s="4" t="b">
        <f>CHOOSE(C51, TRUE, FALSE)</f>
        <v>1</v>
      </c>
      <c r="C52" s="80" t="str">
        <f>CHOOSE(C51,"1", IF(Vout2&gt;0, "2", "3"))</f>
        <v>1</v>
      </c>
      <c r="O52" s="25"/>
      <c r="Q52" s="402" t="s">
        <v>342</v>
      </c>
      <c r="R52" s="4" t="s">
        <v>341</v>
      </c>
      <c r="S52" s="374">
        <v>5</v>
      </c>
    </row>
    <row r="53" spans="1:26" x14ac:dyDescent="0.2">
      <c r="O53" s="25"/>
      <c r="Q53" s="450" t="s">
        <v>336</v>
      </c>
      <c r="R53" s="456" t="str">
        <f>CHOOSE(S53,"6.3V","10V","16V","25V","50V")</f>
        <v>6.3V</v>
      </c>
      <c r="S53" s="470">
        <f>IF(Vout&lt;=5, 1, IF(Vout&lt;=8, 2, IF(Vout&lt;=12, 3, IF(Vout&lt;=20, 4, 5))))</f>
        <v>1</v>
      </c>
    </row>
    <row r="54" spans="1:26" x14ac:dyDescent="0.2">
      <c r="A54" s="390" t="s">
        <v>189</v>
      </c>
      <c r="B54" s="113" t="s">
        <v>371</v>
      </c>
      <c r="C54" s="445">
        <v>1</v>
      </c>
      <c r="D54" s="8"/>
      <c r="E54" s="163" t="s">
        <v>322</v>
      </c>
      <c r="F54" s="486" t="s">
        <v>553</v>
      </c>
      <c r="G54" s="166">
        <v>1</v>
      </c>
      <c r="H54" s="384" t="s">
        <v>298</v>
      </c>
      <c r="I54" s="79" t="s">
        <v>553</v>
      </c>
      <c r="J54" s="166">
        <v>1</v>
      </c>
      <c r="L54" s="160" t="s">
        <v>320</v>
      </c>
      <c r="M54" s="166">
        <v>1</v>
      </c>
      <c r="O54" s="25"/>
    </row>
    <row r="55" spans="1:26" x14ac:dyDescent="0.2">
      <c r="A55" s="391"/>
      <c r="B55" s="113" t="s">
        <v>372</v>
      </c>
      <c r="C55" s="445">
        <v>2</v>
      </c>
      <c r="D55" s="8"/>
      <c r="F55" s="486" t="s">
        <v>554</v>
      </c>
      <c r="G55" s="166">
        <v>2</v>
      </c>
      <c r="H55" s="38"/>
      <c r="I55" s="79" t="s">
        <v>675</v>
      </c>
      <c r="J55" s="166">
        <v>2</v>
      </c>
      <c r="L55" s="160" t="s">
        <v>321</v>
      </c>
      <c r="M55" s="166">
        <v>2</v>
      </c>
      <c r="O55" s="25"/>
      <c r="R55" s="4" t="s">
        <v>655</v>
      </c>
      <c r="S55" s="4"/>
      <c r="T55" s="4" t="s">
        <v>116</v>
      </c>
      <c r="U55" s="4" t="s">
        <v>656</v>
      </c>
    </row>
    <row r="56" spans="1:26" x14ac:dyDescent="0.2">
      <c r="A56" s="449" t="s">
        <v>288</v>
      </c>
      <c r="B56" s="446" t="str">
        <f>CHOOSE(C56, "YES", "NO")</f>
        <v>YES</v>
      </c>
      <c r="C56" s="385">
        <v>1</v>
      </c>
      <c r="D56" s="8"/>
      <c r="E56" s="450" t="s">
        <v>308</v>
      </c>
      <c r="F56" s="447" t="str">
        <f>CHOOSE(G56, "UVLOadj", "UVLOint")</f>
        <v>UVLOint</v>
      </c>
      <c r="G56" s="381">
        <v>2</v>
      </c>
      <c r="H56" s="451" t="s">
        <v>289</v>
      </c>
      <c r="I56" s="386" t="str">
        <f>CHOOSE(J56, "SSadj", "SSint")</f>
        <v>SSint</v>
      </c>
      <c r="J56" s="381">
        <v>2</v>
      </c>
      <c r="L56" s="382" t="s">
        <v>300</v>
      </c>
      <c r="M56" s="381">
        <v>1</v>
      </c>
      <c r="O56" s="25"/>
      <c r="R56" s="469" t="s">
        <v>345</v>
      </c>
      <c r="S56" s="374">
        <v>1</v>
      </c>
      <c r="T56" s="78" t="s">
        <v>351</v>
      </c>
      <c r="U56" s="472">
        <v>0.5</v>
      </c>
    </row>
    <row r="57" spans="1:26" ht="13.5" thickBot="1" x14ac:dyDescent="0.25">
      <c r="A57" s="29"/>
      <c r="B57" s="30"/>
      <c r="C57" s="165"/>
      <c r="D57" s="30"/>
      <c r="E57" s="30"/>
      <c r="F57" s="30"/>
      <c r="G57" s="30"/>
      <c r="H57" s="30"/>
      <c r="I57" s="30"/>
      <c r="J57" s="30"/>
      <c r="K57" s="30"/>
      <c r="L57" s="30"/>
      <c r="M57" s="30"/>
      <c r="N57" s="30"/>
      <c r="O57" s="25"/>
      <c r="R57" s="469" t="s">
        <v>119</v>
      </c>
      <c r="S57" s="374">
        <v>2</v>
      </c>
      <c r="T57" s="78" t="s">
        <v>355</v>
      </c>
      <c r="U57" s="472">
        <v>1.3</v>
      </c>
    </row>
    <row r="58" spans="1:26" x14ac:dyDescent="0.2">
      <c r="A58" s="8"/>
      <c r="B58" s="8" t="b">
        <f>(CONFIG="2")</f>
        <v>0</v>
      </c>
      <c r="C58" s="41" t="str">
        <f>CONFIG</f>
        <v>1</v>
      </c>
      <c r="D58" s="8"/>
      <c r="E58" s="8"/>
      <c r="F58" s="8"/>
      <c r="G58" s="8"/>
      <c r="H58" s="8"/>
      <c r="I58" s="8"/>
      <c r="R58" s="469" t="s">
        <v>346</v>
      </c>
      <c r="S58" s="374">
        <v>3</v>
      </c>
      <c r="T58" s="78" t="s">
        <v>356</v>
      </c>
      <c r="U58" s="472">
        <v>2.5</v>
      </c>
    </row>
    <row r="59" spans="1:26" ht="16.5" thickBot="1" x14ac:dyDescent="0.3">
      <c r="A59" s="52" t="s">
        <v>577</v>
      </c>
      <c r="B59" s="41"/>
      <c r="C59" s="41"/>
      <c r="E59" s="8"/>
      <c r="F59" s="8"/>
      <c r="G59" s="8"/>
      <c r="H59" s="8"/>
      <c r="I59" s="8"/>
      <c r="R59" s="469" t="s">
        <v>347</v>
      </c>
      <c r="S59" s="374">
        <v>4</v>
      </c>
      <c r="T59" s="78" t="s">
        <v>354</v>
      </c>
      <c r="U59" s="472">
        <v>5.0999999999999996</v>
      </c>
    </row>
    <row r="60" spans="1:26" x14ac:dyDescent="0.2">
      <c r="A60" s="111"/>
      <c r="B60" s="615"/>
      <c r="C60" s="616"/>
      <c r="D60" s="158"/>
      <c r="E60" s="81"/>
      <c r="F60" s="32"/>
      <c r="G60" s="32"/>
      <c r="H60" s="32"/>
      <c r="I60" s="33">
        <v>1</v>
      </c>
      <c r="R60" s="469" t="s">
        <v>348</v>
      </c>
      <c r="S60" s="374">
        <v>5</v>
      </c>
      <c r="T60" s="78" t="s">
        <v>357</v>
      </c>
      <c r="U60" s="472">
        <v>8</v>
      </c>
    </row>
    <row r="61" spans="1:26" x14ac:dyDescent="0.2">
      <c r="A61" s="112" t="s">
        <v>150</v>
      </c>
      <c r="B61" s="167">
        <f>Nps*(Vout+Vfwd2)/(VIN_min+Nps*(Vout+Vfwd2))</f>
        <v>0.5145631067961165</v>
      </c>
      <c r="C61" s="8"/>
      <c r="D61" t="b">
        <f>B61&gt;0.75</f>
        <v>0</v>
      </c>
      <c r="E61" s="79"/>
      <c r="F61" s="8"/>
      <c r="G61" s="8"/>
      <c r="H61" s="8"/>
      <c r="I61" s="26">
        <v>1</v>
      </c>
      <c r="Q61" s="450" t="s">
        <v>349</v>
      </c>
      <c r="R61" s="456" t="str">
        <f>CHOOSE(S61,"0402","0603","0805","1206","1210")</f>
        <v>1210</v>
      </c>
      <c r="S61" s="470">
        <v>5</v>
      </c>
      <c r="T61" s="456" t="str">
        <f>CHOOSE(S61,T56,T57, T58,T59,T60)</f>
        <v>3.2 x 2.5</v>
      </c>
    </row>
    <row r="62" spans="1:26" x14ac:dyDescent="0.2">
      <c r="A62" s="112" t="s">
        <v>158</v>
      </c>
      <c r="B62" s="167">
        <f>Nps*(Vout+Vfwd1)/(VIN_nom+Nps*(Vout+Vfwd1))</f>
        <v>0.39622641509433965</v>
      </c>
      <c r="C62" s="8"/>
      <c r="F62" s="8"/>
      <c r="G62" s="8"/>
      <c r="H62" s="8"/>
      <c r="I62" s="26"/>
    </row>
    <row r="63" spans="1:26" x14ac:dyDescent="0.2">
      <c r="A63" s="112" t="s">
        <v>151</v>
      </c>
      <c r="B63" s="167">
        <f>Nps*(Vout+Vfwd1)/(VIN_max+Nps*(Vout+Vfwd1))</f>
        <v>0.24705882352941178</v>
      </c>
      <c r="C63" s="8"/>
      <c r="E63" s="79"/>
      <c r="F63" s="8"/>
      <c r="G63" s="8"/>
      <c r="H63" s="8"/>
      <c r="I63" s="26"/>
    </row>
    <row r="64" spans="1:26" x14ac:dyDescent="0.2">
      <c r="A64" s="78"/>
      <c r="B64" s="8"/>
      <c r="C64" s="8"/>
      <c r="D64" s="8"/>
      <c r="E64" s="79"/>
      <c r="F64" s="8"/>
      <c r="G64" s="8"/>
      <c r="H64" s="8"/>
      <c r="I64" s="26"/>
      <c r="R64" s="4" t="s">
        <v>655</v>
      </c>
      <c r="S64" s="4"/>
      <c r="T64" s="4" t="s">
        <v>116</v>
      </c>
      <c r="U64" s="4" t="s">
        <v>656</v>
      </c>
      <c r="W64" s="4" t="s">
        <v>655</v>
      </c>
      <c r="X64" s="4"/>
      <c r="Y64" s="4" t="s">
        <v>116</v>
      </c>
      <c r="Z64" s="4" t="s">
        <v>656</v>
      </c>
    </row>
    <row r="65" spans="1:26" x14ac:dyDescent="0.2">
      <c r="A65" s="112"/>
      <c r="B65" s="660"/>
      <c r="C65" s="79"/>
      <c r="D65" s="79"/>
      <c r="F65" s="8"/>
      <c r="G65" s="8"/>
      <c r="H65" s="8"/>
      <c r="I65" s="26"/>
      <c r="R65" s="78" t="s">
        <v>352</v>
      </c>
      <c r="S65" s="374">
        <v>1</v>
      </c>
      <c r="T65" s="486" t="s">
        <v>641</v>
      </c>
      <c r="U65" s="472">
        <v>36</v>
      </c>
      <c r="W65" s="78" t="s">
        <v>662</v>
      </c>
      <c r="X65" s="374">
        <v>1</v>
      </c>
      <c r="Y65" s="78" t="s">
        <v>355</v>
      </c>
      <c r="Z65">
        <v>1.3</v>
      </c>
    </row>
    <row r="66" spans="1:26" x14ac:dyDescent="0.2">
      <c r="A66" s="112"/>
      <c r="B66" s="660"/>
      <c r="C66" s="8"/>
      <c r="D66" s="79"/>
      <c r="F66" s="8"/>
      <c r="G66" s="8"/>
      <c r="H66" s="8"/>
      <c r="I66" s="26"/>
      <c r="R66" s="78" t="s">
        <v>353</v>
      </c>
      <c r="S66" s="374">
        <v>2</v>
      </c>
      <c r="T66" s="486" t="s">
        <v>640</v>
      </c>
      <c r="U66" s="472">
        <v>49</v>
      </c>
      <c r="W66" s="78" t="s">
        <v>652</v>
      </c>
      <c r="X66" s="374">
        <v>2</v>
      </c>
      <c r="Y66" s="78" t="s">
        <v>661</v>
      </c>
      <c r="Z66">
        <v>3.2</v>
      </c>
    </row>
    <row r="67" spans="1:26" x14ac:dyDescent="0.2">
      <c r="A67" s="112"/>
      <c r="B67" s="660"/>
      <c r="C67" s="79"/>
      <c r="D67" s="79"/>
      <c r="F67" s="8"/>
      <c r="G67" s="8"/>
      <c r="H67" s="8"/>
      <c r="I67" s="26"/>
      <c r="R67" s="78" t="s">
        <v>631</v>
      </c>
      <c r="S67" s="374">
        <v>3</v>
      </c>
      <c r="T67" s="486" t="s">
        <v>639</v>
      </c>
      <c r="U67" s="472">
        <v>64</v>
      </c>
      <c r="W67" s="78" t="s">
        <v>653</v>
      </c>
      <c r="X67" s="374">
        <v>3</v>
      </c>
      <c r="Y67" s="78" t="s">
        <v>660</v>
      </c>
      <c r="Z67">
        <v>6.5</v>
      </c>
    </row>
    <row r="68" spans="1:26" x14ac:dyDescent="0.2">
      <c r="A68" s="78"/>
      <c r="B68" s="12"/>
      <c r="C68"/>
      <c r="I68" s="26">
        <v>1</v>
      </c>
      <c r="R68" s="78" t="s">
        <v>632</v>
      </c>
      <c r="S68" s="374">
        <v>4</v>
      </c>
      <c r="T68" s="486" t="s">
        <v>638</v>
      </c>
      <c r="U68" s="472">
        <v>81</v>
      </c>
      <c r="W68" s="78" t="s">
        <v>654</v>
      </c>
      <c r="X68" s="374">
        <v>4</v>
      </c>
      <c r="Y68" s="78" t="s">
        <v>659</v>
      </c>
      <c r="Z68">
        <v>12.5</v>
      </c>
    </row>
    <row r="69" spans="1:26" x14ac:dyDescent="0.2">
      <c r="A69" s="113"/>
      <c r="B69" s="661"/>
      <c r="C69" s="79"/>
      <c r="D69" s="79"/>
      <c r="E69" s="79"/>
      <c r="F69" s="8"/>
      <c r="G69" s="8"/>
      <c r="H69" s="8"/>
      <c r="I69" s="26"/>
      <c r="R69" s="78" t="s">
        <v>633</v>
      </c>
      <c r="S69" s="374">
        <v>5</v>
      </c>
      <c r="T69" s="486" t="s">
        <v>637</v>
      </c>
      <c r="U69" s="472">
        <v>100</v>
      </c>
      <c r="W69" s="450" t="s">
        <v>657</v>
      </c>
    </row>
    <row r="70" spans="1:26" x14ac:dyDescent="0.2">
      <c r="A70" s="113"/>
      <c r="B70" s="661"/>
      <c r="C70" s="8"/>
      <c r="D70" s="79"/>
      <c r="E70" s="79"/>
      <c r="F70" s="8"/>
      <c r="G70" s="8"/>
      <c r="H70" s="8"/>
      <c r="I70" s="26"/>
      <c r="R70" s="78" t="s">
        <v>634</v>
      </c>
      <c r="S70" s="374">
        <v>6</v>
      </c>
      <c r="T70" s="486" t="s">
        <v>636</v>
      </c>
      <c r="U70" s="472">
        <v>120</v>
      </c>
    </row>
    <row r="71" spans="1:26" x14ac:dyDescent="0.2">
      <c r="A71" s="113"/>
      <c r="B71" s="661"/>
      <c r="C71" s="79"/>
      <c r="D71" s="79"/>
      <c r="E71" s="79"/>
      <c r="F71" s="8"/>
      <c r="G71" s="8"/>
      <c r="H71" s="8"/>
      <c r="I71" s="26"/>
      <c r="R71" s="78" t="s">
        <v>635</v>
      </c>
      <c r="S71" s="374">
        <v>7</v>
      </c>
      <c r="T71" s="486" t="s">
        <v>642</v>
      </c>
      <c r="U71" s="472">
        <v>143</v>
      </c>
    </row>
    <row r="72" spans="1:26" ht="15.75" x14ac:dyDescent="0.3">
      <c r="A72" s="78"/>
      <c r="B72" s="8"/>
      <c r="C72" s="79"/>
      <c r="D72" s="8"/>
      <c r="E72" s="79"/>
      <c r="F72" s="8"/>
      <c r="G72" s="8"/>
      <c r="H72" s="8"/>
      <c r="I72" s="26"/>
      <c r="K72" s="78" t="s">
        <v>324</v>
      </c>
      <c r="Q72" s="450" t="s">
        <v>465</v>
      </c>
    </row>
    <row r="73" spans="1:26" x14ac:dyDescent="0.2">
      <c r="A73" s="112" t="s">
        <v>152</v>
      </c>
      <c r="B73" s="43">
        <f>'Design Converter'!L7/1000000</f>
        <v>4.3999999999999999E-5</v>
      </c>
      <c r="C73" s="8" t="s">
        <v>11</v>
      </c>
      <c r="D73" s="79" t="s">
        <v>464</v>
      </c>
      <c r="F73" s="8"/>
      <c r="G73" s="8"/>
      <c r="H73" s="8"/>
      <c r="I73" s="26"/>
    </row>
    <row r="74" spans="1:26" x14ac:dyDescent="0.2">
      <c r="A74" s="112" t="s">
        <v>688</v>
      </c>
      <c r="B74" s="135">
        <f>'Design Converter'!L11</f>
        <v>1000</v>
      </c>
      <c r="C74" s="8" t="s">
        <v>689</v>
      </c>
      <c r="D74" s="79"/>
      <c r="F74" s="8"/>
      <c r="G74" s="8"/>
      <c r="H74" s="8"/>
      <c r="I74" s="26"/>
    </row>
    <row r="75" spans="1:26" x14ac:dyDescent="0.2">
      <c r="A75" s="112" t="s">
        <v>397</v>
      </c>
      <c r="B75" s="11">
        <f>'Design Converter'!L8/1000</f>
        <v>0.2</v>
      </c>
      <c r="C75" s="115" t="s">
        <v>45</v>
      </c>
      <c r="D75" s="79" t="s">
        <v>462</v>
      </c>
      <c r="F75" s="8"/>
      <c r="G75" s="8"/>
      <c r="H75" s="8"/>
      <c r="I75" s="26"/>
    </row>
    <row r="76" spans="1:26" x14ac:dyDescent="0.2">
      <c r="A76" s="112" t="s">
        <v>460</v>
      </c>
      <c r="B76" s="11">
        <f>'Design Converter'!L9/1000</f>
        <v>0.04</v>
      </c>
      <c r="C76" s="115" t="s">
        <v>45</v>
      </c>
      <c r="D76" s="79" t="s">
        <v>463</v>
      </c>
      <c r="F76" s="8"/>
      <c r="G76" s="8"/>
      <c r="H76" s="8"/>
      <c r="I76" s="26">
        <v>2</v>
      </c>
    </row>
    <row r="77" spans="1:26" x14ac:dyDescent="0.2">
      <c r="A77" s="112" t="s">
        <v>461</v>
      </c>
      <c r="B77" s="11">
        <f>'Design Converter'!L10/1000</f>
        <v>0.09</v>
      </c>
      <c r="C77" s="115" t="s">
        <v>45</v>
      </c>
      <c r="D77" s="79" t="s">
        <v>559</v>
      </c>
      <c r="E77" s="79"/>
      <c r="F77" s="8"/>
      <c r="G77" s="8"/>
      <c r="H77" s="8"/>
      <c r="I77" s="26">
        <v>1</v>
      </c>
    </row>
    <row r="78" spans="1:26" x14ac:dyDescent="0.2">
      <c r="A78" s="112"/>
      <c r="B78" s="8"/>
      <c r="C78" s="8"/>
      <c r="D78" s="8"/>
      <c r="E78" s="8"/>
      <c r="F78" s="8"/>
      <c r="G78" s="8"/>
      <c r="H78" s="8"/>
      <c r="I78" s="26"/>
    </row>
    <row r="79" spans="1:26" ht="15.75" customHeight="1" x14ac:dyDescent="0.2">
      <c r="A79" s="79" t="s">
        <v>558</v>
      </c>
      <c r="B79" s="197">
        <v>100</v>
      </c>
      <c r="C79" s="113" t="s">
        <v>102</v>
      </c>
      <c r="D79" s="79"/>
      <c r="E79" s="8"/>
      <c r="F79" s="8"/>
      <c r="H79" s="8"/>
      <c r="I79" s="26"/>
    </row>
    <row r="80" spans="1:26" x14ac:dyDescent="0.2">
      <c r="A80" s="112" t="s">
        <v>555</v>
      </c>
      <c r="B80" s="189">
        <f>Rdcr_pri*(1+0.0039*(B79-25))</f>
        <v>0.25850000000000001</v>
      </c>
      <c r="C80" s="115" t="s">
        <v>45</v>
      </c>
      <c r="D80" s="8"/>
      <c r="H80" s="8"/>
      <c r="I80" s="26"/>
    </row>
    <row r="81" spans="1:12" x14ac:dyDescent="0.2">
      <c r="A81" s="112" t="s">
        <v>556</v>
      </c>
      <c r="B81" s="189">
        <f>Rdcr_sec*(1+0.0039*(B79-25))</f>
        <v>5.1700000000000003E-2</v>
      </c>
      <c r="C81" s="115" t="s">
        <v>45</v>
      </c>
      <c r="D81" s="8"/>
      <c r="H81" s="8"/>
      <c r="I81" s="26"/>
    </row>
    <row r="82" spans="1:12" x14ac:dyDescent="0.2">
      <c r="A82" s="112" t="s">
        <v>557</v>
      </c>
      <c r="B82" s="189">
        <f>Rdcr_sec2*(1+0.0039*(B79-25))</f>
        <v>0.116325</v>
      </c>
      <c r="C82" s="115" t="s">
        <v>45</v>
      </c>
      <c r="D82" s="8"/>
      <c r="H82" s="8"/>
      <c r="I82" s="26"/>
    </row>
    <row r="83" spans="1:12" x14ac:dyDescent="0.2">
      <c r="I83" s="26"/>
    </row>
    <row r="84" spans="1:12" x14ac:dyDescent="0.2">
      <c r="A84" t="s">
        <v>687</v>
      </c>
      <c r="B84" s="654">
        <f>(Vout+Vfwd1)*Nps*0.000000357/Isw_min*1000000</f>
        <v>37.484999999999999</v>
      </c>
      <c r="C84" s="4" t="s">
        <v>11</v>
      </c>
      <c r="I84" s="26"/>
    </row>
    <row r="85" spans="1:12" ht="13.5" thickBot="1" x14ac:dyDescent="0.25">
      <c r="A85" s="171"/>
      <c r="B85" s="172"/>
      <c r="C85" s="30"/>
      <c r="D85" s="30"/>
      <c r="E85" s="30"/>
      <c r="F85" s="30"/>
      <c r="G85" s="30"/>
      <c r="H85" s="30"/>
      <c r="I85" s="31"/>
    </row>
    <row r="86" spans="1:12" x14ac:dyDescent="0.2">
      <c r="A86" s="41"/>
      <c r="B86" s="40"/>
      <c r="C86" s="40"/>
      <c r="D86" s="8"/>
      <c r="E86" s="8"/>
      <c r="F86" s="8"/>
      <c r="G86" s="8"/>
      <c r="H86" s="8"/>
      <c r="I86" s="8"/>
    </row>
    <row r="88" spans="1:12" ht="16.5" thickBot="1" x14ac:dyDescent="0.3">
      <c r="A88" s="52" t="s">
        <v>578</v>
      </c>
      <c r="B88" s="8"/>
      <c r="D88" s="41"/>
      <c r="E88" s="8"/>
      <c r="F88" s="8"/>
      <c r="G88" s="8"/>
      <c r="H88" s="8"/>
      <c r="I88" s="8"/>
    </row>
    <row r="89" spans="1:12" x14ac:dyDescent="0.2">
      <c r="A89" s="111" t="s">
        <v>165</v>
      </c>
      <c r="B89" s="426"/>
      <c r="C89" s="170" t="s">
        <v>1</v>
      </c>
      <c r="D89" s="81" t="s">
        <v>164</v>
      </c>
      <c r="E89" s="32"/>
      <c r="F89" s="32"/>
      <c r="G89" s="32"/>
      <c r="H89" s="32"/>
      <c r="I89" s="33"/>
      <c r="L89" s="6"/>
    </row>
    <row r="90" spans="1:12" x14ac:dyDescent="0.2">
      <c r="A90" s="112" t="s">
        <v>166</v>
      </c>
      <c r="B90" s="427"/>
      <c r="C90" s="113" t="s">
        <v>1</v>
      </c>
      <c r="D90" s="8"/>
      <c r="E90" s="79"/>
      <c r="F90" s="8"/>
      <c r="G90" s="8"/>
      <c r="H90" s="8"/>
      <c r="I90" s="26"/>
      <c r="L90" s="6"/>
    </row>
    <row r="91" spans="1:12" x14ac:dyDescent="0.2">
      <c r="A91" s="112" t="s">
        <v>167</v>
      </c>
      <c r="B91" s="427"/>
      <c r="C91" s="113" t="s">
        <v>1</v>
      </c>
      <c r="D91" s="8"/>
      <c r="E91" s="79"/>
      <c r="F91" s="8"/>
      <c r="G91" s="8"/>
      <c r="H91" s="8"/>
      <c r="I91" s="26"/>
      <c r="L91" s="6"/>
    </row>
    <row r="92" spans="1:12" x14ac:dyDescent="0.2">
      <c r="A92" s="112"/>
      <c r="B92" s="173"/>
      <c r="C92" s="113"/>
      <c r="D92" s="8"/>
      <c r="E92" s="79"/>
      <c r="F92" s="8"/>
      <c r="G92" s="8"/>
      <c r="H92" s="8"/>
      <c r="I92" s="26"/>
      <c r="L92" s="6"/>
    </row>
    <row r="93" spans="1:12" x14ac:dyDescent="0.2">
      <c r="A93" s="112" t="s">
        <v>175</v>
      </c>
      <c r="B93" s="568">
        <f>Vout_ripple</f>
        <v>50</v>
      </c>
      <c r="C93" s="113" t="s">
        <v>149</v>
      </c>
      <c r="D93" s="79" t="s">
        <v>614</v>
      </c>
      <c r="F93" s="8"/>
      <c r="G93" s="8"/>
      <c r="H93" s="8"/>
      <c r="I93" s="26"/>
      <c r="L93" s="6"/>
    </row>
    <row r="94" spans="1:12" x14ac:dyDescent="0.2">
      <c r="A94" s="511" t="s">
        <v>12</v>
      </c>
      <c r="B94" s="198">
        <f>MAX(4.7, CHOOSE(MODE, 'Calculations - Single'!BA212, 'Calculations - Dual'!AW105))</f>
        <v>28.298334324806667</v>
      </c>
      <c r="C94" s="207" t="s">
        <v>97</v>
      </c>
      <c r="D94" s="79" t="s">
        <v>613</v>
      </c>
      <c r="E94" s="79"/>
      <c r="F94" s="8"/>
      <c r="G94" s="8"/>
      <c r="H94" s="8"/>
      <c r="I94" s="26"/>
    </row>
    <row r="95" spans="1:12" x14ac:dyDescent="0.2">
      <c r="A95" s="112" t="s">
        <v>14</v>
      </c>
      <c r="B95" s="612">
        <f>'Design Converter'!E21</f>
        <v>47</v>
      </c>
      <c r="C95" s="207" t="s">
        <v>97</v>
      </c>
      <c r="D95" s="79" t="s">
        <v>168</v>
      </c>
      <c r="F95" s="8"/>
      <c r="G95" s="8"/>
      <c r="H95" s="8"/>
      <c r="I95" s="26"/>
    </row>
    <row r="96" spans="1:12" x14ac:dyDescent="0.2">
      <c r="A96" s="206" t="s">
        <v>182</v>
      </c>
      <c r="B96" s="569">
        <f>(Vripple1_spec-Iout*B98/Cout*1000)/Iout</f>
        <v>75.992794312541491</v>
      </c>
      <c r="C96" s="115" t="s">
        <v>259</v>
      </c>
      <c r="D96" s="79" t="s">
        <v>107</v>
      </c>
      <c r="F96" s="8"/>
      <c r="G96" s="8"/>
      <c r="H96" s="8"/>
      <c r="I96" s="26"/>
    </row>
    <row r="97" spans="1:9" x14ac:dyDescent="0.2">
      <c r="A97" s="112" t="s">
        <v>54</v>
      </c>
      <c r="B97" s="199">
        <f>'Design Converter'!E22</f>
        <v>3</v>
      </c>
      <c r="C97" s="115" t="s">
        <v>259</v>
      </c>
      <c r="D97" s="79" t="s">
        <v>108</v>
      </c>
      <c r="F97" s="8"/>
      <c r="G97" s="8"/>
      <c r="H97" s="8"/>
      <c r="I97" s="26"/>
    </row>
    <row r="98" spans="1:9" x14ac:dyDescent="0.2">
      <c r="A98" s="112" t="s">
        <v>450</v>
      </c>
      <c r="B98" s="198">
        <f>CHOOSE(MODE, 'Calculations - Single'!AT105, 'Calculations - Dual'!AR105)</f>
        <v>1.12833866731055</v>
      </c>
      <c r="C98" s="207" t="s">
        <v>248</v>
      </c>
      <c r="D98" s="79"/>
      <c r="F98" s="8"/>
      <c r="G98" s="8"/>
      <c r="H98" s="8"/>
      <c r="I98" s="26"/>
    </row>
    <row r="99" spans="1:9" x14ac:dyDescent="0.2">
      <c r="A99" s="35" t="s">
        <v>449</v>
      </c>
      <c r="B99" s="609">
        <f>'Calculations - Single'!BB105</f>
        <v>15.4064346926714</v>
      </c>
      <c r="C99" s="79" t="s">
        <v>455</v>
      </c>
      <c r="D99" s="79" t="s">
        <v>616</v>
      </c>
      <c r="F99" s="8"/>
      <c r="G99" s="8"/>
      <c r="H99" s="456" t="s">
        <v>581</v>
      </c>
      <c r="I99" s="26"/>
    </row>
    <row r="100" spans="1:9" x14ac:dyDescent="0.2">
      <c r="A100" s="35"/>
      <c r="B100" s="198"/>
      <c r="C100" s="79"/>
      <c r="D100" s="79"/>
      <c r="F100" s="8"/>
      <c r="G100" s="8"/>
      <c r="H100" s="8"/>
      <c r="I100" s="26"/>
    </row>
    <row r="101" spans="1:9" x14ac:dyDescent="0.2">
      <c r="A101" s="35"/>
      <c r="B101" s="198"/>
      <c r="C101" s="79"/>
      <c r="D101" s="79"/>
      <c r="F101" s="8"/>
      <c r="G101" s="8"/>
      <c r="H101" s="8"/>
      <c r="I101" s="26"/>
    </row>
    <row r="102" spans="1:9" x14ac:dyDescent="0.2">
      <c r="A102" s="617" t="s">
        <v>579</v>
      </c>
      <c r="B102" s="198"/>
      <c r="C102" s="207"/>
      <c r="D102" s="79"/>
      <c r="F102" s="8"/>
      <c r="G102" s="8"/>
      <c r="H102" s="8"/>
      <c r="I102" s="26"/>
    </row>
    <row r="103" spans="1:9" x14ac:dyDescent="0.2">
      <c r="A103" s="112" t="s">
        <v>560</v>
      </c>
      <c r="B103" s="568">
        <f>Vout_ripple2</f>
        <v>50</v>
      </c>
      <c r="C103" s="113" t="s">
        <v>149</v>
      </c>
      <c r="D103" s="79" t="s">
        <v>617</v>
      </c>
      <c r="F103" s="8"/>
      <c r="G103" s="8"/>
      <c r="H103" s="8"/>
      <c r="I103" s="26"/>
    </row>
    <row r="104" spans="1:9" x14ac:dyDescent="0.2">
      <c r="A104" s="511" t="s">
        <v>562</v>
      </c>
      <c r="B104" s="667">
        <f>MAX(4.7, 'Calculations - Dual'!AY105)</f>
        <v>13.072048611111116</v>
      </c>
      <c r="C104" s="207" t="s">
        <v>97</v>
      </c>
      <c r="D104" s="79" t="s">
        <v>613</v>
      </c>
      <c r="F104" s="8"/>
      <c r="G104" s="8"/>
      <c r="H104" s="8"/>
      <c r="I104" s="26"/>
    </row>
    <row r="105" spans="1:9" x14ac:dyDescent="0.2">
      <c r="A105" s="112" t="s">
        <v>561</v>
      </c>
      <c r="B105" s="612">
        <f>'Design Converter'!L21</f>
        <v>22</v>
      </c>
      <c r="C105" s="207" t="s">
        <v>97</v>
      </c>
      <c r="D105" s="79" t="s">
        <v>168</v>
      </c>
      <c r="F105" s="8"/>
      <c r="G105" s="8"/>
      <c r="H105" s="8"/>
      <c r="I105" s="26"/>
    </row>
    <row r="106" spans="1:9" x14ac:dyDescent="0.2">
      <c r="A106" s="206" t="s">
        <v>563</v>
      </c>
      <c r="B106" s="569">
        <f>(Vout_ripple2-Iout2*B108/Cout2*1000)/Iout2</f>
        <v>-107.03231524406871</v>
      </c>
      <c r="C106" s="115" t="s">
        <v>259</v>
      </c>
      <c r="D106" s="79" t="s">
        <v>107</v>
      </c>
      <c r="F106" s="8"/>
      <c r="G106" s="8"/>
      <c r="H106" s="456" t="s">
        <v>580</v>
      </c>
      <c r="I106" s="26"/>
    </row>
    <row r="107" spans="1:9" x14ac:dyDescent="0.2">
      <c r="A107" s="112" t="s">
        <v>564</v>
      </c>
      <c r="B107" s="199">
        <f>'Design Converter'!L22</f>
        <v>3</v>
      </c>
      <c r="C107" s="115" t="s">
        <v>259</v>
      </c>
      <c r="D107" s="79" t="s">
        <v>108</v>
      </c>
      <c r="F107" s="8"/>
      <c r="G107" s="8"/>
      <c r="I107" s="26"/>
    </row>
    <row r="108" spans="1:9" x14ac:dyDescent="0.2">
      <c r="A108" s="112" t="s">
        <v>450</v>
      </c>
      <c r="B108" s="198">
        <f>'Calculations - Dual'!AR105</f>
        <v>4.5547109353695117</v>
      </c>
      <c r="C108" s="207" t="s">
        <v>248</v>
      </c>
      <c r="D108" s="79"/>
      <c r="F108" s="8"/>
      <c r="G108" s="8"/>
      <c r="H108" s="456" t="s">
        <v>580</v>
      </c>
      <c r="I108" s="26"/>
    </row>
    <row r="109" spans="1:9" x14ac:dyDescent="0.2">
      <c r="A109" s="35" t="s">
        <v>449</v>
      </c>
      <c r="B109" s="609">
        <f>'Calculations - Dual'!AZ105</f>
        <v>31.209201388888896</v>
      </c>
      <c r="C109" s="79" t="s">
        <v>455</v>
      </c>
      <c r="D109" s="79" t="s">
        <v>615</v>
      </c>
      <c r="F109" s="8"/>
      <c r="G109" s="8"/>
      <c r="H109" s="8"/>
      <c r="I109" s="26"/>
    </row>
    <row r="110" spans="1:9" x14ac:dyDescent="0.2">
      <c r="A110" s="41"/>
      <c r="B110" s="198"/>
      <c r="C110" s="79"/>
      <c r="D110" s="79"/>
      <c r="F110" s="8"/>
      <c r="G110" s="8"/>
      <c r="H110" s="8"/>
      <c r="I110" s="26"/>
    </row>
    <row r="111" spans="1:9" ht="13.5" thickBot="1" x14ac:dyDescent="0.25">
      <c r="A111" s="30"/>
      <c r="B111" s="30"/>
      <c r="C111" s="30"/>
      <c r="D111" s="30"/>
      <c r="E111" s="30"/>
      <c r="F111" s="30"/>
      <c r="G111" s="30"/>
      <c r="H111" s="30"/>
      <c r="I111" s="31"/>
    </row>
    <row r="113" spans="1:9" ht="13.5" thickBot="1" x14ac:dyDescent="0.25">
      <c r="A113" s="8"/>
      <c r="B113" s="8"/>
      <c r="C113" s="41"/>
      <c r="D113" s="8"/>
      <c r="E113" s="8"/>
      <c r="F113" s="8"/>
      <c r="G113" s="8"/>
      <c r="H113" s="8"/>
      <c r="I113" s="8"/>
    </row>
    <row r="114" spans="1:9" ht="15.75" x14ac:dyDescent="0.25">
      <c r="A114" s="63" t="s">
        <v>55</v>
      </c>
      <c r="B114" s="64"/>
      <c r="C114" s="174"/>
      <c r="D114" s="64"/>
      <c r="E114" s="64"/>
      <c r="F114" s="64"/>
      <c r="G114" s="64"/>
      <c r="H114" s="64"/>
      <c r="I114" s="65"/>
    </row>
    <row r="115" spans="1:9" x14ac:dyDescent="0.2">
      <c r="A115" s="571" t="s">
        <v>522</v>
      </c>
      <c r="B115" s="574">
        <f>0.05*VIN_nom</f>
        <v>1.2000000000000002</v>
      </c>
      <c r="C115" s="113" t="s">
        <v>456</v>
      </c>
      <c r="D115" s="78" t="s">
        <v>451</v>
      </c>
      <c r="E115" s="8"/>
      <c r="F115" s="8"/>
      <c r="G115" s="8"/>
      <c r="H115" s="8"/>
      <c r="I115" s="67"/>
    </row>
    <row r="116" spans="1:9" x14ac:dyDescent="0.2">
      <c r="A116" s="66"/>
      <c r="B116" s="13"/>
      <c r="C116" s="62"/>
      <c r="E116" s="8"/>
      <c r="F116" s="8"/>
      <c r="G116" s="8"/>
      <c r="H116" s="8"/>
      <c r="I116" s="67"/>
    </row>
    <row r="117" spans="1:9" x14ac:dyDescent="0.2">
      <c r="A117" s="68" t="s">
        <v>58</v>
      </c>
      <c r="B117" s="428"/>
      <c r="C117" s="207" t="s">
        <v>30</v>
      </c>
      <c r="E117" s="8"/>
      <c r="F117" s="8"/>
      <c r="G117" s="8"/>
      <c r="H117" s="8"/>
      <c r="I117" s="67"/>
    </row>
    <row r="118" spans="1:9" x14ac:dyDescent="0.2">
      <c r="A118" s="68" t="s">
        <v>98</v>
      </c>
      <c r="B118" s="191">
        <f>'Calculations - Single'!BC105</f>
        <v>0.16674423127240615</v>
      </c>
      <c r="C118" s="207" t="s">
        <v>97</v>
      </c>
      <c r="E118" s="8"/>
      <c r="F118" s="8"/>
      <c r="G118" s="8"/>
      <c r="H118" s="8"/>
      <c r="I118" s="67"/>
    </row>
    <row r="119" spans="1:9" x14ac:dyDescent="0.2">
      <c r="A119" s="206" t="s">
        <v>181</v>
      </c>
      <c r="B119" s="619">
        <f>MAX(2.2,Cinmin)</f>
        <v>2.2000000000000002</v>
      </c>
      <c r="C119" s="207" t="s">
        <v>97</v>
      </c>
      <c r="E119" s="8"/>
      <c r="F119" s="8"/>
      <c r="G119" s="8"/>
      <c r="H119" s="8"/>
      <c r="I119" s="67"/>
    </row>
    <row r="120" spans="1:9" x14ac:dyDescent="0.2">
      <c r="A120" s="68" t="s">
        <v>28</v>
      </c>
      <c r="B120" s="572">
        <f>'Design Converter'!E17</f>
        <v>10</v>
      </c>
      <c r="C120" s="207" t="s">
        <v>97</v>
      </c>
      <c r="D120" s="8" t="s">
        <v>60</v>
      </c>
      <c r="F120" s="8"/>
      <c r="G120" s="8"/>
      <c r="H120" s="8"/>
      <c r="I120" s="67"/>
    </row>
    <row r="121" spans="1:9" x14ac:dyDescent="0.2">
      <c r="A121" s="68"/>
      <c r="B121" s="570"/>
      <c r="C121" s="60"/>
      <c r="D121" s="8"/>
      <c r="F121" s="8"/>
      <c r="G121" s="8"/>
      <c r="H121" s="8"/>
      <c r="I121" s="67"/>
    </row>
    <row r="122" spans="1:9" x14ac:dyDescent="0.2">
      <c r="A122" s="69" t="s">
        <v>99</v>
      </c>
      <c r="B122" s="427">
        <f>(Vinripple1-B125*B127/Cin)/B126</f>
        <v>1.9172579401860259</v>
      </c>
      <c r="C122" s="115" t="s">
        <v>45</v>
      </c>
      <c r="D122" s="8"/>
      <c r="F122" s="8"/>
      <c r="G122" s="8"/>
      <c r="H122" s="8"/>
      <c r="I122" s="67"/>
    </row>
    <row r="123" spans="1:9" x14ac:dyDescent="0.2">
      <c r="A123" s="68" t="s">
        <v>37</v>
      </c>
      <c r="B123" s="61">
        <f>'Design Converter'!E18/1000</f>
        <v>5.0000000000000001E-3</v>
      </c>
      <c r="C123" s="115" t="s">
        <v>45</v>
      </c>
      <c r="D123" s="79" t="s">
        <v>109</v>
      </c>
      <c r="F123" s="8"/>
      <c r="G123" s="8"/>
      <c r="H123" s="8"/>
      <c r="I123" s="67"/>
    </row>
    <row r="124" spans="1:9" x14ac:dyDescent="0.2">
      <c r="A124" s="206" t="s">
        <v>183</v>
      </c>
      <c r="B124" s="375">
        <f>'Design Converter'!E18</f>
        <v>5</v>
      </c>
      <c r="C124" s="18" t="s">
        <v>162</v>
      </c>
      <c r="D124" s="79"/>
      <c r="F124" s="8"/>
      <c r="G124" s="8"/>
      <c r="H124" s="8"/>
      <c r="I124" s="67"/>
    </row>
    <row r="125" spans="1:9" x14ac:dyDescent="0.2">
      <c r="A125" s="206" t="s">
        <v>453</v>
      </c>
      <c r="B125" s="433">
        <f>Vout*Iout/VIN_nom/Efficiency</f>
        <v>0.11574074074074074</v>
      </c>
      <c r="C125" s="79" t="s">
        <v>1</v>
      </c>
      <c r="D125" s="79"/>
      <c r="F125" s="8"/>
      <c r="G125" s="8"/>
      <c r="H125" s="8"/>
      <c r="I125" s="67"/>
    </row>
    <row r="126" spans="1:9" x14ac:dyDescent="0.2">
      <c r="A126" s="206" t="s">
        <v>457</v>
      </c>
      <c r="B126" s="433">
        <f>CHOOSE(MODE, 'Calculations - Single'!AJ105, 'Calculations - Dual'!$AI$105)</f>
        <v>0.6154574548966637</v>
      </c>
      <c r="C126" s="79" t="s">
        <v>1</v>
      </c>
      <c r="D126" s="79"/>
      <c r="F126" s="8"/>
      <c r="G126" s="8"/>
      <c r="H126" s="8"/>
      <c r="I126" s="67"/>
    </row>
    <row r="127" spans="1:9" x14ac:dyDescent="0.2">
      <c r="A127" s="206" t="s">
        <v>454</v>
      </c>
      <c r="B127" s="433">
        <f>CHOOSE(MODE, 'Calculations - Single'!AU105, 'Calculations - Dual'!$AT$105)</f>
        <v>1.7288041898323072</v>
      </c>
      <c r="C127" s="207" t="s">
        <v>248</v>
      </c>
      <c r="D127" s="79"/>
      <c r="F127" s="8"/>
      <c r="G127" s="8"/>
      <c r="H127" s="8"/>
      <c r="I127" s="67"/>
    </row>
    <row r="128" spans="1:9" x14ac:dyDescent="0.2">
      <c r="A128" s="206" t="s">
        <v>452</v>
      </c>
      <c r="B128" s="668">
        <f>CHOOSE(MODE, 'Calculations - Single'!BD105, 'Calculations - Dual'!$BB$105)</f>
        <v>53.005019416870738</v>
      </c>
      <c r="C128" s="207" t="s">
        <v>455</v>
      </c>
      <c r="D128" s="78" t="s">
        <v>458</v>
      </c>
      <c r="E128" s="573"/>
      <c r="F128" s="207"/>
      <c r="G128" s="8"/>
      <c r="H128" s="8"/>
      <c r="I128" s="67"/>
    </row>
    <row r="129" spans="1:9" ht="13.5" thickBot="1" x14ac:dyDescent="0.25">
      <c r="A129" s="70"/>
      <c r="B129" s="71"/>
      <c r="C129" s="71"/>
      <c r="D129" s="71"/>
      <c r="E129" s="72"/>
      <c r="F129" s="72"/>
      <c r="G129" s="72"/>
      <c r="H129" s="72"/>
      <c r="I129" s="73"/>
    </row>
    <row r="130" spans="1:9" x14ac:dyDescent="0.2">
      <c r="A130" s="8"/>
      <c r="B130" s="8"/>
      <c r="C130" s="41"/>
      <c r="D130" s="8"/>
      <c r="E130" s="8"/>
      <c r="F130" s="8"/>
      <c r="G130" s="8"/>
      <c r="H130" s="8"/>
      <c r="I130" s="8"/>
    </row>
    <row r="131" spans="1:9" ht="16.5" thickBot="1" x14ac:dyDescent="0.3">
      <c r="A131" s="52" t="s">
        <v>62</v>
      </c>
      <c r="B131" s="8"/>
      <c r="C131" s="41"/>
      <c r="D131" s="8"/>
      <c r="E131" s="8"/>
      <c r="F131" s="8"/>
      <c r="G131" s="8"/>
      <c r="H131" s="8"/>
      <c r="I131" s="8"/>
    </row>
    <row r="132" spans="1:9" x14ac:dyDescent="0.2">
      <c r="A132" s="54" t="s">
        <v>64</v>
      </c>
      <c r="B132" s="10">
        <f>'Design Converter'!E29/1000</f>
        <v>8.0000000000000002E-3</v>
      </c>
      <c r="C132" s="32" t="s">
        <v>51</v>
      </c>
      <c r="D132" s="81" t="s">
        <v>177</v>
      </c>
      <c r="E132" s="32"/>
      <c r="F132" s="32"/>
      <c r="G132" s="32"/>
      <c r="H132" s="32"/>
      <c r="I132" s="33"/>
    </row>
    <row r="133" spans="1:9" x14ac:dyDescent="0.2">
      <c r="A133" s="25" t="s">
        <v>65</v>
      </c>
      <c r="B133" s="201">
        <v>5.0000000000000004E-6</v>
      </c>
      <c r="C133" s="8" t="s">
        <v>1</v>
      </c>
      <c r="D133" s="79" t="s">
        <v>310</v>
      </c>
      <c r="E133" s="8"/>
      <c r="F133" s="8"/>
      <c r="G133" s="8"/>
      <c r="H133" s="8"/>
      <c r="I133" s="26"/>
    </row>
    <row r="134" spans="1:9" x14ac:dyDescent="0.2">
      <c r="A134" s="25" t="s">
        <v>66</v>
      </c>
      <c r="B134" s="201">
        <f>0.000005*Tss/1</f>
        <v>4.0000000000000001E-8</v>
      </c>
      <c r="C134" s="8" t="s">
        <v>13</v>
      </c>
      <c r="D134" s="79" t="s">
        <v>312</v>
      </c>
      <c r="E134" s="8"/>
      <c r="F134" s="8"/>
      <c r="G134" s="8"/>
      <c r="H134" s="8"/>
      <c r="I134" s="26"/>
    </row>
    <row r="135" spans="1:9" ht="13.5" thickBot="1" x14ac:dyDescent="0.25">
      <c r="A135" s="29" t="s">
        <v>72</v>
      </c>
      <c r="B135" s="202">
        <f>'Standard Value Calculator'!B4</f>
        <v>3.8999999999999998E-8</v>
      </c>
      <c r="C135" s="30" t="s">
        <v>13</v>
      </c>
      <c r="D135" s="82" t="s">
        <v>313</v>
      </c>
      <c r="E135" s="30"/>
      <c r="F135" s="30"/>
      <c r="G135" s="30"/>
      <c r="H135" s="30"/>
      <c r="I135" s="31"/>
    </row>
    <row r="137" spans="1:9" ht="16.5" thickBot="1" x14ac:dyDescent="0.3">
      <c r="A137" s="52" t="s">
        <v>575</v>
      </c>
      <c r="B137" s="8"/>
      <c r="C137" s="41"/>
      <c r="D137" s="8"/>
      <c r="E137" s="8"/>
      <c r="F137" s="8"/>
      <c r="G137" s="8"/>
      <c r="H137" s="8"/>
      <c r="I137" s="8"/>
    </row>
    <row r="138" spans="1:9" ht="12.75" customHeight="1" x14ac:dyDescent="0.2">
      <c r="A138" s="111"/>
      <c r="B138" s="55"/>
      <c r="C138" s="161"/>
      <c r="D138" s="81"/>
      <c r="E138" s="32"/>
      <c r="F138" s="32"/>
      <c r="G138" s="32"/>
      <c r="H138" s="32"/>
      <c r="I138" s="33"/>
    </row>
    <row r="139" spans="1:9" ht="12.75" customHeight="1" x14ac:dyDescent="0.2">
      <c r="A139" s="112" t="s">
        <v>111</v>
      </c>
      <c r="B139" s="192">
        <v>1.5</v>
      </c>
      <c r="C139" s="79" t="s">
        <v>0</v>
      </c>
      <c r="D139" s="79"/>
      <c r="E139" s="8"/>
      <c r="F139" s="8"/>
      <c r="G139" s="8"/>
      <c r="H139" s="8"/>
      <c r="I139" s="26"/>
    </row>
    <row r="140" spans="1:9" ht="12.75" customHeight="1" x14ac:dyDescent="0.2">
      <c r="A140" s="112" t="s">
        <v>112</v>
      </c>
      <c r="B140" s="192">
        <v>1.45</v>
      </c>
      <c r="C140" s="79" t="s">
        <v>0</v>
      </c>
      <c r="D140" s="79"/>
      <c r="E140" s="8"/>
      <c r="F140" s="8"/>
      <c r="G140" s="8"/>
      <c r="H140" s="8"/>
      <c r="I140" s="26"/>
    </row>
    <row r="141" spans="1:9" ht="12.75" customHeight="1" x14ac:dyDescent="0.2">
      <c r="A141" s="112" t="s">
        <v>148</v>
      </c>
      <c r="B141" s="38">
        <f>B139-B140</f>
        <v>5.0000000000000044E-2</v>
      </c>
      <c r="C141" s="79" t="s">
        <v>0</v>
      </c>
      <c r="D141" s="79"/>
      <c r="E141" s="8"/>
      <c r="F141" s="8"/>
      <c r="G141" s="8"/>
      <c r="H141" s="8"/>
      <c r="I141" s="26"/>
    </row>
    <row r="142" spans="1:9" ht="12.75" customHeight="1" x14ac:dyDescent="0.2">
      <c r="A142" s="112" t="s">
        <v>382</v>
      </c>
      <c r="B142" s="8">
        <v>0</v>
      </c>
      <c r="C142" s="113" t="s">
        <v>1</v>
      </c>
      <c r="D142" s="79"/>
      <c r="E142" s="8"/>
      <c r="F142" s="8"/>
      <c r="G142" s="8"/>
      <c r="H142" s="8"/>
      <c r="I142" s="26"/>
    </row>
    <row r="143" spans="1:9" ht="12.75" customHeight="1" x14ac:dyDescent="0.2">
      <c r="A143" s="112" t="s">
        <v>381</v>
      </c>
      <c r="B143" s="537">
        <v>5.0000000000000001E-3</v>
      </c>
      <c r="C143" s="113" t="s">
        <v>30</v>
      </c>
      <c r="D143" s="79"/>
      <c r="E143" s="8"/>
      <c r="F143" s="8"/>
      <c r="G143" s="8"/>
      <c r="H143" s="8"/>
      <c r="I143" s="26"/>
    </row>
    <row r="144" spans="1:9" ht="12.75" customHeight="1" x14ac:dyDescent="0.2">
      <c r="A144" s="112" t="s">
        <v>380</v>
      </c>
      <c r="B144" s="538">
        <f>Iuvlo2-Iuvlo1</f>
        <v>5.0000000000000001E-3</v>
      </c>
      <c r="C144" s="113" t="s">
        <v>30</v>
      </c>
      <c r="D144" s="79"/>
      <c r="F144" s="8"/>
      <c r="G144" s="8"/>
      <c r="H144" s="8"/>
      <c r="I144" s="26"/>
    </row>
    <row r="145" spans="1:9" ht="12.75" customHeight="1" x14ac:dyDescent="0.2">
      <c r="A145" s="112"/>
      <c r="B145" s="38"/>
      <c r="C145" s="384"/>
      <c r="D145" s="79"/>
      <c r="E145" s="8"/>
      <c r="F145" s="8"/>
      <c r="G145" s="8"/>
      <c r="H145" s="8"/>
      <c r="I145" s="26"/>
    </row>
    <row r="146" spans="1:9" ht="12.75" customHeight="1" x14ac:dyDescent="0.3">
      <c r="A146" s="112" t="s">
        <v>110</v>
      </c>
      <c r="B146" s="190">
        <f>'Design Converter'!E35</f>
        <v>4.5</v>
      </c>
      <c r="C146" s="113" t="s">
        <v>0</v>
      </c>
      <c r="E146" s="8"/>
      <c r="F146" s="8"/>
      <c r="G146" s="8"/>
      <c r="H146" s="8"/>
      <c r="I146" s="26"/>
    </row>
    <row r="147" spans="1:9" ht="12.75" customHeight="1" x14ac:dyDescent="0.3">
      <c r="A147" s="112" t="s">
        <v>296</v>
      </c>
      <c r="B147" s="190">
        <f>'Design Converter'!E36</f>
        <v>4</v>
      </c>
      <c r="C147" s="113" t="s">
        <v>0</v>
      </c>
      <c r="E147" s="8"/>
      <c r="F147" s="8"/>
      <c r="G147" s="8"/>
      <c r="H147" s="8"/>
      <c r="I147" s="26"/>
    </row>
    <row r="148" spans="1:9" ht="12.75" customHeight="1" x14ac:dyDescent="0.2">
      <c r="A148" s="112"/>
      <c r="B148" s="38"/>
      <c r="C148" s="113"/>
      <c r="E148" s="8"/>
      <c r="F148" s="8"/>
      <c r="G148" s="8"/>
      <c r="H148" s="8"/>
      <c r="I148" s="26"/>
    </row>
    <row r="149" spans="1:9" ht="12.75" customHeight="1" x14ac:dyDescent="0.3">
      <c r="A149" s="112" t="s">
        <v>126</v>
      </c>
      <c r="B149" s="610">
        <f>(VINuvlo_off-VINuvlo_on*Vuvlo_off/Vuvlo_on)/(Iuvlo1*Vuvlo_off/Vuvlo_on-Iuvlo2)</f>
        <v>69.999999999999929</v>
      </c>
      <c r="C149" s="18" t="s">
        <v>113</v>
      </c>
      <c r="D149" s="8">
        <f>'Standard Value Calculator'!J16</f>
        <v>69.8</v>
      </c>
      <c r="E149" s="18" t="s">
        <v>113</v>
      </c>
      <c r="F149" s="38">
        <f>IF(Ruvlo1&lt;0,"N/A",D149)</f>
        <v>69.8</v>
      </c>
      <c r="G149" s="38" t="str">
        <f>IF(Ruvlo1&lt;0,"N/A",D149&amp;"kΩ")</f>
        <v>69.8kΩ</v>
      </c>
      <c r="I149" s="26"/>
    </row>
    <row r="150" spans="1:9" ht="12.75" customHeight="1" x14ac:dyDescent="0.3">
      <c r="A150" s="112" t="s">
        <v>127</v>
      </c>
      <c r="B150" s="193">
        <f>D149*Vuvlo_on/(VINuvlo_on-Vuvlo_on+Ruvlo1*Iuvlo1)</f>
        <v>34.9</v>
      </c>
      <c r="C150" s="18" t="s">
        <v>113</v>
      </c>
      <c r="D150" s="8">
        <f>'Standard Value Calculator'!J17</f>
        <v>34.800000000000004</v>
      </c>
      <c r="E150" s="18" t="s">
        <v>113</v>
      </c>
      <c r="F150" s="38">
        <f>IF(F149="N/A","N/A",D150)</f>
        <v>34.800000000000004</v>
      </c>
      <c r="G150" s="38" t="str">
        <f>IF(G149="N/A","N/A",D150&amp;"kΩ")</f>
        <v>34.8kΩ</v>
      </c>
      <c r="I150" s="26"/>
    </row>
    <row r="151" spans="1:9" ht="12.75" customHeight="1" x14ac:dyDescent="0.2">
      <c r="A151" s="112"/>
      <c r="B151" s="114"/>
      <c r="C151" s="18"/>
      <c r="D151" s="38"/>
      <c r="E151" s="18"/>
      <c r="F151" s="38"/>
      <c r="G151" s="38"/>
      <c r="I151" s="26"/>
    </row>
    <row r="152" spans="1:9" ht="12.75" customHeight="1" x14ac:dyDescent="0.3">
      <c r="A152" s="112" t="s">
        <v>114</v>
      </c>
      <c r="B152" s="611">
        <f>(D149+D150)/D150*Vuvlo_on</f>
        <v>4.5086206896551717</v>
      </c>
      <c r="C152" s="4" t="s">
        <v>0</v>
      </c>
      <c r="E152" s="8"/>
      <c r="F152" s="18"/>
      <c r="G152" s="8"/>
      <c r="H152" s="8"/>
      <c r="I152" s="26"/>
    </row>
    <row r="153" spans="1:9" ht="12.75" customHeight="1" x14ac:dyDescent="0.3">
      <c r="A153" s="112" t="s">
        <v>115</v>
      </c>
      <c r="B153" s="611">
        <f>(D149+D150)/D150*Vuvlo_off-Iuvlo2*D149</f>
        <v>4.0093333333333323</v>
      </c>
      <c r="C153" s="4" t="s">
        <v>0</v>
      </c>
      <c r="E153" s="8"/>
      <c r="F153" s="18"/>
      <c r="G153" s="8"/>
      <c r="H153" s="8"/>
      <c r="I153" s="26"/>
    </row>
    <row r="154" spans="1:9" ht="12.75" customHeight="1" thickBot="1" x14ac:dyDescent="0.25">
      <c r="A154" s="29"/>
      <c r="B154" s="39"/>
      <c r="C154" s="162"/>
      <c r="D154" s="30"/>
      <c r="E154" s="30"/>
      <c r="F154" s="30"/>
      <c r="G154" s="30"/>
      <c r="H154" s="30"/>
      <c r="I154" s="31"/>
    </row>
    <row r="155" spans="1:9" x14ac:dyDescent="0.2">
      <c r="B155" s="17"/>
      <c r="C155" s="163"/>
    </row>
    <row r="156" spans="1:9" ht="16.5" thickBot="1" x14ac:dyDescent="0.3">
      <c r="A156" s="52" t="s">
        <v>533</v>
      </c>
      <c r="B156" s="8"/>
      <c r="C156" s="41"/>
      <c r="D156" s="8"/>
      <c r="E156" s="8"/>
      <c r="F156" s="8"/>
      <c r="G156" s="8"/>
      <c r="H156" s="8"/>
      <c r="I156" s="8"/>
    </row>
    <row r="157" spans="1:9" x14ac:dyDescent="0.2">
      <c r="A157" s="181" t="s">
        <v>16</v>
      </c>
      <c r="B157" s="182">
        <v>3.1415926500000002</v>
      </c>
      <c r="C157" s="183"/>
      <c r="D157" s="184" t="s">
        <v>171</v>
      </c>
      <c r="E157" s="32"/>
      <c r="F157" s="32"/>
      <c r="G157" s="32"/>
      <c r="H157" s="32"/>
      <c r="I157" s="33"/>
    </row>
    <row r="158" spans="1:9" x14ac:dyDescent="0.2">
      <c r="A158" s="78" t="s">
        <v>186</v>
      </c>
      <c r="B158" s="210"/>
      <c r="C158" s="185" t="s">
        <v>185</v>
      </c>
      <c r="D158" s="187" t="s">
        <v>567</v>
      </c>
      <c r="I158" s="26"/>
    </row>
    <row r="159" spans="1:9" x14ac:dyDescent="0.2">
      <c r="A159" s="78" t="s">
        <v>187</v>
      </c>
      <c r="B159" s="210"/>
      <c r="C159" s="185" t="s">
        <v>185</v>
      </c>
      <c r="D159" s="187"/>
      <c r="I159" s="26"/>
    </row>
    <row r="160" spans="1:9" x14ac:dyDescent="0.2">
      <c r="C160" s="8"/>
      <c r="D160" s="8"/>
      <c r="F160" s="8"/>
      <c r="G160" s="8"/>
      <c r="H160" s="8"/>
      <c r="I160" s="26"/>
    </row>
    <row r="161" spans="1:9" x14ac:dyDescent="0.2">
      <c r="A161" s="112" t="s">
        <v>398</v>
      </c>
      <c r="B161" s="175">
        <f>(Vout+Vfwd1)*Nps*10</f>
        <v>157.5</v>
      </c>
      <c r="C161" s="18" t="s">
        <v>113</v>
      </c>
      <c r="D161" s="79" t="s">
        <v>535</v>
      </c>
      <c r="F161" s="8"/>
      <c r="G161" s="8"/>
      <c r="H161" s="8"/>
      <c r="I161" s="26">
        <v>1</v>
      </c>
    </row>
    <row r="162" spans="1:9" x14ac:dyDescent="0.2">
      <c r="A162" s="35" t="s">
        <v>534</v>
      </c>
      <c r="B162" s="180">
        <f>Rfb/1000</f>
        <v>158</v>
      </c>
      <c r="C162" s="18" t="s">
        <v>113</v>
      </c>
      <c r="D162" s="79" t="s">
        <v>532</v>
      </c>
      <c r="F162" s="8"/>
      <c r="G162" s="8"/>
      <c r="H162" s="8"/>
      <c r="I162" s="26"/>
    </row>
    <row r="163" spans="1:9" x14ac:dyDescent="0.2">
      <c r="A163" s="112" t="s">
        <v>53</v>
      </c>
      <c r="B163" s="37">
        <f>'Standard Value Calculator'!J10/1000</f>
        <v>158</v>
      </c>
      <c r="C163" s="18" t="s">
        <v>113</v>
      </c>
      <c r="D163" s="79" t="s">
        <v>365</v>
      </c>
      <c r="F163" s="8"/>
      <c r="G163" s="8"/>
      <c r="H163" s="8"/>
      <c r="I163" s="26"/>
    </row>
    <row r="164" spans="1:9" x14ac:dyDescent="0.2">
      <c r="A164" s="79"/>
      <c r="B164" s="13"/>
      <c r="C164" s="18"/>
      <c r="D164" s="79"/>
      <c r="F164" s="8"/>
      <c r="G164" s="8"/>
      <c r="H164" s="8"/>
      <c r="I164" s="26"/>
    </row>
    <row r="165" spans="1:9" x14ac:dyDescent="0.2">
      <c r="A165" s="113" t="s">
        <v>536</v>
      </c>
      <c r="B165" s="613">
        <f>'Design Converter'!E32</f>
        <v>-3</v>
      </c>
      <c r="C165" s="113" t="s">
        <v>391</v>
      </c>
      <c r="D165" s="79"/>
      <c r="F165" s="8"/>
      <c r="G165" s="8"/>
      <c r="H165" s="8"/>
      <c r="I165" s="26"/>
    </row>
    <row r="166" spans="1:9" ht="15.75" x14ac:dyDescent="0.3">
      <c r="A166" s="25" t="s">
        <v>531</v>
      </c>
      <c r="B166" s="377">
        <f>3*B162/Nps/ABS(Diode_TC)*1000</f>
        <v>52666.666666666664</v>
      </c>
      <c r="C166" s="18" t="s">
        <v>136</v>
      </c>
      <c r="D166" s="79"/>
      <c r="F166" s="8"/>
      <c r="G166" s="8"/>
      <c r="H166" s="8"/>
      <c r="I166" s="26"/>
    </row>
    <row r="167" spans="1:9" x14ac:dyDescent="0.2">
      <c r="A167" s="13" t="s">
        <v>537</v>
      </c>
      <c r="B167" s="173">
        <f>'Standard Value Calculator'!J9/1000</f>
        <v>52.3</v>
      </c>
      <c r="C167" s="18" t="s">
        <v>113</v>
      </c>
      <c r="D167" s="79"/>
      <c r="F167" s="8"/>
      <c r="G167" s="8"/>
      <c r="H167" s="8"/>
      <c r="I167" s="26"/>
    </row>
    <row r="168" spans="1:9" ht="13.5" thickBot="1" x14ac:dyDescent="0.25">
      <c r="A168" s="186"/>
      <c r="B168" s="186"/>
      <c r="C168" s="42"/>
      <c r="D168" s="30"/>
      <c r="E168" s="42"/>
      <c r="F168" s="30"/>
      <c r="G168" s="30"/>
      <c r="H168" s="30"/>
      <c r="I168" s="31"/>
    </row>
    <row r="169" spans="1:9" x14ac:dyDescent="0.2">
      <c r="A169" s="3"/>
      <c r="B169" s="19"/>
      <c r="C169" s="19"/>
      <c r="E169" s="19"/>
    </row>
    <row r="170" spans="1:9" x14ac:dyDescent="0.2">
      <c r="A170" s="3"/>
      <c r="B170" s="19"/>
      <c r="C170" s="19"/>
      <c r="E170" s="19"/>
    </row>
    <row r="171" spans="1:9" ht="16.5" thickBot="1" x14ac:dyDescent="0.3">
      <c r="A171" s="56" t="s">
        <v>83</v>
      </c>
      <c r="B171" s="8"/>
      <c r="C171" s="41"/>
      <c r="D171" s="8"/>
      <c r="E171" s="8"/>
      <c r="F171" s="8"/>
      <c r="G171" s="8"/>
      <c r="H171" s="8"/>
      <c r="I171" s="8"/>
    </row>
    <row r="172" spans="1:9" x14ac:dyDescent="0.2">
      <c r="A172" s="54"/>
      <c r="B172" s="32"/>
      <c r="C172" s="164"/>
      <c r="D172" s="32"/>
      <c r="E172" s="32"/>
      <c r="F172" s="32"/>
      <c r="G172" s="32"/>
      <c r="H172" s="32"/>
      <c r="I172" s="33"/>
    </row>
    <row r="173" spans="1:9" x14ac:dyDescent="0.2">
      <c r="A173" s="35" t="s">
        <v>26</v>
      </c>
      <c r="B173" s="8"/>
      <c r="C173" s="41"/>
      <c r="D173" s="8"/>
      <c r="E173" s="8"/>
      <c r="F173" s="8"/>
      <c r="G173" s="8"/>
      <c r="H173" s="8"/>
      <c r="I173" s="26"/>
    </row>
    <row r="174" spans="1:9" x14ac:dyDescent="0.2">
      <c r="A174" s="25" t="s">
        <v>36</v>
      </c>
      <c r="B174" s="135">
        <f>'Design Converter'!E44</f>
        <v>55</v>
      </c>
      <c r="C174" s="79" t="s">
        <v>102</v>
      </c>
      <c r="D174" s="8" t="s">
        <v>40</v>
      </c>
      <c r="F174" s="8"/>
      <c r="G174" s="8"/>
      <c r="H174" s="8"/>
      <c r="I174" s="26"/>
    </row>
    <row r="175" spans="1:9" x14ac:dyDescent="0.2">
      <c r="A175" s="35" t="s">
        <v>29</v>
      </c>
      <c r="B175" s="8"/>
      <c r="C175" s="8"/>
      <c r="D175" s="8"/>
      <c r="F175" s="8"/>
      <c r="G175" s="8"/>
      <c r="H175" s="8"/>
      <c r="I175" s="26"/>
    </row>
    <row r="176" spans="1:9" x14ac:dyDescent="0.2">
      <c r="A176" s="25" t="s">
        <v>35</v>
      </c>
      <c r="B176" s="28">
        <f>4000/1000000</f>
        <v>4.0000000000000001E-3</v>
      </c>
      <c r="C176" s="79" t="s">
        <v>138</v>
      </c>
      <c r="D176" s="79" t="s">
        <v>568</v>
      </c>
      <c r="F176" s="8"/>
      <c r="G176" s="8"/>
      <c r="H176" s="8"/>
      <c r="I176" s="26"/>
    </row>
    <row r="177" spans="1:9" ht="15.75" x14ac:dyDescent="0.3">
      <c r="A177" s="112" t="s">
        <v>178</v>
      </c>
      <c r="B177" s="28">
        <v>20</v>
      </c>
      <c r="C177" s="113" t="s">
        <v>84</v>
      </c>
      <c r="D177" s="79" t="s">
        <v>569</v>
      </c>
      <c r="F177" s="8"/>
      <c r="G177" s="8"/>
      <c r="H177" s="8"/>
      <c r="I177" s="26"/>
    </row>
    <row r="178" spans="1:9" x14ac:dyDescent="0.2">
      <c r="A178" s="25" t="s">
        <v>37</v>
      </c>
      <c r="B178" s="11">
        <f>RCinEsr</f>
        <v>5.0000000000000001E-3</v>
      </c>
      <c r="C178" s="115" t="s">
        <v>45</v>
      </c>
      <c r="D178" s="79" t="s">
        <v>179</v>
      </c>
      <c r="F178" s="8"/>
      <c r="G178" s="8"/>
      <c r="H178" s="8"/>
      <c r="I178" s="26"/>
    </row>
    <row r="179" spans="1:9" x14ac:dyDescent="0.2">
      <c r="A179" s="25"/>
      <c r="B179" s="11"/>
      <c r="C179" s="115"/>
      <c r="D179" s="79"/>
      <c r="F179" s="8"/>
      <c r="G179" s="8"/>
      <c r="H179" s="8"/>
      <c r="I179" s="26"/>
    </row>
    <row r="180" spans="1:9" x14ac:dyDescent="0.2">
      <c r="A180" s="34" t="s">
        <v>52</v>
      </c>
      <c r="B180" s="8"/>
      <c r="C180" s="8"/>
      <c r="D180" s="8"/>
      <c r="F180" s="8"/>
      <c r="G180" s="8"/>
      <c r="H180" s="8"/>
      <c r="I180" s="26"/>
    </row>
    <row r="181" spans="1:9" x14ac:dyDescent="0.2">
      <c r="A181" s="112" t="s">
        <v>286</v>
      </c>
      <c r="B181" s="28">
        <f>Vdd</f>
        <v>5</v>
      </c>
      <c r="C181" s="62" t="s">
        <v>0</v>
      </c>
      <c r="D181" s="188"/>
      <c r="F181" s="8"/>
      <c r="G181" s="8"/>
      <c r="H181" s="8"/>
      <c r="I181" s="26"/>
    </row>
    <row r="182" spans="1:9" x14ac:dyDescent="0.2">
      <c r="A182" s="25" t="s">
        <v>49</v>
      </c>
      <c r="B182" s="36">
        <f>IQ</f>
        <v>2.9E-4</v>
      </c>
      <c r="C182" s="8" t="s">
        <v>1</v>
      </c>
      <c r="D182" s="8" t="s">
        <v>50</v>
      </c>
      <c r="F182" s="8"/>
      <c r="G182" s="8"/>
      <c r="H182" s="8"/>
      <c r="I182" s="26"/>
    </row>
    <row r="183" spans="1:9" x14ac:dyDescent="0.2">
      <c r="A183" s="25"/>
      <c r="B183" s="8"/>
      <c r="C183" s="8"/>
      <c r="D183" s="8"/>
      <c r="F183" s="8"/>
      <c r="G183" s="8"/>
      <c r="H183" s="8"/>
      <c r="I183" s="26"/>
    </row>
    <row r="184" spans="1:9" x14ac:dyDescent="0.2">
      <c r="A184" s="57" t="s">
        <v>173</v>
      </c>
      <c r="B184" s="44" t="s">
        <v>6</v>
      </c>
      <c r="C184" s="15" t="s">
        <v>33</v>
      </c>
      <c r="D184" s="8"/>
      <c r="F184" s="8"/>
      <c r="G184" s="8"/>
      <c r="H184" s="8"/>
      <c r="I184" s="26"/>
    </row>
    <row r="185" spans="1:9" x14ac:dyDescent="0.2">
      <c r="A185" s="58" t="s">
        <v>44</v>
      </c>
      <c r="B185" s="45"/>
      <c r="C185" s="46" t="s">
        <v>45</v>
      </c>
      <c r="D185" s="8"/>
      <c r="F185" s="8"/>
      <c r="G185" s="8"/>
      <c r="H185" s="8"/>
      <c r="I185" s="26"/>
    </row>
    <row r="186" spans="1:9" x14ac:dyDescent="0.2">
      <c r="A186" s="58" t="s">
        <v>46</v>
      </c>
      <c r="B186" s="14" t="e">
        <f>B185*ThetaJaCtrl</f>
        <v>#NAME?</v>
      </c>
      <c r="C186" s="113" t="s">
        <v>102</v>
      </c>
      <c r="D186" s="8"/>
      <c r="F186" s="8"/>
      <c r="G186" s="8"/>
      <c r="H186" s="8"/>
      <c r="I186" s="26"/>
    </row>
    <row r="187" spans="1:9" x14ac:dyDescent="0.2">
      <c r="A187" s="58" t="s">
        <v>87</v>
      </c>
      <c r="B187" s="14" t="e">
        <f>(Qg_Q1+Qg_Q2)*Fsw+IQ</f>
        <v>#NAME?</v>
      </c>
      <c r="C187" s="13" t="s">
        <v>1</v>
      </c>
      <c r="D187" s="8"/>
      <c r="F187" s="8"/>
      <c r="G187" s="8"/>
      <c r="H187" s="8"/>
      <c r="I187" s="26"/>
    </row>
    <row r="188" spans="1:9" x14ac:dyDescent="0.2">
      <c r="A188" s="58" t="s">
        <v>88</v>
      </c>
      <c r="B188" s="13" t="e">
        <f>Qrr_Q2*Fsw</f>
        <v>#NAME?</v>
      </c>
      <c r="C188" s="13" t="s">
        <v>1</v>
      </c>
      <c r="D188" s="8"/>
      <c r="F188" s="8"/>
      <c r="G188" s="8"/>
      <c r="H188" s="8"/>
      <c r="I188" s="26"/>
    </row>
    <row r="189" spans="1:9" x14ac:dyDescent="0.2">
      <c r="A189" s="58" t="s">
        <v>89</v>
      </c>
      <c r="B189" s="13" t="e">
        <f>C189/Vin</f>
        <v>#NAME?</v>
      </c>
      <c r="C189" s="13" t="e">
        <f>Deadtime*Fsw*(Ipp/2)*(Vsd_Q1+Vsd_Q2)</f>
        <v>#NAME?</v>
      </c>
      <c r="D189" s="8"/>
      <c r="F189" s="8"/>
      <c r="G189" s="8"/>
      <c r="H189" s="8"/>
      <c r="I189" s="26"/>
    </row>
    <row r="190" spans="1:9" x14ac:dyDescent="0.2">
      <c r="A190" s="58" t="s">
        <v>91</v>
      </c>
      <c r="B190" s="13" t="e">
        <f>SUM(B187:B189)</f>
        <v>#NAME?</v>
      </c>
      <c r="C190" s="13" t="s">
        <v>1</v>
      </c>
      <c r="D190" s="8"/>
      <c r="F190" s="8"/>
      <c r="G190" s="8"/>
      <c r="H190" s="8"/>
      <c r="I190" s="26"/>
    </row>
    <row r="191" spans="1:9" ht="13.5" thickBot="1" x14ac:dyDescent="0.25">
      <c r="A191" s="29"/>
      <c r="B191" s="30"/>
      <c r="C191" s="165"/>
      <c r="D191" s="30"/>
      <c r="E191" s="30"/>
      <c r="F191" s="30"/>
      <c r="G191" s="30"/>
      <c r="H191" s="30"/>
      <c r="I191" s="31"/>
    </row>
    <row r="192" spans="1:9" x14ac:dyDescent="0.2">
      <c r="A192" s="3"/>
      <c r="B192" s="3"/>
      <c r="C192" s="3"/>
    </row>
    <row r="193" spans="1:9" ht="21.75" customHeight="1" thickBot="1" x14ac:dyDescent="0.3">
      <c r="A193" s="52" t="s">
        <v>85</v>
      </c>
      <c r="B193" s="8"/>
      <c r="C193" s="41"/>
      <c r="D193" s="8"/>
      <c r="E193" s="8"/>
      <c r="F193" s="8"/>
      <c r="G193" s="8"/>
      <c r="H193" s="8"/>
      <c r="I193" s="8"/>
    </row>
    <row r="194" spans="1:9" x14ac:dyDescent="0.2">
      <c r="A194" s="54"/>
      <c r="B194" s="32"/>
      <c r="C194" s="164"/>
      <c r="D194" s="32"/>
      <c r="E194" s="59"/>
      <c r="F194" s="59"/>
      <c r="G194" s="59"/>
      <c r="H194" s="59"/>
      <c r="I194" s="33"/>
    </row>
    <row r="195" spans="1:9" x14ac:dyDescent="0.2">
      <c r="A195" s="25"/>
      <c r="B195" s="113"/>
      <c r="C195" s="41"/>
      <c r="D195" s="8"/>
      <c r="E195" s="205"/>
      <c r="F195" s="205"/>
      <c r="G195" s="205"/>
      <c r="H195" s="205"/>
      <c r="I195" s="26"/>
    </row>
    <row r="196" spans="1:9" x14ac:dyDescent="0.2">
      <c r="A196" s="25" t="str">
        <f>"RUV1 = "&amp;'Design Converter'!E37&amp;"MΩ"</f>
        <v>RUV1 = 69.8MΩ</v>
      </c>
      <c r="B196" s="8" t="str">
        <f>C237</f>
        <v/>
      </c>
      <c r="C196" s="41"/>
      <c r="D196" s="8"/>
      <c r="E196" s="205"/>
      <c r="F196" s="205"/>
      <c r="G196" s="205"/>
      <c r="H196" s="205"/>
      <c r="I196" s="26"/>
    </row>
    <row r="197" spans="1:9" x14ac:dyDescent="0.2">
      <c r="A197" s="25" t="str">
        <f>"RUV2 = "&amp;'Design Converter'!E38&amp;"kΩ"</f>
        <v>RUV2 = 34.8kΩ</v>
      </c>
      <c r="B197" s="8" t="str">
        <f>C238</f>
        <v/>
      </c>
      <c r="C197" s="41"/>
      <c r="D197" s="8"/>
      <c r="E197" s="205"/>
      <c r="F197" s="205"/>
      <c r="G197" s="205"/>
      <c r="H197" s="205"/>
      <c r="I197" s="26"/>
    </row>
    <row r="198" spans="1:9" x14ac:dyDescent="0.2">
      <c r="A198" s="25"/>
      <c r="B198" s="8"/>
      <c r="C198" s="41"/>
      <c r="D198" s="8"/>
      <c r="E198" s="205"/>
      <c r="F198" s="205"/>
      <c r="G198" s="205"/>
      <c r="H198" s="205"/>
      <c r="I198" s="26"/>
    </row>
    <row r="199" spans="1:9" x14ac:dyDescent="0.2">
      <c r="A199" s="25" t="str">
        <f>"Lmag = "&amp;'Design Converter'!L7&amp;"µH"</f>
        <v>Lmag = 44µH</v>
      </c>
      <c r="B199" s="8" t="str">
        <f>'Design Converter'!L7&amp;"µH"</f>
        <v>44µH</v>
      </c>
      <c r="C199" s="41"/>
      <c r="D199" s="8"/>
      <c r="E199" s="8"/>
      <c r="F199" s="8"/>
      <c r="G199" s="8"/>
      <c r="H199" s="8"/>
      <c r="I199" s="26"/>
    </row>
    <row r="200" spans="1:9" x14ac:dyDescent="0.2">
      <c r="A200" s="25" t="str">
        <f>"Rdcr = "&amp;Rdcr_pri*1000&amp;"mΩ"</f>
        <v>Rdcr = 200mΩ</v>
      </c>
      <c r="B200" s="204" t="str">
        <f>Rdcr_pri*1000&amp;"mΩ"</f>
        <v>200mΩ</v>
      </c>
      <c r="C200" s="41"/>
      <c r="D200" s="8"/>
      <c r="E200" s="8"/>
      <c r="F200" s="8"/>
      <c r="G200" s="8"/>
      <c r="H200" s="8"/>
      <c r="I200" s="26"/>
    </row>
    <row r="201" spans="1:9" x14ac:dyDescent="0.2">
      <c r="A201" s="112" t="s">
        <v>396</v>
      </c>
      <c r="B201" s="204" t="str">
        <f>W44</f>
        <v>3 : 1</v>
      </c>
      <c r="C201" s="41"/>
      <c r="D201" s="8"/>
      <c r="E201" s="8"/>
      <c r="F201" s="8"/>
      <c r="G201" s="8"/>
      <c r="H201" s="8"/>
      <c r="I201" s="26"/>
    </row>
    <row r="202" spans="1:9" x14ac:dyDescent="0.2">
      <c r="A202" s="25"/>
      <c r="B202" s="204"/>
      <c r="C202" s="41"/>
      <c r="D202" s="8"/>
      <c r="E202" s="8"/>
      <c r="F202" s="8"/>
      <c r="G202" s="8"/>
      <c r="H202" s="8"/>
      <c r="I202" s="26"/>
    </row>
    <row r="203" spans="1:9" x14ac:dyDescent="0.2">
      <c r="A203" s="25" t="str">
        <f>"Css = "&amp;ROUND(Css_u*1000000000,1)&amp;"nF"</f>
        <v>Css = 39nF</v>
      </c>
      <c r="B203" s="8" t="str">
        <f>ROUND(Css_u*1000000000,1)&amp;"nF"</f>
        <v>39nF</v>
      </c>
      <c r="C203" s="41"/>
      <c r="D203" s="8"/>
      <c r="E203" s="8"/>
      <c r="F203" s="8"/>
      <c r="G203" s="8"/>
      <c r="H203" s="8"/>
      <c r="I203" s="26"/>
    </row>
    <row r="204" spans="1:9" x14ac:dyDescent="0.2">
      <c r="A204" s="25"/>
      <c r="B204" s="8"/>
      <c r="C204" s="41"/>
      <c r="D204" s="8"/>
      <c r="E204" s="8"/>
      <c r="F204" s="8"/>
      <c r="G204" s="8"/>
      <c r="H204" s="8"/>
      <c r="I204" s="26"/>
    </row>
    <row r="205" spans="1:9" x14ac:dyDescent="0.2">
      <c r="A205" s="25" t="s">
        <v>57</v>
      </c>
      <c r="B205" s="8" t="str">
        <f>VIN_nom&amp;"V"</f>
        <v>24V</v>
      </c>
      <c r="C205" s="41"/>
      <c r="D205" s="8"/>
      <c r="E205" s="8"/>
      <c r="F205" s="8"/>
      <c r="G205" s="8"/>
      <c r="H205" s="8"/>
      <c r="I205" s="26"/>
    </row>
    <row r="206" spans="1:9" x14ac:dyDescent="0.2">
      <c r="A206" s="112" t="s">
        <v>188</v>
      </c>
      <c r="B206" s="8" t="str">
        <f>VIN_min&amp;"V..."&amp;VIN_max&amp;"V"</f>
        <v>15V...48V</v>
      </c>
      <c r="C206" s="41"/>
      <c r="D206" s="8"/>
      <c r="E206" s="8"/>
      <c r="F206" s="8"/>
      <c r="G206" s="8"/>
      <c r="H206" s="8"/>
      <c r="I206" s="26"/>
    </row>
    <row r="207" spans="1:9" x14ac:dyDescent="0.2">
      <c r="A207" s="112"/>
      <c r="B207" s="8"/>
      <c r="C207" s="41"/>
      <c r="D207" s="8"/>
      <c r="E207" s="8"/>
      <c r="F207" s="8"/>
      <c r="G207" s="8"/>
      <c r="H207" s="8"/>
      <c r="I207" s="26"/>
    </row>
    <row r="208" spans="1:9" x14ac:dyDescent="0.2">
      <c r="A208" s="25" t="str">
        <f>"VOUT = "&amp;'Design Converter'!E10&amp;"V"</f>
        <v>VOUT = 5V</v>
      </c>
      <c r="B208" s="8" t="str">
        <f>'Design Converter'!E10&amp;"V"</f>
        <v>5V</v>
      </c>
      <c r="C208" s="41"/>
      <c r="D208" s="8">
        <f>MODE</f>
        <v>1</v>
      </c>
      <c r="E208" s="8"/>
      <c r="F208" s="8"/>
      <c r="G208" s="8"/>
      <c r="H208" s="8"/>
      <c r="I208" s="26"/>
    </row>
    <row r="209" spans="1:9" x14ac:dyDescent="0.2">
      <c r="A209" s="25" t="str">
        <f>"VOUT2 = "&amp;'Design Converter'!E12&amp;"V"</f>
        <v>VOUT2 = -5V</v>
      </c>
      <c r="B209" s="8" t="str">
        <f>IF(MODE_TOP="DUAL", 'Design Converter'!E12&amp;"V", "")</f>
        <v/>
      </c>
      <c r="C209" s="41"/>
      <c r="D209" s="79" t="b">
        <f>MODE=2</f>
        <v>0</v>
      </c>
      <c r="E209" s="8"/>
      <c r="F209" s="8"/>
      <c r="G209" s="8"/>
      <c r="H209" s="8"/>
      <c r="I209" s="26"/>
    </row>
    <row r="210" spans="1:9" x14ac:dyDescent="0.2">
      <c r="A210" s="25" t="str">
        <f>"VOUT2 = "&amp;'Design Converter'!E12&amp;"V"</f>
        <v>VOUT2 = -5V</v>
      </c>
      <c r="B210" s="8" t="str">
        <f>IF(MODE_TOP="BIPOLAR", 'Design Converter'!E12&amp;"V", "")</f>
        <v/>
      </c>
      <c r="C210" s="41"/>
      <c r="D210" s="8"/>
      <c r="E210" s="8"/>
      <c r="F210" s="8"/>
      <c r="G210" s="8"/>
      <c r="H210" s="8"/>
      <c r="I210" s="26"/>
    </row>
    <row r="211" spans="1:9" x14ac:dyDescent="0.2">
      <c r="A211" s="25"/>
      <c r="B211" s="8"/>
      <c r="C211" s="41"/>
      <c r="D211" s="8"/>
      <c r="E211" s="8"/>
      <c r="F211" s="8"/>
      <c r="G211" s="8"/>
      <c r="H211" s="8"/>
      <c r="I211" s="26"/>
    </row>
    <row r="212" spans="1:9" x14ac:dyDescent="0.2">
      <c r="A212" s="403" t="s">
        <v>525</v>
      </c>
      <c r="B212" s="79" t="str">
        <f>IF(MODE=1, "", "Co1")</f>
        <v/>
      </c>
      <c r="C212" s="79" t="str">
        <f>IF(MODE_TOP="DUAL", "Co2", "")</f>
        <v/>
      </c>
      <c r="D212" s="79" t="str">
        <f>IF(MODE_TOP="BIPOLAR", "Co2", "")</f>
        <v/>
      </c>
      <c r="E212" s="8"/>
      <c r="F212" s="79" t="str">
        <f>MODE_TOP</f>
        <v>SINGLE</v>
      </c>
      <c r="G212" s="8"/>
      <c r="H212" s="8"/>
      <c r="I212" s="26"/>
    </row>
    <row r="213" spans="1:9" x14ac:dyDescent="0.2">
      <c r="A213" s="25" t="str">
        <f>"COUT = "&amp;'Design Converter'!$E$21&amp;"µF"</f>
        <v>COUT = 47µF</v>
      </c>
      <c r="B213" s="8" t="str">
        <f>'Design Converter'!$E$21&amp;"µF"</f>
        <v>47µF</v>
      </c>
      <c r="C213" s="8" t="str">
        <f>IF(MODE_TOP="DUAL", 'Design Converter'!$L$21&amp;"µF", "")</f>
        <v/>
      </c>
      <c r="D213" s="8" t="str">
        <f>IF(MODE_TOP="BIPOLAR", 'Design Converter'!$L$21&amp;"µF", "")</f>
        <v/>
      </c>
      <c r="E213" s="8"/>
      <c r="F213" s="8" t="str">
        <f>'Design Converter'!$L$21&amp;"µF"</f>
        <v>22µF</v>
      </c>
      <c r="G213" s="8"/>
      <c r="H213" s="8"/>
      <c r="I213" s="26"/>
    </row>
    <row r="214" spans="1:9" x14ac:dyDescent="0.2">
      <c r="A214" s="112" t="s">
        <v>134</v>
      </c>
      <c r="B214" s="8" t="str">
        <f>"22µF"</f>
        <v>22µF</v>
      </c>
      <c r="C214" s="41"/>
      <c r="D214" s="8"/>
      <c r="E214" s="8"/>
      <c r="F214" s="8"/>
      <c r="G214" s="8"/>
      <c r="H214" s="8"/>
      <c r="I214" s="26"/>
    </row>
    <row r="215" spans="1:9" x14ac:dyDescent="0.2">
      <c r="A215" s="112" t="s">
        <v>135</v>
      </c>
      <c r="B215" s="80" t="str">
        <f>ROUNDUP(Cout/22,0)&amp;" x"</f>
        <v>3 x</v>
      </c>
      <c r="C215" s="166"/>
      <c r="D215" s="8"/>
      <c r="E215" s="8"/>
      <c r="F215" s="8"/>
      <c r="G215" s="8"/>
      <c r="H215" s="8"/>
      <c r="I215" s="26"/>
    </row>
    <row r="216" spans="1:9" x14ac:dyDescent="0.2">
      <c r="A216" s="112"/>
      <c r="B216" s="80">
        <f>Cout</f>
        <v>47</v>
      </c>
      <c r="C216" s="166"/>
      <c r="D216" s="8"/>
      <c r="E216" s="8"/>
      <c r="F216" s="8"/>
      <c r="G216" s="8"/>
      <c r="H216" s="8"/>
      <c r="I216" s="26"/>
    </row>
    <row r="217" spans="1:9" x14ac:dyDescent="0.2">
      <c r="A217" s="403" t="s">
        <v>526</v>
      </c>
      <c r="B217" s="8"/>
      <c r="C217" s="41"/>
      <c r="D217" s="8"/>
      <c r="E217" s="8"/>
      <c r="F217" s="8"/>
      <c r="G217" s="8"/>
      <c r="H217" s="8"/>
      <c r="I217" s="26"/>
    </row>
    <row r="218" spans="1:9" x14ac:dyDescent="0.2">
      <c r="A218" s="25" t="s">
        <v>95</v>
      </c>
      <c r="B218" s="8" t="str">
        <f>Cin&amp;"µF"</f>
        <v>10µF</v>
      </c>
      <c r="E218" s="8"/>
      <c r="F218" s="8"/>
      <c r="G218" s="8"/>
      <c r="H218" s="8"/>
      <c r="I218" s="26"/>
    </row>
    <row r="219" spans="1:9" x14ac:dyDescent="0.2">
      <c r="A219" s="112" t="s">
        <v>133</v>
      </c>
      <c r="B219" s="8" t="str">
        <f>"4.7µF"</f>
        <v>4.7µF</v>
      </c>
      <c r="C219" s="41"/>
      <c r="D219" s="8"/>
      <c r="E219" s="8"/>
      <c r="F219" s="8"/>
      <c r="G219" s="8"/>
      <c r="H219" s="8"/>
      <c r="I219" s="26"/>
    </row>
    <row r="220" spans="1:9" x14ac:dyDescent="0.2">
      <c r="A220" s="112" t="s">
        <v>132</v>
      </c>
      <c r="B220" s="80" t="str">
        <f>ROUNDUP(Cin/4.7,0)&amp;" x"</f>
        <v>3 x</v>
      </c>
      <c r="C220" s="166"/>
      <c r="D220" s="8"/>
      <c r="E220" s="8"/>
      <c r="F220" s="8"/>
      <c r="G220" s="8"/>
      <c r="H220" s="8"/>
      <c r="I220" s="26"/>
    </row>
    <row r="221" spans="1:9" x14ac:dyDescent="0.2">
      <c r="A221" s="112"/>
      <c r="B221" s="80"/>
      <c r="D221" s="8"/>
      <c r="E221" s="8"/>
      <c r="F221" s="8"/>
      <c r="G221" s="8"/>
      <c r="H221" s="8"/>
      <c r="I221" s="26"/>
    </row>
    <row r="222" spans="1:9" ht="15.75" x14ac:dyDescent="0.3">
      <c r="A222" s="112" t="s">
        <v>527</v>
      </c>
      <c r="B222" s="598" t="s">
        <v>528</v>
      </c>
      <c r="C222" s="598" t="s">
        <v>570</v>
      </c>
      <c r="D222" s="8"/>
      <c r="E222" s="8"/>
      <c r="F222" s="8"/>
      <c r="G222" s="8"/>
      <c r="H222" s="8"/>
      <c r="I222" s="26"/>
    </row>
    <row r="223" spans="1:9" x14ac:dyDescent="0.2">
      <c r="A223" s="112"/>
      <c r="B223" s="80"/>
      <c r="D223" s="8"/>
      <c r="E223" s="8"/>
      <c r="F223" s="8"/>
      <c r="G223" s="8"/>
      <c r="H223" s="8"/>
      <c r="I223" s="26"/>
    </row>
    <row r="224" spans="1:9" x14ac:dyDescent="0.2">
      <c r="A224" s="403" t="s">
        <v>395</v>
      </c>
      <c r="B224" s="166" t="str">
        <f>IF(MODE_TC=1, "YES", "NO")</f>
        <v>NO</v>
      </c>
      <c r="D224" s="8"/>
      <c r="E224" s="8"/>
      <c r="F224" s="8"/>
      <c r="G224" s="8"/>
      <c r="H224" s="8"/>
      <c r="I224" s="26"/>
    </row>
    <row r="225" spans="1:9" x14ac:dyDescent="0.2">
      <c r="A225" s="112" t="s">
        <v>301</v>
      </c>
      <c r="B225" s="166" t="str">
        <f>IF(MODE_TC=2, "YES", "NO")</f>
        <v>YES</v>
      </c>
      <c r="C225" s="393" t="str">
        <f>IF(MODE_TC=2, "R1", "")</f>
        <v>R1</v>
      </c>
      <c r="D225" s="393" t="str">
        <f>IF(MODE_TC=2, "R2", "")</f>
        <v>R2</v>
      </c>
      <c r="E225" s="393"/>
      <c r="F225" s="8"/>
      <c r="G225" s="8"/>
      <c r="H225" s="8"/>
      <c r="I225" s="26"/>
    </row>
    <row r="226" spans="1:9" x14ac:dyDescent="0.2">
      <c r="A226" s="25" t="str">
        <f>"RFB = "&amp;'Design Converter'!E26&amp;"kΩ"</f>
        <v>RFB = 157.5kΩ</v>
      </c>
      <c r="B226" s="8" t="str">
        <f>IF(MODE_TC=1, "", 'Design Converter'!E26&amp;"kΩ")</f>
        <v>157.5kΩ</v>
      </c>
      <c r="C226" s="79" t="str">
        <f>'Design Converter'!E26&amp;"kΩ"</f>
        <v>157.5kΩ</v>
      </c>
      <c r="D226" s="8"/>
      <c r="E226" s="8"/>
      <c r="F226" s="8"/>
      <c r="G226" s="8"/>
      <c r="H226" s="8"/>
      <c r="I226" s="26"/>
    </row>
    <row r="227" spans="1:9" x14ac:dyDescent="0.2">
      <c r="A227" s="25" t="str">
        <f>"RFB2 = "&amp;IF(Vout=Vref,"OPEN",'Design Converter'!E27&amp;"kΩ")</f>
        <v>RFB2 = 158kΩ</v>
      </c>
      <c r="B227" s="8" t="str">
        <f>IF(MODE_TC=1, "", IF(Vout=Vref,"OPEN",Rfb2_u/1000&amp;"kΩ"))</f>
        <v>0.158kΩ</v>
      </c>
      <c r="C227" s="79" t="str">
        <f>'Design Converter'!E27&amp;"kΩ"</f>
        <v>158kΩ</v>
      </c>
      <c r="D227" s="8"/>
      <c r="E227" s="8"/>
      <c r="F227" s="8"/>
      <c r="G227" s="8"/>
      <c r="H227" s="8"/>
      <c r="I227" s="26"/>
    </row>
    <row r="228" spans="1:9" x14ac:dyDescent="0.2">
      <c r="A228" s="25"/>
      <c r="B228" s="8"/>
      <c r="C228" s="79"/>
      <c r="D228" s="8"/>
      <c r="E228" s="8"/>
      <c r="F228" s="8"/>
      <c r="G228" s="8"/>
      <c r="H228" s="8"/>
      <c r="I228" s="26"/>
    </row>
    <row r="229" spans="1:9" x14ac:dyDescent="0.2">
      <c r="A229" s="112" t="s">
        <v>305</v>
      </c>
      <c r="B229" s="41" t="str">
        <f>IF(MODE=1, "YES", "NO")</f>
        <v>YES</v>
      </c>
      <c r="C229" s="8" t="str">
        <f>IF(MODE=1,"Rt", "")</f>
        <v>Rt</v>
      </c>
      <c r="D229" s="8"/>
      <c r="E229" s="8"/>
      <c r="F229" s="8"/>
      <c r="G229" s="8"/>
      <c r="H229" s="8"/>
      <c r="I229" s="26"/>
    </row>
    <row r="230" spans="1:9" x14ac:dyDescent="0.2">
      <c r="A230" s="112" t="s">
        <v>139</v>
      </c>
      <c r="B230" s="8" t="e">
        <f>IF(MODE=2, "", 'Standard Value Calculator'!J4/1000&amp;"kΩ")</f>
        <v>#NAME?</v>
      </c>
      <c r="C230" s="41"/>
      <c r="D230" s="8"/>
      <c r="E230" s="8"/>
      <c r="F230" s="8"/>
      <c r="G230" s="8"/>
      <c r="H230" s="8"/>
      <c r="I230" s="26"/>
    </row>
    <row r="231" spans="1:9" x14ac:dyDescent="0.2">
      <c r="A231" s="112"/>
      <c r="B231" s="8"/>
      <c r="C231" s="41"/>
      <c r="D231" s="8"/>
      <c r="E231" s="8"/>
      <c r="F231" s="8"/>
      <c r="G231" s="8"/>
      <c r="H231" s="8"/>
      <c r="I231" s="26"/>
    </row>
    <row r="232" spans="1:9" x14ac:dyDescent="0.2">
      <c r="A232" s="403" t="s">
        <v>385</v>
      </c>
      <c r="B232" s="166" t="str">
        <f>IF(MODE=1, "YES", "NO")</f>
        <v>YES</v>
      </c>
      <c r="C232" s="79" t="str">
        <f>IF(TC=1,"Rtc", "")</f>
        <v/>
      </c>
      <c r="D232" s="8"/>
      <c r="E232" s="8"/>
      <c r="F232" s="8"/>
      <c r="G232" s="8"/>
      <c r="H232" s="8"/>
      <c r="I232" s="26"/>
    </row>
    <row r="233" spans="1:9" x14ac:dyDescent="0.2">
      <c r="A233" s="539" t="str">
        <f>"RTC = "&amp;RTC&amp;"kΩ"</f>
        <v>RTC = 52.3kΩ</v>
      </c>
      <c r="B233" s="8" t="str">
        <f>IF(TC=1, RTC&amp;"kΩ", "")</f>
        <v/>
      </c>
      <c r="C233" s="79" t="str">
        <f>CHOOSE(TC,"Rtc","")</f>
        <v/>
      </c>
      <c r="D233" s="8"/>
      <c r="E233" s="8"/>
      <c r="F233" s="9"/>
      <c r="G233" s="8"/>
      <c r="H233" s="8"/>
      <c r="I233" s="26"/>
    </row>
    <row r="234" spans="1:9" x14ac:dyDescent="0.2">
      <c r="A234" s="112" t="s">
        <v>388</v>
      </c>
      <c r="B234" s="374"/>
      <c r="C234" s="8"/>
      <c r="D234" s="8"/>
      <c r="E234" s="8"/>
      <c r="F234" s="9"/>
      <c r="G234" s="8"/>
      <c r="H234" s="8"/>
      <c r="I234" s="26"/>
    </row>
    <row r="235" spans="1:9" x14ac:dyDescent="0.2">
      <c r="A235" s="25"/>
      <c r="B235" s="80"/>
      <c r="C235" s="166"/>
      <c r="D235" s="8"/>
      <c r="E235" s="115"/>
      <c r="F235" s="8"/>
      <c r="G235" s="8"/>
      <c r="H235" s="8"/>
      <c r="I235" s="26"/>
    </row>
    <row r="236" spans="1:9" x14ac:dyDescent="0.2">
      <c r="A236" s="403" t="s">
        <v>309</v>
      </c>
      <c r="B236" s="166" t="str">
        <f>IF(MODE_UVLO=1, "YES", "NO")</f>
        <v>NO</v>
      </c>
      <c r="C236" s="393" t="str">
        <f>IF(MODE_UVLO=1, "Ruv1", "")</f>
        <v/>
      </c>
      <c r="D236" s="393" t="str">
        <f>IF(MODE_UVLO=1, "Ruv2", "")</f>
        <v/>
      </c>
      <c r="E236" s="393"/>
      <c r="F236" s="393" t="s">
        <v>6</v>
      </c>
      <c r="G236" s="393" t="s">
        <v>33</v>
      </c>
      <c r="H236" s="79" t="s">
        <v>343</v>
      </c>
      <c r="I236" s="26"/>
    </row>
    <row r="237" spans="1:9" x14ac:dyDescent="0.2">
      <c r="A237" s="25" t="str">
        <f>"RUV1 = "&amp;C237</f>
        <v xml:space="preserve">RUV1 = </v>
      </c>
      <c r="B237" s="8" t="str">
        <f>'Design Converter'!E37&amp;" kΩ"</f>
        <v>69.8 kΩ</v>
      </c>
      <c r="C237" s="393" t="str">
        <f>IF(MODE_UVLO=1,'Design Converter'!E37&amp;"kΩ", "")</f>
        <v/>
      </c>
      <c r="F237" s="8" t="str">
        <f>IF(MODE_UVLO=1,'Design Converter'!E37, "")</f>
        <v/>
      </c>
      <c r="G237" s="79" t="str">
        <f>IF(MODE_UVLO=1,"kΩ", "")</f>
        <v/>
      </c>
      <c r="H237" s="393" t="str">
        <f>IF(MODE_UVLO=1,'Design Converter'!E37&amp;"k", "")</f>
        <v/>
      </c>
      <c r="I237" s="26"/>
    </row>
    <row r="238" spans="1:9" x14ac:dyDescent="0.2">
      <c r="A238" s="25" t="str">
        <f>"RUV2 = "&amp;C238</f>
        <v xml:space="preserve">RUV2 = </v>
      </c>
      <c r="B238" s="8" t="str">
        <f>IF(D150&gt;=1000, D150/1000&amp;" MΩ", D150&amp;" kΩ")</f>
        <v>34.8 kΩ</v>
      </c>
      <c r="C238" s="393" t="str">
        <f>IF(MODE_UVLO=1, IF(D150&lt;1, D150*1000&amp;"Ω", IF(D150&lt;1000, D150&amp;"kΩ", D150/1000&amp;"MΩ")), "")</f>
        <v/>
      </c>
      <c r="F238" s="8" t="str">
        <f>IF(MODE_UVLO=1, IF(D150&lt;1, D150*1000, IF(D150&lt;1000, D150, D150/1000)), "")</f>
        <v/>
      </c>
      <c r="G238" s="79" t="str">
        <f>IF(MODE_UVLO=1, IF(D150&lt;1, "Ω", IF(D150&lt;1000,"kΩ", "MΩ")), "")</f>
        <v/>
      </c>
      <c r="H238" s="393" t="str">
        <f>IF(MODE_UVLO=1, IF(D150&lt;1, D150*1000, IF(D150&lt;1000, D150&amp;"k", D150/1000&amp;"M")), "")</f>
        <v/>
      </c>
      <c r="I238" s="26"/>
    </row>
    <row r="239" spans="1:9" x14ac:dyDescent="0.2">
      <c r="A239" s="25"/>
      <c r="B239" s="8"/>
      <c r="C239" s="393"/>
      <c r="F239" s="8"/>
      <c r="G239" s="79"/>
      <c r="H239" s="393"/>
      <c r="I239" s="26"/>
    </row>
    <row r="240" spans="1:9" x14ac:dyDescent="0.2">
      <c r="A240" s="403" t="s">
        <v>389</v>
      </c>
      <c r="B240" s="8"/>
      <c r="C240" s="393"/>
      <c r="F240" s="8"/>
      <c r="G240" s="79"/>
      <c r="H240" s="393"/>
      <c r="I240" s="26"/>
    </row>
    <row r="241" spans="1:9" x14ac:dyDescent="0.2">
      <c r="A241" s="25" t="str">
        <f>"RSET = "&amp;C241</f>
        <v>RSET = 12.1kΩ</v>
      </c>
      <c r="B241" s="79" t="s">
        <v>384</v>
      </c>
      <c r="C241" s="79" t="s">
        <v>550</v>
      </c>
      <c r="F241" s="8" t="str">
        <f>IF(MODE_UVLO=1, IF(D151&lt;1, D151*1000, IF(D151&lt;1000, D151, D151/1000)), "")</f>
        <v/>
      </c>
      <c r="G241" s="79" t="str">
        <f>IF(MODE_UVLO=1, IF(D151&lt;1, "Ω", IF(D151&lt;1000,"kΩ", "MΩ")), "")</f>
        <v/>
      </c>
      <c r="H241" s="393" t="str">
        <f>IF(MODE_UVLO=1, IF(D151&lt;1, D151*1000, IF(D151&lt;1000, D151&amp;"k", D151&amp;"M")), "")</f>
        <v/>
      </c>
      <c r="I241" s="26"/>
    </row>
    <row r="242" spans="1:9" x14ac:dyDescent="0.2">
      <c r="A242" s="25"/>
      <c r="B242" s="79"/>
      <c r="C242" s="79"/>
      <c r="F242" s="8"/>
      <c r="G242" s="79"/>
      <c r="H242" s="393"/>
      <c r="I242" s="26"/>
    </row>
    <row r="243" spans="1:9" x14ac:dyDescent="0.2">
      <c r="A243" s="403" t="s">
        <v>390</v>
      </c>
      <c r="B243" s="80"/>
      <c r="C243" s="166"/>
      <c r="D243" s="8"/>
      <c r="E243" s="115"/>
      <c r="F243" s="8"/>
      <c r="G243" s="8"/>
      <c r="H243" s="8"/>
      <c r="I243" s="26"/>
    </row>
    <row r="244" spans="1:9" x14ac:dyDescent="0.2">
      <c r="A244" s="25" t="str">
        <f>"Css = "&amp;Css*1000000000&amp;"nF"</f>
        <v>Css = 40nF</v>
      </c>
      <c r="B244" s="8" t="str">
        <f>Css*1000000000&amp;"nF"</f>
        <v>40nF</v>
      </c>
      <c r="D244" s="8"/>
      <c r="E244" s="8"/>
      <c r="F244" s="8"/>
      <c r="G244" s="8"/>
      <c r="H244" s="8"/>
      <c r="I244" s="26"/>
    </row>
    <row r="245" spans="1:9" x14ac:dyDescent="0.2">
      <c r="A245" s="25" t="s">
        <v>66</v>
      </c>
      <c r="B245" s="8" t="str">
        <f>CHOOSE(MODE_SS,'Standard Value Calculator'!B4*1000000000&amp;"nF","")</f>
        <v/>
      </c>
      <c r="C245" s="8" t="str">
        <f>CHOOSE(MODE_SS,"Css","")</f>
        <v/>
      </c>
      <c r="D245" s="404" t="str">
        <f>B245</f>
        <v/>
      </c>
      <c r="E245" s="8"/>
      <c r="F245" s="8"/>
      <c r="G245" s="8"/>
      <c r="H245" s="8"/>
      <c r="I245" s="26"/>
    </row>
    <row r="246" spans="1:9" x14ac:dyDescent="0.2">
      <c r="A246" s="25"/>
      <c r="B246" s="8"/>
      <c r="C246" s="79" t="str">
        <f>C245</f>
        <v/>
      </c>
      <c r="D246" s="41"/>
      <c r="E246" s="8"/>
      <c r="F246" s="8"/>
      <c r="G246" s="8"/>
      <c r="H246" s="8"/>
      <c r="I246" s="26"/>
    </row>
    <row r="247" spans="1:9" x14ac:dyDescent="0.2">
      <c r="A247" s="25"/>
      <c r="B247" s="8"/>
      <c r="C247" s="79"/>
      <c r="D247" s="41"/>
      <c r="E247" s="8"/>
      <c r="F247" s="8"/>
      <c r="G247" s="8"/>
      <c r="H247" s="8"/>
      <c r="I247" s="26"/>
    </row>
    <row r="248" spans="1:9" x14ac:dyDescent="0.2">
      <c r="A248" s="112" t="s">
        <v>663</v>
      </c>
      <c r="B248" s="79">
        <f>ROUND(Iout*2,1)</f>
        <v>1</v>
      </c>
      <c r="C248" s="79" t="s">
        <v>1</v>
      </c>
      <c r="D248" s="8"/>
      <c r="E248" s="8"/>
      <c r="F248" s="8"/>
      <c r="G248" s="8"/>
      <c r="H248" s="8"/>
      <c r="I248" s="26"/>
    </row>
    <row r="249" spans="1:9" x14ac:dyDescent="0.2">
      <c r="A249" s="112" t="s">
        <v>664</v>
      </c>
      <c r="B249">
        <f>ROUND(VRRM_DIODE,0)</f>
        <v>21</v>
      </c>
      <c r="C249" s="79" t="s">
        <v>0</v>
      </c>
      <c r="D249" s="8"/>
      <c r="E249" s="8"/>
      <c r="F249" s="8"/>
      <c r="G249" s="8"/>
      <c r="H249" s="8"/>
      <c r="I249" s="26"/>
    </row>
    <row r="250" spans="1:9" x14ac:dyDescent="0.2">
      <c r="F250" s="8"/>
      <c r="G250" s="8"/>
      <c r="H250" s="8"/>
      <c r="I250" s="26"/>
    </row>
    <row r="251" spans="1:9" x14ac:dyDescent="0.2">
      <c r="A251" s="112"/>
      <c r="B251" s="374"/>
      <c r="C251" s="8"/>
      <c r="D251" s="8"/>
      <c r="E251" s="8"/>
      <c r="F251" s="8"/>
      <c r="G251" s="8"/>
      <c r="H251" s="8"/>
      <c r="I251" s="26"/>
    </row>
    <row r="252" spans="1:9" x14ac:dyDescent="0.2">
      <c r="A252" s="112" t="s">
        <v>129</v>
      </c>
      <c r="B252" s="79" t="s">
        <v>314</v>
      </c>
      <c r="C252" s="8"/>
      <c r="D252" s="8"/>
      <c r="E252" s="8"/>
      <c r="F252" s="8"/>
      <c r="G252" s="8"/>
      <c r="H252" s="8"/>
      <c r="I252" s="26"/>
    </row>
    <row r="253" spans="1:9" x14ac:dyDescent="0.2">
      <c r="A253" s="112"/>
      <c r="B253" s="79"/>
      <c r="C253" s="8"/>
      <c r="D253" s="8"/>
      <c r="E253" s="8"/>
      <c r="F253" s="8"/>
      <c r="G253" s="8"/>
      <c r="H253" s="8"/>
      <c r="I253" s="26"/>
    </row>
    <row r="254" spans="1:9" x14ac:dyDescent="0.2">
      <c r="A254" s="112" t="s">
        <v>184</v>
      </c>
      <c r="B254" s="359" t="str">
        <f>CHOOSE(MODE, ROUND('Calculations - Single'!$CC$105,1)&amp;"%", ROUND('Calculations - Dual'!CD105,1)&amp;"%")</f>
        <v>86.1%</v>
      </c>
      <c r="C254" s="8"/>
      <c r="D254" s="8"/>
      <c r="E254" s="8"/>
      <c r="F254" s="8"/>
      <c r="G254" s="8"/>
      <c r="H254" s="8"/>
      <c r="I254" s="26"/>
    </row>
    <row r="255" spans="1:9" x14ac:dyDescent="0.2">
      <c r="A255" s="112" t="s">
        <v>505</v>
      </c>
      <c r="B255" s="359" t="str">
        <f>ROUND('Calculations - Single'!$CC$55,1)&amp;"%"</f>
        <v>84.5%</v>
      </c>
      <c r="C255" s="8"/>
      <c r="D255" s="8"/>
      <c r="E255" s="8"/>
      <c r="F255" s="8"/>
      <c r="G255" s="8"/>
      <c r="H255" s="8"/>
      <c r="I255" s="26"/>
    </row>
    <row r="256" spans="1:9" x14ac:dyDescent="0.2">
      <c r="A256" s="112" t="s">
        <v>311</v>
      </c>
      <c r="B256" s="359" t="str">
        <f>ROUND('Calculations - Single'!$CC$15,1)&amp;"%"</f>
        <v>74.2%</v>
      </c>
      <c r="C256" s="79" t="s">
        <v>316</v>
      </c>
      <c r="D256" s="8"/>
      <c r="E256" s="8"/>
      <c r="F256" s="8"/>
      <c r="G256" s="8"/>
      <c r="H256" s="8"/>
      <c r="I256" s="26"/>
    </row>
    <row r="257" spans="1:9" x14ac:dyDescent="0.2">
      <c r="A257" s="112" t="s">
        <v>315</v>
      </c>
      <c r="B257" s="359" t="str">
        <f>ROUND(Parameters!BZ56,1)&amp;"%"</f>
        <v>0%</v>
      </c>
      <c r="C257" s="79" t="s">
        <v>317</v>
      </c>
      <c r="D257" s="8"/>
      <c r="E257" s="8"/>
      <c r="F257" s="8"/>
      <c r="G257" s="8"/>
      <c r="H257" s="8"/>
      <c r="I257" s="26"/>
    </row>
    <row r="258" spans="1:9" x14ac:dyDescent="0.2">
      <c r="A258" s="25"/>
      <c r="B258" s="8"/>
      <c r="C258" s="41"/>
      <c r="D258" s="8"/>
      <c r="E258" s="8"/>
      <c r="F258" s="8"/>
      <c r="G258" s="8"/>
      <c r="H258" s="8"/>
      <c r="I258" s="26"/>
    </row>
    <row r="259" spans="1:9" x14ac:dyDescent="0.2">
      <c r="A259" s="25"/>
      <c r="B259" s="8"/>
      <c r="C259" s="41"/>
      <c r="D259" s="8"/>
      <c r="E259" s="8"/>
      <c r="F259" s="8"/>
      <c r="G259" s="8"/>
      <c r="H259" s="8"/>
      <c r="I259" s="26"/>
    </row>
    <row r="260" spans="1:9" x14ac:dyDescent="0.2">
      <c r="A260" s="25"/>
      <c r="B260" s="8"/>
      <c r="C260" s="41"/>
      <c r="D260" s="8"/>
      <c r="E260" s="8"/>
      <c r="F260" s="8"/>
      <c r="G260" s="8"/>
      <c r="H260" s="8"/>
      <c r="I260" s="26"/>
    </row>
    <row r="261" spans="1:9" x14ac:dyDescent="0.2">
      <c r="A261" s="25" t="s">
        <v>80</v>
      </c>
      <c r="B261" s="8" t="str">
        <f>IF(C261="y","","|")</f>
        <v>|</v>
      </c>
      <c r="C261" s="41" t="s">
        <v>323</v>
      </c>
      <c r="D261" s="8"/>
      <c r="E261" s="8"/>
      <c r="F261" s="8"/>
      <c r="G261" s="8"/>
      <c r="H261" s="8"/>
      <c r="I261" s="26"/>
    </row>
    <row r="262" spans="1:9" x14ac:dyDescent="0.2">
      <c r="A262" s="25"/>
      <c r="B262" s="8"/>
      <c r="C262" s="41"/>
      <c r="D262" s="8"/>
      <c r="E262" s="8"/>
      <c r="F262" s="8"/>
      <c r="G262" s="8"/>
      <c r="H262" s="8"/>
      <c r="I262" s="26"/>
    </row>
    <row r="263" spans="1:9" x14ac:dyDescent="0.2">
      <c r="A263" s="511" t="s">
        <v>86</v>
      </c>
      <c r="B263" s="8" t="str">
        <f>'Design Converter'!$E$11&amp;"A"</f>
        <v>0.5A</v>
      </c>
      <c r="C263" s="41"/>
      <c r="D263" s="8"/>
      <c r="E263" s="8"/>
      <c r="F263" s="8"/>
      <c r="G263" s="8"/>
      <c r="H263" s="8"/>
      <c r="I263" s="26"/>
    </row>
    <row r="264" spans="1:9" x14ac:dyDescent="0.2">
      <c r="A264" s="511" t="s">
        <v>524</v>
      </c>
      <c r="B264" s="8" t="str">
        <f>IF(MODE_TOP="DUAL", 'Design Converter'!$E$13&amp;"A", "")</f>
        <v/>
      </c>
      <c r="C264" s="41"/>
      <c r="D264" s="79">
        <f>MODE</f>
        <v>1</v>
      </c>
      <c r="E264" s="8"/>
      <c r="F264" s="8"/>
      <c r="G264" s="8"/>
      <c r="H264" s="8"/>
      <c r="I264" s="26"/>
    </row>
    <row r="265" spans="1:9" x14ac:dyDescent="0.2">
      <c r="A265" s="511" t="s">
        <v>523</v>
      </c>
      <c r="B265" s="8" t="str">
        <f>IF(MODE_TOP="BIPOLAR", Iout2_actual&amp;"A", "")</f>
        <v/>
      </c>
      <c r="C265" s="41"/>
      <c r="D265" s="8"/>
      <c r="E265" s="8"/>
      <c r="F265" s="8"/>
      <c r="G265" s="8"/>
      <c r="H265" s="8"/>
      <c r="I265" s="26"/>
    </row>
    <row r="266" spans="1:9" x14ac:dyDescent="0.2">
      <c r="A266" s="25"/>
      <c r="B266" s="8"/>
      <c r="C266" s="41"/>
      <c r="D266" s="8"/>
      <c r="E266" s="8"/>
      <c r="F266" s="8"/>
      <c r="G266" s="8"/>
      <c r="H266" s="8"/>
      <c r="I266" s="26"/>
    </row>
    <row r="267" spans="1:9" x14ac:dyDescent="0.2">
      <c r="A267" s="112" t="s">
        <v>94</v>
      </c>
      <c r="B267" s="8">
        <v>1</v>
      </c>
      <c r="C267" s="41"/>
      <c r="D267" s="8"/>
      <c r="E267" s="8"/>
      <c r="F267" s="8"/>
      <c r="G267" s="8"/>
      <c r="H267" s="8"/>
      <c r="I267" s="26"/>
    </row>
    <row r="268" spans="1:9" x14ac:dyDescent="0.2">
      <c r="A268" s="112" t="s">
        <v>93</v>
      </c>
      <c r="B268" s="8">
        <v>2</v>
      </c>
      <c r="C268" s="41"/>
      <c r="D268" s="8"/>
      <c r="E268" s="8"/>
      <c r="F268" s="8"/>
      <c r="G268" s="8"/>
      <c r="H268" s="8"/>
      <c r="I268" s="26"/>
    </row>
    <row r="269" spans="1:9" x14ac:dyDescent="0.2">
      <c r="A269" s="614" t="s">
        <v>57</v>
      </c>
      <c r="B269" s="8">
        <v>3</v>
      </c>
      <c r="C269" s="41"/>
      <c r="D269" s="8"/>
      <c r="E269" s="8"/>
      <c r="F269" s="8"/>
      <c r="G269" s="8"/>
      <c r="H269" s="8"/>
      <c r="I269" s="26"/>
    </row>
    <row r="270" spans="1:9" x14ac:dyDescent="0.2">
      <c r="A270" s="112" t="s">
        <v>571</v>
      </c>
      <c r="B270" s="8">
        <v>4</v>
      </c>
      <c r="C270" s="41"/>
      <c r="D270" s="8"/>
      <c r="E270" s="8"/>
      <c r="F270" s="8"/>
      <c r="G270" s="8"/>
      <c r="H270" s="8"/>
      <c r="I270" s="26"/>
    </row>
    <row r="271" spans="1:9" x14ac:dyDescent="0.2">
      <c r="A271" s="112" t="s">
        <v>572</v>
      </c>
      <c r="B271" s="8">
        <v>5</v>
      </c>
      <c r="C271" s="41"/>
      <c r="D271" s="8"/>
      <c r="E271" s="8"/>
      <c r="F271" s="8"/>
      <c r="G271" s="8"/>
      <c r="H271" s="8"/>
      <c r="I271" s="26"/>
    </row>
    <row r="272" spans="1:9" x14ac:dyDescent="0.2">
      <c r="A272" s="112" t="s">
        <v>573</v>
      </c>
      <c r="B272" s="8">
        <v>6</v>
      </c>
      <c r="C272" s="41"/>
      <c r="D272" s="8"/>
      <c r="E272" s="8"/>
      <c r="F272" s="8"/>
      <c r="G272" s="8"/>
      <c r="H272" s="8"/>
      <c r="I272" s="26"/>
    </row>
    <row r="273" spans="1:9" x14ac:dyDescent="0.2">
      <c r="A273" s="112" t="s">
        <v>574</v>
      </c>
      <c r="B273" s="8">
        <v>7</v>
      </c>
      <c r="C273" s="41"/>
      <c r="D273" s="8"/>
      <c r="E273" s="8"/>
      <c r="F273" s="8"/>
      <c r="G273" s="8"/>
      <c r="H273" s="8"/>
      <c r="I273" s="26"/>
    </row>
    <row r="274" spans="1:9" x14ac:dyDescent="0.2">
      <c r="A274" s="614" t="s">
        <v>92</v>
      </c>
      <c r="B274" s="8">
        <v>8</v>
      </c>
      <c r="C274" s="41"/>
      <c r="D274" s="8"/>
      <c r="E274" s="8"/>
      <c r="F274" s="8"/>
      <c r="G274" s="8"/>
      <c r="H274" s="8"/>
      <c r="I274" s="26"/>
    </row>
    <row r="275" spans="1:9" ht="13.5" thickBot="1" x14ac:dyDescent="0.25">
      <c r="A275" s="213"/>
      <c r="B275" s="30"/>
      <c r="C275" s="165"/>
      <c r="D275" s="30"/>
      <c r="E275" s="30"/>
      <c r="F275" s="30"/>
      <c r="G275" s="30"/>
      <c r="H275" s="30"/>
      <c r="I275" s="31"/>
    </row>
  </sheetData>
  <sheetProtection selectLockedCells="1"/>
  <mergeCells count="2">
    <mergeCell ref="E5:H5"/>
    <mergeCell ref="A1:I1"/>
  </mergeCells>
  <phoneticPr fontId="6" type="noConversion"/>
  <pageMargins left="0.75" right="0.75" top="1" bottom="1" header="0.5" footer="0.5"/>
  <pageSetup orientation="portrait" r:id="rId1"/>
  <headerFooter alignWithMargins="0"/>
  <ignoredErrors>
    <ignoredError sqref="R56:R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21921" r:id="rId4" name="Drop Down 1">
              <controlPr locked="0" defaultSize="0" autoLine="0" autoPict="0">
                <anchor moveWithCells="1">
                  <from>
                    <xdr:col>9</xdr:col>
                    <xdr:colOff>447675</xdr:colOff>
                    <xdr:row>6</xdr:row>
                    <xdr:rowOff>19050</xdr:rowOff>
                  </from>
                  <to>
                    <xdr:col>10</xdr:col>
                    <xdr:colOff>666750</xdr:colOff>
                    <xdr:row>7</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B1:CI321"/>
  <sheetViews>
    <sheetView zoomScaleNormal="100" workbookViewId="0">
      <pane xSplit="6" ySplit="4" topLeftCell="AN80" activePane="bottomRight" state="frozen"/>
      <selection pane="topRight" activeCell="G1" sqref="G1"/>
      <selection pane="bottomLeft" activeCell="A5" sqref="A5"/>
      <selection pane="bottomRight" activeCell="BD105" sqref="BD105"/>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7" width="7.7109375" customWidth="1"/>
    <col min="8" max="8" width="7.85546875" customWidth="1"/>
    <col min="9" max="9" width="6.28515625" customWidth="1"/>
    <col min="10" max="10" width="9.5703125" customWidth="1"/>
    <col min="11" max="11" width="9.28515625" customWidth="1"/>
    <col min="12" max="12" width="1.85546875" customWidth="1"/>
    <col min="13" max="13" width="8.42578125" customWidth="1"/>
    <col min="14" max="15" width="9.5703125" customWidth="1"/>
    <col min="16" max="16" width="8.85546875" customWidth="1"/>
    <col min="17" max="18" width="8.5703125" customWidth="1"/>
    <col min="19" max="19" width="12.42578125" customWidth="1"/>
    <col min="20" max="20" width="10.42578125" customWidth="1"/>
    <col min="21" max="21" width="7.5703125" customWidth="1"/>
    <col min="22" max="22" width="9" customWidth="1"/>
    <col min="23" max="23" width="8.85546875" customWidth="1"/>
    <col min="24" max="24" width="10" customWidth="1"/>
    <col min="25" max="25" width="9.5703125" customWidth="1"/>
    <col min="26" max="26" width="1.85546875" customWidth="1"/>
    <col min="27" max="27" width="9.85546875" customWidth="1"/>
    <col min="28" max="28" width="10.42578125" customWidth="1"/>
    <col min="29" max="29" width="10.140625" customWidth="1"/>
    <col min="30" max="30" width="2" customWidth="1"/>
    <col min="31" max="31" width="9.140625" customWidth="1"/>
    <col min="32" max="32" width="9.42578125" customWidth="1"/>
    <col min="33" max="33" width="10.42578125" customWidth="1"/>
    <col min="34" max="34" width="2.140625" customWidth="1"/>
    <col min="36" max="36" width="8" customWidth="1"/>
    <col min="38" max="38" width="2.28515625" customWidth="1"/>
    <col min="39" max="39" width="6.5703125" customWidth="1"/>
    <col min="40" max="40" width="7.5703125" customWidth="1"/>
    <col min="41" max="41" width="2" customWidth="1"/>
    <col min="42" max="42" width="6.42578125" customWidth="1"/>
    <col min="43" max="43" width="7.5703125" customWidth="1"/>
    <col min="44" max="44" width="2.140625" customWidth="1"/>
    <col min="45" max="48" width="7" customWidth="1"/>
    <col min="49" max="50" width="8.42578125" customWidth="1"/>
    <col min="51" max="52" width="11" customWidth="1"/>
    <col min="53" max="53" width="9.42578125" customWidth="1"/>
    <col min="54" max="54" width="11.140625" customWidth="1"/>
    <col min="55" max="56" width="9.85546875" customWidth="1"/>
    <col min="57" max="57" width="2" customWidth="1"/>
    <col min="60" max="60" width="2.140625" customWidth="1"/>
    <col min="61" max="61" width="9" customWidth="1"/>
    <col min="62" max="63" width="8.140625" customWidth="1"/>
    <col min="64" max="64" width="8.7109375" customWidth="1"/>
    <col min="65" max="65" width="7.5703125" customWidth="1"/>
    <col min="66" max="66" width="10.5703125" customWidth="1"/>
    <col min="67" max="67" width="8.7109375" customWidth="1"/>
    <col min="68" max="69" width="10.28515625" customWidth="1"/>
    <col min="70" max="71" width="10.5703125" customWidth="1"/>
    <col min="72" max="72" width="8.7109375" customWidth="1"/>
    <col min="74" max="74" width="9.85546875" customWidth="1"/>
    <col min="75" max="75" width="11.5703125" customWidth="1"/>
    <col min="76" max="76" width="12.140625" customWidth="1"/>
    <col min="77" max="77" width="9.140625" customWidth="1"/>
    <col min="79" max="79" width="7.7109375" customWidth="1"/>
    <col min="80" max="80" width="10.42578125" customWidth="1"/>
    <col min="81" max="81" width="12.42578125" bestFit="1" customWidth="1"/>
    <col min="82" max="82" width="4.5703125" customWidth="1"/>
    <col min="83" max="83" width="5" customWidth="1"/>
    <col min="84" max="84" width="9.5703125" customWidth="1"/>
  </cols>
  <sheetData>
    <row r="1" spans="2:85" x14ac:dyDescent="0.2">
      <c r="B1" s="456" t="s">
        <v>530</v>
      </c>
      <c r="M1">
        <f>Vfwd2</f>
        <v>0.3</v>
      </c>
      <c r="BC1">
        <f>Ltc</f>
        <v>4.0000000000000001E-3</v>
      </c>
      <c r="BU1">
        <f>Ta</f>
        <v>55</v>
      </c>
    </row>
    <row r="2" spans="2:85" ht="13.5" thickBot="1" x14ac:dyDescent="0.25">
      <c r="M2">
        <f>Vfwd1</f>
        <v>0.25</v>
      </c>
      <c r="U2">
        <f>Isw_max</f>
        <v>0.75</v>
      </c>
    </row>
    <row r="3" spans="2:85" x14ac:dyDescent="0.2">
      <c r="E3" s="226" t="s">
        <v>433</v>
      </c>
      <c r="F3" s="558"/>
      <c r="G3" s="558"/>
      <c r="H3" s="558"/>
      <c r="I3" s="227"/>
      <c r="J3" s="228"/>
      <c r="K3" s="542"/>
      <c r="L3" s="542"/>
      <c r="M3" s="693" t="s">
        <v>190</v>
      </c>
      <c r="N3" s="694"/>
      <c r="O3" s="695"/>
      <c r="P3" s="693"/>
      <c r="Q3" s="693"/>
      <c r="R3" s="695"/>
      <c r="S3" s="695"/>
      <c r="T3" s="695"/>
      <c r="U3" s="693"/>
      <c r="V3" s="694"/>
      <c r="W3" s="694"/>
      <c r="X3" s="693"/>
      <c r="Y3" s="694"/>
      <c r="Z3" s="693"/>
      <c r="AA3" s="696"/>
      <c r="AB3" s="551"/>
      <c r="AC3" s="551"/>
      <c r="AD3" s="551"/>
      <c r="AE3" s="551"/>
      <c r="AF3" s="551"/>
      <c r="AG3" s="551"/>
      <c r="AH3" s="551"/>
      <c r="AI3" s="551"/>
      <c r="AJ3" s="551"/>
      <c r="AK3" s="551"/>
      <c r="AL3" s="551"/>
      <c r="AM3" s="551"/>
      <c r="AN3" s="551"/>
      <c r="AO3" s="551"/>
      <c r="AP3" s="551"/>
      <c r="AQ3" s="551"/>
      <c r="AR3" s="551"/>
      <c r="AS3" s="551" t="s">
        <v>472</v>
      </c>
      <c r="AT3" s="551"/>
      <c r="AU3" s="551"/>
      <c r="AV3" s="551"/>
      <c r="AW3" s="551"/>
      <c r="AX3" s="551"/>
      <c r="AY3" s="551"/>
      <c r="AZ3" s="551"/>
      <c r="BA3" s="551" t="s">
        <v>482</v>
      </c>
      <c r="BB3" s="551"/>
      <c r="BC3" s="551"/>
      <c r="BD3" s="551"/>
      <c r="BE3" s="551"/>
      <c r="BF3" s="577" t="s">
        <v>483</v>
      </c>
      <c r="BG3" s="551"/>
      <c r="BH3" s="551"/>
      <c r="BI3" s="577" t="s">
        <v>506</v>
      </c>
      <c r="BJ3" s="551"/>
      <c r="BK3" s="551"/>
      <c r="BL3" s="551"/>
      <c r="BM3" s="551"/>
      <c r="BN3" s="551"/>
      <c r="BO3" s="551"/>
      <c r="BP3" s="577" t="s">
        <v>502</v>
      </c>
      <c r="BQ3" s="551"/>
      <c r="BR3" s="551"/>
      <c r="BS3" s="551"/>
      <c r="BT3" s="578" t="s">
        <v>503</v>
      </c>
      <c r="BU3" s="551"/>
      <c r="BV3" s="551"/>
      <c r="BW3" s="551"/>
      <c r="BX3" s="551"/>
      <c r="BY3" s="551"/>
      <c r="BZ3" s="577"/>
      <c r="CA3" s="551"/>
      <c r="CB3" s="551"/>
      <c r="CC3" s="551"/>
      <c r="CD3" s="551"/>
    </row>
    <row r="4" spans="2:85" ht="45" customHeight="1" thickBot="1" x14ac:dyDescent="0.25">
      <c r="E4" s="247" t="s">
        <v>25</v>
      </c>
      <c r="F4" s="455" t="s">
        <v>195</v>
      </c>
      <c r="G4" s="266"/>
      <c r="H4" s="545" t="s">
        <v>224</v>
      </c>
      <c r="I4" s="248" t="s">
        <v>424</v>
      </c>
      <c r="J4" s="249" t="s">
        <v>430</v>
      </c>
      <c r="K4" s="545" t="s">
        <v>425</v>
      </c>
      <c r="L4" s="545"/>
      <c r="M4" s="250" t="s">
        <v>48</v>
      </c>
      <c r="N4" s="545" t="s">
        <v>414</v>
      </c>
      <c r="O4" s="545" t="s">
        <v>682</v>
      </c>
      <c r="P4" s="545" t="s">
        <v>415</v>
      </c>
      <c r="Q4" s="545" t="s">
        <v>445</v>
      </c>
      <c r="R4" s="545" t="s">
        <v>680</v>
      </c>
      <c r="S4" s="545" t="s">
        <v>683</v>
      </c>
      <c r="T4" s="545" t="s">
        <v>681</v>
      </c>
      <c r="U4" s="545" t="s">
        <v>426</v>
      </c>
      <c r="V4" s="545" t="s">
        <v>478</v>
      </c>
      <c r="W4" s="545" t="s">
        <v>477</v>
      </c>
      <c r="X4" s="565" t="s">
        <v>432</v>
      </c>
      <c r="Y4" s="560" t="s">
        <v>437</v>
      </c>
      <c r="AA4" s="251" t="s">
        <v>429</v>
      </c>
      <c r="AB4" s="251" t="s">
        <v>476</v>
      </c>
      <c r="AC4" s="251" t="s">
        <v>435</v>
      </c>
      <c r="AD4" s="562"/>
      <c r="AE4" s="251" t="s">
        <v>475</v>
      </c>
      <c r="AF4" s="251" t="s">
        <v>438</v>
      </c>
      <c r="AG4" s="251" t="s">
        <v>439</v>
      </c>
      <c r="AH4" s="562"/>
      <c r="AI4" s="251" t="s">
        <v>441</v>
      </c>
      <c r="AJ4" s="566" t="s">
        <v>442</v>
      </c>
      <c r="AK4" s="566" t="s">
        <v>443</v>
      </c>
      <c r="AM4" s="561" t="s">
        <v>276</v>
      </c>
      <c r="AN4" s="561" t="s">
        <v>444</v>
      </c>
      <c r="AP4" s="251" t="s">
        <v>276</v>
      </c>
      <c r="AQ4" s="251" t="s">
        <v>444</v>
      </c>
      <c r="AR4" s="567"/>
      <c r="AS4" s="251" t="s">
        <v>479</v>
      </c>
      <c r="AT4" s="251" t="s">
        <v>473</v>
      </c>
      <c r="AU4" s="251" t="s">
        <v>474</v>
      </c>
      <c r="AV4" s="251" t="s">
        <v>679</v>
      </c>
      <c r="AW4" s="251" t="s">
        <v>48</v>
      </c>
      <c r="AX4" s="567" t="s">
        <v>677</v>
      </c>
      <c r="AY4" s="562" t="s">
        <v>676</v>
      </c>
      <c r="AZ4" s="562" t="s">
        <v>678</v>
      </c>
      <c r="BA4" s="251" t="s">
        <v>494</v>
      </c>
      <c r="BB4" s="251" t="s">
        <v>709</v>
      </c>
      <c r="BC4" s="251" t="s">
        <v>529</v>
      </c>
      <c r="BD4" s="251" t="s">
        <v>710</v>
      </c>
      <c r="BE4" s="562"/>
      <c r="BF4" s="576" t="s">
        <v>468</v>
      </c>
      <c r="BG4" s="251" t="s">
        <v>469</v>
      </c>
      <c r="BH4" s="562"/>
      <c r="BI4" s="576" t="s">
        <v>486</v>
      </c>
      <c r="BJ4" s="251" t="s">
        <v>487</v>
      </c>
      <c r="BK4" s="251" t="s">
        <v>485</v>
      </c>
      <c r="BL4" s="251" t="s">
        <v>481</v>
      </c>
      <c r="BM4" s="251" t="s">
        <v>490</v>
      </c>
      <c r="BN4" s="251" t="s">
        <v>697</v>
      </c>
      <c r="BO4" s="251" t="s">
        <v>504</v>
      </c>
      <c r="BP4" s="576" t="s">
        <v>488</v>
      </c>
      <c r="BQ4" s="251" t="s">
        <v>489</v>
      </c>
      <c r="BR4" s="251" t="s">
        <v>496</v>
      </c>
      <c r="BS4" s="251" t="s">
        <v>500</v>
      </c>
      <c r="BT4" s="576" t="s">
        <v>470</v>
      </c>
      <c r="BU4" s="251" t="s">
        <v>471</v>
      </c>
      <c r="BV4" s="251" t="s">
        <v>480</v>
      </c>
      <c r="BW4" s="251" t="s">
        <v>695</v>
      </c>
      <c r="BX4" s="251" t="s">
        <v>497</v>
      </c>
      <c r="BY4" s="251" t="s">
        <v>696</v>
      </c>
      <c r="BZ4" s="576" t="s">
        <v>495</v>
      </c>
      <c r="CA4" s="251" t="s">
        <v>224</v>
      </c>
      <c r="CB4" s="251" t="s">
        <v>47</v>
      </c>
      <c r="CC4" s="251" t="s">
        <v>498</v>
      </c>
      <c r="CD4" s="251"/>
      <c r="CF4" s="589" t="s">
        <v>692</v>
      </c>
      <c r="CG4" s="589" t="s">
        <v>693</v>
      </c>
    </row>
    <row r="5" spans="2:85" x14ac:dyDescent="0.2">
      <c r="E5" s="176">
        <v>0.1</v>
      </c>
      <c r="F5" s="223">
        <v>1.0000000000000001E-9</v>
      </c>
      <c r="G5" s="223"/>
      <c r="H5" s="223">
        <f t="shared" ref="H5:H36" si="0">F5*Vout</f>
        <v>5.0000000000000001E-9</v>
      </c>
      <c r="I5" s="559">
        <f t="shared" ref="I5:I36" si="1">Vin</f>
        <v>24</v>
      </c>
      <c r="J5" s="178">
        <f t="shared" ref="J5:J36" si="2">(T5+Vfwd1)*Nps</f>
        <v>15.75</v>
      </c>
      <c r="K5" s="454">
        <f t="shared" ref="K5:K36" si="3">(Vout+Vfwd1)*Nps+I5</f>
        <v>39.75</v>
      </c>
      <c r="L5" s="454"/>
      <c r="M5" s="223">
        <f t="shared" ref="M5:M36" si="4">(Vout+Vfwd1)*Nps/((Vout+Vfwd1)*Nps+I5)</f>
        <v>0.39622641509433965</v>
      </c>
      <c r="N5" s="178">
        <f t="shared" ref="N5:N68" si="5">M5*I5*Isw_max*0.5*Efficiency</f>
        <v>3.2094339622641508</v>
      </c>
      <c r="O5" s="178">
        <f>T5*F5</f>
        <v>5.0000000000000001E-9</v>
      </c>
      <c r="P5" s="223">
        <f t="shared" ref="P5:P36" si="6">N5/Vout</f>
        <v>0.6418867924528302</v>
      </c>
      <c r="Q5" s="223">
        <f t="shared" ref="Q5:Q36" si="7">MIN(Vout,N5/F5)</f>
        <v>5</v>
      </c>
      <c r="R5" s="223">
        <f t="shared" ref="R5:R36" si="8">Isw_max/2*I5*Nps*(Q5+Vfwd1)/Q5/(I5+Nps*(Q5+Vfwd1))</f>
        <v>0.71320754716981138</v>
      </c>
      <c r="S5" s="178">
        <f t="shared" ref="S5:S36" si="9">(SQRT(Isw_max^2*Nps^2*I5^2+4*Isw_max*F5/Efficiency*(Nps^2*Vfwd1*I5-Nps*I5^2)+4*(F5/Efficiency)^2*Nps^2*Vfwd1^2+8*(F5/Efficiency)^2*Nps*Vfwd1*I5+4*(F5/Efficiency)^2*I5^2)-2*F5/Efficiency*I5-2*F5/Efficiency*Nps*Vfwd1+Isw_max*Nps*I5)/(4*F5/Efficiency*Nps)</f>
        <v>8099999992</v>
      </c>
      <c r="T5" s="178">
        <f t="shared" ref="T5:T36" si="10">MIN(Vout, S5)</f>
        <v>5</v>
      </c>
      <c r="U5" s="223">
        <f t="shared" ref="U5:U36" si="11">MIN(2*Vout*F5/(Efficiency*I5*M5), Isw_max)</f>
        <v>1.1684303350970016E-9</v>
      </c>
      <c r="V5" s="223">
        <f t="shared" ref="V5:V36" si="12">L*U5/I5*1000000</f>
        <v>2.1421222810111694E-9</v>
      </c>
      <c r="W5" s="223">
        <f t="shared" ref="W5:W36" si="13">L*U5/J5*1000000</f>
        <v>3.264186332969401E-9</v>
      </c>
      <c r="X5" s="203">
        <f t="shared" ref="X5:X36" si="14">IF(1/((350000*L)*(1/I5+1/J5))&gt;Isw_min, 350, 0.001/((Isw_min*L)*(1/I5+1/J5)))</f>
        <v>350</v>
      </c>
      <c r="Y5" s="454">
        <f>MIN(1/(V5+W5)*1000, 350)</f>
        <v>350</v>
      </c>
      <c r="AA5" s="223">
        <f t="shared" ref="AA5:AA36" si="15">1/((X5*1000*L)*(1/I5+1/J5))</f>
        <v>0.61749571183533458</v>
      </c>
      <c r="AB5" s="179">
        <f t="shared" ref="AB5:AB36" si="16">L*AA5/J5*1000000</f>
        <v>1.7250673854447443</v>
      </c>
      <c r="AC5" s="179">
        <f t="shared" ref="AC5:AC36" si="17">0.5*AB5*AA5*Nps*X5/1000</f>
        <v>0.55924139939803896</v>
      </c>
      <c r="AD5" s="179"/>
      <c r="AE5" s="179">
        <f t="shared" ref="AE5:AE36" si="18">L*Isw_min/J5*1000000</f>
        <v>0.419047619047619</v>
      </c>
      <c r="AF5" s="563">
        <f>MAX(10, F5/(0.5*AE5/1000000*Isw_min*Nps)/1000)</f>
        <v>10</v>
      </c>
      <c r="AG5" s="546">
        <f t="shared" ref="AG5:AG36" si="19">0.5*AE5/1000000*Isw_min*Nps*X5*1000</f>
        <v>3.2999999999999995E-2</v>
      </c>
      <c r="AI5" s="179">
        <f t="shared" ref="AI5:AI36" si="20">SQRT(F5/Efficiency/(0.5*L/J5*Fsw_DCM*Nps))</f>
        <v>2.7524094128159012E-5</v>
      </c>
      <c r="AJ5" s="179">
        <f t="shared" ref="AJ5:AJ36" si="21">MAX(IF(F5&gt;AC5,U5,AI5),Isw_min)</f>
        <v>0.15</v>
      </c>
      <c r="AK5" s="179">
        <f t="shared" ref="AK5:AK36" si="22">IF(F5&gt;AG5, (AJ5-Isw_min)/1.08*0.8+1.2, AF5*0.2/350+1)</f>
        <v>1.0057142857142858</v>
      </c>
      <c r="AM5" s="563">
        <f t="shared" ref="AM5:AM36" si="23">F5*1000</f>
        <v>1.0000000000000002E-6</v>
      </c>
      <c r="AN5" s="472">
        <f t="shared" ref="AN5:AN36" si="24">IF(F5&gt;AG5, Y5, AF5)</f>
        <v>10</v>
      </c>
      <c r="AP5">
        <f t="shared" ref="AP5:AP36" si="25">IF(H5&gt;N5, "",AM5)</f>
        <v>1.0000000000000002E-6</v>
      </c>
      <c r="AQ5" s="472">
        <f t="shared" ref="AQ5:AQ36" si="26">IF(H5&gt;N5, "",AN5)</f>
        <v>10</v>
      </c>
      <c r="AR5" s="472"/>
      <c r="AS5" s="6">
        <f>1/AN5*1000</f>
        <v>100</v>
      </c>
      <c r="AT5" s="6">
        <f t="shared" ref="AT5:AT36" si="27">L*AJ5/I5*1000000</f>
        <v>0.27499999999999997</v>
      </c>
      <c r="AU5" s="6">
        <f>AS5-AT5</f>
        <v>99.724999999999994</v>
      </c>
      <c r="AV5" s="6">
        <f t="shared" ref="AV5:AV36" si="28">L*AJ5/J5*1000000</f>
        <v>0.419047619047619</v>
      </c>
      <c r="AW5" s="179">
        <f>AT5/AS5</f>
        <v>2.7499999999999998E-3</v>
      </c>
      <c r="AX5" s="179">
        <f t="shared" ref="AX5:AX36" si="29">0.5*L*AJ5^2*AN5*1000</f>
        <v>4.9499999999999995E-3</v>
      </c>
      <c r="AY5" s="179">
        <f t="shared" ref="AY5:AY36" si="30">AJ5*Nps/2*(1-AW5)</f>
        <v>0.22438124999999998</v>
      </c>
      <c r="AZ5" s="179">
        <f>AX5/AY5</f>
        <v>2.206066683379293E-2</v>
      </c>
      <c r="BA5" s="472">
        <f t="shared" ref="BA5:BA36" si="31">L*Isw_max^2/(2*Vout_ripple*Vout)*1000000000*((1+M5)/2)^2</f>
        <v>24.124421502313997</v>
      </c>
      <c r="BB5" s="472">
        <f t="shared" ref="BB5:BB36" si="32">L*F5^2/(2*Cout*Vout*Nps^2)*1000000000*((1+M5)/(1-M5))^2+F5*RCoutEsr</f>
        <v>3.0000000556257393E-9</v>
      </c>
      <c r="BC5" s="6">
        <f t="shared" ref="BC5:BC36" si="33">H5/Efficiency/I5*AU5/Vinripple1</f>
        <v>1.9237075617283949E-8</v>
      </c>
      <c r="BD5" s="563">
        <f t="shared" ref="BD5:BD36" si="34">((CA5/I5/Efficiency)*AU5/Cin+(BY5/I5/Efficiency)*RCinEsr)*1000</f>
        <v>0.72537118401261624</v>
      </c>
      <c r="BE5" s="6"/>
      <c r="BF5" s="179">
        <f>AJ5*SQRT(AW5/3)</f>
        <v>4.5414755311462378E-3</v>
      </c>
      <c r="BG5" s="179">
        <f t="shared" ref="BG5:BG36" si="35">AJ5*Nps*SQRT((1-AW5)/3)</f>
        <v>0.25945013971859793</v>
      </c>
      <c r="BH5" s="179"/>
      <c r="BI5" s="546">
        <f t="shared" ref="BI5:BI36" si="36">Rdson*BF5^2</f>
        <v>7.218750000000001E-6</v>
      </c>
      <c r="BJ5" s="546">
        <f t="shared" ref="BJ5:BJ36" si="37">0.5*K5*AJ5*AN5*1000*Trise</f>
        <v>4.4718749999999989E-4</v>
      </c>
      <c r="BK5" s="546">
        <f t="shared" ref="BK5:BK36" si="38">Qg*Vdd*AN5*1000</f>
        <v>1.25E-4</v>
      </c>
      <c r="BL5" s="546">
        <f t="shared" ref="BL5:BL36" si="39">0.5*(Coss+Csw)*K5^2*AN5*1000</f>
        <v>7.9003125000000004E-4</v>
      </c>
      <c r="BM5">
        <f t="shared" ref="BM5:BM36" si="40">I5*IQ</f>
        <v>6.96E-3</v>
      </c>
      <c r="BN5" s="546">
        <f t="shared" ref="BN5:BN36" si="41">(BJ5+BK5+BL5+BM5+BI5*(1+RdsonTC*(Ta-25)))/(1-BI5*RdsonTC*ThetaJA)</f>
        <v>8.3304328681357009E-3</v>
      </c>
      <c r="BO5" s="472">
        <f>BN5*1000</f>
        <v>8.3304328681357003</v>
      </c>
      <c r="BP5" s="546">
        <f t="shared" ref="BP5:BP36" si="42">Vfwd2*F5*(1+Diode_TC/1000*(Ta-25))</f>
        <v>2.7299999999999999E-10</v>
      </c>
      <c r="BQ5" s="546"/>
      <c r="BS5" s="472">
        <f>SUM(BP5:BR5)*1000</f>
        <v>2.7299999999999997E-7</v>
      </c>
      <c r="BT5" s="546">
        <f t="shared" ref="BT5:BT36" si="43">Rdcr_pri*BF5^2</f>
        <v>4.1250000000000012E-6</v>
      </c>
      <c r="BU5" s="546">
        <f t="shared" ref="BU5:BU36" si="44">Rdcr_sec*BG5^2</f>
        <v>2.6925749999999991E-3</v>
      </c>
      <c r="BV5" s="546">
        <f t="shared" ref="BV5:BV36" si="45">AJ5^2.5*AN5^2.5*k_core</f>
        <v>1.377837980315539E-7</v>
      </c>
      <c r="BW5" s="546">
        <f t="shared" ref="BW5:BW36" si="46">(BV5+(BT5+BU5)*(1+Ltc*(Ta-25)))/(1-(BT5+BU5)*Ltc*ThetaCa)</f>
        <v>3.0210935424345017E-3</v>
      </c>
      <c r="BX5" s="546">
        <f t="shared" ref="BX5:BX36" si="47">0.5*Lleak*0.000000001*AJ5^2*AN5*1000</f>
        <v>1.1250000000000001E-4</v>
      </c>
      <c r="BY5" s="472">
        <f>1000*(BW5+BX5)</f>
        <v>3.1335935424345021</v>
      </c>
      <c r="BZ5" s="179">
        <f t="shared" ref="BZ5:BZ36" si="48">SUM(BN5,BP5:BR5,BW5, BX5)</f>
        <v>1.1464026683570201E-2</v>
      </c>
      <c r="CA5" s="6">
        <f t="shared" ref="CA5:CA36" si="49">MIN(H5,O5)</f>
        <v>5.0000000000000001E-9</v>
      </c>
      <c r="CB5" s="179">
        <f>CA5/(CA5+BZ5)</f>
        <v>4.3614673598345016E-7</v>
      </c>
      <c r="CC5" s="6">
        <f>CB5*100</f>
        <v>4.3614673598345016E-5</v>
      </c>
      <c r="CF5" s="581">
        <f t="shared" ref="CF5:CF36" si="50">IF(ABS(F5-Ioutmax_Vinnom)&lt;Iout/200, AN5, -50)</f>
        <v>-50</v>
      </c>
      <c r="CG5">
        <f t="shared" ref="CG5:CG36" si="51">IF(ABS(F5-Ioutmax_Vinnom)&lt;Iout/200, N5*CB5, -50)</f>
        <v>-50</v>
      </c>
    </row>
    <row r="6" spans="2:85" x14ac:dyDescent="0.2">
      <c r="E6" s="176">
        <v>1</v>
      </c>
      <c r="F6" s="223">
        <f t="shared" ref="F6:F37" si="52">IF(PLOT_TYPE=1, E6/100*Iout_max, min_I*EXP(N6*rr/100))</f>
        <v>5.0000000000000001E-3</v>
      </c>
      <c r="G6" s="223"/>
      <c r="H6" s="223">
        <f t="shared" si="0"/>
        <v>2.5000000000000001E-2</v>
      </c>
      <c r="I6" s="559">
        <f t="shared" si="1"/>
        <v>24</v>
      </c>
      <c r="J6" s="178">
        <f t="shared" si="2"/>
        <v>15.75</v>
      </c>
      <c r="K6" s="454">
        <f t="shared" si="3"/>
        <v>39.75</v>
      </c>
      <c r="L6" s="454"/>
      <c r="M6" s="223">
        <f t="shared" si="4"/>
        <v>0.39622641509433965</v>
      </c>
      <c r="N6" s="178">
        <f t="shared" si="5"/>
        <v>3.2094339622641508</v>
      </c>
      <c r="O6" s="178">
        <f t="shared" ref="O6:O69" si="53">T6*F6</f>
        <v>2.5000000000000001E-2</v>
      </c>
      <c r="P6" s="223">
        <f t="shared" si="6"/>
        <v>0.6418867924528302</v>
      </c>
      <c r="Q6" s="223">
        <f t="shared" si="7"/>
        <v>5</v>
      </c>
      <c r="R6" s="223">
        <f t="shared" si="8"/>
        <v>0.71320754716981138</v>
      </c>
      <c r="S6" s="178">
        <f t="shared" si="9"/>
        <v>1612.0012405014488</v>
      </c>
      <c r="T6" s="178">
        <f t="shared" si="10"/>
        <v>5</v>
      </c>
      <c r="U6" s="223">
        <f t="shared" si="11"/>
        <v>5.8421516754850085E-3</v>
      </c>
      <c r="V6" s="223">
        <f t="shared" si="12"/>
        <v>1.0710611405055848E-2</v>
      </c>
      <c r="W6" s="223">
        <f t="shared" si="13"/>
        <v>1.6320931664847004E-2</v>
      </c>
      <c r="X6" s="203">
        <f t="shared" si="14"/>
        <v>350</v>
      </c>
      <c r="Y6" s="454">
        <f t="shared" ref="Y6:Y69" si="54">MIN(1/(V6+W6)*1000, 350)</f>
        <v>350</v>
      </c>
      <c r="AA6" s="223">
        <f t="shared" si="15"/>
        <v>0.61749571183533458</v>
      </c>
      <c r="AB6" s="179">
        <f t="shared" si="16"/>
        <v>1.7250673854447443</v>
      </c>
      <c r="AC6" s="179">
        <f t="shared" si="17"/>
        <v>0.55924139939803896</v>
      </c>
      <c r="AD6" s="179"/>
      <c r="AE6" s="179">
        <f t="shared" si="18"/>
        <v>0.419047619047619</v>
      </c>
      <c r="AF6" s="563">
        <f>MAX(10, F6/(0.5*AE6/1000000*Isw_min*Nps)/1000)</f>
        <v>53.030303030303038</v>
      </c>
      <c r="AG6" s="546">
        <f t="shared" si="19"/>
        <v>3.2999999999999995E-2</v>
      </c>
      <c r="AI6" s="179">
        <f t="shared" si="20"/>
        <v>6.1545745489666362E-2</v>
      </c>
      <c r="AJ6" s="179">
        <f t="shared" si="21"/>
        <v>0.15</v>
      </c>
      <c r="AK6" s="179">
        <f t="shared" si="22"/>
        <v>1.0303030303030303</v>
      </c>
      <c r="AM6" s="563">
        <f t="shared" si="23"/>
        <v>5</v>
      </c>
      <c r="AN6" s="472">
        <f t="shared" si="24"/>
        <v>53.030303030303038</v>
      </c>
      <c r="AP6">
        <f t="shared" si="25"/>
        <v>5</v>
      </c>
      <c r="AQ6" s="472">
        <f t="shared" si="26"/>
        <v>53.030303030303038</v>
      </c>
      <c r="AR6" s="472"/>
      <c r="AS6" s="6">
        <f t="shared" ref="AS6:AS69" si="55">1/AN6*1000</f>
        <v>18.857142857142854</v>
      </c>
      <c r="AT6" s="6">
        <f t="shared" si="27"/>
        <v>0.27499999999999997</v>
      </c>
      <c r="AU6" s="6">
        <f t="shared" ref="AU6:AU69" si="56">AS6-AT6</f>
        <v>18.582142857142856</v>
      </c>
      <c r="AV6" s="6">
        <f t="shared" si="28"/>
        <v>0.419047619047619</v>
      </c>
      <c r="AW6" s="179">
        <f t="shared" ref="AW6:AW69" si="57">AT6/AS6</f>
        <v>1.4583333333333334E-2</v>
      </c>
      <c r="AX6" s="179">
        <f t="shared" si="29"/>
        <v>2.6250000000000002E-2</v>
      </c>
      <c r="AY6" s="179">
        <f t="shared" si="30"/>
        <v>0.22171874999999999</v>
      </c>
      <c r="AZ6" s="179">
        <f t="shared" ref="AZ6:AZ69" si="58">AX6/AY6</f>
        <v>0.11839323467230446</v>
      </c>
      <c r="BA6" s="472">
        <f t="shared" si="31"/>
        <v>24.124421502313997</v>
      </c>
      <c r="BB6" s="472">
        <f t="shared" si="32"/>
        <v>1.6390643469267139E-2</v>
      </c>
      <c r="BC6" s="6">
        <f t="shared" si="33"/>
        <v>1.7922591490299823E-2</v>
      </c>
      <c r="BD6" s="563">
        <f t="shared" si="34"/>
        <v>2.9864889085283437</v>
      </c>
      <c r="BE6" s="6"/>
      <c r="BF6" s="179">
        <f t="shared" ref="BF6:BF69" si="59">AJ6*SQRT(AW6/3)</f>
        <v>1.0458250331675944E-2</v>
      </c>
      <c r="BG6" s="179">
        <f t="shared" si="35"/>
        <v>0.25790623296074094</v>
      </c>
      <c r="BH6" s="179"/>
      <c r="BI6" s="546">
        <f t="shared" si="36"/>
        <v>3.8281249999999999E-5</v>
      </c>
      <c r="BJ6" s="546">
        <f t="shared" si="37"/>
        <v>2.3714488636363633E-3</v>
      </c>
      <c r="BK6" s="546">
        <f t="shared" si="38"/>
        <v>6.6287878787878792E-4</v>
      </c>
      <c r="BL6" s="546">
        <f t="shared" si="39"/>
        <v>4.1895596590909093E-3</v>
      </c>
      <c r="BM6">
        <f t="shared" si="40"/>
        <v>6.96E-3</v>
      </c>
      <c r="BN6" s="546">
        <f t="shared" si="41"/>
        <v>1.4227525249697821E-2</v>
      </c>
      <c r="BO6" s="472">
        <f t="shared" ref="BO6:BO69" si="60">BN6*1000</f>
        <v>14.227525249697822</v>
      </c>
      <c r="BP6" s="546">
        <f t="shared" si="42"/>
        <v>1.3650000000000001E-3</v>
      </c>
      <c r="BQ6" s="546"/>
      <c r="BS6" s="472">
        <f t="shared" ref="BS6:BS69" si="61">SUM(BP6:BR6)*1000</f>
        <v>1.3650000000000002</v>
      </c>
      <c r="BT6" s="546">
        <f t="shared" si="43"/>
        <v>2.1875000000000003E-5</v>
      </c>
      <c r="BU6" s="546">
        <f t="shared" si="44"/>
        <v>2.6606249999999994E-3</v>
      </c>
      <c r="BV6" s="546">
        <f t="shared" si="45"/>
        <v>8.9229492723626459E-6</v>
      </c>
      <c r="BW6" s="546">
        <f t="shared" si="46"/>
        <v>3.0139697471801073E-3</v>
      </c>
      <c r="BX6" s="546">
        <f t="shared" si="47"/>
        <v>5.9659090909090925E-4</v>
      </c>
      <c r="BY6" s="472">
        <f t="shared" ref="BY6:BY69" si="62">1000*(BW6+BX6)</f>
        <v>3.6105606562710162</v>
      </c>
      <c r="BZ6" s="179">
        <f t="shared" si="48"/>
        <v>1.9203085905968836E-2</v>
      </c>
      <c r="CA6" s="6">
        <f t="shared" si="49"/>
        <v>2.5000000000000001E-2</v>
      </c>
      <c r="CB6" s="179">
        <f t="shared" ref="CB6:CB69" si="63">CA6/(CA6+BZ6)</f>
        <v>0.5655713733014327</v>
      </c>
      <c r="CC6" s="6">
        <f t="shared" ref="CC6:CC69" si="64">CB6*100</f>
        <v>56.55713733014327</v>
      </c>
      <c r="CF6" s="581">
        <f t="shared" si="50"/>
        <v>-50</v>
      </c>
      <c r="CG6">
        <f t="shared" si="51"/>
        <v>-50</v>
      </c>
    </row>
    <row r="7" spans="2:85" x14ac:dyDescent="0.2">
      <c r="E7" s="176">
        <v>2</v>
      </c>
      <c r="F7" s="223">
        <f t="shared" si="52"/>
        <v>0.01</v>
      </c>
      <c r="G7" s="223"/>
      <c r="H7" s="223">
        <f t="shared" si="0"/>
        <v>0.05</v>
      </c>
      <c r="I7" s="559">
        <f t="shared" si="1"/>
        <v>24</v>
      </c>
      <c r="J7" s="178">
        <f t="shared" si="2"/>
        <v>15.75</v>
      </c>
      <c r="K7" s="454">
        <f t="shared" si="3"/>
        <v>39.75</v>
      </c>
      <c r="L7" s="454"/>
      <c r="M7" s="223">
        <f t="shared" si="4"/>
        <v>0.39622641509433965</v>
      </c>
      <c r="N7" s="178">
        <f t="shared" si="5"/>
        <v>3.2094339622641508</v>
      </c>
      <c r="O7" s="178">
        <f t="shared" si="53"/>
        <v>0.05</v>
      </c>
      <c r="P7" s="223">
        <f t="shared" si="6"/>
        <v>0.6418867924528302</v>
      </c>
      <c r="Q7" s="223">
        <f t="shared" si="7"/>
        <v>5</v>
      </c>
      <c r="R7" s="223">
        <f t="shared" si="8"/>
        <v>0.71320754716981138</v>
      </c>
      <c r="S7" s="178">
        <f t="shared" si="9"/>
        <v>802.00249298072299</v>
      </c>
      <c r="T7" s="178">
        <f t="shared" si="10"/>
        <v>5</v>
      </c>
      <c r="U7" s="223">
        <f t="shared" si="11"/>
        <v>1.1684303350970017E-2</v>
      </c>
      <c r="V7" s="223">
        <f t="shared" si="12"/>
        <v>2.1421222810111697E-2</v>
      </c>
      <c r="W7" s="223">
        <f t="shared" si="13"/>
        <v>3.2641863329694008E-2</v>
      </c>
      <c r="X7" s="203">
        <f t="shared" si="14"/>
        <v>350</v>
      </c>
      <c r="Y7" s="454">
        <f t="shared" si="54"/>
        <v>350</v>
      </c>
      <c r="AA7" s="223">
        <f t="shared" si="15"/>
        <v>0.61749571183533458</v>
      </c>
      <c r="AB7" s="179">
        <f t="shared" si="16"/>
        <v>1.7250673854447443</v>
      </c>
      <c r="AC7" s="179">
        <f t="shared" si="17"/>
        <v>0.55924139939803896</v>
      </c>
      <c r="AD7" s="179"/>
      <c r="AE7" s="179">
        <f t="shared" si="18"/>
        <v>0.419047619047619</v>
      </c>
      <c r="AF7" s="563">
        <f>MAX(10, F7/(0.5*AE7/1000000*Isw_min*Nps)/1000)</f>
        <v>106.06060606060608</v>
      </c>
      <c r="AG7" s="546">
        <f t="shared" si="19"/>
        <v>3.2999999999999995E-2</v>
      </c>
      <c r="AI7" s="179">
        <f t="shared" si="20"/>
        <v>8.7038827977848912E-2</v>
      </c>
      <c r="AJ7" s="179">
        <f t="shared" si="21"/>
        <v>0.15</v>
      </c>
      <c r="AK7" s="179">
        <f t="shared" si="22"/>
        <v>1.0606060606060606</v>
      </c>
      <c r="AM7" s="563">
        <f t="shared" si="23"/>
        <v>10</v>
      </c>
      <c r="AN7" s="472">
        <f t="shared" si="24"/>
        <v>106.06060606060608</v>
      </c>
      <c r="AP7">
        <f t="shared" si="25"/>
        <v>10</v>
      </c>
      <c r="AQ7" s="472">
        <f t="shared" si="26"/>
        <v>106.06060606060608</v>
      </c>
      <c r="AR7" s="472"/>
      <c r="AS7" s="6">
        <f t="shared" si="55"/>
        <v>9.428571428571427</v>
      </c>
      <c r="AT7" s="6">
        <f t="shared" si="27"/>
        <v>0.27499999999999997</v>
      </c>
      <c r="AU7" s="6">
        <f t="shared" si="56"/>
        <v>9.1535714285714267</v>
      </c>
      <c r="AV7" s="6">
        <f t="shared" si="28"/>
        <v>0.419047619047619</v>
      </c>
      <c r="AW7" s="179">
        <f t="shared" si="57"/>
        <v>2.9166666666666667E-2</v>
      </c>
      <c r="AX7" s="179">
        <f t="shared" si="29"/>
        <v>5.2500000000000005E-2</v>
      </c>
      <c r="AY7" s="179">
        <f t="shared" si="30"/>
        <v>0.21843749999999998</v>
      </c>
      <c r="AZ7" s="179">
        <f t="shared" si="58"/>
        <v>0.24034334763948503</v>
      </c>
      <c r="BA7" s="472">
        <f t="shared" si="31"/>
        <v>24.124421502313997</v>
      </c>
      <c r="BB7" s="472">
        <f t="shared" si="32"/>
        <v>3.5562573877068557E-2</v>
      </c>
      <c r="BC7" s="6">
        <f t="shared" si="33"/>
        <v>1.7657352292768956E-2</v>
      </c>
      <c r="BD7" s="563">
        <f t="shared" si="34"/>
        <v>3.0978417428388343</v>
      </c>
      <c r="BE7" s="6"/>
      <c r="BF7" s="179">
        <f t="shared" si="59"/>
        <v>1.479019945774904E-2</v>
      </c>
      <c r="BG7" s="179">
        <f t="shared" si="35"/>
        <v>0.2559907224881402</v>
      </c>
      <c r="BH7" s="179"/>
      <c r="BI7" s="546">
        <f t="shared" si="36"/>
        <v>7.6562499999999998E-5</v>
      </c>
      <c r="BJ7" s="546">
        <f t="shared" si="37"/>
        <v>4.7428977272727267E-3</v>
      </c>
      <c r="BK7" s="546">
        <f t="shared" si="38"/>
        <v>1.3257575757575758E-3</v>
      </c>
      <c r="BL7" s="546">
        <f t="shared" si="39"/>
        <v>8.3791193181818185E-3</v>
      </c>
      <c r="BM7">
        <f t="shared" si="40"/>
        <v>6.96E-3</v>
      </c>
      <c r="BN7" s="546">
        <f t="shared" si="41"/>
        <v>2.1495243304006553E-2</v>
      </c>
      <c r="BO7" s="472">
        <f t="shared" si="60"/>
        <v>21.495243304006554</v>
      </c>
      <c r="BP7" s="546">
        <f t="shared" si="42"/>
        <v>2.7300000000000002E-3</v>
      </c>
      <c r="BQ7" s="546"/>
      <c r="BS7" s="472">
        <f t="shared" si="61"/>
        <v>2.7300000000000004</v>
      </c>
      <c r="BT7" s="546">
        <f t="shared" si="43"/>
        <v>4.3750000000000006E-5</v>
      </c>
      <c r="BU7" s="546">
        <f t="shared" si="44"/>
        <v>2.6212500000000007E-3</v>
      </c>
      <c r="BV7" s="546">
        <f t="shared" si="45"/>
        <v>5.0475823509369631E-5</v>
      </c>
      <c r="BW7" s="546">
        <f t="shared" si="46"/>
        <v>3.0359230823105193E-3</v>
      </c>
      <c r="BX7" s="546">
        <f t="shared" si="47"/>
        <v>1.1931818181818185E-3</v>
      </c>
      <c r="BY7" s="472">
        <f t="shared" si="62"/>
        <v>4.229104900492338</v>
      </c>
      <c r="BZ7" s="179">
        <f t="shared" si="48"/>
        <v>2.8454348204498891E-2</v>
      </c>
      <c r="CA7" s="6">
        <f t="shared" si="49"/>
        <v>0.05</v>
      </c>
      <c r="CB7" s="179">
        <f t="shared" si="63"/>
        <v>0.63731330569046518</v>
      </c>
      <c r="CC7" s="6">
        <f t="shared" si="64"/>
        <v>63.73133056904652</v>
      </c>
      <c r="CF7" s="581">
        <f t="shared" si="50"/>
        <v>-50</v>
      </c>
      <c r="CG7">
        <f t="shared" si="51"/>
        <v>-50</v>
      </c>
    </row>
    <row r="8" spans="2:85" x14ac:dyDescent="0.2">
      <c r="E8" s="176">
        <v>3</v>
      </c>
      <c r="F8" s="223">
        <f t="shared" si="52"/>
        <v>1.4999999999999999E-2</v>
      </c>
      <c r="G8" s="223"/>
      <c r="H8" s="223">
        <f t="shared" si="0"/>
        <v>7.4999999999999997E-2</v>
      </c>
      <c r="I8" s="559">
        <f t="shared" si="1"/>
        <v>24</v>
      </c>
      <c r="J8" s="178">
        <f t="shared" si="2"/>
        <v>15.75</v>
      </c>
      <c r="K8" s="454">
        <f t="shared" si="3"/>
        <v>39.75</v>
      </c>
      <c r="L8" s="454"/>
      <c r="M8" s="223">
        <f t="shared" si="4"/>
        <v>0.39622641509433965</v>
      </c>
      <c r="N8" s="178">
        <f t="shared" si="5"/>
        <v>3.2094339622641508</v>
      </c>
      <c r="O8" s="178">
        <f t="shared" si="53"/>
        <v>7.4999999999999997E-2</v>
      </c>
      <c r="P8" s="223">
        <f t="shared" si="6"/>
        <v>0.6418867924528302</v>
      </c>
      <c r="Q8" s="223">
        <f t="shared" si="7"/>
        <v>5</v>
      </c>
      <c r="R8" s="223">
        <f t="shared" si="8"/>
        <v>0.71320754716981138</v>
      </c>
      <c r="S8" s="178">
        <f t="shared" si="9"/>
        <v>532.00375760616316</v>
      </c>
      <c r="T8" s="178">
        <f t="shared" si="10"/>
        <v>5</v>
      </c>
      <c r="U8" s="223">
        <f t="shared" si="11"/>
        <v>1.7526455026455025E-2</v>
      </c>
      <c r="V8" s="223">
        <f t="shared" si="12"/>
        <v>3.2131834215167542E-2</v>
      </c>
      <c r="W8" s="223">
        <f t="shared" si="13"/>
        <v>4.8962794994541023E-2</v>
      </c>
      <c r="X8" s="203">
        <f t="shared" si="14"/>
        <v>350</v>
      </c>
      <c r="Y8" s="454">
        <f t="shared" si="54"/>
        <v>350</v>
      </c>
      <c r="AA8" s="223">
        <f t="shared" si="15"/>
        <v>0.61749571183533458</v>
      </c>
      <c r="AB8" s="179">
        <f t="shared" si="16"/>
        <v>1.7250673854447443</v>
      </c>
      <c r="AC8" s="179">
        <f t="shared" si="17"/>
        <v>0.55924139939803896</v>
      </c>
      <c r="AD8" s="179"/>
      <c r="AE8" s="179">
        <f t="shared" si="18"/>
        <v>0.419047619047619</v>
      </c>
      <c r="AF8" s="563">
        <f t="shared" ref="AF8:AF39" si="65">MAX(10000,F8/(0.5*AE8/1000000*Isw_min*Nps))/1000</f>
        <v>159.09090909090912</v>
      </c>
      <c r="AG8" s="546">
        <f t="shared" si="19"/>
        <v>3.2999999999999995E-2</v>
      </c>
      <c r="AI8" s="179">
        <f t="shared" si="20"/>
        <v>0.10660035817780521</v>
      </c>
      <c r="AJ8" s="179">
        <f t="shared" si="21"/>
        <v>0.15</v>
      </c>
      <c r="AK8" s="179">
        <f t="shared" si="22"/>
        <v>1.0909090909090908</v>
      </c>
      <c r="AM8" s="563">
        <f t="shared" si="23"/>
        <v>15</v>
      </c>
      <c r="AN8" s="472">
        <f t="shared" si="24"/>
        <v>159.09090909090912</v>
      </c>
      <c r="AP8">
        <f t="shared" si="25"/>
        <v>15</v>
      </c>
      <c r="AQ8" s="472">
        <f t="shared" si="26"/>
        <v>159.09090909090912</v>
      </c>
      <c r="AR8" s="472"/>
      <c r="AS8" s="6">
        <f t="shared" si="55"/>
        <v>6.2857142857142838</v>
      </c>
      <c r="AT8" s="6">
        <f t="shared" si="27"/>
        <v>0.27499999999999997</v>
      </c>
      <c r="AU8" s="6">
        <f t="shared" si="56"/>
        <v>6.0107142857142835</v>
      </c>
      <c r="AV8" s="6">
        <f t="shared" si="28"/>
        <v>0.419047619047619</v>
      </c>
      <c r="AW8" s="179">
        <f t="shared" si="57"/>
        <v>4.3750000000000011E-2</v>
      </c>
      <c r="AX8" s="179">
        <f t="shared" si="29"/>
        <v>7.8750000000000001E-2</v>
      </c>
      <c r="AY8" s="179">
        <f t="shared" si="30"/>
        <v>0.21515624999999999</v>
      </c>
      <c r="AZ8" s="179">
        <f t="shared" si="58"/>
        <v>0.36601307189542487</v>
      </c>
      <c r="BA8" s="472">
        <f t="shared" si="31"/>
        <v>24.124421502313997</v>
      </c>
      <c r="BB8" s="472">
        <f t="shared" si="32"/>
        <v>5.7515791223404257E-2</v>
      </c>
      <c r="BC8" s="6">
        <f t="shared" si="33"/>
        <v>1.7392113095238085E-2</v>
      </c>
      <c r="BD8" s="563">
        <f t="shared" si="34"/>
        <v>3.2200918514471395</v>
      </c>
      <c r="BE8" s="6"/>
      <c r="BF8" s="179">
        <f t="shared" si="59"/>
        <v>1.8114220932736798E-2</v>
      </c>
      <c r="BG8" s="179">
        <f t="shared" si="35"/>
        <v>0.25406077028931484</v>
      </c>
      <c r="BH8" s="179"/>
      <c r="BI8" s="546">
        <f t="shared" si="36"/>
        <v>1.1484374999999998E-4</v>
      </c>
      <c r="BJ8" s="546">
        <f t="shared" si="37"/>
        <v>7.1143465909090913E-3</v>
      </c>
      <c r="BK8" s="546">
        <f t="shared" si="38"/>
        <v>1.9886363636363639E-3</v>
      </c>
      <c r="BL8" s="546">
        <f t="shared" si="39"/>
        <v>1.256867897727273E-2</v>
      </c>
      <c r="BM8">
        <f t="shared" si="40"/>
        <v>6.96E-3</v>
      </c>
      <c r="BN8" s="546">
        <f t="shared" si="41"/>
        <v>2.8763154170598857E-2</v>
      </c>
      <c r="BO8" s="472">
        <f t="shared" si="60"/>
        <v>28.763154170598856</v>
      </c>
      <c r="BP8" s="546">
        <f t="shared" si="42"/>
        <v>4.0949999999999997E-3</v>
      </c>
      <c r="BQ8" s="546"/>
      <c r="BS8" s="472">
        <f t="shared" si="61"/>
        <v>4.0949999999999998</v>
      </c>
      <c r="BT8" s="546">
        <f t="shared" si="43"/>
        <v>6.5624999999999996E-5</v>
      </c>
      <c r="BU8" s="546">
        <f t="shared" si="44"/>
        <v>2.5818750000000004E-3</v>
      </c>
      <c r="BV8" s="546">
        <f t="shared" si="45"/>
        <v>1.390950134378268E-4</v>
      </c>
      <c r="BW8" s="546">
        <f t="shared" si="46"/>
        <v>3.1049526424074894E-3</v>
      </c>
      <c r="BX8" s="546">
        <f t="shared" si="47"/>
        <v>1.789772727272728E-3</v>
      </c>
      <c r="BY8" s="472">
        <f t="shared" si="62"/>
        <v>4.8947253696802182</v>
      </c>
      <c r="BZ8" s="179">
        <f t="shared" si="48"/>
        <v>3.7752879540279075E-2</v>
      </c>
      <c r="CA8" s="6">
        <f t="shared" si="49"/>
        <v>7.4999999999999997E-2</v>
      </c>
      <c r="CB8" s="179">
        <f t="shared" si="63"/>
        <v>0.66517148214567334</v>
      </c>
      <c r="CC8" s="6">
        <f t="shared" si="64"/>
        <v>66.517148214567328</v>
      </c>
      <c r="CF8" s="581">
        <f t="shared" si="50"/>
        <v>-50</v>
      </c>
      <c r="CG8">
        <f t="shared" si="51"/>
        <v>-50</v>
      </c>
    </row>
    <row r="9" spans="2:85" x14ac:dyDescent="0.2">
      <c r="E9" s="176">
        <v>4</v>
      </c>
      <c r="F9" s="223">
        <f t="shared" si="52"/>
        <v>0.02</v>
      </c>
      <c r="G9" s="223"/>
      <c r="H9" s="223">
        <f t="shared" si="0"/>
        <v>0.1</v>
      </c>
      <c r="I9" s="559">
        <f t="shared" si="1"/>
        <v>24</v>
      </c>
      <c r="J9" s="178">
        <f t="shared" si="2"/>
        <v>15.75</v>
      </c>
      <c r="K9" s="454">
        <f t="shared" si="3"/>
        <v>39.75</v>
      </c>
      <c r="L9" s="454"/>
      <c r="M9" s="223">
        <f t="shared" si="4"/>
        <v>0.39622641509433965</v>
      </c>
      <c r="N9" s="178">
        <f t="shared" si="5"/>
        <v>3.2094339622641508</v>
      </c>
      <c r="O9" s="178">
        <f t="shared" si="53"/>
        <v>0.1</v>
      </c>
      <c r="P9" s="223">
        <f t="shared" si="6"/>
        <v>0.6418867924528302</v>
      </c>
      <c r="Q9" s="223">
        <f t="shared" si="7"/>
        <v>5</v>
      </c>
      <c r="R9" s="223">
        <f t="shared" si="8"/>
        <v>0.71320754716981138</v>
      </c>
      <c r="S9" s="178">
        <f t="shared" si="9"/>
        <v>397.00503454915872</v>
      </c>
      <c r="T9" s="178">
        <f t="shared" si="10"/>
        <v>5</v>
      </c>
      <c r="U9" s="223">
        <f t="shared" si="11"/>
        <v>2.3368606701940034E-2</v>
      </c>
      <c r="V9" s="223">
        <f t="shared" si="12"/>
        <v>4.2842445620223393E-2</v>
      </c>
      <c r="W9" s="223">
        <f t="shared" si="13"/>
        <v>6.5283726659388017E-2</v>
      </c>
      <c r="X9" s="203">
        <f t="shared" si="14"/>
        <v>350</v>
      </c>
      <c r="Y9" s="454">
        <f t="shared" si="54"/>
        <v>350</v>
      </c>
      <c r="AA9" s="223">
        <f t="shared" si="15"/>
        <v>0.61749571183533458</v>
      </c>
      <c r="AB9" s="179">
        <f t="shared" si="16"/>
        <v>1.7250673854447443</v>
      </c>
      <c r="AC9" s="179">
        <f t="shared" si="17"/>
        <v>0.55924139939803896</v>
      </c>
      <c r="AD9" s="179"/>
      <c r="AE9" s="179">
        <f t="shared" si="18"/>
        <v>0.419047619047619</v>
      </c>
      <c r="AF9" s="563">
        <f t="shared" si="65"/>
        <v>212.12121212121215</v>
      </c>
      <c r="AG9" s="546">
        <f t="shared" si="19"/>
        <v>3.2999999999999995E-2</v>
      </c>
      <c r="AI9" s="179">
        <f t="shared" si="20"/>
        <v>0.12309149097933272</v>
      </c>
      <c r="AJ9" s="179">
        <f t="shared" si="21"/>
        <v>0.15</v>
      </c>
      <c r="AK9" s="179">
        <f t="shared" si="22"/>
        <v>1.1212121212121213</v>
      </c>
      <c r="AM9" s="563">
        <f t="shared" si="23"/>
        <v>20</v>
      </c>
      <c r="AN9" s="472">
        <f t="shared" si="24"/>
        <v>212.12121212121215</v>
      </c>
      <c r="AP9">
        <f t="shared" si="25"/>
        <v>20</v>
      </c>
      <c r="AQ9" s="472">
        <f t="shared" si="26"/>
        <v>212.12121212121215</v>
      </c>
      <c r="AR9" s="472"/>
      <c r="AS9" s="6">
        <f t="shared" si="55"/>
        <v>4.7142857142857135</v>
      </c>
      <c r="AT9" s="6">
        <f t="shared" si="27"/>
        <v>0.27499999999999997</v>
      </c>
      <c r="AU9" s="6">
        <f t="shared" si="56"/>
        <v>4.4392857142857132</v>
      </c>
      <c r="AV9" s="6">
        <f t="shared" si="28"/>
        <v>0.419047619047619</v>
      </c>
      <c r="AW9" s="179">
        <f t="shared" si="57"/>
        <v>5.8333333333333334E-2</v>
      </c>
      <c r="AX9" s="179">
        <f t="shared" si="29"/>
        <v>0.10500000000000001</v>
      </c>
      <c r="AY9" s="179">
        <f t="shared" si="30"/>
        <v>0.21187499999999998</v>
      </c>
      <c r="AZ9" s="179">
        <f t="shared" si="58"/>
        <v>0.49557522123893816</v>
      </c>
      <c r="BA9" s="472">
        <f t="shared" si="31"/>
        <v>24.124421502313997</v>
      </c>
      <c r="BB9" s="472">
        <f t="shared" si="32"/>
        <v>8.2250295508274229E-2</v>
      </c>
      <c r="BC9" s="6">
        <f t="shared" si="33"/>
        <v>1.7126873897707229E-2</v>
      </c>
      <c r="BD9" s="563">
        <f t="shared" si="34"/>
        <v>3.355729031340279</v>
      </c>
      <c r="BE9" s="6"/>
      <c r="BF9" s="179">
        <f t="shared" si="59"/>
        <v>2.0916500663351888E-2</v>
      </c>
      <c r="BG9" s="179">
        <f t="shared" si="35"/>
        <v>0.25211604470957416</v>
      </c>
      <c r="BH9" s="179"/>
      <c r="BI9" s="546">
        <f t="shared" si="36"/>
        <v>1.53125E-4</v>
      </c>
      <c r="BJ9" s="546">
        <f t="shared" si="37"/>
        <v>9.4857954545454534E-3</v>
      </c>
      <c r="BK9" s="546">
        <f t="shared" si="38"/>
        <v>2.6515151515151517E-3</v>
      </c>
      <c r="BL9" s="546">
        <f t="shared" si="39"/>
        <v>1.6758238636363637E-2</v>
      </c>
      <c r="BM9">
        <f t="shared" si="40"/>
        <v>6.96E-3</v>
      </c>
      <c r="BN9" s="546">
        <f t="shared" si="41"/>
        <v>3.6031257857147767E-2</v>
      </c>
      <c r="BO9" s="472">
        <f t="shared" si="60"/>
        <v>36.031257857147764</v>
      </c>
      <c r="BP9" s="546">
        <f t="shared" si="42"/>
        <v>5.4600000000000004E-3</v>
      </c>
      <c r="BQ9" s="546"/>
      <c r="BS9" s="472">
        <f t="shared" si="61"/>
        <v>5.4600000000000009</v>
      </c>
      <c r="BT9" s="546">
        <f t="shared" si="43"/>
        <v>8.7500000000000013E-5</v>
      </c>
      <c r="BU9" s="546">
        <f t="shared" si="44"/>
        <v>2.5424999999999996E-3</v>
      </c>
      <c r="BV9" s="546">
        <f t="shared" si="45"/>
        <v>2.8553437671560537E-4</v>
      </c>
      <c r="BW9" s="546">
        <f t="shared" si="46"/>
        <v>3.2318143504549411E-3</v>
      </c>
      <c r="BX9" s="546">
        <f t="shared" si="47"/>
        <v>2.386363636363637E-3</v>
      </c>
      <c r="BY9" s="472">
        <f t="shared" si="62"/>
        <v>5.6181779868185782</v>
      </c>
      <c r="BZ9" s="179">
        <f t="shared" si="48"/>
        <v>4.7109435843966346E-2</v>
      </c>
      <c r="CA9" s="6">
        <f t="shared" si="49"/>
        <v>0.1</v>
      </c>
      <c r="CB9" s="179">
        <f t="shared" si="63"/>
        <v>0.67976604917489036</v>
      </c>
      <c r="CC9" s="6">
        <f t="shared" si="64"/>
        <v>67.976604917489041</v>
      </c>
      <c r="CF9" s="581">
        <f t="shared" si="50"/>
        <v>-50</v>
      </c>
      <c r="CG9">
        <f t="shared" si="51"/>
        <v>-50</v>
      </c>
    </row>
    <row r="10" spans="2:85" x14ac:dyDescent="0.2">
      <c r="E10" s="176">
        <v>5</v>
      </c>
      <c r="F10" s="223">
        <f t="shared" si="52"/>
        <v>2.5000000000000001E-2</v>
      </c>
      <c r="G10" s="223"/>
      <c r="H10" s="223">
        <f t="shared" si="0"/>
        <v>0.125</v>
      </c>
      <c r="I10" s="559">
        <f t="shared" si="1"/>
        <v>24</v>
      </c>
      <c r="J10" s="178">
        <f t="shared" si="2"/>
        <v>15.75</v>
      </c>
      <c r="K10" s="454">
        <f t="shared" si="3"/>
        <v>39.75</v>
      </c>
      <c r="L10" s="454"/>
      <c r="M10" s="223">
        <f t="shared" si="4"/>
        <v>0.39622641509433965</v>
      </c>
      <c r="N10" s="178">
        <f t="shared" si="5"/>
        <v>3.2094339622641508</v>
      </c>
      <c r="O10" s="178">
        <f t="shared" si="53"/>
        <v>0.125</v>
      </c>
      <c r="P10" s="223">
        <f t="shared" si="6"/>
        <v>0.6418867924528302</v>
      </c>
      <c r="Q10" s="223">
        <f t="shared" si="7"/>
        <v>5</v>
      </c>
      <c r="R10" s="223">
        <f t="shared" si="8"/>
        <v>0.71320754716981138</v>
      </c>
      <c r="S10" s="178">
        <f t="shared" si="9"/>
        <v>316.00632398421254</v>
      </c>
      <c r="T10" s="178">
        <f t="shared" si="10"/>
        <v>5</v>
      </c>
      <c r="U10" s="223">
        <f t="shared" si="11"/>
        <v>2.9210758377425042E-2</v>
      </c>
      <c r="V10" s="223">
        <f t="shared" si="12"/>
        <v>5.3553057025279245E-2</v>
      </c>
      <c r="W10" s="223">
        <f t="shared" si="13"/>
        <v>8.1604658324235038E-2</v>
      </c>
      <c r="X10" s="203">
        <f t="shared" si="14"/>
        <v>350</v>
      </c>
      <c r="Y10" s="454">
        <f t="shared" si="54"/>
        <v>350</v>
      </c>
      <c r="AA10" s="223">
        <f t="shared" si="15"/>
        <v>0.61749571183533458</v>
      </c>
      <c r="AB10" s="179">
        <f t="shared" si="16"/>
        <v>1.7250673854447443</v>
      </c>
      <c r="AC10" s="179">
        <f t="shared" si="17"/>
        <v>0.55924139939803896</v>
      </c>
      <c r="AD10" s="179"/>
      <c r="AE10" s="179">
        <f t="shared" si="18"/>
        <v>0.419047619047619</v>
      </c>
      <c r="AF10" s="563">
        <f t="shared" si="65"/>
        <v>265.15151515151518</v>
      </c>
      <c r="AG10" s="546">
        <f t="shared" si="19"/>
        <v>3.2999999999999995E-2</v>
      </c>
      <c r="AI10" s="179">
        <f t="shared" si="20"/>
        <v>0.13762047064079508</v>
      </c>
      <c r="AJ10" s="179">
        <f t="shared" si="21"/>
        <v>0.15</v>
      </c>
      <c r="AK10" s="179">
        <f t="shared" si="22"/>
        <v>1.1515151515151516</v>
      </c>
      <c r="AM10" s="563">
        <f t="shared" si="23"/>
        <v>25</v>
      </c>
      <c r="AN10" s="472">
        <f t="shared" si="24"/>
        <v>265.15151515151518</v>
      </c>
      <c r="AP10">
        <f t="shared" si="25"/>
        <v>25</v>
      </c>
      <c r="AQ10" s="472">
        <f t="shared" si="26"/>
        <v>265.15151515151518</v>
      </c>
      <c r="AR10" s="472"/>
      <c r="AS10" s="6">
        <f t="shared" si="55"/>
        <v>3.7714285714285709</v>
      </c>
      <c r="AT10" s="6">
        <f t="shared" si="27"/>
        <v>0.27499999999999997</v>
      </c>
      <c r="AU10" s="6">
        <f t="shared" si="56"/>
        <v>3.496428571428571</v>
      </c>
      <c r="AV10" s="6">
        <f t="shared" si="28"/>
        <v>0.419047619047619</v>
      </c>
      <c r="AW10" s="179">
        <f t="shared" si="57"/>
        <v>7.2916666666666671E-2</v>
      </c>
      <c r="AX10" s="179">
        <f t="shared" si="29"/>
        <v>0.13125000000000001</v>
      </c>
      <c r="AY10" s="179">
        <f t="shared" si="30"/>
        <v>0.20859374999999999</v>
      </c>
      <c r="AZ10" s="179">
        <f t="shared" si="58"/>
        <v>0.62921348314606751</v>
      </c>
      <c r="BA10" s="472">
        <f t="shared" si="31"/>
        <v>24.124421502313997</v>
      </c>
      <c r="BB10" s="472">
        <f t="shared" si="32"/>
        <v>0.10976608673167851</v>
      </c>
      <c r="BC10" s="6">
        <f t="shared" si="33"/>
        <v>1.6861634700176362E-2</v>
      </c>
      <c r="BD10" s="563">
        <f t="shared" si="34"/>
        <v>3.5068402631606093</v>
      </c>
      <c r="BE10" s="6"/>
      <c r="BF10" s="179">
        <f t="shared" si="59"/>
        <v>2.3385358667337132E-2</v>
      </c>
      <c r="BG10" s="179">
        <f t="shared" si="35"/>
        <v>0.2501562012023687</v>
      </c>
      <c r="BH10" s="179"/>
      <c r="BI10" s="546">
        <f t="shared" si="36"/>
        <v>1.9140624999999998E-4</v>
      </c>
      <c r="BJ10" s="546">
        <f t="shared" si="37"/>
        <v>1.1857244318181817E-2</v>
      </c>
      <c r="BK10" s="546">
        <f t="shared" si="38"/>
        <v>3.3143939393939395E-3</v>
      </c>
      <c r="BL10" s="546">
        <f t="shared" si="39"/>
        <v>2.094779829545455E-2</v>
      </c>
      <c r="BM10">
        <f t="shared" si="40"/>
        <v>6.96E-3</v>
      </c>
      <c r="BN10" s="546">
        <f t="shared" si="41"/>
        <v>4.3299554371326765E-2</v>
      </c>
      <c r="BO10" s="472">
        <f t="shared" si="60"/>
        <v>43.299554371326764</v>
      </c>
      <c r="BP10" s="546">
        <f t="shared" si="42"/>
        <v>6.8250000000000003E-3</v>
      </c>
      <c r="BQ10" s="546"/>
      <c r="BS10" s="472">
        <f t="shared" si="61"/>
        <v>6.8250000000000002</v>
      </c>
      <c r="BT10" s="546">
        <f t="shared" si="43"/>
        <v>1.0937499999999999E-4</v>
      </c>
      <c r="BU10" s="546">
        <f t="shared" si="44"/>
        <v>2.5031249999999988E-3</v>
      </c>
      <c r="BV10" s="546">
        <f t="shared" si="45"/>
        <v>4.9880802831962995E-4</v>
      </c>
      <c r="BW10" s="546">
        <f t="shared" si="46"/>
        <v>3.4255239628278597E-3</v>
      </c>
      <c r="BX10" s="546">
        <f t="shared" si="47"/>
        <v>2.982954545454546E-3</v>
      </c>
      <c r="BY10" s="472">
        <f t="shared" si="62"/>
        <v>6.4084785082824061</v>
      </c>
      <c r="BZ10" s="179">
        <f t="shared" si="48"/>
        <v>5.6533032879609167E-2</v>
      </c>
      <c r="CA10" s="6">
        <f t="shared" si="49"/>
        <v>0.125</v>
      </c>
      <c r="CB10" s="179">
        <f t="shared" si="63"/>
        <v>0.68857991307234268</v>
      </c>
      <c r="CC10" s="6">
        <f t="shared" si="64"/>
        <v>68.857991307234272</v>
      </c>
      <c r="CF10" s="581">
        <f t="shared" si="50"/>
        <v>-50</v>
      </c>
      <c r="CG10">
        <f t="shared" si="51"/>
        <v>-50</v>
      </c>
    </row>
    <row r="11" spans="2:85" x14ac:dyDescent="0.2">
      <c r="E11" s="176">
        <v>6</v>
      </c>
      <c r="F11" s="223">
        <f t="shared" si="52"/>
        <v>0.03</v>
      </c>
      <c r="G11" s="223"/>
      <c r="H11" s="223">
        <f t="shared" si="0"/>
        <v>0.15</v>
      </c>
      <c r="I11" s="559">
        <f t="shared" si="1"/>
        <v>24</v>
      </c>
      <c r="J11" s="178">
        <f t="shared" si="2"/>
        <v>15.75</v>
      </c>
      <c r="K11" s="454">
        <f t="shared" si="3"/>
        <v>39.75</v>
      </c>
      <c r="L11" s="454"/>
      <c r="M11" s="223">
        <f t="shared" si="4"/>
        <v>0.39622641509433965</v>
      </c>
      <c r="N11" s="178">
        <f t="shared" si="5"/>
        <v>3.2094339622641508</v>
      </c>
      <c r="O11" s="178">
        <f t="shared" si="53"/>
        <v>0.15</v>
      </c>
      <c r="P11" s="223">
        <f t="shared" si="6"/>
        <v>0.6418867924528302</v>
      </c>
      <c r="Q11" s="223">
        <f t="shared" si="7"/>
        <v>5</v>
      </c>
      <c r="R11" s="223">
        <f t="shared" si="8"/>
        <v>0.71320754716981138</v>
      </c>
      <c r="S11" s="178">
        <f t="shared" si="9"/>
        <v>262.00762608900959</v>
      </c>
      <c r="T11" s="178">
        <f t="shared" si="10"/>
        <v>5</v>
      </c>
      <c r="U11" s="223">
        <f t="shared" si="11"/>
        <v>3.5052910052910051E-2</v>
      </c>
      <c r="V11" s="223">
        <f t="shared" si="12"/>
        <v>6.4263668430335083E-2</v>
      </c>
      <c r="W11" s="223">
        <f t="shared" si="13"/>
        <v>9.7925589989082046E-2</v>
      </c>
      <c r="X11" s="203">
        <f t="shared" si="14"/>
        <v>350</v>
      </c>
      <c r="Y11" s="454">
        <f t="shared" si="54"/>
        <v>350</v>
      </c>
      <c r="AA11" s="223">
        <f t="shared" si="15"/>
        <v>0.61749571183533458</v>
      </c>
      <c r="AB11" s="179">
        <f t="shared" si="16"/>
        <v>1.7250673854447443</v>
      </c>
      <c r="AC11" s="179">
        <f t="shared" si="17"/>
        <v>0.55924139939803896</v>
      </c>
      <c r="AD11" s="179"/>
      <c r="AE11" s="179">
        <f t="shared" si="18"/>
        <v>0.419047619047619</v>
      </c>
      <c r="AF11" s="563">
        <f t="shared" si="65"/>
        <v>318.18181818181824</v>
      </c>
      <c r="AG11" s="546">
        <f t="shared" si="19"/>
        <v>3.2999999999999995E-2</v>
      </c>
      <c r="AI11" s="179">
        <f t="shared" si="20"/>
        <v>0.15075567228888181</v>
      </c>
      <c r="AJ11" s="179">
        <f t="shared" si="21"/>
        <v>0.15075567228888181</v>
      </c>
      <c r="AK11" s="179">
        <f t="shared" si="22"/>
        <v>1.1818181818181819</v>
      </c>
      <c r="AM11" s="563">
        <f t="shared" si="23"/>
        <v>30</v>
      </c>
      <c r="AN11" s="472">
        <f t="shared" si="24"/>
        <v>318.18181818181824</v>
      </c>
      <c r="AP11">
        <f t="shared" si="25"/>
        <v>30</v>
      </c>
      <c r="AQ11" s="472">
        <f t="shared" si="26"/>
        <v>318.18181818181824</v>
      </c>
      <c r="AR11" s="472"/>
      <c r="AS11" s="6">
        <f t="shared" si="55"/>
        <v>3.1428571428571419</v>
      </c>
      <c r="AT11" s="6">
        <f t="shared" si="27"/>
        <v>0.2763853991962833</v>
      </c>
      <c r="AU11" s="6">
        <f t="shared" si="56"/>
        <v>2.8664717436608584</v>
      </c>
      <c r="AV11" s="6">
        <f t="shared" si="28"/>
        <v>0.42115870353719365</v>
      </c>
      <c r="AW11" s="179">
        <f t="shared" si="57"/>
        <v>8.7940808835181072E-2</v>
      </c>
      <c r="AX11" s="179">
        <f t="shared" si="29"/>
        <v>0.15909090909090909</v>
      </c>
      <c r="AY11" s="179">
        <f t="shared" si="30"/>
        <v>0.20624714479695908</v>
      </c>
      <c r="AZ11" s="179">
        <f t="shared" si="58"/>
        <v>0.77136054051815772</v>
      </c>
      <c r="BA11" s="472">
        <f t="shared" si="31"/>
        <v>24.124421502313997</v>
      </c>
      <c r="BB11" s="472">
        <f t="shared" si="32"/>
        <v>0.14006316489361703</v>
      </c>
      <c r="BC11" s="6">
        <f t="shared" si="33"/>
        <v>1.6588378146185519E-2</v>
      </c>
      <c r="BD11" s="563">
        <f t="shared" si="34"/>
        <v>3.6916312543311043</v>
      </c>
      <c r="BE11" s="6"/>
      <c r="BF11" s="179">
        <f t="shared" si="59"/>
        <v>2.5811203938432857E-2</v>
      </c>
      <c r="BG11" s="179">
        <f t="shared" si="35"/>
        <v>0.24937091639374434</v>
      </c>
      <c r="BH11" s="179"/>
      <c r="BI11" s="546">
        <f t="shared" si="36"/>
        <v>2.3317638706298012E-4</v>
      </c>
      <c r="BJ11" s="546">
        <f t="shared" si="37"/>
        <v>1.4300374709448194E-2</v>
      </c>
      <c r="BK11" s="546">
        <f t="shared" si="38"/>
        <v>3.9772727272727277E-3</v>
      </c>
      <c r="BL11" s="546">
        <f t="shared" si="39"/>
        <v>2.5137357954545459E-2</v>
      </c>
      <c r="BM11">
        <f t="shared" si="40"/>
        <v>6.96E-3</v>
      </c>
      <c r="BN11" s="546">
        <f t="shared" si="41"/>
        <v>5.0643752383860499E-2</v>
      </c>
      <c r="BO11" s="472">
        <f t="shared" si="60"/>
        <v>50.643752383860502</v>
      </c>
      <c r="BP11" s="546">
        <f t="shared" si="42"/>
        <v>8.1899999999999994E-3</v>
      </c>
      <c r="BQ11" s="546"/>
      <c r="BS11" s="472">
        <f t="shared" si="61"/>
        <v>8.19</v>
      </c>
      <c r="BT11" s="546">
        <f t="shared" si="43"/>
        <v>1.3324364975027437E-4</v>
      </c>
      <c r="BU11" s="546">
        <f t="shared" si="44"/>
        <v>2.487434157722233E-3</v>
      </c>
      <c r="BV11" s="546">
        <f t="shared" si="45"/>
        <v>7.9678758155095808E-4</v>
      </c>
      <c r="BW11" s="546">
        <f t="shared" si="46"/>
        <v>3.7327293083889508E-3</v>
      </c>
      <c r="BX11" s="546">
        <f t="shared" si="47"/>
        <v>3.6157024793388444E-3</v>
      </c>
      <c r="BY11" s="472">
        <f t="shared" si="62"/>
        <v>7.3484317877277956</v>
      </c>
      <c r="BZ11" s="179">
        <f t="shared" si="48"/>
        <v>6.6182184171588304E-2</v>
      </c>
      <c r="CA11" s="6">
        <f t="shared" si="49"/>
        <v>0.15</v>
      </c>
      <c r="CB11" s="179">
        <f t="shared" si="63"/>
        <v>0.69385921219549651</v>
      </c>
      <c r="CC11" s="6">
        <f t="shared" si="64"/>
        <v>69.385921219549658</v>
      </c>
      <c r="CF11" s="581">
        <f t="shared" si="50"/>
        <v>-50</v>
      </c>
      <c r="CG11">
        <f t="shared" si="51"/>
        <v>-50</v>
      </c>
    </row>
    <row r="12" spans="2:85" x14ac:dyDescent="0.2">
      <c r="E12" s="176">
        <v>7</v>
      </c>
      <c r="F12" s="223">
        <f t="shared" si="52"/>
        <v>3.5000000000000003E-2</v>
      </c>
      <c r="G12" s="223"/>
      <c r="H12" s="223">
        <f t="shared" si="0"/>
        <v>0.17500000000000002</v>
      </c>
      <c r="I12" s="559">
        <f t="shared" si="1"/>
        <v>24</v>
      </c>
      <c r="J12" s="178">
        <f t="shared" si="2"/>
        <v>15.75</v>
      </c>
      <c r="K12" s="454">
        <f t="shared" si="3"/>
        <v>39.75</v>
      </c>
      <c r="L12" s="454"/>
      <c r="M12" s="223">
        <f t="shared" si="4"/>
        <v>0.39622641509433965</v>
      </c>
      <c r="N12" s="178">
        <f t="shared" si="5"/>
        <v>3.2094339622641508</v>
      </c>
      <c r="O12" s="178">
        <f t="shared" si="53"/>
        <v>0.17500000000000002</v>
      </c>
      <c r="P12" s="223">
        <f t="shared" si="6"/>
        <v>0.6418867924528302</v>
      </c>
      <c r="Q12" s="223">
        <f t="shared" si="7"/>
        <v>5</v>
      </c>
      <c r="R12" s="223">
        <f t="shared" si="8"/>
        <v>0.71320754716981138</v>
      </c>
      <c r="S12" s="178">
        <f t="shared" si="9"/>
        <v>223.4375124730575</v>
      </c>
      <c r="T12" s="178">
        <f t="shared" si="10"/>
        <v>5</v>
      </c>
      <c r="U12" s="223">
        <f t="shared" si="11"/>
        <v>4.0895061728395063E-2</v>
      </c>
      <c r="V12" s="223">
        <f t="shared" si="12"/>
        <v>7.4974279835390942E-2</v>
      </c>
      <c r="W12" s="223">
        <f t="shared" si="13"/>
        <v>0.11424652165392907</v>
      </c>
      <c r="X12" s="203">
        <f t="shared" si="14"/>
        <v>350</v>
      </c>
      <c r="Y12" s="454">
        <f t="shared" si="54"/>
        <v>350</v>
      </c>
      <c r="AA12" s="223">
        <f t="shared" si="15"/>
        <v>0.61749571183533458</v>
      </c>
      <c r="AB12" s="179">
        <f t="shared" si="16"/>
        <v>1.7250673854447443</v>
      </c>
      <c r="AC12" s="179">
        <f t="shared" si="17"/>
        <v>0.55924139939803896</v>
      </c>
      <c r="AD12" s="179"/>
      <c r="AE12" s="179">
        <f t="shared" si="18"/>
        <v>0.419047619047619</v>
      </c>
      <c r="AF12" s="563">
        <f t="shared" si="65"/>
        <v>371.21212121212136</v>
      </c>
      <c r="AG12" s="546">
        <f t="shared" si="19"/>
        <v>3.2999999999999995E-2</v>
      </c>
      <c r="AI12" s="179">
        <f t="shared" si="20"/>
        <v>0.1628347368197324</v>
      </c>
      <c r="AJ12" s="179">
        <f t="shared" si="21"/>
        <v>0.1628347368197324</v>
      </c>
      <c r="AK12" s="179">
        <f t="shared" si="22"/>
        <v>1.2095072124590609</v>
      </c>
      <c r="AM12" s="563">
        <f t="shared" si="23"/>
        <v>35</v>
      </c>
      <c r="AN12" s="472">
        <f t="shared" si="24"/>
        <v>350</v>
      </c>
      <c r="AP12">
        <f t="shared" si="25"/>
        <v>35</v>
      </c>
      <c r="AQ12" s="472">
        <f t="shared" si="26"/>
        <v>350</v>
      </c>
      <c r="AR12" s="472"/>
      <c r="AS12" s="6">
        <f t="shared" si="55"/>
        <v>2.8571428571428572</v>
      </c>
      <c r="AT12" s="6">
        <f t="shared" si="27"/>
        <v>0.29853035083617607</v>
      </c>
      <c r="AU12" s="6">
        <f t="shared" si="56"/>
        <v>2.5586125063066811</v>
      </c>
      <c r="AV12" s="6">
        <f t="shared" si="28"/>
        <v>0.45490339175036348</v>
      </c>
      <c r="AW12" s="179">
        <f t="shared" si="57"/>
        <v>0.10448562279266162</v>
      </c>
      <c r="AX12" s="179">
        <f t="shared" si="29"/>
        <v>0.20416666666666666</v>
      </c>
      <c r="AY12" s="179">
        <f t="shared" si="30"/>
        <v>0.21873127189626529</v>
      </c>
      <c r="AZ12" s="179">
        <f t="shared" si="58"/>
        <v>0.93341324675099047</v>
      </c>
      <c r="BA12" s="472">
        <f t="shared" si="31"/>
        <v>24.124421502313997</v>
      </c>
      <c r="BB12" s="472">
        <f t="shared" si="32"/>
        <v>0.17314152999408988</v>
      </c>
      <c r="BC12" s="6">
        <f t="shared" si="33"/>
        <v>1.7274582893660073E-2</v>
      </c>
      <c r="BD12" s="563">
        <f t="shared" si="34"/>
        <v>4.2177349053388165</v>
      </c>
      <c r="BE12" s="6"/>
      <c r="BF12" s="179">
        <f t="shared" si="59"/>
        <v>3.0388880200397816E-2</v>
      </c>
      <c r="BG12" s="179">
        <f t="shared" si="35"/>
        <v>0.26689716781364953</v>
      </c>
      <c r="BH12" s="179"/>
      <c r="BI12" s="546">
        <f t="shared" si="36"/>
        <v>3.2321941394194563E-4</v>
      </c>
      <c r="BJ12" s="546">
        <f t="shared" si="37"/>
        <v>1.6990787070033948E-2</v>
      </c>
      <c r="BK12" s="546">
        <f t="shared" si="38"/>
        <v>4.3749999999999995E-3</v>
      </c>
      <c r="BL12" s="546">
        <f t="shared" si="39"/>
        <v>2.7651093750000001E-2</v>
      </c>
      <c r="BM12">
        <f t="shared" si="40"/>
        <v>6.96E-3</v>
      </c>
      <c r="BN12" s="546">
        <f t="shared" si="41"/>
        <v>5.6350045807930897E-2</v>
      </c>
      <c r="BO12" s="472">
        <f t="shared" si="60"/>
        <v>56.350045807930897</v>
      </c>
      <c r="BP12" s="546">
        <f t="shared" si="42"/>
        <v>9.555000000000001E-3</v>
      </c>
      <c r="BQ12" s="546"/>
      <c r="BS12" s="472">
        <f t="shared" si="61"/>
        <v>9.5550000000000015</v>
      </c>
      <c r="BT12" s="546">
        <f t="shared" si="43"/>
        <v>1.846968079668261E-4</v>
      </c>
      <c r="BU12" s="546">
        <f t="shared" si="44"/>
        <v>2.8493639274778959E-3</v>
      </c>
      <c r="BV12" s="546">
        <f t="shared" si="45"/>
        <v>1.2260488001170598E-3</v>
      </c>
      <c r="BW12" s="546">
        <f t="shared" si="46"/>
        <v>4.6253195038387877E-3</v>
      </c>
      <c r="BX12" s="546">
        <f t="shared" si="47"/>
        <v>4.6401515151515164E-3</v>
      </c>
      <c r="BY12" s="472">
        <f t="shared" si="62"/>
        <v>9.2654710189903025</v>
      </c>
      <c r="BZ12" s="179">
        <f t="shared" si="48"/>
        <v>7.5170516826921205E-2</v>
      </c>
      <c r="CA12" s="6">
        <f t="shared" si="49"/>
        <v>0.17500000000000002</v>
      </c>
      <c r="CB12" s="179">
        <f t="shared" si="63"/>
        <v>0.69952287831372473</v>
      </c>
      <c r="CC12" s="6">
        <f t="shared" si="64"/>
        <v>69.952287831372473</v>
      </c>
      <c r="CF12" s="581">
        <f t="shared" si="50"/>
        <v>-50</v>
      </c>
      <c r="CG12">
        <f t="shared" si="51"/>
        <v>-50</v>
      </c>
    </row>
    <row r="13" spans="2:85" s="78" customFormat="1" x14ac:dyDescent="0.2">
      <c r="E13" s="195">
        <v>8</v>
      </c>
      <c r="F13" s="223">
        <f t="shared" si="52"/>
        <v>0.04</v>
      </c>
      <c r="G13" s="223"/>
      <c r="H13" s="223">
        <f t="shared" si="0"/>
        <v>0.2</v>
      </c>
      <c r="I13" s="559">
        <f t="shared" si="1"/>
        <v>24</v>
      </c>
      <c r="J13" s="178">
        <f t="shared" si="2"/>
        <v>15.75</v>
      </c>
      <c r="K13" s="553">
        <f t="shared" si="3"/>
        <v>39.75</v>
      </c>
      <c r="L13" s="553"/>
      <c r="M13" s="335">
        <f t="shared" si="4"/>
        <v>0.39622641509433965</v>
      </c>
      <c r="N13" s="178">
        <f t="shared" si="5"/>
        <v>3.2094339622641508</v>
      </c>
      <c r="O13" s="178">
        <f t="shared" si="53"/>
        <v>0.2</v>
      </c>
      <c r="P13" s="335">
        <f t="shared" si="6"/>
        <v>0.6418867924528302</v>
      </c>
      <c r="Q13" s="223">
        <f t="shared" si="7"/>
        <v>5</v>
      </c>
      <c r="R13" s="223">
        <f t="shared" si="8"/>
        <v>0.71320754716981138</v>
      </c>
      <c r="S13" s="178">
        <f t="shared" si="9"/>
        <v>194.51026903490074</v>
      </c>
      <c r="T13" s="178">
        <f t="shared" si="10"/>
        <v>5</v>
      </c>
      <c r="U13" s="223">
        <f t="shared" si="11"/>
        <v>4.6737213403880068E-2</v>
      </c>
      <c r="V13" s="335">
        <f t="shared" si="12"/>
        <v>8.5684891240446787E-2</v>
      </c>
      <c r="W13" s="223">
        <f t="shared" si="13"/>
        <v>0.13056745331877603</v>
      </c>
      <c r="X13" s="555">
        <f t="shared" si="14"/>
        <v>350</v>
      </c>
      <c r="Y13" s="553">
        <f t="shared" si="54"/>
        <v>350</v>
      </c>
      <c r="AA13" s="335">
        <f t="shared" si="15"/>
        <v>0.61749571183533458</v>
      </c>
      <c r="AB13" s="179">
        <f t="shared" si="16"/>
        <v>1.7250673854447443</v>
      </c>
      <c r="AC13" s="556">
        <f t="shared" si="17"/>
        <v>0.55924139939803896</v>
      </c>
      <c r="AD13" s="556"/>
      <c r="AE13" s="179">
        <f t="shared" si="18"/>
        <v>0.419047619047619</v>
      </c>
      <c r="AF13" s="563">
        <f t="shared" si="65"/>
        <v>424.24242424242431</v>
      </c>
      <c r="AG13" s="546">
        <f t="shared" si="19"/>
        <v>3.2999999999999995E-2</v>
      </c>
      <c r="AH13"/>
      <c r="AI13" s="179">
        <f t="shared" si="20"/>
        <v>0.17407765595569782</v>
      </c>
      <c r="AJ13" s="179">
        <f t="shared" si="21"/>
        <v>0.17407765595569782</v>
      </c>
      <c r="AK13" s="179">
        <f t="shared" si="22"/>
        <v>1.2178353007079243</v>
      </c>
      <c r="AM13" s="563">
        <f t="shared" si="23"/>
        <v>40</v>
      </c>
      <c r="AN13" s="472">
        <f t="shared" si="24"/>
        <v>350</v>
      </c>
      <c r="AP13">
        <f t="shared" si="25"/>
        <v>40</v>
      </c>
      <c r="AQ13" s="472">
        <f t="shared" si="26"/>
        <v>350</v>
      </c>
      <c r="AR13" s="472"/>
      <c r="AS13" s="6">
        <f t="shared" si="55"/>
        <v>2.8571428571428572</v>
      </c>
      <c r="AT13" s="6">
        <f t="shared" si="27"/>
        <v>0.3191423692521127</v>
      </c>
      <c r="AU13" s="6">
        <f t="shared" si="56"/>
        <v>2.5380004878907445</v>
      </c>
      <c r="AV13" s="6">
        <f t="shared" si="28"/>
        <v>0.48631218171750501</v>
      </c>
      <c r="AW13" s="179">
        <f t="shared" si="57"/>
        <v>0.11169982923823944</v>
      </c>
      <c r="AX13" s="179">
        <f t="shared" si="29"/>
        <v>0.23333333333333328</v>
      </c>
      <c r="AY13" s="179">
        <f t="shared" si="30"/>
        <v>0.2319498172668801</v>
      </c>
      <c r="AZ13" s="179">
        <f t="shared" si="58"/>
        <v>1.0059647215193159</v>
      </c>
      <c r="BA13" s="472">
        <f t="shared" si="31"/>
        <v>24.124421502313997</v>
      </c>
      <c r="BB13" s="472">
        <f t="shared" si="32"/>
        <v>0.20900118203309692</v>
      </c>
      <c r="BC13" s="6">
        <f t="shared" si="33"/>
        <v>1.9583337097922409E-2</v>
      </c>
      <c r="BD13" s="563">
        <f t="shared" si="34"/>
        <v>4.8092145188520625</v>
      </c>
      <c r="BE13" s="6"/>
      <c r="BF13" s="179">
        <f t="shared" si="59"/>
        <v>3.3589895853017464E-2</v>
      </c>
      <c r="BG13" s="179">
        <f t="shared" si="35"/>
        <v>0.28417346987067932</v>
      </c>
      <c r="BH13" s="179"/>
      <c r="BI13" s="546">
        <f t="shared" si="36"/>
        <v>3.9489838619579596E-4</v>
      </c>
      <c r="BJ13" s="546">
        <f t="shared" si="37"/>
        <v>1.8163915413627343E-2</v>
      </c>
      <c r="BK13" s="546">
        <f t="shared" si="38"/>
        <v>4.3749999999999995E-3</v>
      </c>
      <c r="BL13" s="546">
        <f t="shared" si="39"/>
        <v>2.7651093750000001E-2</v>
      </c>
      <c r="BM13">
        <f t="shared" si="40"/>
        <v>6.96E-3</v>
      </c>
      <c r="BN13" s="546">
        <f t="shared" si="41"/>
        <v>5.7606101206752719E-2</v>
      </c>
      <c r="BO13" s="472">
        <f t="shared" si="60"/>
        <v>57.606101206752719</v>
      </c>
      <c r="BP13" s="546">
        <f t="shared" si="42"/>
        <v>1.0920000000000001E-2</v>
      </c>
      <c r="BQ13" s="546"/>
      <c r="BS13" s="472">
        <f t="shared" si="61"/>
        <v>10.920000000000002</v>
      </c>
      <c r="BT13" s="546">
        <f t="shared" si="43"/>
        <v>2.2565622068331198E-4</v>
      </c>
      <c r="BU13" s="546">
        <f t="shared" si="44"/>
        <v>3.2301824391336754E-3</v>
      </c>
      <c r="BV13" s="546">
        <f t="shared" si="45"/>
        <v>1.4487641488043913E-3</v>
      </c>
      <c r="BW13" s="546">
        <f t="shared" si="46"/>
        <v>5.3207744668476338E-3</v>
      </c>
      <c r="BX13" s="546">
        <f t="shared" si="47"/>
        <v>5.3030303030303034E-3</v>
      </c>
      <c r="BY13" s="472">
        <f t="shared" si="62"/>
        <v>10.623804769877935</v>
      </c>
      <c r="BZ13" s="179">
        <f t="shared" si="48"/>
        <v>7.9149905976630658E-2</v>
      </c>
      <c r="CA13" s="6">
        <f t="shared" si="49"/>
        <v>0.2</v>
      </c>
      <c r="CB13" s="179">
        <f t="shared" si="63"/>
        <v>0.71646092553849261</v>
      </c>
      <c r="CC13" s="6">
        <f t="shared" si="64"/>
        <v>71.646092553849257</v>
      </c>
      <c r="CF13" s="581">
        <f t="shared" si="50"/>
        <v>-50</v>
      </c>
      <c r="CG13">
        <f t="shared" si="51"/>
        <v>-50</v>
      </c>
    </row>
    <row r="14" spans="2:85" x14ac:dyDescent="0.2">
      <c r="E14" s="176">
        <v>9</v>
      </c>
      <c r="F14" s="223">
        <f t="shared" si="52"/>
        <v>4.4999999999999998E-2</v>
      </c>
      <c r="G14" s="223"/>
      <c r="H14" s="223">
        <f t="shared" si="0"/>
        <v>0.22499999999999998</v>
      </c>
      <c r="I14" s="559">
        <f t="shared" si="1"/>
        <v>24</v>
      </c>
      <c r="J14" s="178">
        <f t="shared" si="2"/>
        <v>15.75</v>
      </c>
      <c r="K14" s="454">
        <f t="shared" si="3"/>
        <v>39.75</v>
      </c>
      <c r="L14" s="454"/>
      <c r="M14" s="223">
        <f t="shared" si="4"/>
        <v>0.39622641509433965</v>
      </c>
      <c r="N14" s="178">
        <f t="shared" si="5"/>
        <v>3.2094339622641508</v>
      </c>
      <c r="O14" s="178">
        <f t="shared" si="53"/>
        <v>0.22499999999999998</v>
      </c>
      <c r="P14" s="223">
        <f t="shared" si="6"/>
        <v>0.6418867924528302</v>
      </c>
      <c r="Q14" s="223">
        <f t="shared" si="7"/>
        <v>5</v>
      </c>
      <c r="R14" s="223">
        <f t="shared" si="8"/>
        <v>0.71320754716981138</v>
      </c>
      <c r="S14" s="178">
        <f t="shared" si="9"/>
        <v>172.01161024790795</v>
      </c>
      <c r="T14" s="178">
        <f t="shared" si="10"/>
        <v>5</v>
      </c>
      <c r="U14" s="223">
        <f t="shared" si="11"/>
        <v>5.2579365079365066E-2</v>
      </c>
      <c r="V14" s="223">
        <f t="shared" si="12"/>
        <v>9.6395502645502618E-2</v>
      </c>
      <c r="W14" s="223">
        <f t="shared" si="13"/>
        <v>0.14688838498362303</v>
      </c>
      <c r="X14" s="203">
        <f t="shared" si="14"/>
        <v>350</v>
      </c>
      <c r="Y14" s="454">
        <f t="shared" si="54"/>
        <v>350</v>
      </c>
      <c r="AA14" s="223">
        <f t="shared" si="15"/>
        <v>0.61749571183533458</v>
      </c>
      <c r="AB14" s="179">
        <f t="shared" si="16"/>
        <v>1.7250673854447443</v>
      </c>
      <c r="AC14" s="179">
        <f t="shared" si="17"/>
        <v>0.55924139939803896</v>
      </c>
      <c r="AD14" s="179"/>
      <c r="AE14" s="179">
        <f t="shared" si="18"/>
        <v>0.419047619047619</v>
      </c>
      <c r="AF14" s="563">
        <f t="shared" si="65"/>
        <v>477.27272727272737</v>
      </c>
      <c r="AG14" s="546">
        <f t="shared" si="19"/>
        <v>3.2999999999999995E-2</v>
      </c>
      <c r="AI14" s="179">
        <f t="shared" si="20"/>
        <v>0.1846372364689991</v>
      </c>
      <c r="AJ14" s="179">
        <f t="shared" si="21"/>
        <v>0.1846372364689991</v>
      </c>
      <c r="AK14" s="179">
        <f t="shared" si="22"/>
        <v>1.2256572121992586</v>
      </c>
      <c r="AM14" s="563">
        <f t="shared" si="23"/>
        <v>45</v>
      </c>
      <c r="AN14" s="472">
        <f t="shared" si="24"/>
        <v>350</v>
      </c>
      <c r="AP14">
        <f t="shared" si="25"/>
        <v>45</v>
      </c>
      <c r="AQ14" s="472">
        <f t="shared" si="26"/>
        <v>350</v>
      </c>
      <c r="AR14" s="472"/>
      <c r="AS14" s="6">
        <f t="shared" si="55"/>
        <v>2.8571428571428572</v>
      </c>
      <c r="AT14" s="6">
        <f t="shared" si="27"/>
        <v>0.33850160019316494</v>
      </c>
      <c r="AU14" s="6">
        <f t="shared" si="56"/>
        <v>2.5186412569496923</v>
      </c>
      <c r="AV14" s="6">
        <f t="shared" si="28"/>
        <v>0.51581196219910852</v>
      </c>
      <c r="AW14" s="179">
        <f t="shared" si="57"/>
        <v>0.11847556006760773</v>
      </c>
      <c r="AX14" s="179">
        <f t="shared" si="29"/>
        <v>0.26250000000000001</v>
      </c>
      <c r="AY14" s="179">
        <f t="shared" si="30"/>
        <v>0.24414335470349866</v>
      </c>
      <c r="AZ14" s="179">
        <f t="shared" si="58"/>
        <v>1.0751879784677929</v>
      </c>
      <c r="BA14" s="472">
        <f t="shared" si="31"/>
        <v>24.124421502313997</v>
      </c>
      <c r="BB14" s="472">
        <f t="shared" si="32"/>
        <v>0.24764212101063832</v>
      </c>
      <c r="BC14" s="6">
        <f t="shared" si="33"/>
        <v>2.1863205355466077E-2</v>
      </c>
      <c r="BD14" s="563">
        <f t="shared" si="34"/>
        <v>5.3983301042556908</v>
      </c>
      <c r="BE14" s="6"/>
      <c r="BF14" s="179">
        <f t="shared" si="59"/>
        <v>3.6692140610578329E-2</v>
      </c>
      <c r="BG14" s="179">
        <f t="shared" si="35"/>
        <v>0.30025973527839056</v>
      </c>
      <c r="BH14" s="179"/>
      <c r="BI14" s="546">
        <f t="shared" si="36"/>
        <v>4.7120961390525795E-4</v>
      </c>
      <c r="BJ14" s="546">
        <f t="shared" si="37"/>
        <v>1.9265741642812126E-2</v>
      </c>
      <c r="BK14" s="546">
        <f t="shared" si="38"/>
        <v>4.3749999999999995E-3</v>
      </c>
      <c r="BL14" s="546">
        <f t="shared" si="39"/>
        <v>2.7651093750000001E-2</v>
      </c>
      <c r="BM14">
        <f t="shared" si="40"/>
        <v>6.96E-3</v>
      </c>
      <c r="BN14" s="546">
        <f t="shared" si="41"/>
        <v>5.879625821257313E-2</v>
      </c>
      <c r="BO14" s="472">
        <f t="shared" si="60"/>
        <v>58.796258212573129</v>
      </c>
      <c r="BP14" s="546">
        <f t="shared" si="42"/>
        <v>1.2285000000000001E-2</v>
      </c>
      <c r="BQ14" s="546"/>
      <c r="BS14" s="472">
        <f t="shared" si="61"/>
        <v>12.285</v>
      </c>
      <c r="BT14" s="546">
        <f t="shared" si="43"/>
        <v>2.692626365172903E-4</v>
      </c>
      <c r="BU14" s="546">
        <f t="shared" si="44"/>
        <v>3.6062363451779674E-3</v>
      </c>
      <c r="BV14" s="546">
        <f t="shared" si="45"/>
        <v>1.67856569605004E-3</v>
      </c>
      <c r="BW14" s="546">
        <f t="shared" si="46"/>
        <v>6.0209913032018775E-3</v>
      </c>
      <c r="BX14" s="546">
        <f t="shared" si="47"/>
        <v>5.9659090909090912E-3</v>
      </c>
      <c r="BY14" s="472">
        <f t="shared" si="62"/>
        <v>11.986900394110968</v>
      </c>
      <c r="BZ14" s="179">
        <f t="shared" si="48"/>
        <v>8.3068158606684109E-2</v>
      </c>
      <c r="CA14" s="6">
        <f t="shared" si="49"/>
        <v>0.22499999999999998</v>
      </c>
      <c r="CB14" s="179">
        <f t="shared" si="63"/>
        <v>0.73035785657829488</v>
      </c>
      <c r="CC14" s="6">
        <f t="shared" si="64"/>
        <v>73.035785657829493</v>
      </c>
      <c r="CF14" s="581">
        <f t="shared" si="50"/>
        <v>-50</v>
      </c>
      <c r="CG14">
        <f t="shared" si="51"/>
        <v>-50</v>
      </c>
    </row>
    <row r="15" spans="2:85" x14ac:dyDescent="0.2">
      <c r="E15" s="176">
        <v>10</v>
      </c>
      <c r="F15" s="223">
        <f t="shared" si="52"/>
        <v>0.05</v>
      </c>
      <c r="G15" s="223"/>
      <c r="H15" s="223">
        <f t="shared" si="0"/>
        <v>0.25</v>
      </c>
      <c r="I15" s="559">
        <f t="shared" si="1"/>
        <v>24</v>
      </c>
      <c r="J15" s="178">
        <f t="shared" si="2"/>
        <v>15.75</v>
      </c>
      <c r="K15" s="454">
        <f t="shared" si="3"/>
        <v>39.75</v>
      </c>
      <c r="L15" s="454"/>
      <c r="M15" s="223">
        <f t="shared" si="4"/>
        <v>0.39622641509433965</v>
      </c>
      <c r="N15" s="178">
        <f t="shared" si="5"/>
        <v>3.2094339622641508</v>
      </c>
      <c r="O15" s="178">
        <f t="shared" si="53"/>
        <v>0.25</v>
      </c>
      <c r="P15" s="223">
        <f t="shared" si="6"/>
        <v>0.6418867924528302</v>
      </c>
      <c r="Q15" s="223">
        <f t="shared" si="7"/>
        <v>5</v>
      </c>
      <c r="R15" s="223">
        <f t="shared" si="8"/>
        <v>0.71320754716981138</v>
      </c>
      <c r="S15" s="178">
        <f t="shared" si="9"/>
        <v>154.01296487463222</v>
      </c>
      <c r="T15" s="178">
        <f t="shared" si="10"/>
        <v>5</v>
      </c>
      <c r="U15" s="223">
        <f t="shared" si="11"/>
        <v>5.8421516754850085E-2</v>
      </c>
      <c r="V15" s="223">
        <f t="shared" si="12"/>
        <v>0.10710611405055849</v>
      </c>
      <c r="W15" s="223">
        <f t="shared" si="13"/>
        <v>0.16320931664847008</v>
      </c>
      <c r="X15" s="203">
        <f t="shared" si="14"/>
        <v>350</v>
      </c>
      <c r="Y15" s="454">
        <f t="shared" si="54"/>
        <v>350</v>
      </c>
      <c r="AA15" s="223">
        <f t="shared" si="15"/>
        <v>0.61749571183533458</v>
      </c>
      <c r="AB15" s="179">
        <f t="shared" si="16"/>
        <v>1.7250673854447443</v>
      </c>
      <c r="AC15" s="179">
        <f t="shared" si="17"/>
        <v>0.55924139939803896</v>
      </c>
      <c r="AD15" s="179"/>
      <c r="AE15" s="179">
        <f t="shared" si="18"/>
        <v>0.419047619047619</v>
      </c>
      <c r="AF15" s="563">
        <f t="shared" si="65"/>
        <v>530.30303030303037</v>
      </c>
      <c r="AG15" s="546">
        <f t="shared" si="19"/>
        <v>3.2999999999999995E-2</v>
      </c>
      <c r="AI15" s="179">
        <f t="shared" si="20"/>
        <v>0.19462473604038075</v>
      </c>
      <c r="AJ15" s="179">
        <f t="shared" si="21"/>
        <v>0.19462473604038075</v>
      </c>
      <c r="AK15" s="179">
        <f t="shared" si="22"/>
        <v>1.2330553600299117</v>
      </c>
      <c r="AM15" s="563">
        <f t="shared" si="23"/>
        <v>50</v>
      </c>
      <c r="AN15" s="472">
        <f t="shared" si="24"/>
        <v>350</v>
      </c>
      <c r="AP15">
        <f t="shared" si="25"/>
        <v>50</v>
      </c>
      <c r="AQ15" s="472">
        <f t="shared" si="26"/>
        <v>350</v>
      </c>
      <c r="AR15" s="472"/>
      <c r="AS15" s="6">
        <f t="shared" si="55"/>
        <v>2.8571428571428572</v>
      </c>
      <c r="AT15" s="6">
        <f t="shared" si="27"/>
        <v>0.35681201607403135</v>
      </c>
      <c r="AU15" s="6">
        <f t="shared" si="56"/>
        <v>2.5003308410688261</v>
      </c>
      <c r="AV15" s="6">
        <f t="shared" si="28"/>
        <v>0.54371354830328589</v>
      </c>
      <c r="AW15" s="179">
        <f t="shared" si="57"/>
        <v>0.12488420562591097</v>
      </c>
      <c r="AX15" s="179">
        <f t="shared" si="29"/>
        <v>0.29166666666666669</v>
      </c>
      <c r="AY15" s="179">
        <f t="shared" si="30"/>
        <v>0.25547877072723779</v>
      </c>
      <c r="AZ15" s="179">
        <f t="shared" si="58"/>
        <v>1.1416473699024681</v>
      </c>
      <c r="BA15" s="472">
        <f t="shared" si="31"/>
        <v>24.124421502313997</v>
      </c>
      <c r="BB15" s="472">
        <f t="shared" si="32"/>
        <v>0.28906434692671401</v>
      </c>
      <c r="BC15" s="6">
        <f t="shared" si="33"/>
        <v>2.4115845303518769E-2</v>
      </c>
      <c r="BD15" s="563">
        <f t="shared" si="34"/>
        <v>5.9851728610673254</v>
      </c>
      <c r="BE15" s="6"/>
      <c r="BF15" s="179">
        <f t="shared" si="59"/>
        <v>3.9709202687852302E-2</v>
      </c>
      <c r="BG15" s="179">
        <f t="shared" si="35"/>
        <v>0.31534897595111866</v>
      </c>
      <c r="BH15" s="179"/>
      <c r="BI15" s="546">
        <f t="shared" si="36"/>
        <v>5.5188727233672775E-4</v>
      </c>
      <c r="BJ15" s="546">
        <f t="shared" si="37"/>
        <v>2.0307874801213474E-2</v>
      </c>
      <c r="BK15" s="546">
        <f t="shared" si="38"/>
        <v>4.3749999999999995E-3</v>
      </c>
      <c r="BL15" s="546">
        <f t="shared" si="39"/>
        <v>2.7651093750000001E-2</v>
      </c>
      <c r="BM15">
        <f t="shared" si="40"/>
        <v>6.96E-3</v>
      </c>
      <c r="BN15" s="546">
        <f t="shared" si="41"/>
        <v>5.9931821303967778E-2</v>
      </c>
      <c r="BO15" s="472">
        <f t="shared" si="60"/>
        <v>59.93182130396778</v>
      </c>
      <c r="BP15" s="546">
        <f t="shared" si="42"/>
        <v>1.3650000000000001E-2</v>
      </c>
      <c r="BQ15" s="546"/>
      <c r="BS15" s="472">
        <f t="shared" si="61"/>
        <v>13.65</v>
      </c>
      <c r="BT15" s="546">
        <f t="shared" si="43"/>
        <v>3.1536415562098729E-4</v>
      </c>
      <c r="BU15" s="546">
        <f t="shared" si="44"/>
        <v>3.9777990653367687E-3</v>
      </c>
      <c r="BV15" s="546">
        <f t="shared" si="45"/>
        <v>1.9148519730608667E-3</v>
      </c>
      <c r="BW15" s="546">
        <f t="shared" si="46"/>
        <v>6.7255046756788343E-3</v>
      </c>
      <c r="BX15" s="546">
        <f t="shared" si="47"/>
        <v>6.6287878787878807E-3</v>
      </c>
      <c r="BY15" s="472">
        <f t="shared" si="62"/>
        <v>13.354292554466715</v>
      </c>
      <c r="BZ15" s="179">
        <f t="shared" si="48"/>
        <v>8.6936113858434499E-2</v>
      </c>
      <c r="CA15" s="6">
        <f t="shared" si="49"/>
        <v>0.25</v>
      </c>
      <c r="CB15" s="179">
        <f t="shared" si="63"/>
        <v>0.74198042215515925</v>
      </c>
      <c r="CC15" s="6">
        <f t="shared" si="64"/>
        <v>74.198042215515926</v>
      </c>
      <c r="CF15" s="581">
        <f t="shared" si="50"/>
        <v>-50</v>
      </c>
      <c r="CG15">
        <f t="shared" si="51"/>
        <v>-50</v>
      </c>
    </row>
    <row r="16" spans="2:85" x14ac:dyDescent="0.2">
      <c r="E16" s="176">
        <v>11</v>
      </c>
      <c r="F16" s="223">
        <f t="shared" si="52"/>
        <v>5.5E-2</v>
      </c>
      <c r="G16" s="223"/>
      <c r="H16" s="223">
        <f t="shared" si="0"/>
        <v>0.27500000000000002</v>
      </c>
      <c r="I16" s="559">
        <f t="shared" si="1"/>
        <v>24</v>
      </c>
      <c r="J16" s="178">
        <f t="shared" si="2"/>
        <v>15.75</v>
      </c>
      <c r="K16" s="454">
        <f t="shared" si="3"/>
        <v>39.75</v>
      </c>
      <c r="L16" s="454"/>
      <c r="M16" s="223">
        <f t="shared" si="4"/>
        <v>0.39622641509433965</v>
      </c>
      <c r="N16" s="178">
        <f t="shared" si="5"/>
        <v>3.2094339622641508</v>
      </c>
      <c r="O16" s="178">
        <f t="shared" si="53"/>
        <v>0.27500000000000002</v>
      </c>
      <c r="P16" s="223">
        <f t="shared" si="6"/>
        <v>0.6418867924528302</v>
      </c>
      <c r="Q16" s="223">
        <f t="shared" si="7"/>
        <v>5</v>
      </c>
      <c r="R16" s="223">
        <f t="shared" si="8"/>
        <v>0.71320754716981138</v>
      </c>
      <c r="S16" s="178">
        <f t="shared" si="9"/>
        <v>139.28706038247259</v>
      </c>
      <c r="T16" s="178">
        <f t="shared" si="10"/>
        <v>5</v>
      </c>
      <c r="U16" s="223">
        <f t="shared" si="11"/>
        <v>6.4263668430335097E-2</v>
      </c>
      <c r="V16" s="223">
        <f t="shared" si="12"/>
        <v>0.11781672545561434</v>
      </c>
      <c r="W16" s="223">
        <f t="shared" si="13"/>
        <v>0.17953024831331707</v>
      </c>
      <c r="X16" s="203">
        <f t="shared" si="14"/>
        <v>350</v>
      </c>
      <c r="Y16" s="454">
        <f t="shared" si="54"/>
        <v>350</v>
      </c>
      <c r="AA16" s="223">
        <f t="shared" si="15"/>
        <v>0.61749571183533458</v>
      </c>
      <c r="AB16" s="179">
        <f t="shared" si="16"/>
        <v>1.7250673854447443</v>
      </c>
      <c r="AC16" s="179">
        <f t="shared" si="17"/>
        <v>0.55924139939803896</v>
      </c>
      <c r="AD16" s="179"/>
      <c r="AE16" s="179">
        <f t="shared" si="18"/>
        <v>0.419047619047619</v>
      </c>
      <c r="AF16" s="563">
        <f t="shared" si="65"/>
        <v>583.33333333333348</v>
      </c>
      <c r="AG16" s="546">
        <f t="shared" si="19"/>
        <v>3.2999999999999995E-2</v>
      </c>
      <c r="AI16" s="179">
        <f t="shared" si="20"/>
        <v>0.20412414523193151</v>
      </c>
      <c r="AJ16" s="179">
        <f t="shared" si="21"/>
        <v>0.20412414523193151</v>
      </c>
      <c r="AK16" s="179">
        <f t="shared" si="22"/>
        <v>1.2400919594310604</v>
      </c>
      <c r="AM16" s="563">
        <f t="shared" si="23"/>
        <v>55</v>
      </c>
      <c r="AN16" s="472">
        <f t="shared" si="24"/>
        <v>350</v>
      </c>
      <c r="AP16">
        <f t="shared" si="25"/>
        <v>55</v>
      </c>
      <c r="AQ16" s="472">
        <f t="shared" si="26"/>
        <v>350</v>
      </c>
      <c r="AR16" s="472"/>
      <c r="AS16" s="6">
        <f t="shared" si="55"/>
        <v>2.8571428571428572</v>
      </c>
      <c r="AT16" s="6">
        <f t="shared" si="27"/>
        <v>0.37422759959187446</v>
      </c>
      <c r="AU16" s="6">
        <f t="shared" si="56"/>
        <v>2.4829152575509825</v>
      </c>
      <c r="AV16" s="6">
        <f t="shared" si="28"/>
        <v>0.5702515803304754</v>
      </c>
      <c r="AW16" s="179">
        <f t="shared" si="57"/>
        <v>0.13097965985715607</v>
      </c>
      <c r="AX16" s="179">
        <f t="shared" si="29"/>
        <v>0.32083333333333336</v>
      </c>
      <c r="AY16" s="179">
        <f t="shared" si="30"/>
        <v>0.26608205118123057</v>
      </c>
      <c r="AZ16" s="179">
        <f t="shared" si="58"/>
        <v>1.2057684158290378</v>
      </c>
      <c r="BA16" s="472">
        <f t="shared" si="31"/>
        <v>24.124421502313997</v>
      </c>
      <c r="BB16" s="472">
        <f t="shared" si="32"/>
        <v>0.33326785978132395</v>
      </c>
      <c r="BC16" s="6">
        <f t="shared" si="33"/>
        <v>2.6342658017998462E-2</v>
      </c>
      <c r="BD16" s="563">
        <f t="shared" si="34"/>
        <v>6.5698231402888068</v>
      </c>
      <c r="BE16" s="6"/>
      <c r="BF16" s="179">
        <f t="shared" si="59"/>
        <v>4.2651634698572818E-2</v>
      </c>
      <c r="BG16" s="179">
        <f t="shared" si="35"/>
        <v>0.32958692710399706</v>
      </c>
      <c r="BH16" s="179"/>
      <c r="BI16" s="546">
        <f t="shared" si="36"/>
        <v>6.3670667986117529E-4</v>
      </c>
      <c r="BJ16" s="546">
        <f t="shared" si="37"/>
        <v>2.1299078779044352E-2</v>
      </c>
      <c r="BK16" s="546">
        <f t="shared" si="38"/>
        <v>4.3749999999999995E-3</v>
      </c>
      <c r="BL16" s="546">
        <f t="shared" si="39"/>
        <v>2.7651093750000001E-2</v>
      </c>
      <c r="BM16">
        <f t="shared" si="40"/>
        <v>6.96E-3</v>
      </c>
      <c r="BN16" s="546">
        <f t="shared" si="41"/>
        <v>6.1021297059958866E-2</v>
      </c>
      <c r="BO16" s="472">
        <f t="shared" si="60"/>
        <v>61.021297059958869</v>
      </c>
      <c r="BP16" s="546">
        <f t="shared" si="42"/>
        <v>1.5015000000000001E-2</v>
      </c>
      <c r="BQ16" s="546"/>
      <c r="BS16" s="472">
        <f t="shared" si="61"/>
        <v>15.015000000000001</v>
      </c>
      <c r="BT16" s="546">
        <f t="shared" si="43"/>
        <v>3.6383238849210017E-4</v>
      </c>
      <c r="BU16" s="546">
        <f t="shared" si="44"/>
        <v>4.3451017007142189E-3</v>
      </c>
      <c r="BV16" s="546">
        <f t="shared" si="45"/>
        <v>2.1571287300001913E-3</v>
      </c>
      <c r="BW16" s="546">
        <f t="shared" si="46"/>
        <v>7.4339353828505698E-3</v>
      </c>
      <c r="BX16" s="546">
        <f t="shared" si="47"/>
        <v>7.2916666666666676E-3</v>
      </c>
      <c r="BY16" s="472">
        <f t="shared" si="62"/>
        <v>14.725602049517239</v>
      </c>
      <c r="BZ16" s="179">
        <f t="shared" si="48"/>
        <v>9.0761899109476116E-2</v>
      </c>
      <c r="CA16" s="6">
        <f t="shared" si="49"/>
        <v>0.27500000000000002</v>
      </c>
      <c r="CB16" s="179">
        <f t="shared" si="63"/>
        <v>0.75185523880301652</v>
      </c>
      <c r="CC16" s="6">
        <f t="shared" si="64"/>
        <v>75.185523880301659</v>
      </c>
      <c r="CF16" s="581">
        <f t="shared" si="50"/>
        <v>-50</v>
      </c>
      <c r="CG16">
        <f t="shared" si="51"/>
        <v>-50</v>
      </c>
    </row>
    <row r="17" spans="5:85" x14ac:dyDescent="0.2">
      <c r="E17" s="176">
        <v>12</v>
      </c>
      <c r="F17" s="223">
        <f t="shared" si="52"/>
        <v>0.06</v>
      </c>
      <c r="G17" s="223"/>
      <c r="H17" s="223">
        <f t="shared" si="0"/>
        <v>0.3</v>
      </c>
      <c r="I17" s="559">
        <f t="shared" si="1"/>
        <v>24</v>
      </c>
      <c r="J17" s="178">
        <f t="shared" si="2"/>
        <v>15.75</v>
      </c>
      <c r="K17" s="454">
        <f t="shared" si="3"/>
        <v>39.75</v>
      </c>
      <c r="L17" s="454"/>
      <c r="M17" s="223">
        <f t="shared" si="4"/>
        <v>0.39622641509433965</v>
      </c>
      <c r="N17" s="178">
        <f t="shared" si="5"/>
        <v>3.2094339622641508</v>
      </c>
      <c r="O17" s="178">
        <f t="shared" si="53"/>
        <v>0.3</v>
      </c>
      <c r="P17" s="223">
        <f t="shared" si="6"/>
        <v>0.6418867924528302</v>
      </c>
      <c r="Q17" s="223">
        <f t="shared" si="7"/>
        <v>5</v>
      </c>
      <c r="R17" s="223">
        <f t="shared" si="8"/>
        <v>0.71320754716981138</v>
      </c>
      <c r="S17" s="178">
        <f t="shared" si="9"/>
        <v>127.01571515154428</v>
      </c>
      <c r="T17" s="178">
        <f t="shared" si="10"/>
        <v>5</v>
      </c>
      <c r="U17" s="223">
        <f t="shared" si="11"/>
        <v>7.0105820105820102E-2</v>
      </c>
      <c r="V17" s="223">
        <f t="shared" si="12"/>
        <v>0.12852733686067017</v>
      </c>
      <c r="W17" s="223">
        <f t="shared" si="13"/>
        <v>0.19585117997816409</v>
      </c>
      <c r="X17" s="203">
        <f t="shared" si="14"/>
        <v>350</v>
      </c>
      <c r="Y17" s="454">
        <f t="shared" si="54"/>
        <v>350</v>
      </c>
      <c r="AA17" s="223">
        <f t="shared" si="15"/>
        <v>0.61749571183533458</v>
      </c>
      <c r="AB17" s="179">
        <f t="shared" si="16"/>
        <v>1.7250673854447443</v>
      </c>
      <c r="AC17" s="179">
        <f t="shared" si="17"/>
        <v>0.55924139939803896</v>
      </c>
      <c r="AD17" s="179"/>
      <c r="AE17" s="179">
        <f t="shared" si="18"/>
        <v>0.419047619047619</v>
      </c>
      <c r="AF17" s="564">
        <f t="shared" si="65"/>
        <v>636.36363636363649</v>
      </c>
      <c r="AG17" s="546">
        <f t="shared" si="19"/>
        <v>3.2999999999999995E-2</v>
      </c>
      <c r="AI17" s="179">
        <f t="shared" si="20"/>
        <v>0.21320071635561041</v>
      </c>
      <c r="AJ17" s="179">
        <f t="shared" si="21"/>
        <v>0.21320071635561041</v>
      </c>
      <c r="AK17" s="179">
        <f t="shared" si="22"/>
        <v>1.2468153454486002</v>
      </c>
      <c r="AM17" s="563">
        <f t="shared" si="23"/>
        <v>60</v>
      </c>
      <c r="AN17" s="472">
        <f t="shared" si="24"/>
        <v>350</v>
      </c>
      <c r="AP17">
        <f t="shared" si="25"/>
        <v>60</v>
      </c>
      <c r="AQ17" s="472">
        <f t="shared" si="26"/>
        <v>350</v>
      </c>
      <c r="AR17" s="472"/>
      <c r="AS17" s="6">
        <f t="shared" si="55"/>
        <v>2.8571428571428572</v>
      </c>
      <c r="AT17" s="6">
        <f t="shared" si="27"/>
        <v>0.39086797998528577</v>
      </c>
      <c r="AU17" s="6">
        <f t="shared" si="56"/>
        <v>2.4662748771575713</v>
      </c>
      <c r="AV17" s="6">
        <f t="shared" si="28"/>
        <v>0.5956083504537687</v>
      </c>
      <c r="AW17" s="179">
        <f t="shared" si="57"/>
        <v>0.13680379299485002</v>
      </c>
      <c r="AX17" s="179">
        <f t="shared" si="29"/>
        <v>0.35</v>
      </c>
      <c r="AY17" s="179">
        <f t="shared" si="30"/>
        <v>0.2760510745334156</v>
      </c>
      <c r="AZ17" s="179">
        <f t="shared" si="58"/>
        <v>1.2678813172220889</v>
      </c>
      <c r="BA17" s="472">
        <f t="shared" si="31"/>
        <v>24.124421502313997</v>
      </c>
      <c r="BB17" s="472">
        <f t="shared" si="32"/>
        <v>0.38025265957446813</v>
      </c>
      <c r="BC17" s="6">
        <f t="shared" si="33"/>
        <v>2.8544848115249662E-2</v>
      </c>
      <c r="BD17" s="563">
        <f t="shared" si="34"/>
        <v>7.1523524798909222</v>
      </c>
      <c r="BE17" s="6"/>
      <c r="BF17" s="179">
        <f t="shared" si="59"/>
        <v>4.5527845790748894E-2</v>
      </c>
      <c r="BG17" s="179">
        <f t="shared" si="35"/>
        <v>0.34308683111206767</v>
      </c>
      <c r="BH17" s="179"/>
      <c r="BI17" s="546">
        <f t="shared" si="36"/>
        <v>7.2547465982117408E-4</v>
      </c>
      <c r="BJ17" s="546">
        <f t="shared" si="37"/>
        <v>2.2246162247230722E-2</v>
      </c>
      <c r="BK17" s="546">
        <f t="shared" si="38"/>
        <v>4.3749999999999995E-3</v>
      </c>
      <c r="BL17" s="546">
        <f t="shared" si="39"/>
        <v>2.7651093750000001E-2</v>
      </c>
      <c r="BM17">
        <f t="shared" si="40"/>
        <v>6.96E-3</v>
      </c>
      <c r="BN17" s="546">
        <f t="shared" si="41"/>
        <v>6.2071273024641646E-2</v>
      </c>
      <c r="BO17" s="472">
        <f t="shared" si="60"/>
        <v>62.071273024641648</v>
      </c>
      <c r="BP17" s="546">
        <f t="shared" si="42"/>
        <v>1.6379999999999999E-2</v>
      </c>
      <c r="BQ17" s="546"/>
      <c r="BS17" s="472">
        <f t="shared" si="61"/>
        <v>16.38</v>
      </c>
      <c r="BT17" s="546">
        <f t="shared" si="43"/>
        <v>4.1455694846924233E-4</v>
      </c>
      <c r="BU17" s="546">
        <f t="shared" si="44"/>
        <v>4.7083429473008176E-3</v>
      </c>
      <c r="BV17" s="546">
        <f t="shared" si="45"/>
        <v>2.4049816340877693E-3</v>
      </c>
      <c r="BW17" s="546">
        <f t="shared" si="46"/>
        <v>8.1459679956379007E-3</v>
      </c>
      <c r="BX17" s="546">
        <f t="shared" si="47"/>
        <v>7.9545454545454555E-3</v>
      </c>
      <c r="BY17" s="472">
        <f t="shared" si="62"/>
        <v>16.100513450183357</v>
      </c>
      <c r="BZ17" s="179">
        <f t="shared" si="48"/>
        <v>9.4551786474824984E-2</v>
      </c>
      <c r="CA17" s="6">
        <f t="shared" si="49"/>
        <v>0.3</v>
      </c>
      <c r="CB17" s="179">
        <f t="shared" si="63"/>
        <v>0.76035646088537479</v>
      </c>
      <c r="CC17" s="6">
        <f t="shared" si="64"/>
        <v>76.035646088537476</v>
      </c>
      <c r="CF17" s="581">
        <f t="shared" si="50"/>
        <v>-50</v>
      </c>
      <c r="CG17">
        <f t="shared" si="51"/>
        <v>-50</v>
      </c>
    </row>
    <row r="18" spans="5:85" x14ac:dyDescent="0.2">
      <c r="E18" s="176">
        <v>13</v>
      </c>
      <c r="F18" s="223">
        <f t="shared" si="52"/>
        <v>6.5000000000000002E-2</v>
      </c>
      <c r="G18" s="223"/>
      <c r="H18" s="223">
        <f t="shared" si="0"/>
        <v>0.32500000000000001</v>
      </c>
      <c r="I18" s="559">
        <f t="shared" si="1"/>
        <v>24</v>
      </c>
      <c r="J18" s="178">
        <f t="shared" si="2"/>
        <v>15.75</v>
      </c>
      <c r="K18" s="454">
        <f t="shared" si="3"/>
        <v>39.75</v>
      </c>
      <c r="L18" s="454"/>
      <c r="M18" s="223">
        <f t="shared" si="4"/>
        <v>0.39622641509433965</v>
      </c>
      <c r="N18" s="178">
        <f t="shared" si="5"/>
        <v>3.2094339622641508</v>
      </c>
      <c r="O18" s="178">
        <f t="shared" si="53"/>
        <v>0.32500000000000001</v>
      </c>
      <c r="P18" s="223">
        <f t="shared" si="6"/>
        <v>0.6418867924528302</v>
      </c>
      <c r="Q18" s="223">
        <f t="shared" si="7"/>
        <v>5</v>
      </c>
      <c r="R18" s="223">
        <f t="shared" si="8"/>
        <v>0.71320754716981138</v>
      </c>
      <c r="S18" s="178">
        <f t="shared" si="9"/>
        <v>116.63249581741715</v>
      </c>
      <c r="T18" s="178">
        <f t="shared" si="10"/>
        <v>5</v>
      </c>
      <c r="U18" s="223">
        <f t="shared" si="11"/>
        <v>7.5947971781305107E-2</v>
      </c>
      <c r="V18" s="223">
        <f t="shared" si="12"/>
        <v>0.13923794826572602</v>
      </c>
      <c r="W18" s="223">
        <f t="shared" si="13"/>
        <v>0.21217211164301109</v>
      </c>
      <c r="X18" s="203">
        <f t="shared" si="14"/>
        <v>350</v>
      </c>
      <c r="Y18" s="454">
        <f t="shared" si="54"/>
        <v>350</v>
      </c>
      <c r="AA18" s="223">
        <f t="shared" si="15"/>
        <v>0.61749571183533458</v>
      </c>
      <c r="AB18" s="179">
        <f t="shared" si="16"/>
        <v>1.7250673854447443</v>
      </c>
      <c r="AC18" s="179">
        <f t="shared" si="17"/>
        <v>0.55924139939803896</v>
      </c>
      <c r="AD18" s="179"/>
      <c r="AE18" s="179">
        <f t="shared" si="18"/>
        <v>0.419047619047619</v>
      </c>
      <c r="AF18" s="563">
        <f t="shared" si="65"/>
        <v>689.3939393939396</v>
      </c>
      <c r="AG18" s="546">
        <f t="shared" si="19"/>
        <v>3.2999999999999995E-2</v>
      </c>
      <c r="AI18" s="179">
        <f t="shared" si="20"/>
        <v>0.22190634114964863</v>
      </c>
      <c r="AJ18" s="179">
        <f t="shared" si="21"/>
        <v>0.22190634114964863</v>
      </c>
      <c r="AK18" s="179">
        <f t="shared" si="22"/>
        <v>1.2532639564071471</v>
      </c>
      <c r="AM18" s="563">
        <f t="shared" si="23"/>
        <v>65</v>
      </c>
      <c r="AN18" s="472">
        <f t="shared" si="24"/>
        <v>350</v>
      </c>
      <c r="AP18">
        <f t="shared" si="25"/>
        <v>65</v>
      </c>
      <c r="AQ18" s="472">
        <f t="shared" si="26"/>
        <v>350</v>
      </c>
      <c r="AR18" s="472"/>
      <c r="AS18" s="6">
        <f t="shared" si="55"/>
        <v>2.8571428571428572</v>
      </c>
      <c r="AT18" s="6">
        <f t="shared" si="27"/>
        <v>0.40682829210768917</v>
      </c>
      <c r="AU18" s="6">
        <f t="shared" si="56"/>
        <v>2.4503145650351681</v>
      </c>
      <c r="AV18" s="6">
        <f t="shared" si="28"/>
        <v>0.61992882606885968</v>
      </c>
      <c r="AW18" s="179">
        <f t="shared" si="57"/>
        <v>0.14238990223769121</v>
      </c>
      <c r="AX18" s="179">
        <f t="shared" si="29"/>
        <v>0.37916666666666665</v>
      </c>
      <c r="AY18" s="179">
        <f t="shared" si="30"/>
        <v>0.28546367839113962</v>
      </c>
      <c r="AZ18" s="179">
        <f t="shared" si="58"/>
        <v>1.3282483740265412</v>
      </c>
      <c r="BA18" s="472">
        <f t="shared" si="31"/>
        <v>24.124421502313997</v>
      </c>
      <c r="BB18" s="472">
        <f t="shared" si="32"/>
        <v>0.43001874630614667</v>
      </c>
      <c r="BC18" s="6">
        <f t="shared" si="33"/>
        <v>3.0723465803874594E-2</v>
      </c>
      <c r="BD18" s="563">
        <f t="shared" si="34"/>
        <v>7.7328251422103014</v>
      </c>
      <c r="BE18" s="6"/>
      <c r="BF18" s="179">
        <f t="shared" si="59"/>
        <v>4.8344679037875871E-2</v>
      </c>
      <c r="BG18" s="179">
        <f t="shared" si="35"/>
        <v>0.35593875990933554</v>
      </c>
      <c r="BH18" s="179"/>
      <c r="BI18" s="546">
        <f t="shared" si="36"/>
        <v>8.1802279694633212E-4</v>
      </c>
      <c r="BJ18" s="546">
        <f t="shared" si="37"/>
        <v>2.3154539784333652E-2</v>
      </c>
      <c r="BK18" s="546">
        <f t="shared" si="38"/>
        <v>4.3749999999999995E-3</v>
      </c>
      <c r="BL18" s="546">
        <f t="shared" si="39"/>
        <v>2.7651093750000001E-2</v>
      </c>
      <c r="BM18">
        <f t="shared" si="40"/>
        <v>6.96E-3</v>
      </c>
      <c r="BN18" s="546">
        <f t="shared" si="41"/>
        <v>6.3086971089025237E-2</v>
      </c>
      <c r="BO18" s="472">
        <f t="shared" si="60"/>
        <v>63.086971089025241</v>
      </c>
      <c r="BP18" s="546">
        <f t="shared" si="42"/>
        <v>1.7745E-2</v>
      </c>
      <c r="BQ18" s="546"/>
      <c r="BS18" s="472">
        <f t="shared" si="61"/>
        <v>17.745000000000001</v>
      </c>
      <c r="BT18" s="546">
        <f t="shared" si="43"/>
        <v>4.6744159825504693E-4</v>
      </c>
      <c r="BU18" s="546">
        <f t="shared" si="44"/>
        <v>5.067696032231824E-3</v>
      </c>
      <c r="BV18" s="546">
        <f t="shared" si="45"/>
        <v>2.6580576560355697E-3</v>
      </c>
      <c r="BW18" s="546">
        <f t="shared" si="46"/>
        <v>8.8613356991956663E-3</v>
      </c>
      <c r="BX18" s="546">
        <f t="shared" si="47"/>
        <v>8.6174242424242441E-3</v>
      </c>
      <c r="BY18" s="472">
        <f t="shared" si="62"/>
        <v>17.478759941619909</v>
      </c>
      <c r="BZ18" s="179">
        <f t="shared" si="48"/>
        <v>9.8310731030645152E-2</v>
      </c>
      <c r="CA18" s="6">
        <f t="shared" si="49"/>
        <v>0.32500000000000001</v>
      </c>
      <c r="CB18" s="179">
        <f t="shared" si="63"/>
        <v>0.76775752697956523</v>
      </c>
      <c r="CC18" s="6">
        <f t="shared" si="64"/>
        <v>76.77575269795652</v>
      </c>
      <c r="CF18" s="581">
        <f t="shared" si="50"/>
        <v>-50</v>
      </c>
      <c r="CG18">
        <f t="shared" si="51"/>
        <v>-50</v>
      </c>
    </row>
    <row r="19" spans="5:85" x14ac:dyDescent="0.2">
      <c r="E19" s="176">
        <v>14</v>
      </c>
      <c r="F19" s="223">
        <f t="shared" si="52"/>
        <v>7.0000000000000007E-2</v>
      </c>
      <c r="G19" s="223"/>
      <c r="H19" s="223">
        <f t="shared" si="0"/>
        <v>0.35000000000000003</v>
      </c>
      <c r="I19" s="559">
        <f t="shared" si="1"/>
        <v>24</v>
      </c>
      <c r="J19" s="178">
        <f t="shared" si="2"/>
        <v>15.75</v>
      </c>
      <c r="K19" s="454">
        <f t="shared" si="3"/>
        <v>39.75</v>
      </c>
      <c r="L19" s="454"/>
      <c r="M19" s="223">
        <f t="shared" si="4"/>
        <v>0.39622641509433965</v>
      </c>
      <c r="N19" s="178">
        <f t="shared" si="5"/>
        <v>3.2094339622641508</v>
      </c>
      <c r="O19" s="178">
        <f t="shared" si="53"/>
        <v>0.35000000000000003</v>
      </c>
      <c r="P19" s="223">
        <f t="shared" si="6"/>
        <v>0.6418867924528302</v>
      </c>
      <c r="Q19" s="223">
        <f t="shared" si="7"/>
        <v>5</v>
      </c>
      <c r="R19" s="223">
        <f t="shared" si="8"/>
        <v>0.71320754716981138</v>
      </c>
      <c r="S19" s="178">
        <f t="shared" si="9"/>
        <v>107.73280718128778</v>
      </c>
      <c r="T19" s="178">
        <f t="shared" si="10"/>
        <v>5</v>
      </c>
      <c r="U19" s="223">
        <f t="shared" si="11"/>
        <v>8.1790123456790126E-2</v>
      </c>
      <c r="V19" s="223">
        <f t="shared" si="12"/>
        <v>0.14994855967078188</v>
      </c>
      <c r="W19" s="223">
        <f t="shared" si="13"/>
        <v>0.22849304330785813</v>
      </c>
      <c r="X19" s="203">
        <f t="shared" si="14"/>
        <v>350</v>
      </c>
      <c r="Y19" s="454">
        <f t="shared" si="54"/>
        <v>350</v>
      </c>
      <c r="AA19" s="223">
        <f t="shared" si="15"/>
        <v>0.61749571183533458</v>
      </c>
      <c r="AB19" s="179">
        <f t="shared" si="16"/>
        <v>1.7250673854447443</v>
      </c>
      <c r="AC19" s="179">
        <f t="shared" si="17"/>
        <v>0.55924139939803896</v>
      </c>
      <c r="AD19" s="179"/>
      <c r="AE19" s="179">
        <f t="shared" si="18"/>
        <v>0.419047619047619</v>
      </c>
      <c r="AF19" s="563">
        <f t="shared" si="65"/>
        <v>742.42424242424272</v>
      </c>
      <c r="AG19" s="546">
        <f t="shared" si="19"/>
        <v>3.2999999999999995E-2</v>
      </c>
      <c r="AI19" s="179">
        <f t="shared" si="20"/>
        <v>0.23028309323591914</v>
      </c>
      <c r="AJ19" s="179">
        <f t="shared" si="21"/>
        <v>0.23028309323591914</v>
      </c>
      <c r="AK19" s="179">
        <f t="shared" si="22"/>
        <v>1.2594689579525327</v>
      </c>
      <c r="AM19" s="563">
        <f t="shared" si="23"/>
        <v>70</v>
      </c>
      <c r="AN19" s="472">
        <f t="shared" si="24"/>
        <v>350</v>
      </c>
      <c r="AP19">
        <f t="shared" si="25"/>
        <v>70</v>
      </c>
      <c r="AQ19" s="472">
        <f t="shared" si="26"/>
        <v>350</v>
      </c>
      <c r="AR19" s="472"/>
      <c r="AS19" s="6">
        <f t="shared" si="55"/>
        <v>2.8571428571428572</v>
      </c>
      <c r="AT19" s="6">
        <f t="shared" si="27"/>
        <v>0.42218567093251841</v>
      </c>
      <c r="AU19" s="6">
        <f t="shared" si="56"/>
        <v>2.434957186210339</v>
      </c>
      <c r="AV19" s="6">
        <f t="shared" si="28"/>
        <v>0.64333054618288521</v>
      </c>
      <c r="AW19" s="179">
        <f t="shared" si="57"/>
        <v>0.14776498482638145</v>
      </c>
      <c r="AX19" s="179">
        <f t="shared" si="29"/>
        <v>0.40833333333333333</v>
      </c>
      <c r="AY19" s="179">
        <f t="shared" si="30"/>
        <v>0.29438297318721207</v>
      </c>
      <c r="AZ19" s="179">
        <f t="shared" si="58"/>
        <v>1.3870820343731458</v>
      </c>
      <c r="BA19" s="472">
        <f t="shared" si="31"/>
        <v>24.124421502313997</v>
      </c>
      <c r="BB19" s="472">
        <f t="shared" si="32"/>
        <v>0.48256611997635945</v>
      </c>
      <c r="BC19" s="6">
        <f t="shared" si="33"/>
        <v>3.2879437313797007E-2</v>
      </c>
      <c r="BD19" s="563">
        <f t="shared" si="34"/>
        <v>8.3112992986097485</v>
      </c>
      <c r="BE19" s="6"/>
      <c r="BF19" s="179">
        <f t="shared" si="59"/>
        <v>5.1107800848178217E-2</v>
      </c>
      <c r="BG19" s="179">
        <f t="shared" si="35"/>
        <v>0.36821575648398813</v>
      </c>
      <c r="BH19" s="179"/>
      <c r="BI19" s="546">
        <f t="shared" si="36"/>
        <v>9.142025576379661E-4</v>
      </c>
      <c r="BJ19" s="546">
        <f t="shared" si="37"/>
        <v>2.4028601509835438E-2</v>
      </c>
      <c r="BK19" s="546">
        <f t="shared" si="38"/>
        <v>4.3749999999999995E-3</v>
      </c>
      <c r="BL19" s="546">
        <f t="shared" si="39"/>
        <v>2.7651093750000001E-2</v>
      </c>
      <c r="BM19">
        <f t="shared" si="40"/>
        <v>6.96E-3</v>
      </c>
      <c r="BN19" s="546">
        <f t="shared" si="41"/>
        <v>6.4072611519910005E-2</v>
      </c>
      <c r="BO19" s="472">
        <f t="shared" si="60"/>
        <v>64.072611519910012</v>
      </c>
      <c r="BP19" s="546">
        <f t="shared" si="42"/>
        <v>1.9110000000000002E-2</v>
      </c>
      <c r="BQ19" s="546"/>
      <c r="BS19" s="472">
        <f t="shared" si="61"/>
        <v>19.110000000000003</v>
      </c>
      <c r="BT19" s="546">
        <f t="shared" si="43"/>
        <v>5.2240146150740925E-4</v>
      </c>
      <c r="BU19" s="546">
        <f t="shared" si="44"/>
        <v>5.423313732923026E-3</v>
      </c>
      <c r="BV19" s="546">
        <f t="shared" si="45"/>
        <v>2.9160519128795148E-3</v>
      </c>
      <c r="BW19" s="546">
        <f t="shared" si="46"/>
        <v>9.5798096362187078E-3</v>
      </c>
      <c r="BX19" s="546">
        <f t="shared" si="47"/>
        <v>9.2803030303030311E-3</v>
      </c>
      <c r="BY19" s="472">
        <f t="shared" si="62"/>
        <v>18.86011266652174</v>
      </c>
      <c r="BZ19" s="179">
        <f t="shared" si="48"/>
        <v>0.10204272418643175</v>
      </c>
      <c r="CA19" s="6">
        <f t="shared" si="49"/>
        <v>0.35000000000000003</v>
      </c>
      <c r="CB19" s="179">
        <f t="shared" si="63"/>
        <v>0.77426309787402481</v>
      </c>
      <c r="CC19" s="6">
        <f t="shared" si="64"/>
        <v>77.426309787402488</v>
      </c>
      <c r="CF19" s="581">
        <f t="shared" si="50"/>
        <v>-50</v>
      </c>
      <c r="CG19">
        <f t="shared" si="51"/>
        <v>-50</v>
      </c>
    </row>
    <row r="20" spans="5:85" x14ac:dyDescent="0.2">
      <c r="E20" s="176">
        <v>15</v>
      </c>
      <c r="F20" s="223">
        <f t="shared" si="52"/>
        <v>7.4999999999999997E-2</v>
      </c>
      <c r="G20" s="223"/>
      <c r="H20" s="223">
        <f t="shared" si="0"/>
        <v>0.375</v>
      </c>
      <c r="I20" s="559">
        <f t="shared" si="1"/>
        <v>24</v>
      </c>
      <c r="J20" s="178">
        <f t="shared" si="2"/>
        <v>15.75</v>
      </c>
      <c r="K20" s="454">
        <f t="shared" si="3"/>
        <v>39.75</v>
      </c>
      <c r="L20" s="454"/>
      <c r="M20" s="223">
        <f t="shared" si="4"/>
        <v>0.39622641509433965</v>
      </c>
      <c r="N20" s="178">
        <f t="shared" si="5"/>
        <v>3.2094339622641508</v>
      </c>
      <c r="O20" s="178">
        <f t="shared" si="53"/>
        <v>0.375</v>
      </c>
      <c r="P20" s="223">
        <f t="shared" si="6"/>
        <v>0.6418867924528302</v>
      </c>
      <c r="Q20" s="223">
        <f t="shared" si="7"/>
        <v>5</v>
      </c>
      <c r="R20" s="223">
        <f t="shared" si="8"/>
        <v>0.71320754716981138</v>
      </c>
      <c r="S20" s="178">
        <f t="shared" si="9"/>
        <v>100.01994615611827</v>
      </c>
      <c r="T20" s="178">
        <f t="shared" si="10"/>
        <v>5</v>
      </c>
      <c r="U20" s="223">
        <f t="shared" si="11"/>
        <v>8.7632275132275131E-2</v>
      </c>
      <c r="V20" s="223">
        <f t="shared" si="12"/>
        <v>0.16065917107583774</v>
      </c>
      <c r="W20" s="223">
        <f t="shared" si="13"/>
        <v>0.2448139749727051</v>
      </c>
      <c r="X20" s="203">
        <f t="shared" si="14"/>
        <v>350</v>
      </c>
      <c r="Y20" s="454">
        <f t="shared" si="54"/>
        <v>350</v>
      </c>
      <c r="AA20" s="223">
        <f t="shared" si="15"/>
        <v>0.61749571183533458</v>
      </c>
      <c r="AB20" s="179">
        <f t="shared" si="16"/>
        <v>1.7250673854447443</v>
      </c>
      <c r="AC20" s="179">
        <f t="shared" si="17"/>
        <v>0.55924139939803896</v>
      </c>
      <c r="AD20" s="179"/>
      <c r="AE20" s="179">
        <f t="shared" si="18"/>
        <v>0.419047619047619</v>
      </c>
      <c r="AF20" s="563">
        <f t="shared" si="65"/>
        <v>795.4545454545455</v>
      </c>
      <c r="AG20" s="546">
        <f t="shared" si="19"/>
        <v>3.2999999999999995E-2</v>
      </c>
      <c r="AI20" s="179">
        <f t="shared" si="20"/>
        <v>0.23836564731139806</v>
      </c>
      <c r="AJ20" s="179">
        <f t="shared" si="21"/>
        <v>0.23836564731139806</v>
      </c>
      <c r="AK20" s="179">
        <f t="shared" si="22"/>
        <v>1.26545603504548</v>
      </c>
      <c r="AM20" s="563">
        <f t="shared" si="23"/>
        <v>75</v>
      </c>
      <c r="AN20" s="472">
        <f t="shared" si="24"/>
        <v>350</v>
      </c>
      <c r="AP20">
        <f t="shared" si="25"/>
        <v>75</v>
      </c>
      <c r="AQ20" s="472">
        <f t="shared" si="26"/>
        <v>350</v>
      </c>
      <c r="AR20" s="472"/>
      <c r="AS20" s="6">
        <f t="shared" si="55"/>
        <v>2.8571428571428572</v>
      </c>
      <c r="AT20" s="6">
        <f t="shared" si="27"/>
        <v>0.43700368673756307</v>
      </c>
      <c r="AU20" s="6">
        <f t="shared" si="56"/>
        <v>2.4201391704052941</v>
      </c>
      <c r="AV20" s="6">
        <f t="shared" si="28"/>
        <v>0.66591037979057233</v>
      </c>
      <c r="AW20" s="179">
        <f t="shared" si="57"/>
        <v>0.15295129035814706</v>
      </c>
      <c r="AX20" s="179">
        <f t="shared" si="29"/>
        <v>0.43749999999999989</v>
      </c>
      <c r="AY20" s="179">
        <f t="shared" si="30"/>
        <v>0.30286097096709713</v>
      </c>
      <c r="AZ20" s="179">
        <f t="shared" si="58"/>
        <v>1.4445572125156065</v>
      </c>
      <c r="BA20" s="472">
        <f t="shared" si="31"/>
        <v>24.124421502313997</v>
      </c>
      <c r="BB20" s="472">
        <f t="shared" si="32"/>
        <v>0.53789478058510642</v>
      </c>
      <c r="BC20" s="6">
        <f t="shared" si="33"/>
        <v>3.5013587534798808E-2</v>
      </c>
      <c r="BD20" s="563">
        <f t="shared" si="34"/>
        <v>8.8878279587427595</v>
      </c>
      <c r="BE20" s="6"/>
      <c r="BF20" s="179">
        <f t="shared" si="59"/>
        <v>5.3821972665739154E-2</v>
      </c>
      <c r="BG20" s="179">
        <f t="shared" si="35"/>
        <v>0.37997802933835695</v>
      </c>
      <c r="BH20" s="179"/>
      <c r="BI20" s="546">
        <f t="shared" si="36"/>
        <v>1.0138816595710505E-3</v>
      </c>
      <c r="BJ20" s="546">
        <f t="shared" si="37"/>
        <v>2.4871965511648692E-2</v>
      </c>
      <c r="BK20" s="546">
        <f t="shared" si="38"/>
        <v>4.3749999999999995E-3</v>
      </c>
      <c r="BL20" s="546">
        <f t="shared" si="39"/>
        <v>2.7651093750000001E-2</v>
      </c>
      <c r="BM20">
        <f t="shared" si="40"/>
        <v>6.96E-3</v>
      </c>
      <c r="BN20" s="546">
        <f t="shared" si="41"/>
        <v>6.5031661217841805E-2</v>
      </c>
      <c r="BO20" s="472">
        <f t="shared" si="60"/>
        <v>65.031661217841801</v>
      </c>
      <c r="BP20" s="546">
        <f t="shared" si="42"/>
        <v>2.0475E-2</v>
      </c>
      <c r="BQ20" s="546"/>
      <c r="BS20" s="472">
        <f t="shared" si="61"/>
        <v>20.475000000000001</v>
      </c>
      <c r="BT20" s="546">
        <f t="shared" si="43"/>
        <v>5.7936094832631462E-4</v>
      </c>
      <c r="BU20" s="546">
        <f t="shared" si="44"/>
        <v>5.7753321111944497E-3</v>
      </c>
      <c r="BV20" s="546">
        <f t="shared" si="45"/>
        <v>3.1786980862334203E-3</v>
      </c>
      <c r="BW20" s="546">
        <f t="shared" si="46"/>
        <v>1.0301191185547204E-2</v>
      </c>
      <c r="BX20" s="546">
        <f t="shared" si="47"/>
        <v>9.943181818181818E-3</v>
      </c>
      <c r="BY20" s="472">
        <f t="shared" si="62"/>
        <v>20.24437300372902</v>
      </c>
      <c r="BZ20" s="179">
        <f t="shared" si="48"/>
        <v>0.10575103422157084</v>
      </c>
      <c r="CA20" s="6">
        <f t="shared" si="49"/>
        <v>0.375</v>
      </c>
      <c r="CB20" s="179">
        <f t="shared" si="63"/>
        <v>0.78002952319634156</v>
      </c>
      <c r="CC20" s="6">
        <f t="shared" si="64"/>
        <v>78.002952319634161</v>
      </c>
      <c r="CF20" s="581">
        <f t="shared" si="50"/>
        <v>-50</v>
      </c>
      <c r="CG20">
        <f t="shared" si="51"/>
        <v>-50</v>
      </c>
    </row>
    <row r="21" spans="5:85" s="78" customFormat="1" x14ac:dyDescent="0.2">
      <c r="E21" s="195">
        <v>16</v>
      </c>
      <c r="F21" s="335">
        <f t="shared" si="52"/>
        <v>0.08</v>
      </c>
      <c r="G21" s="223"/>
      <c r="H21" s="223">
        <f t="shared" si="0"/>
        <v>0.4</v>
      </c>
      <c r="I21" s="559">
        <f t="shared" si="1"/>
        <v>24</v>
      </c>
      <c r="J21" s="178">
        <f t="shared" si="2"/>
        <v>15.75</v>
      </c>
      <c r="K21" s="553">
        <f t="shared" si="3"/>
        <v>39.75</v>
      </c>
      <c r="L21" s="553"/>
      <c r="M21" s="335">
        <f t="shared" si="4"/>
        <v>0.39622641509433965</v>
      </c>
      <c r="N21" s="178">
        <f t="shared" si="5"/>
        <v>3.2094339622641508</v>
      </c>
      <c r="O21" s="178">
        <f t="shared" si="53"/>
        <v>0.4</v>
      </c>
      <c r="P21" s="335">
        <f t="shared" si="6"/>
        <v>0.6418867924528302</v>
      </c>
      <c r="Q21" s="223">
        <f t="shared" si="7"/>
        <v>5</v>
      </c>
      <c r="R21" s="223">
        <f t="shared" si="8"/>
        <v>0.71320754716981138</v>
      </c>
      <c r="S21" s="178">
        <f t="shared" si="9"/>
        <v>93.271385483006583</v>
      </c>
      <c r="T21" s="178">
        <f t="shared" si="10"/>
        <v>5</v>
      </c>
      <c r="U21" s="223">
        <f t="shared" si="11"/>
        <v>9.3474426807760136E-2</v>
      </c>
      <c r="V21" s="335">
        <f t="shared" si="12"/>
        <v>0.17136978248089357</v>
      </c>
      <c r="W21" s="223">
        <f t="shared" si="13"/>
        <v>0.26113490663755207</v>
      </c>
      <c r="X21" s="555">
        <f t="shared" si="14"/>
        <v>350</v>
      </c>
      <c r="Y21" s="553">
        <f t="shared" si="54"/>
        <v>350</v>
      </c>
      <c r="AA21" s="335">
        <f t="shared" si="15"/>
        <v>0.61749571183533458</v>
      </c>
      <c r="AB21" s="179">
        <f t="shared" si="16"/>
        <v>1.7250673854447443</v>
      </c>
      <c r="AC21" s="556">
        <f t="shared" si="17"/>
        <v>0.55924139939803896</v>
      </c>
      <c r="AD21" s="556"/>
      <c r="AE21" s="179">
        <f t="shared" si="18"/>
        <v>0.419047619047619</v>
      </c>
      <c r="AF21" s="563">
        <f t="shared" si="65"/>
        <v>848.48484848484861</v>
      </c>
      <c r="AG21" s="546">
        <f t="shared" si="19"/>
        <v>3.2999999999999995E-2</v>
      </c>
      <c r="AH21"/>
      <c r="AI21" s="179">
        <f t="shared" si="20"/>
        <v>0.24618298195866545</v>
      </c>
      <c r="AJ21" s="179">
        <f t="shared" si="21"/>
        <v>0.24618298195866545</v>
      </c>
      <c r="AK21" s="179">
        <f t="shared" si="22"/>
        <v>1.2712466533027151</v>
      </c>
      <c r="AM21" s="563">
        <f t="shared" si="23"/>
        <v>80</v>
      </c>
      <c r="AN21" s="472">
        <f t="shared" si="24"/>
        <v>350</v>
      </c>
      <c r="AP21">
        <f t="shared" si="25"/>
        <v>80</v>
      </c>
      <c r="AQ21" s="472">
        <f t="shared" si="26"/>
        <v>350</v>
      </c>
      <c r="AR21" s="472"/>
      <c r="AS21" s="6">
        <f t="shared" si="55"/>
        <v>2.8571428571428572</v>
      </c>
      <c r="AT21" s="6">
        <f t="shared" si="27"/>
        <v>0.45133546692422</v>
      </c>
      <c r="AU21" s="6">
        <f t="shared" si="56"/>
        <v>2.4058073902186372</v>
      </c>
      <c r="AV21" s="6">
        <f t="shared" si="28"/>
        <v>0.68774928293214466</v>
      </c>
      <c r="AW21" s="179">
        <f t="shared" si="57"/>
        <v>0.157967413423477</v>
      </c>
      <c r="AX21" s="179">
        <f t="shared" si="29"/>
        <v>0.46666666666666662</v>
      </c>
      <c r="AY21" s="179">
        <f t="shared" si="30"/>
        <v>0.31094113960466485</v>
      </c>
      <c r="AZ21" s="179">
        <f t="shared" si="58"/>
        <v>1.5008199534484035</v>
      </c>
      <c r="BA21" s="472">
        <f t="shared" si="31"/>
        <v>24.124421502313997</v>
      </c>
      <c r="BB21" s="472">
        <f t="shared" si="32"/>
        <v>0.5960047281323877</v>
      </c>
      <c r="BC21" s="6">
        <f t="shared" si="33"/>
        <v>3.7126657256460451E-2</v>
      </c>
      <c r="BD21" s="563">
        <f t="shared" si="34"/>
        <v>9.462459711082909</v>
      </c>
      <c r="BE21" s="6"/>
      <c r="BF21" s="179">
        <f t="shared" si="59"/>
        <v>5.6491246023095992E-2</v>
      </c>
      <c r="BG21" s="179">
        <f t="shared" si="35"/>
        <v>0.39127590511428656</v>
      </c>
      <c r="BH21" s="179"/>
      <c r="BI21" s="546">
        <f t="shared" si="36"/>
        <v>1.1169413070346854E-3</v>
      </c>
      <c r="BJ21" s="546">
        <f t="shared" si="37"/>
        <v>2.5687655523749495E-2</v>
      </c>
      <c r="BK21" s="546">
        <f t="shared" si="38"/>
        <v>4.3749999999999995E-3</v>
      </c>
      <c r="BL21" s="546">
        <f t="shared" si="39"/>
        <v>2.7651093750000001E-2</v>
      </c>
      <c r="BM21">
        <f t="shared" si="40"/>
        <v>6.96E-3</v>
      </c>
      <c r="BN21" s="546">
        <f t="shared" si="41"/>
        <v>6.5967008219500176E-2</v>
      </c>
      <c r="BO21" s="472">
        <f t="shared" si="60"/>
        <v>65.967008219500173</v>
      </c>
      <c r="BP21" s="546">
        <f t="shared" si="42"/>
        <v>2.1840000000000002E-2</v>
      </c>
      <c r="BQ21" s="546"/>
      <c r="BS21" s="472">
        <f t="shared" si="61"/>
        <v>21.840000000000003</v>
      </c>
      <c r="BT21" s="546">
        <f t="shared" si="43"/>
        <v>6.3825217544839178E-4</v>
      </c>
      <c r="BU21" s="546">
        <f t="shared" si="44"/>
        <v>6.1238733569201681E-3</v>
      </c>
      <c r="BV21" s="546">
        <f t="shared" si="45"/>
        <v>3.4457612674380846E-3</v>
      </c>
      <c r="BW21" s="546">
        <f t="shared" si="46"/>
        <v>1.1025306224068469E-2</v>
      </c>
      <c r="BX21" s="546">
        <f t="shared" si="47"/>
        <v>1.0606060606060607E-2</v>
      </c>
      <c r="BY21" s="472">
        <f t="shared" si="62"/>
        <v>21.631366830129075</v>
      </c>
      <c r="BZ21" s="179">
        <f t="shared" si="48"/>
        <v>0.10943837504962925</v>
      </c>
      <c r="CA21" s="6">
        <f t="shared" si="49"/>
        <v>0.4</v>
      </c>
      <c r="CB21" s="179">
        <f t="shared" si="63"/>
        <v>0.78517838386445105</v>
      </c>
      <c r="CC21" s="6">
        <f t="shared" si="64"/>
        <v>78.517838386445106</v>
      </c>
      <c r="CF21" s="581">
        <f t="shared" si="50"/>
        <v>-50</v>
      </c>
      <c r="CG21">
        <f t="shared" si="51"/>
        <v>-50</v>
      </c>
    </row>
    <row r="22" spans="5:85" x14ac:dyDescent="0.2">
      <c r="E22" s="176">
        <v>17</v>
      </c>
      <c r="F22" s="223">
        <f t="shared" si="52"/>
        <v>8.5000000000000006E-2</v>
      </c>
      <c r="G22" s="223"/>
      <c r="H22" s="223">
        <f t="shared" si="0"/>
        <v>0.42500000000000004</v>
      </c>
      <c r="I22" s="559">
        <f t="shared" si="1"/>
        <v>24</v>
      </c>
      <c r="J22" s="178">
        <f t="shared" si="2"/>
        <v>15.75</v>
      </c>
      <c r="K22" s="454">
        <f t="shared" si="3"/>
        <v>39.75</v>
      </c>
      <c r="L22" s="454"/>
      <c r="M22" s="223">
        <f t="shared" si="4"/>
        <v>0.39622641509433965</v>
      </c>
      <c r="N22" s="178">
        <f t="shared" si="5"/>
        <v>3.2094339622641508</v>
      </c>
      <c r="O22" s="178">
        <f t="shared" si="53"/>
        <v>0.42500000000000004</v>
      </c>
      <c r="P22" s="223">
        <f t="shared" si="6"/>
        <v>0.6418867924528302</v>
      </c>
      <c r="Q22" s="223">
        <f t="shared" si="7"/>
        <v>5</v>
      </c>
      <c r="R22" s="223">
        <f t="shared" si="8"/>
        <v>0.71320754716981138</v>
      </c>
      <c r="S22" s="178">
        <f t="shared" si="9"/>
        <v>87.316957312400461</v>
      </c>
      <c r="T22" s="178">
        <f t="shared" si="10"/>
        <v>5</v>
      </c>
      <c r="U22" s="223">
        <f t="shared" si="11"/>
        <v>9.9316578483245155E-2</v>
      </c>
      <c r="V22" s="223">
        <f t="shared" si="12"/>
        <v>0.18208039388594943</v>
      </c>
      <c r="W22" s="223">
        <f t="shared" si="13"/>
        <v>0.27745583830239912</v>
      </c>
      <c r="X22" s="203">
        <f t="shared" si="14"/>
        <v>350</v>
      </c>
      <c r="Y22" s="454">
        <f t="shared" si="54"/>
        <v>350</v>
      </c>
      <c r="AA22" s="223">
        <f t="shared" si="15"/>
        <v>0.61749571183533458</v>
      </c>
      <c r="AB22" s="179">
        <f t="shared" si="16"/>
        <v>1.7250673854447443</v>
      </c>
      <c r="AC22" s="179">
        <f t="shared" si="17"/>
        <v>0.55924139939803896</v>
      </c>
      <c r="AD22" s="179"/>
      <c r="AE22" s="179">
        <f t="shared" si="18"/>
        <v>0.419047619047619</v>
      </c>
      <c r="AF22" s="563">
        <f t="shared" si="65"/>
        <v>901.51515151515173</v>
      </c>
      <c r="AG22" s="546">
        <f t="shared" si="19"/>
        <v>3.2999999999999995E-2</v>
      </c>
      <c r="AI22" s="179">
        <f t="shared" si="20"/>
        <v>0.25375960946127613</v>
      </c>
      <c r="AJ22" s="179">
        <f t="shared" si="21"/>
        <v>0.25375960946127613</v>
      </c>
      <c r="AK22" s="179">
        <f t="shared" si="22"/>
        <v>1.2768589699713155</v>
      </c>
      <c r="AM22" s="563">
        <f t="shared" si="23"/>
        <v>85</v>
      </c>
      <c r="AN22" s="472">
        <f t="shared" si="24"/>
        <v>350</v>
      </c>
      <c r="AP22">
        <f t="shared" si="25"/>
        <v>85</v>
      </c>
      <c r="AQ22" s="472">
        <f t="shared" si="26"/>
        <v>350</v>
      </c>
      <c r="AR22" s="472"/>
      <c r="AS22" s="6">
        <f t="shared" si="55"/>
        <v>2.8571428571428572</v>
      </c>
      <c r="AT22" s="6">
        <f t="shared" si="27"/>
        <v>0.46522595067900624</v>
      </c>
      <c r="AU22" s="6">
        <f t="shared" si="56"/>
        <v>2.3919169064638508</v>
      </c>
      <c r="AV22" s="6">
        <f t="shared" si="28"/>
        <v>0.70891573436800948</v>
      </c>
      <c r="AW22" s="179">
        <f t="shared" si="57"/>
        <v>0.16282908273765218</v>
      </c>
      <c r="AX22" s="179">
        <f t="shared" si="29"/>
        <v>0.49583333333333313</v>
      </c>
      <c r="AY22" s="179">
        <f t="shared" si="30"/>
        <v>0.31866024752524752</v>
      </c>
      <c r="AZ22" s="179">
        <f t="shared" si="58"/>
        <v>1.5559936866428503</v>
      </c>
      <c r="BA22" s="472">
        <f t="shared" si="31"/>
        <v>24.124421502313997</v>
      </c>
      <c r="BB22" s="472">
        <f t="shared" si="32"/>
        <v>0.6568959626182036</v>
      </c>
      <c r="BC22" s="6">
        <f t="shared" si="33"/>
        <v>3.9219316560460515E-2</v>
      </c>
      <c r="BD22" s="563">
        <f t="shared" si="34"/>
        <v>10.035239321374103</v>
      </c>
      <c r="BE22" s="6"/>
      <c r="BF22" s="179">
        <f t="shared" si="59"/>
        <v>5.9119106007502947E-2</v>
      </c>
      <c r="BG22" s="179">
        <f t="shared" si="35"/>
        <v>0.40215196123565128</v>
      </c>
      <c r="BH22" s="179"/>
      <c r="BI22" s="546">
        <f t="shared" si="36"/>
        <v>1.2232740432942299E-3</v>
      </c>
      <c r="BJ22" s="546">
        <f t="shared" si="37"/>
        <v>2.6478229249725031E-2</v>
      </c>
      <c r="BK22" s="546">
        <f t="shared" si="38"/>
        <v>4.3749999999999995E-3</v>
      </c>
      <c r="BL22" s="546">
        <f t="shared" si="39"/>
        <v>2.7651093750000001E-2</v>
      </c>
      <c r="BM22">
        <f t="shared" si="40"/>
        <v>6.96E-3</v>
      </c>
      <c r="BN22" s="546">
        <f t="shared" si="41"/>
        <v>6.6881087554657118E-2</v>
      </c>
      <c r="BO22" s="472">
        <f t="shared" si="60"/>
        <v>66.881087554657114</v>
      </c>
      <c r="BP22" s="546">
        <f t="shared" si="42"/>
        <v>2.3205000000000003E-2</v>
      </c>
      <c r="BQ22" s="546"/>
      <c r="BS22" s="472">
        <f t="shared" si="61"/>
        <v>23.205000000000002</v>
      </c>
      <c r="BT22" s="546">
        <f t="shared" si="43"/>
        <v>6.990137390252742E-4</v>
      </c>
      <c r="BU22" s="546">
        <f t="shared" si="44"/>
        <v>6.4690479970272311E-3</v>
      </c>
      <c r="BV22" s="546">
        <f t="shared" si="45"/>
        <v>3.7170324997121713E-3</v>
      </c>
      <c r="BW22" s="546">
        <f t="shared" si="46"/>
        <v>1.1752000769453985E-2</v>
      </c>
      <c r="BX22" s="546">
        <f t="shared" si="47"/>
        <v>1.1268939393939392E-2</v>
      </c>
      <c r="BY22" s="472">
        <f t="shared" si="62"/>
        <v>23.02094016339338</v>
      </c>
      <c r="BZ22" s="179">
        <f t="shared" si="48"/>
        <v>0.11310702771805049</v>
      </c>
      <c r="CA22" s="6">
        <f t="shared" si="49"/>
        <v>0.42500000000000004</v>
      </c>
      <c r="CB22" s="179">
        <f t="shared" si="63"/>
        <v>0.78980570427094543</v>
      </c>
      <c r="CC22" s="6">
        <f t="shared" si="64"/>
        <v>78.980570427094548</v>
      </c>
      <c r="CF22" s="581">
        <f t="shared" si="50"/>
        <v>-50</v>
      </c>
      <c r="CG22">
        <f t="shared" si="51"/>
        <v>-50</v>
      </c>
    </row>
    <row r="23" spans="5:85" x14ac:dyDescent="0.2">
      <c r="E23" s="176">
        <v>18</v>
      </c>
      <c r="F23" s="223">
        <f t="shared" si="52"/>
        <v>0.09</v>
      </c>
      <c r="G23" s="223"/>
      <c r="H23" s="223">
        <f t="shared" si="0"/>
        <v>0.44999999999999996</v>
      </c>
      <c r="I23" s="559">
        <f t="shared" si="1"/>
        <v>24</v>
      </c>
      <c r="J23" s="178">
        <f t="shared" si="2"/>
        <v>15.75</v>
      </c>
      <c r="K23" s="454">
        <f t="shared" si="3"/>
        <v>39.75</v>
      </c>
      <c r="L23" s="454"/>
      <c r="M23" s="223">
        <f t="shared" si="4"/>
        <v>0.39622641509433965</v>
      </c>
      <c r="N23" s="178">
        <f t="shared" si="5"/>
        <v>3.2094339622641508</v>
      </c>
      <c r="O23" s="178">
        <f t="shared" si="53"/>
        <v>0.44999999999999996</v>
      </c>
      <c r="P23" s="223">
        <f t="shared" si="6"/>
        <v>0.6418867924528302</v>
      </c>
      <c r="Q23" s="223">
        <f t="shared" si="7"/>
        <v>5</v>
      </c>
      <c r="R23" s="223">
        <f t="shared" si="8"/>
        <v>0.71320754716981138</v>
      </c>
      <c r="S23" s="178">
        <f t="shared" si="9"/>
        <v>82.024308924938225</v>
      </c>
      <c r="T23" s="178">
        <f t="shared" si="10"/>
        <v>5</v>
      </c>
      <c r="U23" s="223">
        <f t="shared" si="11"/>
        <v>0.10515873015873013</v>
      </c>
      <c r="V23" s="223">
        <f t="shared" si="12"/>
        <v>0.19279100529100524</v>
      </c>
      <c r="W23" s="223">
        <f t="shared" si="13"/>
        <v>0.29377676996724605</v>
      </c>
      <c r="X23" s="203">
        <f t="shared" si="14"/>
        <v>350</v>
      </c>
      <c r="Y23" s="454">
        <f t="shared" si="54"/>
        <v>350</v>
      </c>
      <c r="AA23" s="223">
        <f t="shared" si="15"/>
        <v>0.61749571183533458</v>
      </c>
      <c r="AB23" s="179">
        <f t="shared" si="16"/>
        <v>1.7250673854447443</v>
      </c>
      <c r="AC23" s="179">
        <f t="shared" si="17"/>
        <v>0.55924139939803896</v>
      </c>
      <c r="AD23" s="179"/>
      <c r="AE23" s="179">
        <f t="shared" si="18"/>
        <v>0.419047619047619</v>
      </c>
      <c r="AF23" s="563">
        <f t="shared" si="65"/>
        <v>954.54545454545473</v>
      </c>
      <c r="AG23" s="546">
        <f t="shared" si="19"/>
        <v>3.2999999999999995E-2</v>
      </c>
      <c r="AI23" s="179">
        <f t="shared" si="20"/>
        <v>0.26111648393354675</v>
      </c>
      <c r="AJ23" s="179">
        <f t="shared" si="21"/>
        <v>0.26111648393354675</v>
      </c>
      <c r="AK23" s="179">
        <f t="shared" si="22"/>
        <v>1.282308506617442</v>
      </c>
      <c r="AM23" s="563">
        <f t="shared" si="23"/>
        <v>90</v>
      </c>
      <c r="AN23" s="472">
        <f t="shared" si="24"/>
        <v>350</v>
      </c>
      <c r="AP23">
        <f t="shared" si="25"/>
        <v>90</v>
      </c>
      <c r="AQ23" s="472">
        <f t="shared" si="26"/>
        <v>350</v>
      </c>
      <c r="AR23" s="472"/>
      <c r="AS23" s="6">
        <f t="shared" si="55"/>
        <v>2.8571428571428572</v>
      </c>
      <c r="AT23" s="6">
        <f t="shared" si="27"/>
        <v>0.47871355387816905</v>
      </c>
      <c r="AU23" s="6">
        <f t="shared" si="56"/>
        <v>2.3784293032646882</v>
      </c>
      <c r="AV23" s="6">
        <f t="shared" si="28"/>
        <v>0.72946827257625757</v>
      </c>
      <c r="AW23" s="179">
        <f t="shared" si="57"/>
        <v>0.16754974385735916</v>
      </c>
      <c r="AX23" s="179">
        <f t="shared" si="29"/>
        <v>0.52500000000000002</v>
      </c>
      <c r="AY23" s="179">
        <f t="shared" si="30"/>
        <v>0.32604972590032011</v>
      </c>
      <c r="AZ23" s="179">
        <f t="shared" si="58"/>
        <v>1.6101838409779954</v>
      </c>
      <c r="BA23" s="472">
        <f t="shared" si="31"/>
        <v>24.124421502313997</v>
      </c>
      <c r="BB23" s="472">
        <f t="shared" si="32"/>
        <v>0.72056848404255325</v>
      </c>
      <c r="BC23" s="6">
        <f t="shared" si="33"/>
        <v>4.1292175403900823E-2</v>
      </c>
      <c r="BD23" s="563">
        <f t="shared" si="34"/>
        <v>10.606208222327423</v>
      </c>
      <c r="BE23" s="6"/>
      <c r="BF23" s="179">
        <f t="shared" si="59"/>
        <v>6.1708579014841121E-2</v>
      </c>
      <c r="BG23" s="179">
        <f t="shared" si="35"/>
        <v>0.41264260084142618</v>
      </c>
      <c r="BH23" s="179"/>
      <c r="BI23" s="546">
        <f t="shared" si="36"/>
        <v>1.3327820534108114E-3</v>
      </c>
      <c r="BJ23" s="546">
        <f t="shared" si="37"/>
        <v>2.7245873120441019E-2</v>
      </c>
      <c r="BK23" s="546">
        <f t="shared" si="38"/>
        <v>4.3749999999999995E-3</v>
      </c>
      <c r="BL23" s="546">
        <f t="shared" si="39"/>
        <v>2.7651093750000001E-2</v>
      </c>
      <c r="BM23">
        <f t="shared" si="40"/>
        <v>6.96E-3</v>
      </c>
      <c r="BN23" s="546">
        <f t="shared" si="41"/>
        <v>6.7775974054611068E-2</v>
      </c>
      <c r="BO23" s="472">
        <f t="shared" si="60"/>
        <v>67.775974054611069</v>
      </c>
      <c r="BP23" s="546">
        <f t="shared" si="42"/>
        <v>2.4570000000000002E-2</v>
      </c>
      <c r="BQ23" s="546"/>
      <c r="BS23" s="472">
        <f t="shared" si="61"/>
        <v>24.57</v>
      </c>
      <c r="BT23" s="546">
        <f t="shared" si="43"/>
        <v>7.6158974480617812E-4</v>
      </c>
      <c r="BU23" s="546">
        <f t="shared" si="44"/>
        <v>6.810956641167063E-3</v>
      </c>
      <c r="BV23" s="546">
        <f t="shared" si="45"/>
        <v>3.9923245374844036E-3</v>
      </c>
      <c r="BW23" s="546">
        <f t="shared" si="46"/>
        <v>1.2481137609254095E-2</v>
      </c>
      <c r="BX23" s="546">
        <f t="shared" si="47"/>
        <v>1.1931818181818182E-2</v>
      </c>
      <c r="BY23" s="472">
        <f t="shared" si="62"/>
        <v>24.412955791072278</v>
      </c>
      <c r="BZ23" s="179">
        <f t="shared" si="48"/>
        <v>0.11675892984568334</v>
      </c>
      <c r="CA23" s="6">
        <f t="shared" si="49"/>
        <v>0.44999999999999996</v>
      </c>
      <c r="CB23" s="179">
        <f t="shared" si="63"/>
        <v>0.79398837195653116</v>
      </c>
      <c r="CC23" s="6">
        <f t="shared" si="64"/>
        <v>79.398837195653115</v>
      </c>
      <c r="CF23" s="581">
        <f t="shared" si="50"/>
        <v>-50</v>
      </c>
      <c r="CG23">
        <f t="shared" si="51"/>
        <v>-50</v>
      </c>
    </row>
    <row r="24" spans="5:85" x14ac:dyDescent="0.2">
      <c r="E24" s="176">
        <v>19</v>
      </c>
      <c r="F24" s="223">
        <f t="shared" si="52"/>
        <v>9.5000000000000001E-2</v>
      </c>
      <c r="G24" s="223"/>
      <c r="H24" s="223">
        <f t="shared" si="0"/>
        <v>0.47499999999999998</v>
      </c>
      <c r="I24" s="559">
        <f t="shared" si="1"/>
        <v>24</v>
      </c>
      <c r="J24" s="178">
        <f t="shared" si="2"/>
        <v>15.75</v>
      </c>
      <c r="K24" s="454">
        <f t="shared" si="3"/>
        <v>39.75</v>
      </c>
      <c r="L24" s="454"/>
      <c r="M24" s="223">
        <f t="shared" si="4"/>
        <v>0.39622641509433965</v>
      </c>
      <c r="N24" s="178">
        <f t="shared" si="5"/>
        <v>3.2094339622641508</v>
      </c>
      <c r="O24" s="178">
        <f t="shared" si="53"/>
        <v>0.47499999999999998</v>
      </c>
      <c r="P24" s="223">
        <f t="shared" si="6"/>
        <v>0.6418867924528302</v>
      </c>
      <c r="Q24" s="223">
        <f t="shared" si="7"/>
        <v>5</v>
      </c>
      <c r="R24" s="223">
        <f t="shared" si="8"/>
        <v>0.71320754716981138</v>
      </c>
      <c r="S24" s="178">
        <f t="shared" si="9"/>
        <v>77.288951382581843</v>
      </c>
      <c r="T24" s="178">
        <f t="shared" si="10"/>
        <v>5</v>
      </c>
      <c r="U24" s="223">
        <f t="shared" si="11"/>
        <v>0.11100088183421515</v>
      </c>
      <c r="V24" s="223">
        <f t="shared" si="12"/>
        <v>0.20350161669606107</v>
      </c>
      <c r="W24" s="223">
        <f t="shared" si="13"/>
        <v>0.31009770163209305</v>
      </c>
      <c r="X24" s="203">
        <f t="shared" si="14"/>
        <v>350</v>
      </c>
      <c r="Y24" s="454">
        <f t="shared" si="54"/>
        <v>350</v>
      </c>
      <c r="AA24" s="223">
        <f t="shared" si="15"/>
        <v>0.61749571183533458</v>
      </c>
      <c r="AB24" s="179">
        <f t="shared" si="16"/>
        <v>1.7250673854447443</v>
      </c>
      <c r="AC24" s="179">
        <f t="shared" si="17"/>
        <v>0.55924139939803896</v>
      </c>
      <c r="AD24" s="179"/>
      <c r="AE24" s="179">
        <f t="shared" si="18"/>
        <v>0.419047619047619</v>
      </c>
      <c r="AF24" s="563">
        <f t="shared" si="65"/>
        <v>1007.5757575757578</v>
      </c>
      <c r="AG24" s="546">
        <f t="shared" si="19"/>
        <v>3.2999999999999995E-2</v>
      </c>
      <c r="AI24" s="179">
        <f t="shared" si="20"/>
        <v>0.26827168499432991</v>
      </c>
      <c r="AJ24" s="179">
        <f t="shared" si="21"/>
        <v>0.26827168499432991</v>
      </c>
      <c r="AK24" s="179">
        <f t="shared" si="22"/>
        <v>1.2876086555513555</v>
      </c>
      <c r="AM24" s="563">
        <f t="shared" si="23"/>
        <v>95</v>
      </c>
      <c r="AN24" s="472">
        <f t="shared" si="24"/>
        <v>350</v>
      </c>
      <c r="AP24">
        <f t="shared" si="25"/>
        <v>95</v>
      </c>
      <c r="AQ24" s="472">
        <f t="shared" si="26"/>
        <v>350</v>
      </c>
      <c r="AR24" s="472"/>
      <c r="AS24" s="6">
        <f t="shared" si="55"/>
        <v>2.8571428571428572</v>
      </c>
      <c r="AT24" s="6">
        <f t="shared" si="27"/>
        <v>0.49183142248960476</v>
      </c>
      <c r="AU24" s="6">
        <f t="shared" si="56"/>
        <v>2.3653114346532522</v>
      </c>
      <c r="AV24" s="6">
        <f t="shared" si="28"/>
        <v>0.74945740569844543</v>
      </c>
      <c r="AW24" s="179">
        <f t="shared" si="57"/>
        <v>0.17214099787136167</v>
      </c>
      <c r="AX24" s="179">
        <f t="shared" si="29"/>
        <v>0.5541666666666667</v>
      </c>
      <c r="AY24" s="179">
        <f t="shared" si="30"/>
        <v>0.33313669415816155</v>
      </c>
      <c r="AZ24" s="179">
        <f t="shared" si="58"/>
        <v>1.6634813167821372</v>
      </c>
      <c r="BA24" s="472">
        <f t="shared" si="31"/>
        <v>24.124421502313997</v>
      </c>
      <c r="BB24" s="472">
        <f t="shared" si="32"/>
        <v>0.78702229240543742</v>
      </c>
      <c r="BC24" s="6">
        <f t="shared" si="33"/>
        <v>4.3345792108807665E-2</v>
      </c>
      <c r="BD24" s="563">
        <f t="shared" si="34"/>
        <v>11.175404918816795</v>
      </c>
      <c r="BE24" s="6"/>
      <c r="BF24" s="179">
        <f t="shared" si="59"/>
        <v>6.4262315169579629E-2</v>
      </c>
      <c r="BG24" s="179">
        <f t="shared" si="35"/>
        <v>0.42277923855187299</v>
      </c>
      <c r="BH24" s="179"/>
      <c r="BI24" s="546">
        <f t="shared" si="36"/>
        <v>1.4453758028340343E-3</v>
      </c>
      <c r="BJ24" s="546">
        <f t="shared" si="37"/>
        <v>2.7992473631127109E-2</v>
      </c>
      <c r="BK24" s="546">
        <f t="shared" si="38"/>
        <v>4.3749999999999995E-3</v>
      </c>
      <c r="BL24" s="546">
        <f t="shared" si="39"/>
        <v>2.7651093750000001E-2</v>
      </c>
      <c r="BM24">
        <f t="shared" si="40"/>
        <v>6.96E-3</v>
      </c>
      <c r="BN24" s="546">
        <f t="shared" si="41"/>
        <v>6.8653452125678263E-2</v>
      </c>
      <c r="BO24" s="472">
        <f t="shared" si="60"/>
        <v>68.653452125678257</v>
      </c>
      <c r="BP24" s="546">
        <f t="shared" si="42"/>
        <v>2.5935E-2</v>
      </c>
      <c r="BQ24" s="546"/>
      <c r="BS24" s="472">
        <f t="shared" si="61"/>
        <v>25.934999999999999</v>
      </c>
      <c r="BT24" s="546">
        <f t="shared" si="43"/>
        <v>8.259290301908768E-4</v>
      </c>
      <c r="BU24" s="546">
        <f t="shared" si="44"/>
        <v>7.1496913820200611E-3</v>
      </c>
      <c r="BV24" s="546">
        <f t="shared" si="45"/>
        <v>4.2714684981801426E-3</v>
      </c>
      <c r="BW24" s="546">
        <f t="shared" si="46"/>
        <v>1.3212593650385693E-2</v>
      </c>
      <c r="BX24" s="546">
        <f t="shared" si="47"/>
        <v>1.2594696969696973E-2</v>
      </c>
      <c r="BY24" s="472">
        <f t="shared" si="62"/>
        <v>25.807290620082664</v>
      </c>
      <c r="BZ24" s="179">
        <f t="shared" si="48"/>
        <v>0.12039574274576094</v>
      </c>
      <c r="CA24" s="6">
        <f t="shared" si="49"/>
        <v>0.47499999999999998</v>
      </c>
      <c r="CB24" s="179">
        <f t="shared" si="63"/>
        <v>0.79778870740570451</v>
      </c>
      <c r="CC24" s="6">
        <f t="shared" si="64"/>
        <v>79.778870740570454</v>
      </c>
      <c r="CF24" s="581">
        <f t="shared" si="50"/>
        <v>-50</v>
      </c>
      <c r="CG24">
        <f t="shared" si="51"/>
        <v>-50</v>
      </c>
    </row>
    <row r="25" spans="5:85" x14ac:dyDescent="0.2">
      <c r="E25" s="176">
        <v>20</v>
      </c>
      <c r="F25" s="223">
        <f t="shared" si="52"/>
        <v>0.1</v>
      </c>
      <c r="G25" s="223"/>
      <c r="H25" s="223">
        <f t="shared" si="0"/>
        <v>0.5</v>
      </c>
      <c r="I25" s="559">
        <f t="shared" si="1"/>
        <v>24</v>
      </c>
      <c r="J25" s="178">
        <f t="shared" si="2"/>
        <v>15.75</v>
      </c>
      <c r="K25" s="454">
        <f t="shared" si="3"/>
        <v>39.75</v>
      </c>
      <c r="L25" s="454"/>
      <c r="M25" s="223">
        <f t="shared" si="4"/>
        <v>0.39622641509433965</v>
      </c>
      <c r="N25" s="178">
        <f t="shared" si="5"/>
        <v>3.2094339622641508</v>
      </c>
      <c r="O25" s="178">
        <f t="shared" si="53"/>
        <v>0.5</v>
      </c>
      <c r="P25" s="223">
        <f t="shared" si="6"/>
        <v>0.6418867924528302</v>
      </c>
      <c r="Q25" s="223">
        <f t="shared" si="7"/>
        <v>5</v>
      </c>
      <c r="R25" s="223">
        <f t="shared" si="8"/>
        <v>0.71320754716981138</v>
      </c>
      <c r="S25" s="178">
        <f t="shared" si="9"/>
        <v>73.02729358444023</v>
      </c>
      <c r="T25" s="178">
        <f t="shared" si="10"/>
        <v>5</v>
      </c>
      <c r="U25" s="223">
        <f t="shared" si="11"/>
        <v>0.11684303350970017</v>
      </c>
      <c r="V25" s="223">
        <f t="shared" si="12"/>
        <v>0.21421222810111698</v>
      </c>
      <c r="W25" s="223">
        <f t="shared" si="13"/>
        <v>0.32641863329694015</v>
      </c>
      <c r="X25" s="203">
        <f t="shared" si="14"/>
        <v>350</v>
      </c>
      <c r="Y25" s="454">
        <f t="shared" si="54"/>
        <v>350</v>
      </c>
      <c r="AA25" s="223">
        <f t="shared" si="15"/>
        <v>0.61749571183533458</v>
      </c>
      <c r="AB25" s="179">
        <f t="shared" si="16"/>
        <v>1.7250673854447443</v>
      </c>
      <c r="AC25" s="179">
        <f t="shared" si="17"/>
        <v>0.55924139939803896</v>
      </c>
      <c r="AD25" s="179"/>
      <c r="AE25" s="179">
        <f t="shared" si="18"/>
        <v>0.419047619047619</v>
      </c>
      <c r="AF25" s="563">
        <f t="shared" si="65"/>
        <v>1060.6060606060607</v>
      </c>
      <c r="AG25" s="546">
        <f t="shared" si="19"/>
        <v>3.2999999999999995E-2</v>
      </c>
      <c r="AI25" s="179">
        <f t="shared" si="20"/>
        <v>0.27524094128159016</v>
      </c>
      <c r="AJ25" s="179">
        <f t="shared" si="21"/>
        <v>0.27524094128159016</v>
      </c>
      <c r="AK25" s="179">
        <f t="shared" si="22"/>
        <v>1.2927710676159927</v>
      </c>
      <c r="AM25" s="563">
        <f t="shared" si="23"/>
        <v>100</v>
      </c>
      <c r="AN25" s="472">
        <f t="shared" si="24"/>
        <v>350</v>
      </c>
      <c r="AP25">
        <f t="shared" si="25"/>
        <v>100</v>
      </c>
      <c r="AQ25" s="472">
        <f t="shared" si="26"/>
        <v>350</v>
      </c>
      <c r="AR25" s="472"/>
      <c r="AS25" s="6">
        <f t="shared" si="55"/>
        <v>2.8571428571428572</v>
      </c>
      <c r="AT25" s="6">
        <f t="shared" si="27"/>
        <v>0.50460839234958199</v>
      </c>
      <c r="AU25" s="6">
        <f t="shared" si="56"/>
        <v>2.3525344647932753</v>
      </c>
      <c r="AV25" s="6">
        <f t="shared" si="28"/>
        <v>0.76892707405650584</v>
      </c>
      <c r="AW25" s="179">
        <f t="shared" si="57"/>
        <v>0.1766129373223537</v>
      </c>
      <c r="AX25" s="179">
        <f t="shared" si="29"/>
        <v>0.58333333333333337</v>
      </c>
      <c r="AY25" s="179">
        <f t="shared" si="30"/>
        <v>0.33994474525571855</v>
      </c>
      <c r="AZ25" s="179">
        <f t="shared" si="58"/>
        <v>1.7159651427896885</v>
      </c>
      <c r="BA25" s="472">
        <f t="shared" si="31"/>
        <v>24.124421502313997</v>
      </c>
      <c r="BB25" s="472">
        <f t="shared" si="32"/>
        <v>0.85625738770685611</v>
      </c>
      <c r="BC25" s="6">
        <f t="shared" si="33"/>
        <v>4.5380680262215957E-2</v>
      </c>
      <c r="BD25" s="563">
        <f t="shared" si="34"/>
        <v>11.742865326525042</v>
      </c>
      <c r="BE25" s="6"/>
      <c r="BF25" s="179">
        <f t="shared" si="59"/>
        <v>6.6782652385596344E-2</v>
      </c>
      <c r="BG25" s="179">
        <f t="shared" si="35"/>
        <v>0.43258920852909488</v>
      </c>
      <c r="BH25" s="179"/>
      <c r="BI25" s="546">
        <f t="shared" si="36"/>
        <v>1.5609729308793889E-3</v>
      </c>
      <c r="BJ25" s="546">
        <f t="shared" si="37"/>
        <v>2.8719671966850921E-2</v>
      </c>
      <c r="BK25" s="546">
        <f t="shared" si="38"/>
        <v>4.3749999999999995E-3</v>
      </c>
      <c r="BL25" s="546">
        <f t="shared" si="39"/>
        <v>2.7651093750000001E-2</v>
      </c>
      <c r="BM25">
        <f t="shared" si="40"/>
        <v>6.96E-3</v>
      </c>
      <c r="BN25" s="546">
        <f t="shared" si="41"/>
        <v>6.9515069103810695E-2</v>
      </c>
      <c r="BO25" s="472">
        <f t="shared" si="60"/>
        <v>69.515069103810688</v>
      </c>
      <c r="BP25" s="546">
        <f t="shared" si="42"/>
        <v>2.7300000000000001E-2</v>
      </c>
      <c r="BQ25" s="546"/>
      <c r="BS25" s="472">
        <f t="shared" si="61"/>
        <v>27.3</v>
      </c>
      <c r="BT25" s="546">
        <f t="shared" si="43"/>
        <v>8.9198453193107944E-4</v>
      </c>
      <c r="BU25" s="546">
        <f t="shared" si="44"/>
        <v>7.4853369334331498E-3</v>
      </c>
      <c r="BV25" s="546">
        <f t="shared" si="45"/>
        <v>4.5543111810819612E-3</v>
      </c>
      <c r="BW25" s="546">
        <f t="shared" si="46"/>
        <v>1.3946257805079658E-2</v>
      </c>
      <c r="BX25" s="546">
        <f t="shared" si="47"/>
        <v>1.3257575757575761E-2</v>
      </c>
      <c r="BY25" s="472">
        <f t="shared" si="62"/>
        <v>27.203833562655419</v>
      </c>
      <c r="BZ25" s="179">
        <f t="shared" si="48"/>
        <v>0.12401890266646612</v>
      </c>
      <c r="CA25" s="6">
        <f t="shared" si="49"/>
        <v>0.5</v>
      </c>
      <c r="CB25" s="179">
        <f t="shared" si="63"/>
        <v>0.80125777899270889</v>
      </c>
      <c r="CC25" s="6">
        <f t="shared" si="64"/>
        <v>80.125777899270886</v>
      </c>
      <c r="CF25" s="581">
        <f t="shared" si="50"/>
        <v>-50</v>
      </c>
      <c r="CG25">
        <f t="shared" si="51"/>
        <v>-50</v>
      </c>
    </row>
    <row r="26" spans="5:85" x14ac:dyDescent="0.2">
      <c r="E26" s="176">
        <v>21</v>
      </c>
      <c r="F26" s="223">
        <f t="shared" si="52"/>
        <v>0.105</v>
      </c>
      <c r="G26" s="223"/>
      <c r="H26" s="223">
        <f t="shared" si="0"/>
        <v>0.52500000000000002</v>
      </c>
      <c r="I26" s="559">
        <f t="shared" si="1"/>
        <v>24</v>
      </c>
      <c r="J26" s="178">
        <f t="shared" si="2"/>
        <v>15.75</v>
      </c>
      <c r="K26" s="454">
        <f t="shared" si="3"/>
        <v>39.75</v>
      </c>
      <c r="L26" s="454"/>
      <c r="M26" s="223">
        <f t="shared" si="4"/>
        <v>0.39622641509433965</v>
      </c>
      <c r="N26" s="178">
        <f t="shared" si="5"/>
        <v>3.2094339622641508</v>
      </c>
      <c r="O26" s="178">
        <f t="shared" si="53"/>
        <v>0.52500000000000002</v>
      </c>
      <c r="P26" s="223">
        <f t="shared" si="6"/>
        <v>0.6418867924528302</v>
      </c>
      <c r="Q26" s="223">
        <f t="shared" si="7"/>
        <v>5</v>
      </c>
      <c r="R26" s="223">
        <f t="shared" si="8"/>
        <v>0.71320754716981138</v>
      </c>
      <c r="S26" s="178">
        <f t="shared" si="9"/>
        <v>69.17166659238741</v>
      </c>
      <c r="T26" s="178">
        <f t="shared" si="10"/>
        <v>5</v>
      </c>
      <c r="U26" s="223">
        <f t="shared" si="11"/>
        <v>0.12268518518518517</v>
      </c>
      <c r="V26" s="223">
        <f t="shared" si="12"/>
        <v>0.22492283950617281</v>
      </c>
      <c r="W26" s="223">
        <f t="shared" si="13"/>
        <v>0.34273956496178715</v>
      </c>
      <c r="X26" s="203">
        <f t="shared" si="14"/>
        <v>350</v>
      </c>
      <c r="Y26" s="454">
        <f t="shared" si="54"/>
        <v>350</v>
      </c>
      <c r="AA26" s="223">
        <f t="shared" si="15"/>
        <v>0.61749571183533458</v>
      </c>
      <c r="AB26" s="179">
        <f t="shared" si="16"/>
        <v>1.7250673854447443</v>
      </c>
      <c r="AC26" s="179">
        <f t="shared" si="17"/>
        <v>0.55924139939803896</v>
      </c>
      <c r="AD26" s="179"/>
      <c r="AE26" s="179">
        <f t="shared" si="18"/>
        <v>0.419047619047619</v>
      </c>
      <c r="AF26" s="563">
        <f t="shared" si="65"/>
        <v>1113.6363636363637</v>
      </c>
      <c r="AG26" s="546">
        <f t="shared" si="19"/>
        <v>3.2999999999999995E-2</v>
      </c>
      <c r="AI26" s="179">
        <f t="shared" si="20"/>
        <v>0.28203803740888306</v>
      </c>
      <c r="AJ26" s="179">
        <f t="shared" si="21"/>
        <v>0.28203803740888306</v>
      </c>
      <c r="AK26" s="179">
        <f t="shared" si="22"/>
        <v>1.2978059536362097</v>
      </c>
      <c r="AM26" s="563">
        <f t="shared" si="23"/>
        <v>105</v>
      </c>
      <c r="AN26" s="472">
        <f t="shared" si="24"/>
        <v>350</v>
      </c>
      <c r="AP26">
        <f t="shared" si="25"/>
        <v>105</v>
      </c>
      <c r="AQ26" s="472">
        <f t="shared" si="26"/>
        <v>350</v>
      </c>
      <c r="AR26" s="472"/>
      <c r="AS26" s="6">
        <f t="shared" si="55"/>
        <v>2.8571428571428572</v>
      </c>
      <c r="AT26" s="6">
        <f t="shared" si="27"/>
        <v>0.51706973524961897</v>
      </c>
      <c r="AU26" s="6">
        <f t="shared" si="56"/>
        <v>2.340073121893238</v>
      </c>
      <c r="AV26" s="6">
        <f t="shared" si="28"/>
        <v>0.78791578704703835</v>
      </c>
      <c r="AW26" s="179">
        <f t="shared" si="57"/>
        <v>0.18097440733736664</v>
      </c>
      <c r="AX26" s="179">
        <f t="shared" si="29"/>
        <v>0.61249999999999971</v>
      </c>
      <c r="AY26" s="179">
        <f t="shared" si="30"/>
        <v>0.34649455611332458</v>
      </c>
      <c r="AZ26" s="179">
        <f t="shared" si="58"/>
        <v>1.767704540211233</v>
      </c>
      <c r="BA26" s="472">
        <f t="shared" si="31"/>
        <v>24.124421502313997</v>
      </c>
      <c r="BB26" s="472">
        <f t="shared" si="32"/>
        <v>0.92827376994680866</v>
      </c>
      <c r="BC26" s="6">
        <f t="shared" si="33"/>
        <v>4.7397314390198682E-2</v>
      </c>
      <c r="BD26" s="563">
        <f t="shared" si="34"/>
        <v>12.308623057535256</v>
      </c>
      <c r="BE26" s="6"/>
      <c r="BF26" s="179">
        <f t="shared" si="59"/>
        <v>6.9271666869760135E-2</v>
      </c>
      <c r="BG26" s="179">
        <f t="shared" si="35"/>
        <v>0.4420964704203465</v>
      </c>
      <c r="BH26" s="179"/>
      <c r="BI26" s="546">
        <f t="shared" si="36"/>
        <v>1.6794973408202584E-3</v>
      </c>
      <c r="BJ26" s="546">
        <f t="shared" si="37"/>
        <v>2.9428906465883142E-2</v>
      </c>
      <c r="BK26" s="546">
        <f t="shared" si="38"/>
        <v>4.3749999999999995E-3</v>
      </c>
      <c r="BL26" s="546">
        <f t="shared" si="39"/>
        <v>2.7651093750000001E-2</v>
      </c>
      <c r="BM26">
        <f t="shared" si="40"/>
        <v>6.96E-3</v>
      </c>
      <c r="BN26" s="546">
        <f t="shared" si="41"/>
        <v>7.0362176672919732E-2</v>
      </c>
      <c r="BO26" s="472">
        <f t="shared" si="60"/>
        <v>70.36217667291973</v>
      </c>
      <c r="BP26" s="546">
        <f t="shared" si="42"/>
        <v>2.8665E-2</v>
      </c>
      <c r="BQ26" s="546"/>
      <c r="BS26" s="472">
        <f t="shared" si="61"/>
        <v>28.664999999999999</v>
      </c>
      <c r="BT26" s="546">
        <f t="shared" si="43"/>
        <v>9.5971276618300478E-4</v>
      </c>
      <c r="BU26" s="546">
        <f t="shared" si="44"/>
        <v>7.8179715663251326E-3</v>
      </c>
      <c r="BV26" s="546">
        <f t="shared" si="45"/>
        <v>4.8407128933369431E-3</v>
      </c>
      <c r="BW26" s="546">
        <f t="shared" si="46"/>
        <v>1.4682029283218757E-2</v>
      </c>
      <c r="BX26" s="546">
        <f t="shared" si="47"/>
        <v>1.3920454545454541E-2</v>
      </c>
      <c r="BY26" s="472">
        <f t="shared" si="62"/>
        <v>28.602483828673297</v>
      </c>
      <c r="BZ26" s="179">
        <f t="shared" si="48"/>
        <v>0.12762966050159302</v>
      </c>
      <c r="CA26" s="6">
        <f t="shared" si="49"/>
        <v>0.52500000000000002</v>
      </c>
      <c r="CB26" s="179">
        <f t="shared" si="63"/>
        <v>0.80443784855947176</v>
      </c>
      <c r="CC26" s="6">
        <f t="shared" si="64"/>
        <v>80.443784855947172</v>
      </c>
      <c r="CF26" s="581">
        <f t="shared" si="50"/>
        <v>-50</v>
      </c>
      <c r="CG26">
        <f t="shared" si="51"/>
        <v>-50</v>
      </c>
    </row>
    <row r="27" spans="5:85" x14ac:dyDescent="0.2">
      <c r="E27" s="176">
        <v>22</v>
      </c>
      <c r="F27" s="223">
        <f t="shared" si="52"/>
        <v>0.11</v>
      </c>
      <c r="G27" s="223"/>
      <c r="H27" s="223">
        <f t="shared" si="0"/>
        <v>0.55000000000000004</v>
      </c>
      <c r="I27" s="559">
        <f t="shared" si="1"/>
        <v>24</v>
      </c>
      <c r="J27" s="178">
        <f t="shared" si="2"/>
        <v>15.75</v>
      </c>
      <c r="K27" s="454">
        <f t="shared" si="3"/>
        <v>39.75</v>
      </c>
      <c r="L27" s="454"/>
      <c r="M27" s="223">
        <f t="shared" si="4"/>
        <v>0.39622641509433965</v>
      </c>
      <c r="N27" s="178">
        <f t="shared" si="5"/>
        <v>3.2094339622641508</v>
      </c>
      <c r="O27" s="178">
        <f t="shared" si="53"/>
        <v>0.55000000000000004</v>
      </c>
      <c r="P27" s="223">
        <f t="shared" si="6"/>
        <v>0.6418867924528302</v>
      </c>
      <c r="Q27" s="223">
        <f t="shared" si="7"/>
        <v>5</v>
      </c>
      <c r="R27" s="223">
        <f t="shared" si="8"/>
        <v>0.71320754716981138</v>
      </c>
      <c r="S27" s="178">
        <f t="shared" si="9"/>
        <v>65.666704958813696</v>
      </c>
      <c r="T27" s="178">
        <f t="shared" si="10"/>
        <v>5</v>
      </c>
      <c r="U27" s="223">
        <f t="shared" si="11"/>
        <v>0.12852733686067019</v>
      </c>
      <c r="V27" s="223">
        <f t="shared" si="12"/>
        <v>0.23563345091122867</v>
      </c>
      <c r="W27" s="223">
        <f t="shared" si="13"/>
        <v>0.35906049662663414</v>
      </c>
      <c r="X27" s="203">
        <f t="shared" si="14"/>
        <v>350</v>
      </c>
      <c r="Y27" s="454">
        <f t="shared" si="54"/>
        <v>350</v>
      </c>
      <c r="AA27" s="223">
        <f t="shared" si="15"/>
        <v>0.61749571183533458</v>
      </c>
      <c r="AB27" s="179">
        <f t="shared" si="16"/>
        <v>1.7250673854447443</v>
      </c>
      <c r="AC27" s="179">
        <f t="shared" si="17"/>
        <v>0.55924139939803896</v>
      </c>
      <c r="AD27" s="179"/>
      <c r="AE27" s="179">
        <f t="shared" si="18"/>
        <v>0.419047619047619</v>
      </c>
      <c r="AF27" s="563">
        <f t="shared" si="65"/>
        <v>1166.666666666667</v>
      </c>
      <c r="AG27" s="546">
        <f t="shared" si="19"/>
        <v>3.2999999999999995E-2</v>
      </c>
      <c r="AI27" s="179">
        <f t="shared" si="20"/>
        <v>0.28867513459481287</v>
      </c>
      <c r="AJ27" s="179">
        <f t="shared" si="21"/>
        <v>0.28867513459481287</v>
      </c>
      <c r="AK27" s="179">
        <f t="shared" si="22"/>
        <v>1.3027223219220836</v>
      </c>
      <c r="AM27" s="563">
        <f t="shared" si="23"/>
        <v>110</v>
      </c>
      <c r="AN27" s="472">
        <f t="shared" si="24"/>
        <v>350</v>
      </c>
      <c r="AP27">
        <f t="shared" si="25"/>
        <v>110</v>
      </c>
      <c r="AQ27" s="472">
        <f t="shared" si="26"/>
        <v>350</v>
      </c>
      <c r="AR27" s="472"/>
      <c r="AS27" s="6">
        <f t="shared" si="55"/>
        <v>2.8571428571428572</v>
      </c>
      <c r="AT27" s="6">
        <f t="shared" si="27"/>
        <v>0.52923774675715685</v>
      </c>
      <c r="AU27" s="6">
        <f t="shared" si="56"/>
        <v>2.3279051103857005</v>
      </c>
      <c r="AV27" s="6">
        <f t="shared" si="28"/>
        <v>0.80645751886804851</v>
      </c>
      <c r="AW27" s="179">
        <f t="shared" si="57"/>
        <v>0.1852332113650049</v>
      </c>
      <c r="AX27" s="179">
        <f t="shared" si="29"/>
        <v>0.64166666666666672</v>
      </c>
      <c r="AY27" s="179">
        <f t="shared" si="30"/>
        <v>0.35280436855888597</v>
      </c>
      <c r="AZ27" s="179">
        <f t="shared" si="58"/>
        <v>1.8187605479141544</v>
      </c>
      <c r="BA27" s="472">
        <f t="shared" si="31"/>
        <v>24.124421502313997</v>
      </c>
      <c r="BB27" s="472">
        <f t="shared" si="32"/>
        <v>1.0030714391252957</v>
      </c>
      <c r="BC27" s="6">
        <f t="shared" si="33"/>
        <v>4.9396134672536077E-2</v>
      </c>
      <c r="BD27" s="563">
        <f t="shared" si="34"/>
        <v>12.872709663155694</v>
      </c>
      <c r="BE27" s="6"/>
      <c r="BF27" s="179">
        <f t="shared" si="59"/>
        <v>7.173121344548164E-2</v>
      </c>
      <c r="BG27" s="179">
        <f t="shared" si="35"/>
        <v>0.45132216559653782</v>
      </c>
      <c r="BH27" s="179"/>
      <c r="BI27" s="546">
        <f t="shared" si="36"/>
        <v>1.800878443826436E-3</v>
      </c>
      <c r="BJ27" s="546">
        <f t="shared" si="37"/>
        <v>3.0121446075377506E-2</v>
      </c>
      <c r="BK27" s="546">
        <f t="shared" si="38"/>
        <v>4.3749999999999995E-3</v>
      </c>
      <c r="BL27" s="546">
        <f t="shared" si="39"/>
        <v>2.7651093750000001E-2</v>
      </c>
      <c r="BM27">
        <f t="shared" si="40"/>
        <v>6.96E-3</v>
      </c>
      <c r="BN27" s="546">
        <f t="shared" si="41"/>
        <v>7.1195963452208952E-2</v>
      </c>
      <c r="BO27" s="472">
        <f t="shared" si="60"/>
        <v>71.195963452208957</v>
      </c>
      <c r="BP27" s="546">
        <f t="shared" si="42"/>
        <v>3.0030000000000001E-2</v>
      </c>
      <c r="BQ27" s="546"/>
      <c r="BS27" s="472">
        <f t="shared" si="61"/>
        <v>30.03</v>
      </c>
      <c r="BT27" s="546">
        <f t="shared" si="43"/>
        <v>1.0290733964722493E-3</v>
      </c>
      <c r="BU27" s="546">
        <f t="shared" si="44"/>
        <v>8.1476678863499491E-3</v>
      </c>
      <c r="BV27" s="546">
        <f t="shared" si="45"/>
        <v>5.1305456673860234E-3</v>
      </c>
      <c r="BW27" s="546">
        <f t="shared" si="46"/>
        <v>1.5419816197256559E-2</v>
      </c>
      <c r="BX27" s="546">
        <f t="shared" si="47"/>
        <v>1.4583333333333335E-2</v>
      </c>
      <c r="BY27" s="472">
        <f t="shared" si="62"/>
        <v>30.003149530589894</v>
      </c>
      <c r="BZ27" s="179">
        <f t="shared" si="48"/>
        <v>0.13122911298279885</v>
      </c>
      <c r="CA27" s="6">
        <f t="shared" si="49"/>
        <v>0.55000000000000004</v>
      </c>
      <c r="CB27" s="179">
        <f t="shared" si="63"/>
        <v>0.8073642031999998</v>
      </c>
      <c r="CC27" s="6">
        <f t="shared" si="64"/>
        <v>80.736420319999979</v>
      </c>
      <c r="CF27" s="581">
        <f t="shared" si="50"/>
        <v>-50</v>
      </c>
      <c r="CG27">
        <f t="shared" si="51"/>
        <v>-50</v>
      </c>
    </row>
    <row r="28" spans="5:85" x14ac:dyDescent="0.2">
      <c r="E28" s="176">
        <v>23</v>
      </c>
      <c r="F28" s="223">
        <f t="shared" si="52"/>
        <v>0.115</v>
      </c>
      <c r="G28" s="223"/>
      <c r="H28" s="223">
        <f t="shared" si="0"/>
        <v>0.57500000000000007</v>
      </c>
      <c r="I28" s="559">
        <f t="shared" si="1"/>
        <v>24</v>
      </c>
      <c r="J28" s="178">
        <f t="shared" si="2"/>
        <v>15.75</v>
      </c>
      <c r="K28" s="454">
        <f t="shared" si="3"/>
        <v>39.75</v>
      </c>
      <c r="L28" s="454"/>
      <c r="M28" s="223">
        <f t="shared" si="4"/>
        <v>0.39622641509433965</v>
      </c>
      <c r="N28" s="178">
        <f t="shared" si="5"/>
        <v>3.2094339622641508</v>
      </c>
      <c r="O28" s="178">
        <f t="shared" si="53"/>
        <v>0.57500000000000007</v>
      </c>
      <c r="P28" s="223">
        <f t="shared" si="6"/>
        <v>0.6418867924528302</v>
      </c>
      <c r="Q28" s="223">
        <f t="shared" si="7"/>
        <v>5</v>
      </c>
      <c r="R28" s="223">
        <f t="shared" si="8"/>
        <v>0.71320754716981138</v>
      </c>
      <c r="S28" s="178">
        <f t="shared" si="9"/>
        <v>62.466672055862411</v>
      </c>
      <c r="T28" s="178">
        <f t="shared" si="10"/>
        <v>5</v>
      </c>
      <c r="U28" s="223">
        <f t="shared" si="11"/>
        <v>0.13436948853615521</v>
      </c>
      <c r="V28" s="223">
        <f t="shared" si="12"/>
        <v>0.24634406231628453</v>
      </c>
      <c r="W28" s="223">
        <f t="shared" si="13"/>
        <v>0.37538142829148119</v>
      </c>
      <c r="X28" s="203">
        <f t="shared" si="14"/>
        <v>350</v>
      </c>
      <c r="Y28" s="454">
        <f t="shared" si="54"/>
        <v>350</v>
      </c>
      <c r="AA28" s="223">
        <f t="shared" si="15"/>
        <v>0.61749571183533458</v>
      </c>
      <c r="AB28" s="179">
        <f t="shared" si="16"/>
        <v>1.7250673854447443</v>
      </c>
      <c r="AC28" s="179">
        <f t="shared" si="17"/>
        <v>0.55924139939803896</v>
      </c>
      <c r="AD28" s="179"/>
      <c r="AE28" s="179">
        <f t="shared" si="18"/>
        <v>0.419047619047619</v>
      </c>
      <c r="AF28" s="563">
        <f t="shared" si="65"/>
        <v>1219.69696969697</v>
      </c>
      <c r="AG28" s="546">
        <f t="shared" si="19"/>
        <v>3.2999999999999995E-2</v>
      </c>
      <c r="AI28" s="179">
        <f t="shared" si="20"/>
        <v>0.29516302634512359</v>
      </c>
      <c r="AJ28" s="179">
        <f t="shared" si="21"/>
        <v>0.29516302634512359</v>
      </c>
      <c r="AK28" s="179">
        <f t="shared" si="22"/>
        <v>1.3075281676630546</v>
      </c>
      <c r="AM28" s="563">
        <f t="shared" si="23"/>
        <v>115</v>
      </c>
      <c r="AN28" s="472">
        <f t="shared" si="24"/>
        <v>350</v>
      </c>
      <c r="AP28">
        <f t="shared" si="25"/>
        <v>115</v>
      </c>
      <c r="AQ28" s="472">
        <f t="shared" si="26"/>
        <v>350</v>
      </c>
      <c r="AR28" s="472"/>
      <c r="AS28" s="6">
        <f t="shared" si="55"/>
        <v>2.8571428571428572</v>
      </c>
      <c r="AT28" s="6">
        <f t="shared" si="27"/>
        <v>0.5411322149660599</v>
      </c>
      <c r="AU28" s="6">
        <f t="shared" si="56"/>
        <v>2.3160106421767974</v>
      </c>
      <c r="AV28" s="6">
        <f t="shared" si="28"/>
        <v>0.8245824228054246</v>
      </c>
      <c r="AW28" s="179">
        <f t="shared" si="57"/>
        <v>0.18939627523812097</v>
      </c>
      <c r="AX28" s="179">
        <f t="shared" si="29"/>
        <v>0.67083333333333339</v>
      </c>
      <c r="AY28" s="179">
        <f t="shared" si="30"/>
        <v>0.35889037285101871</v>
      </c>
      <c r="AZ28" s="179">
        <f t="shared" si="58"/>
        <v>1.869187317576243</v>
      </c>
      <c r="BA28" s="472">
        <f t="shared" si="31"/>
        <v>24.124421502313997</v>
      </c>
      <c r="BB28" s="472">
        <f t="shared" si="32"/>
        <v>1.080650395242317</v>
      </c>
      <c r="BC28" s="6">
        <f t="shared" si="33"/>
        <v>5.137755089705473E-2</v>
      </c>
      <c r="BD28" s="563">
        <f t="shared" si="34"/>
        <v>13.435154841922744</v>
      </c>
      <c r="BE28" s="6"/>
      <c r="BF28" s="179">
        <f t="shared" si="59"/>
        <v>7.4162958116991293E-2</v>
      </c>
      <c r="BG28" s="179">
        <f t="shared" si="35"/>
        <v>0.46028506075439052</v>
      </c>
      <c r="BH28" s="179"/>
      <c r="BI28" s="546">
        <f t="shared" si="36"/>
        <v>1.9250505248319116E-3</v>
      </c>
      <c r="BJ28" s="546">
        <f t="shared" si="37"/>
        <v>3.0798417030198984E-2</v>
      </c>
      <c r="BK28" s="546">
        <f t="shared" si="38"/>
        <v>4.3749999999999995E-3</v>
      </c>
      <c r="BL28" s="546">
        <f t="shared" si="39"/>
        <v>2.7651093750000001E-2</v>
      </c>
      <c r="BM28">
        <f t="shared" si="40"/>
        <v>6.96E-3</v>
      </c>
      <c r="BN28" s="546">
        <f t="shared" si="41"/>
        <v>7.2017480946692705E-2</v>
      </c>
      <c r="BO28" s="472">
        <f t="shared" si="60"/>
        <v>72.0174809466927</v>
      </c>
      <c r="BP28" s="546">
        <f t="shared" si="42"/>
        <v>3.1395000000000006E-2</v>
      </c>
      <c r="BQ28" s="546"/>
      <c r="BS28" s="472">
        <f t="shared" si="61"/>
        <v>31.395000000000007</v>
      </c>
      <c r="BT28" s="546">
        <f t="shared" si="43"/>
        <v>1.100028871332521E-3</v>
      </c>
      <c r="BU28" s="546">
        <f t="shared" si="44"/>
        <v>8.4744934861469192E-3</v>
      </c>
      <c r="BV28" s="546">
        <f t="shared" si="45"/>
        <v>5.4236917846037357E-3</v>
      </c>
      <c r="BW28" s="546">
        <f t="shared" si="46"/>
        <v>1.615953441086097E-2</v>
      </c>
      <c r="BX28" s="546">
        <f t="shared" si="47"/>
        <v>1.5246212121212126E-2</v>
      </c>
      <c r="BY28" s="472">
        <f t="shared" si="62"/>
        <v>31.405746532073092</v>
      </c>
      <c r="BZ28" s="179">
        <f t="shared" si="48"/>
        <v>0.13481822747876582</v>
      </c>
      <c r="CA28" s="6">
        <f t="shared" si="49"/>
        <v>0.57500000000000007</v>
      </c>
      <c r="CB28" s="179">
        <f t="shared" si="63"/>
        <v>0.81006654625137975</v>
      </c>
      <c r="CC28" s="6">
        <f t="shared" si="64"/>
        <v>81.006654625137969</v>
      </c>
      <c r="CF28" s="581">
        <f t="shared" si="50"/>
        <v>-50</v>
      </c>
      <c r="CG28">
        <f t="shared" si="51"/>
        <v>-50</v>
      </c>
    </row>
    <row r="29" spans="5:85" x14ac:dyDescent="0.2">
      <c r="E29" s="176">
        <v>24</v>
      </c>
      <c r="F29" s="223">
        <f t="shared" si="52"/>
        <v>0.12</v>
      </c>
      <c r="G29" s="223"/>
      <c r="H29" s="223">
        <f t="shared" si="0"/>
        <v>0.6</v>
      </c>
      <c r="I29" s="559">
        <f t="shared" si="1"/>
        <v>24</v>
      </c>
      <c r="J29" s="178">
        <f t="shared" si="2"/>
        <v>15.75</v>
      </c>
      <c r="K29" s="454">
        <f t="shared" si="3"/>
        <v>39.75</v>
      </c>
      <c r="L29" s="454"/>
      <c r="M29" s="223">
        <f t="shared" si="4"/>
        <v>0.39622641509433965</v>
      </c>
      <c r="N29" s="178">
        <f t="shared" si="5"/>
        <v>3.2094339622641508</v>
      </c>
      <c r="O29" s="178">
        <f t="shared" si="53"/>
        <v>0.6</v>
      </c>
      <c r="P29" s="223">
        <f t="shared" si="6"/>
        <v>0.6418867924528302</v>
      </c>
      <c r="Q29" s="223">
        <f t="shared" si="7"/>
        <v>5</v>
      </c>
      <c r="R29" s="223">
        <f t="shared" si="8"/>
        <v>0.71320754716981138</v>
      </c>
      <c r="S29" s="178">
        <f t="shared" si="9"/>
        <v>59.533454072385616</v>
      </c>
      <c r="T29" s="178">
        <f t="shared" si="10"/>
        <v>5</v>
      </c>
      <c r="U29" s="223">
        <f t="shared" si="11"/>
        <v>0.1402116402116402</v>
      </c>
      <c r="V29" s="223">
        <f t="shared" si="12"/>
        <v>0.25705467372134033</v>
      </c>
      <c r="W29" s="223">
        <f t="shared" si="13"/>
        <v>0.39170235995632818</v>
      </c>
      <c r="X29" s="203">
        <f t="shared" si="14"/>
        <v>350</v>
      </c>
      <c r="Y29" s="454">
        <f t="shared" si="54"/>
        <v>350</v>
      </c>
      <c r="AA29" s="223">
        <f t="shared" si="15"/>
        <v>0.61749571183533458</v>
      </c>
      <c r="AB29" s="179">
        <f t="shared" si="16"/>
        <v>1.7250673854447443</v>
      </c>
      <c r="AC29" s="179">
        <f t="shared" si="17"/>
        <v>0.55924139939803896</v>
      </c>
      <c r="AD29" s="179"/>
      <c r="AE29" s="179">
        <f t="shared" si="18"/>
        <v>0.419047619047619</v>
      </c>
      <c r="AF29" s="563">
        <f t="shared" si="65"/>
        <v>1272.727272727273</v>
      </c>
      <c r="AG29" s="546">
        <f t="shared" si="19"/>
        <v>3.2999999999999995E-2</v>
      </c>
      <c r="AI29" s="179">
        <f t="shared" si="20"/>
        <v>0.30151134457776363</v>
      </c>
      <c r="AJ29" s="179">
        <f t="shared" si="21"/>
        <v>0.30151134457776363</v>
      </c>
      <c r="AK29" s="179">
        <f t="shared" si="22"/>
        <v>1.3122306256131582</v>
      </c>
      <c r="AM29" s="563">
        <f t="shared" si="23"/>
        <v>120</v>
      </c>
      <c r="AN29" s="472">
        <f t="shared" si="24"/>
        <v>350</v>
      </c>
      <c r="AP29">
        <f t="shared" si="25"/>
        <v>120</v>
      </c>
      <c r="AQ29" s="472">
        <f t="shared" si="26"/>
        <v>350</v>
      </c>
      <c r="AR29" s="472"/>
      <c r="AS29" s="6">
        <f t="shared" si="55"/>
        <v>2.8571428571428572</v>
      </c>
      <c r="AT29" s="6">
        <f t="shared" si="27"/>
        <v>0.5527707983925666</v>
      </c>
      <c r="AU29" s="6">
        <f t="shared" si="56"/>
        <v>2.3043720587502907</v>
      </c>
      <c r="AV29" s="6">
        <f t="shared" si="28"/>
        <v>0.84231740707438729</v>
      </c>
      <c r="AW29" s="179">
        <f t="shared" si="57"/>
        <v>0.19346977943739829</v>
      </c>
      <c r="AX29" s="179">
        <f t="shared" si="29"/>
        <v>0.7</v>
      </c>
      <c r="AY29" s="179">
        <f t="shared" si="30"/>
        <v>0.36476701686664548</v>
      </c>
      <c r="AZ29" s="179">
        <f t="shared" si="58"/>
        <v>1.9190331571451036</v>
      </c>
      <c r="BA29" s="472">
        <f t="shared" si="31"/>
        <v>24.124421502313997</v>
      </c>
      <c r="BB29" s="472">
        <f t="shared" si="32"/>
        <v>1.1610106382978724</v>
      </c>
      <c r="BC29" s="6">
        <f t="shared" si="33"/>
        <v>5.3341945804404871E-2</v>
      </c>
      <c r="BD29" s="563">
        <f t="shared" si="34"/>
        <v>13.995986618989408</v>
      </c>
      <c r="BE29" s="6"/>
      <c r="BF29" s="179">
        <f t="shared" si="59"/>
        <v>7.6568404639329346E-2</v>
      </c>
      <c r="BG29" s="179">
        <f t="shared" si="35"/>
        <v>0.4690019055677323</v>
      </c>
      <c r="BH29" s="179"/>
      <c r="BI29" s="546">
        <f t="shared" si="36"/>
        <v>2.0519522061542249E-3</v>
      </c>
      <c r="BJ29" s="546">
        <f t="shared" si="37"/>
        <v>3.1460824360786017E-2</v>
      </c>
      <c r="BK29" s="546">
        <f t="shared" si="38"/>
        <v>4.3749999999999995E-3</v>
      </c>
      <c r="BL29" s="546">
        <f t="shared" si="39"/>
        <v>2.7651093750000001E-2</v>
      </c>
      <c r="BM29">
        <f t="shared" si="40"/>
        <v>6.96E-3</v>
      </c>
      <c r="BN29" s="546">
        <f t="shared" si="41"/>
        <v>7.2827664439017711E-2</v>
      </c>
      <c r="BO29" s="472">
        <f t="shared" si="60"/>
        <v>72.82766443901771</v>
      </c>
      <c r="BP29" s="546">
        <f t="shared" si="42"/>
        <v>3.2759999999999997E-2</v>
      </c>
      <c r="BQ29" s="546"/>
      <c r="BS29" s="472">
        <f t="shared" si="61"/>
        <v>32.76</v>
      </c>
      <c r="BT29" s="546">
        <f t="shared" si="43"/>
        <v>1.1725441178024145E-3</v>
      </c>
      <c r="BU29" s="546">
        <f t="shared" si="44"/>
        <v>8.7985114970465638E-3</v>
      </c>
      <c r="BV29" s="546">
        <f t="shared" si="45"/>
        <v>5.7200425414160915E-3</v>
      </c>
      <c r="BW29" s="546">
        <f t="shared" si="46"/>
        <v>1.6901106579939835E-2</v>
      </c>
      <c r="BX29" s="546">
        <f t="shared" si="47"/>
        <v>1.5909090909090914E-2</v>
      </c>
      <c r="BY29" s="472">
        <f t="shared" si="62"/>
        <v>32.810197489030749</v>
      </c>
      <c r="BZ29" s="179">
        <f t="shared" si="48"/>
        <v>0.13839786192804845</v>
      </c>
      <c r="CA29" s="6">
        <f t="shared" si="49"/>
        <v>0.6</v>
      </c>
      <c r="CB29" s="179">
        <f t="shared" si="63"/>
        <v>0.81257006681103527</v>
      </c>
      <c r="CC29" s="6">
        <f t="shared" si="64"/>
        <v>81.257006681103533</v>
      </c>
      <c r="CF29" s="581">
        <f t="shared" si="50"/>
        <v>-50</v>
      </c>
      <c r="CG29">
        <f t="shared" si="51"/>
        <v>-50</v>
      </c>
    </row>
    <row r="30" spans="5:85" x14ac:dyDescent="0.2">
      <c r="E30" s="176">
        <v>25</v>
      </c>
      <c r="F30" s="223">
        <f t="shared" si="52"/>
        <v>0.125</v>
      </c>
      <c r="G30" s="223"/>
      <c r="H30" s="223">
        <f t="shared" si="0"/>
        <v>0.625</v>
      </c>
      <c r="I30" s="559">
        <f t="shared" si="1"/>
        <v>24</v>
      </c>
      <c r="J30" s="178">
        <f t="shared" si="2"/>
        <v>15.75</v>
      </c>
      <c r="K30" s="454">
        <f t="shared" si="3"/>
        <v>39.75</v>
      </c>
      <c r="L30" s="454"/>
      <c r="M30" s="223">
        <f t="shared" si="4"/>
        <v>0.39622641509433965</v>
      </c>
      <c r="N30" s="178">
        <f t="shared" si="5"/>
        <v>3.2094339622641508</v>
      </c>
      <c r="O30" s="178">
        <f t="shared" si="53"/>
        <v>0.625</v>
      </c>
      <c r="P30" s="223">
        <f t="shared" si="6"/>
        <v>0.6418867924528302</v>
      </c>
      <c r="Q30" s="223">
        <f t="shared" si="7"/>
        <v>5</v>
      </c>
      <c r="R30" s="223">
        <f t="shared" si="8"/>
        <v>0.71320754716981138</v>
      </c>
      <c r="S30" s="178">
        <f t="shared" si="9"/>
        <v>56.835035451658669</v>
      </c>
      <c r="T30" s="178">
        <f t="shared" si="10"/>
        <v>5</v>
      </c>
      <c r="U30" s="223">
        <f t="shared" si="11"/>
        <v>0.1460537918871252</v>
      </c>
      <c r="V30" s="223">
        <f t="shared" si="12"/>
        <v>0.26776528512639619</v>
      </c>
      <c r="W30" s="223">
        <f t="shared" si="13"/>
        <v>0.40802329162117518</v>
      </c>
      <c r="X30" s="203">
        <f t="shared" si="14"/>
        <v>350</v>
      </c>
      <c r="Y30" s="454">
        <f t="shared" si="54"/>
        <v>350</v>
      </c>
      <c r="AA30" s="223">
        <f t="shared" si="15"/>
        <v>0.61749571183533458</v>
      </c>
      <c r="AB30" s="179">
        <f t="shared" si="16"/>
        <v>1.7250673854447443</v>
      </c>
      <c r="AC30" s="179">
        <f t="shared" si="17"/>
        <v>0.55924139939803896</v>
      </c>
      <c r="AD30" s="179"/>
      <c r="AE30" s="179">
        <f t="shared" si="18"/>
        <v>0.419047619047619</v>
      </c>
      <c r="AF30" s="563">
        <f t="shared" si="65"/>
        <v>1325.757575757576</v>
      </c>
      <c r="AG30" s="546">
        <f t="shared" si="19"/>
        <v>3.2999999999999995E-2</v>
      </c>
      <c r="AI30" s="179">
        <f t="shared" si="20"/>
        <v>0.30772872744833185</v>
      </c>
      <c r="AJ30" s="179">
        <f t="shared" si="21"/>
        <v>0.30772872744833185</v>
      </c>
      <c r="AK30" s="179">
        <f t="shared" si="22"/>
        <v>1.3168360944061717</v>
      </c>
      <c r="AM30" s="563">
        <f t="shared" si="23"/>
        <v>125</v>
      </c>
      <c r="AN30" s="472">
        <f t="shared" si="24"/>
        <v>350</v>
      </c>
      <c r="AP30">
        <f t="shared" si="25"/>
        <v>125</v>
      </c>
      <c r="AQ30" s="472">
        <f t="shared" si="26"/>
        <v>350</v>
      </c>
      <c r="AR30" s="472"/>
      <c r="AS30" s="6">
        <f t="shared" si="55"/>
        <v>2.8571428571428572</v>
      </c>
      <c r="AT30" s="6">
        <f t="shared" si="27"/>
        <v>0.564169333655275</v>
      </c>
      <c r="AU30" s="6">
        <f t="shared" si="56"/>
        <v>2.2929735234875821</v>
      </c>
      <c r="AV30" s="6">
        <f t="shared" si="28"/>
        <v>0.85968660366518102</v>
      </c>
      <c r="AW30" s="179">
        <f t="shared" si="57"/>
        <v>0.19745926677934625</v>
      </c>
      <c r="AX30" s="179">
        <f t="shared" si="29"/>
        <v>0.72916666666666674</v>
      </c>
      <c r="AY30" s="179">
        <f t="shared" si="30"/>
        <v>0.37044725783916449</v>
      </c>
      <c r="AZ30" s="179">
        <f t="shared" si="58"/>
        <v>1.9683413798766622</v>
      </c>
      <c r="BA30" s="472">
        <f t="shared" si="31"/>
        <v>24.124421502313997</v>
      </c>
      <c r="BB30" s="472">
        <f t="shared" si="32"/>
        <v>1.2441521682919625</v>
      </c>
      <c r="BC30" s="6">
        <f t="shared" si="33"/>
        <v>5.5289677939033131E-2</v>
      </c>
      <c r="BD30" s="563">
        <f t="shared" si="34"/>
        <v>14.555231501801343</v>
      </c>
      <c r="BE30" s="6"/>
      <c r="BF30" s="179">
        <f t="shared" si="59"/>
        <v>7.8948916400817068E-2</v>
      </c>
      <c r="BG30" s="179">
        <f t="shared" si="35"/>
        <v>0.47748772390831196</v>
      </c>
      <c r="BH30" s="179"/>
      <c r="BI30" s="546">
        <f t="shared" si="36"/>
        <v>2.1815259903021208E-3</v>
      </c>
      <c r="BJ30" s="546">
        <f t="shared" si="37"/>
        <v>3.2109569404686879E-2</v>
      </c>
      <c r="BK30" s="546">
        <f t="shared" si="38"/>
        <v>4.3749999999999995E-3</v>
      </c>
      <c r="BL30" s="546">
        <f t="shared" si="39"/>
        <v>2.7651093750000001E-2</v>
      </c>
      <c r="BM30">
        <f t="shared" si="40"/>
        <v>6.96E-3</v>
      </c>
      <c r="BN30" s="546">
        <f t="shared" si="41"/>
        <v>7.3627349975907613E-2</v>
      </c>
      <c r="BO30" s="472">
        <f t="shared" si="60"/>
        <v>73.62734997590762</v>
      </c>
      <c r="BP30" s="546">
        <f t="shared" si="42"/>
        <v>3.4125000000000003E-2</v>
      </c>
      <c r="BQ30" s="546"/>
      <c r="BS30" s="472">
        <f t="shared" si="61"/>
        <v>34.125</v>
      </c>
      <c r="BT30" s="546">
        <f t="shared" si="43"/>
        <v>1.2465862801726406E-3</v>
      </c>
      <c r="BU30" s="546">
        <f t="shared" si="44"/>
        <v>9.1197810593256143E-3</v>
      </c>
      <c r="BV30" s="546">
        <f t="shared" si="45"/>
        <v>6.0194972095526534E-3</v>
      </c>
      <c r="BW30" s="546">
        <f t="shared" si="46"/>
        <v>1.7644461347217325E-2</v>
      </c>
      <c r="BX30" s="546">
        <f t="shared" si="47"/>
        <v>1.6571969696969703E-2</v>
      </c>
      <c r="BY30" s="472">
        <f t="shared" si="62"/>
        <v>34.216431044187026</v>
      </c>
      <c r="BZ30" s="179">
        <f t="shared" si="48"/>
        <v>0.14196878102009464</v>
      </c>
      <c r="CA30" s="6">
        <f t="shared" si="49"/>
        <v>0.625</v>
      </c>
      <c r="CB30" s="179">
        <f t="shared" si="63"/>
        <v>0.81489627148673327</v>
      </c>
      <c r="CC30" s="6">
        <f t="shared" si="64"/>
        <v>81.489627148673321</v>
      </c>
      <c r="CF30" s="581">
        <f t="shared" si="50"/>
        <v>-50</v>
      </c>
      <c r="CG30">
        <f t="shared" si="51"/>
        <v>-50</v>
      </c>
    </row>
    <row r="31" spans="5:85" x14ac:dyDescent="0.2">
      <c r="E31" s="176">
        <v>26</v>
      </c>
      <c r="F31" s="223">
        <f t="shared" si="52"/>
        <v>0.13</v>
      </c>
      <c r="G31" s="223"/>
      <c r="H31" s="223">
        <f t="shared" si="0"/>
        <v>0.65</v>
      </c>
      <c r="I31" s="559">
        <f t="shared" si="1"/>
        <v>24</v>
      </c>
      <c r="J31" s="178">
        <f t="shared" si="2"/>
        <v>15.75</v>
      </c>
      <c r="K31" s="454">
        <f t="shared" si="3"/>
        <v>39.75</v>
      </c>
      <c r="L31" s="454"/>
      <c r="M31" s="223">
        <f t="shared" si="4"/>
        <v>0.39622641509433965</v>
      </c>
      <c r="N31" s="178">
        <f t="shared" si="5"/>
        <v>3.2094339622641508</v>
      </c>
      <c r="O31" s="178">
        <f t="shared" si="53"/>
        <v>0.65</v>
      </c>
      <c r="P31" s="223">
        <f t="shared" si="6"/>
        <v>0.6418867924528302</v>
      </c>
      <c r="Q31" s="223">
        <f t="shared" si="7"/>
        <v>5</v>
      </c>
      <c r="R31" s="223">
        <f t="shared" si="8"/>
        <v>0.71320754716981138</v>
      </c>
      <c r="S31" s="178">
        <f t="shared" si="9"/>
        <v>54.344326151188447</v>
      </c>
      <c r="T31" s="178">
        <f t="shared" si="10"/>
        <v>5</v>
      </c>
      <c r="U31" s="223">
        <f t="shared" si="11"/>
        <v>0.15189594356261021</v>
      </c>
      <c r="V31" s="223">
        <f t="shared" si="12"/>
        <v>0.27847589653145205</v>
      </c>
      <c r="W31" s="223">
        <f t="shared" si="13"/>
        <v>0.42434422328602217</v>
      </c>
      <c r="X31" s="203">
        <f t="shared" si="14"/>
        <v>350</v>
      </c>
      <c r="Y31" s="454">
        <f t="shared" si="54"/>
        <v>350</v>
      </c>
      <c r="AA31" s="223">
        <f t="shared" si="15"/>
        <v>0.61749571183533458</v>
      </c>
      <c r="AB31" s="179">
        <f t="shared" si="16"/>
        <v>1.7250673854447443</v>
      </c>
      <c r="AC31" s="179">
        <f t="shared" si="17"/>
        <v>0.55924139939803896</v>
      </c>
      <c r="AD31" s="179"/>
      <c r="AE31" s="179">
        <f t="shared" si="18"/>
        <v>0.419047619047619</v>
      </c>
      <c r="AF31" s="563">
        <f t="shared" si="65"/>
        <v>1378.7878787878792</v>
      </c>
      <c r="AG31" s="546">
        <f t="shared" si="19"/>
        <v>3.2999999999999995E-2</v>
      </c>
      <c r="AI31" s="179">
        <f t="shared" si="20"/>
        <v>0.31382295723042392</v>
      </c>
      <c r="AJ31" s="179">
        <f t="shared" si="21"/>
        <v>0.31382295723042392</v>
      </c>
      <c r="AK31" s="179">
        <f t="shared" si="22"/>
        <v>1.3213503386892029</v>
      </c>
      <c r="AM31" s="563">
        <f t="shared" si="23"/>
        <v>130</v>
      </c>
      <c r="AN31" s="472">
        <f t="shared" si="24"/>
        <v>350</v>
      </c>
      <c r="AP31">
        <f t="shared" si="25"/>
        <v>130</v>
      </c>
      <c r="AQ31" s="472">
        <f t="shared" si="26"/>
        <v>350</v>
      </c>
      <c r="AR31" s="472"/>
      <c r="AS31" s="6">
        <f t="shared" si="55"/>
        <v>2.8571428571428572</v>
      </c>
      <c r="AT31" s="6">
        <f t="shared" si="27"/>
        <v>0.57534208825577715</v>
      </c>
      <c r="AU31" s="6">
        <f t="shared" si="56"/>
        <v>2.2818007688870798</v>
      </c>
      <c r="AV31" s="6">
        <f t="shared" si="28"/>
        <v>0.87671175353261277</v>
      </c>
      <c r="AW31" s="179">
        <f t="shared" si="57"/>
        <v>0.20136973088952201</v>
      </c>
      <c r="AX31" s="179">
        <f t="shared" si="29"/>
        <v>0.7583333333333333</v>
      </c>
      <c r="AY31" s="179">
        <f t="shared" si="30"/>
        <v>0.37594276917896924</v>
      </c>
      <c r="AZ31" s="179">
        <f t="shared" si="58"/>
        <v>2.0171510014395975</v>
      </c>
      <c r="BA31" s="472">
        <f t="shared" si="31"/>
        <v>24.124421502313997</v>
      </c>
      <c r="BB31" s="472">
        <f t="shared" si="32"/>
        <v>1.3300749852245866</v>
      </c>
      <c r="BC31" s="6">
        <f t="shared" si="33"/>
        <v>5.7221084096319499E-2</v>
      </c>
      <c r="BD31" s="563">
        <f t="shared" si="34"/>
        <v>15.112914615970439</v>
      </c>
      <c r="BE31" s="6"/>
      <c r="BF31" s="179">
        <f t="shared" si="59"/>
        <v>8.1305734599082413E-2</v>
      </c>
      <c r="BG31" s="179">
        <f t="shared" si="35"/>
        <v>0.4857560531236616</v>
      </c>
      <c r="BH31" s="179"/>
      <c r="BI31" s="546">
        <f t="shared" si="36"/>
        <v>2.3137178675437494E-3</v>
      </c>
      <c r="BJ31" s="546">
        <f t="shared" si="37"/>
        <v>3.2745464193512042E-2</v>
      </c>
      <c r="BK31" s="546">
        <f t="shared" si="38"/>
        <v>4.3749999999999995E-3</v>
      </c>
      <c r="BL31" s="546">
        <f t="shared" si="39"/>
        <v>2.7651093750000001E-2</v>
      </c>
      <c r="BM31">
        <f t="shared" si="40"/>
        <v>6.96E-3</v>
      </c>
      <c r="BN31" s="546">
        <f t="shared" si="41"/>
        <v>7.4417288304401988E-2</v>
      </c>
      <c r="BO31" s="472">
        <f t="shared" si="60"/>
        <v>74.417288304401993</v>
      </c>
      <c r="BP31" s="546">
        <f t="shared" si="42"/>
        <v>3.5490000000000001E-2</v>
      </c>
      <c r="BQ31" s="546"/>
      <c r="BS31" s="472">
        <f t="shared" si="61"/>
        <v>35.49</v>
      </c>
      <c r="BT31" s="546">
        <f t="shared" si="43"/>
        <v>1.3221244957392856E-3</v>
      </c>
      <c r="BU31" s="546">
        <f t="shared" si="44"/>
        <v>9.4383577258511028E-3</v>
      </c>
      <c r="BV31" s="546">
        <f t="shared" si="45"/>
        <v>6.3219621532899072E-3</v>
      </c>
      <c r="BW31" s="546">
        <f t="shared" si="46"/>
        <v>1.8389532660611774E-2</v>
      </c>
      <c r="BX31" s="546">
        <f t="shared" si="47"/>
        <v>1.7234848484848488E-2</v>
      </c>
      <c r="BY31" s="472">
        <f t="shared" si="62"/>
        <v>35.624381145460262</v>
      </c>
      <c r="BZ31" s="179">
        <f t="shared" si="48"/>
        <v>0.14553166944986226</v>
      </c>
      <c r="CA31" s="6">
        <f t="shared" si="49"/>
        <v>0.65</v>
      </c>
      <c r="CB31" s="179">
        <f t="shared" si="63"/>
        <v>0.81706363801895843</v>
      </c>
      <c r="CC31" s="6">
        <f t="shared" si="64"/>
        <v>81.706363801895847</v>
      </c>
      <c r="CF31" s="581">
        <f t="shared" si="50"/>
        <v>-50</v>
      </c>
      <c r="CG31">
        <f t="shared" si="51"/>
        <v>-50</v>
      </c>
    </row>
    <row r="32" spans="5:85" x14ac:dyDescent="0.2">
      <c r="E32" s="176">
        <v>27</v>
      </c>
      <c r="F32" s="223">
        <f t="shared" si="52"/>
        <v>0.13500000000000001</v>
      </c>
      <c r="G32" s="223"/>
      <c r="H32" s="223">
        <f t="shared" si="0"/>
        <v>0.67500000000000004</v>
      </c>
      <c r="I32" s="559">
        <f t="shared" si="1"/>
        <v>24</v>
      </c>
      <c r="J32" s="178">
        <f t="shared" si="2"/>
        <v>15.75</v>
      </c>
      <c r="K32" s="454">
        <f t="shared" si="3"/>
        <v>39.75</v>
      </c>
      <c r="L32" s="454"/>
      <c r="M32" s="223">
        <f t="shared" si="4"/>
        <v>0.39622641509433965</v>
      </c>
      <c r="N32" s="178">
        <f t="shared" si="5"/>
        <v>3.2094339622641508</v>
      </c>
      <c r="O32" s="178">
        <f t="shared" si="53"/>
        <v>0.67500000000000004</v>
      </c>
      <c r="P32" s="223">
        <f t="shared" si="6"/>
        <v>0.6418867924528302</v>
      </c>
      <c r="Q32" s="223">
        <f t="shared" si="7"/>
        <v>5</v>
      </c>
      <c r="R32" s="223">
        <f t="shared" si="8"/>
        <v>0.71320754716981138</v>
      </c>
      <c r="S32" s="178">
        <f t="shared" si="9"/>
        <v>52.038249511480792</v>
      </c>
      <c r="T32" s="178">
        <f t="shared" si="10"/>
        <v>5</v>
      </c>
      <c r="U32" s="223">
        <f t="shared" si="11"/>
        <v>0.15773809523809523</v>
      </c>
      <c r="V32" s="223">
        <f t="shared" si="12"/>
        <v>0.28918650793650796</v>
      </c>
      <c r="W32" s="223">
        <f t="shared" si="13"/>
        <v>0.44066515495086922</v>
      </c>
      <c r="X32" s="203">
        <f t="shared" si="14"/>
        <v>350</v>
      </c>
      <c r="Y32" s="454">
        <f t="shared" si="54"/>
        <v>350</v>
      </c>
      <c r="AA32" s="223">
        <f t="shared" si="15"/>
        <v>0.61749571183533458</v>
      </c>
      <c r="AB32" s="179">
        <f t="shared" si="16"/>
        <v>1.7250673854447443</v>
      </c>
      <c r="AC32" s="179">
        <f t="shared" si="17"/>
        <v>0.55924139939803896</v>
      </c>
      <c r="AD32" s="179"/>
      <c r="AE32" s="179">
        <f t="shared" si="18"/>
        <v>0.419047619047619</v>
      </c>
      <c r="AF32" s="563">
        <f t="shared" si="65"/>
        <v>1431.8181818181822</v>
      </c>
      <c r="AG32" s="546">
        <f t="shared" si="19"/>
        <v>3.2999999999999995E-2</v>
      </c>
      <c r="AI32" s="179">
        <f t="shared" si="20"/>
        <v>0.31980107453341566</v>
      </c>
      <c r="AJ32" s="179">
        <f t="shared" si="21"/>
        <v>0.31980107453341566</v>
      </c>
      <c r="AK32" s="179">
        <f t="shared" si="22"/>
        <v>1.325778573728456</v>
      </c>
      <c r="AM32" s="563">
        <f t="shared" si="23"/>
        <v>135</v>
      </c>
      <c r="AN32" s="472">
        <f t="shared" si="24"/>
        <v>350</v>
      </c>
      <c r="AP32">
        <f t="shared" si="25"/>
        <v>135</v>
      </c>
      <c r="AQ32" s="472">
        <f t="shared" si="26"/>
        <v>350</v>
      </c>
      <c r="AR32" s="472"/>
      <c r="AS32" s="6">
        <f t="shared" si="55"/>
        <v>2.8571428571428572</v>
      </c>
      <c r="AT32" s="6">
        <f t="shared" si="27"/>
        <v>0.58630196997792872</v>
      </c>
      <c r="AU32" s="6">
        <f t="shared" si="56"/>
        <v>2.2708408871649284</v>
      </c>
      <c r="AV32" s="6">
        <f t="shared" si="28"/>
        <v>0.89341252568065321</v>
      </c>
      <c r="AW32" s="179">
        <f t="shared" si="57"/>
        <v>0.20520568949227505</v>
      </c>
      <c r="AX32" s="179">
        <f t="shared" si="29"/>
        <v>0.78749999999999998</v>
      </c>
      <c r="AY32" s="179">
        <f t="shared" si="30"/>
        <v>0.38126411180012348</v>
      </c>
      <c r="AZ32" s="179">
        <f t="shared" si="58"/>
        <v>2.0654973170221811</v>
      </c>
      <c r="BA32" s="472">
        <f t="shared" si="31"/>
        <v>24.124421502313997</v>
      </c>
      <c r="BB32" s="472">
        <f t="shared" si="32"/>
        <v>1.418779089095745</v>
      </c>
      <c r="BC32" s="6">
        <f t="shared" si="33"/>
        <v>5.9136481436586667E-2</v>
      </c>
      <c r="BD32" s="563">
        <f t="shared" si="34"/>
        <v>15.669059824492747</v>
      </c>
      <c r="BE32" s="6"/>
      <c r="BF32" s="179">
        <f t="shared" si="59"/>
        <v>8.3639993456590317E-2</v>
      </c>
      <c r="BG32" s="179">
        <f t="shared" si="35"/>
        <v>0.49381914226710122</v>
      </c>
      <c r="BH32" s="179"/>
      <c r="BI32" s="546">
        <f t="shared" si="36"/>
        <v>2.4484769768964645E-3</v>
      </c>
      <c r="BJ32" s="546">
        <f t="shared" si="37"/>
        <v>3.336924337084609E-2</v>
      </c>
      <c r="BK32" s="546">
        <f t="shared" si="38"/>
        <v>4.3749999999999995E-3</v>
      </c>
      <c r="BL32" s="546">
        <f t="shared" si="39"/>
        <v>2.7651093750000001E-2</v>
      </c>
      <c r="BM32">
        <f t="shared" si="40"/>
        <v>6.96E-3</v>
      </c>
      <c r="BN32" s="546">
        <f t="shared" si="41"/>
        <v>7.519815640041029E-2</v>
      </c>
      <c r="BO32" s="472">
        <f t="shared" si="60"/>
        <v>75.198156400410284</v>
      </c>
      <c r="BP32" s="546">
        <f t="shared" si="42"/>
        <v>3.6855000000000006E-2</v>
      </c>
      <c r="BQ32" s="546"/>
      <c r="BS32" s="472">
        <f t="shared" si="61"/>
        <v>36.855000000000004</v>
      </c>
      <c r="BT32" s="546">
        <f t="shared" si="43"/>
        <v>1.3991297010836944E-3</v>
      </c>
      <c r="BU32" s="546">
        <f t="shared" si="44"/>
        <v>9.7542938107766219E-3</v>
      </c>
      <c r="BV32" s="546">
        <f t="shared" si="45"/>
        <v>6.6273500748149101E-3</v>
      </c>
      <c r="BW32" s="546">
        <f t="shared" si="46"/>
        <v>1.9136259192354871E-2</v>
      </c>
      <c r="BX32" s="546">
        <f t="shared" si="47"/>
        <v>1.7897727272727277E-2</v>
      </c>
      <c r="BY32" s="472">
        <f t="shared" si="62"/>
        <v>37.033986465082144</v>
      </c>
      <c r="BZ32" s="179">
        <f t="shared" si="48"/>
        <v>0.14908714286549246</v>
      </c>
      <c r="CA32" s="6">
        <f t="shared" si="49"/>
        <v>0.67500000000000004</v>
      </c>
      <c r="CB32" s="179">
        <f t="shared" si="63"/>
        <v>0.81908813387490687</v>
      </c>
      <c r="CC32" s="6">
        <f t="shared" si="64"/>
        <v>81.908813387490682</v>
      </c>
      <c r="CF32" s="581">
        <f t="shared" si="50"/>
        <v>-50</v>
      </c>
      <c r="CG32">
        <f t="shared" si="51"/>
        <v>-50</v>
      </c>
    </row>
    <row r="33" spans="5:85" x14ac:dyDescent="0.2">
      <c r="E33" s="176">
        <v>28</v>
      </c>
      <c r="F33" s="223">
        <f t="shared" si="52"/>
        <v>0.14000000000000001</v>
      </c>
      <c r="G33" s="223"/>
      <c r="H33" s="223">
        <f t="shared" si="0"/>
        <v>0.70000000000000007</v>
      </c>
      <c r="I33" s="559">
        <f t="shared" si="1"/>
        <v>24</v>
      </c>
      <c r="J33" s="178">
        <f t="shared" si="2"/>
        <v>15.75</v>
      </c>
      <c r="K33" s="454">
        <f t="shared" si="3"/>
        <v>39.75</v>
      </c>
      <c r="L33" s="454"/>
      <c r="M33" s="223">
        <f t="shared" si="4"/>
        <v>0.39622641509433965</v>
      </c>
      <c r="N33" s="178">
        <f t="shared" si="5"/>
        <v>3.2094339622641508</v>
      </c>
      <c r="O33" s="178">
        <f t="shared" si="53"/>
        <v>0.70000000000000007</v>
      </c>
      <c r="P33" s="223">
        <f t="shared" si="6"/>
        <v>0.6418867924528302</v>
      </c>
      <c r="Q33" s="223">
        <f t="shared" si="7"/>
        <v>5</v>
      </c>
      <c r="R33" s="223">
        <f t="shared" si="8"/>
        <v>0.71320754716981138</v>
      </c>
      <c r="S33" s="178">
        <f t="shared" si="9"/>
        <v>49.897025581527949</v>
      </c>
      <c r="T33" s="178">
        <f t="shared" si="10"/>
        <v>5</v>
      </c>
      <c r="U33" s="223">
        <f t="shared" si="11"/>
        <v>0.16358024691358025</v>
      </c>
      <c r="V33" s="223">
        <f t="shared" si="12"/>
        <v>0.29989711934156377</v>
      </c>
      <c r="W33" s="223">
        <f t="shared" si="13"/>
        <v>0.45698608661571627</v>
      </c>
      <c r="X33" s="203">
        <f t="shared" si="14"/>
        <v>350</v>
      </c>
      <c r="Y33" s="454">
        <f t="shared" si="54"/>
        <v>350</v>
      </c>
      <c r="AA33" s="223">
        <f t="shared" si="15"/>
        <v>0.61749571183533458</v>
      </c>
      <c r="AB33" s="179">
        <f t="shared" si="16"/>
        <v>1.7250673854447443</v>
      </c>
      <c r="AC33" s="179">
        <f t="shared" si="17"/>
        <v>0.55924139939803896</v>
      </c>
      <c r="AD33" s="179"/>
      <c r="AE33" s="179">
        <f t="shared" si="18"/>
        <v>0.419047619047619</v>
      </c>
      <c r="AF33" s="563">
        <f t="shared" si="65"/>
        <v>1484.8484848484854</v>
      </c>
      <c r="AG33" s="546">
        <f t="shared" si="19"/>
        <v>3.2999999999999995E-2</v>
      </c>
      <c r="AI33" s="179">
        <f t="shared" si="20"/>
        <v>0.3256694736394648</v>
      </c>
      <c r="AJ33" s="179">
        <f t="shared" si="21"/>
        <v>0.3256694736394648</v>
      </c>
      <c r="AK33" s="179">
        <f t="shared" si="22"/>
        <v>1.3301255360292332</v>
      </c>
      <c r="AM33" s="563">
        <f t="shared" si="23"/>
        <v>140</v>
      </c>
      <c r="AN33" s="472">
        <f t="shared" si="24"/>
        <v>350</v>
      </c>
      <c r="AP33">
        <f t="shared" si="25"/>
        <v>140</v>
      </c>
      <c r="AQ33" s="472">
        <f t="shared" si="26"/>
        <v>350</v>
      </c>
      <c r="AR33" s="472"/>
      <c r="AS33" s="6">
        <f t="shared" si="55"/>
        <v>2.8571428571428572</v>
      </c>
      <c r="AT33" s="6">
        <f t="shared" si="27"/>
        <v>0.59706070167235215</v>
      </c>
      <c r="AU33" s="6">
        <f t="shared" si="56"/>
        <v>2.2600821554705051</v>
      </c>
      <c r="AV33" s="6">
        <f t="shared" si="28"/>
        <v>0.90980678350072697</v>
      </c>
      <c r="AW33" s="179">
        <f t="shared" si="57"/>
        <v>0.20897124558532323</v>
      </c>
      <c r="AX33" s="179">
        <f t="shared" si="29"/>
        <v>0.81666666666666665</v>
      </c>
      <c r="AY33" s="179">
        <f t="shared" si="30"/>
        <v>0.38642087712586393</v>
      </c>
      <c r="AZ33" s="179">
        <f t="shared" si="58"/>
        <v>2.1134123827390008</v>
      </c>
      <c r="BA33" s="472">
        <f t="shared" si="31"/>
        <v>24.124421502313997</v>
      </c>
      <c r="BB33" s="472">
        <f t="shared" si="32"/>
        <v>1.5102644799054379</v>
      </c>
      <c r="BC33" s="6">
        <f t="shared" si="33"/>
        <v>6.103616932212011E-2</v>
      </c>
      <c r="BD33" s="563">
        <f t="shared" si="34"/>
        <v>16.22368983286502</v>
      </c>
      <c r="BE33" s="6"/>
      <c r="BF33" s="179">
        <f t="shared" si="59"/>
        <v>8.5952733049467628E-2</v>
      </c>
      <c r="BG33" s="179">
        <f t="shared" si="35"/>
        <v>0.50168811757282117</v>
      </c>
      <c r="BH33" s="179"/>
      <c r="BI33" s="546">
        <f t="shared" si="36"/>
        <v>2.5857553115355655E-3</v>
      </c>
      <c r="BJ33" s="546">
        <f t="shared" si="37"/>
        <v>3.3981574140067895E-2</v>
      </c>
      <c r="BK33" s="546">
        <f t="shared" si="38"/>
        <v>4.3749999999999995E-3</v>
      </c>
      <c r="BL33" s="546">
        <f t="shared" si="39"/>
        <v>2.7651093750000001E-2</v>
      </c>
      <c r="BM33">
        <f t="shared" si="40"/>
        <v>6.96E-3</v>
      </c>
      <c r="BN33" s="546">
        <f t="shared" si="41"/>
        <v>7.5970567078190041E-2</v>
      </c>
      <c r="BO33" s="472">
        <f t="shared" si="60"/>
        <v>75.970567078190044</v>
      </c>
      <c r="BP33" s="546">
        <f t="shared" si="42"/>
        <v>3.8220000000000004E-2</v>
      </c>
      <c r="BQ33" s="546"/>
      <c r="BS33" s="472">
        <f t="shared" si="61"/>
        <v>38.220000000000006</v>
      </c>
      <c r="BT33" s="546">
        <f t="shared" si="43"/>
        <v>1.477574463734609E-3</v>
      </c>
      <c r="BU33" s="546">
        <f t="shared" si="44"/>
        <v>1.0067638692550434E-2</v>
      </c>
      <c r="BV33" s="546">
        <f t="shared" si="45"/>
        <v>6.9355793650272288E-3</v>
      </c>
      <c r="BW33" s="546">
        <f t="shared" si="46"/>
        <v>1.9884583840783746E-2</v>
      </c>
      <c r="BX33" s="546">
        <f t="shared" si="47"/>
        <v>1.8560606060606066E-2</v>
      </c>
      <c r="BY33" s="472">
        <f t="shared" si="62"/>
        <v>38.445189901389817</v>
      </c>
      <c r="BZ33" s="179">
        <f t="shared" si="48"/>
        <v>0.15263575697957985</v>
      </c>
      <c r="CA33" s="6">
        <f t="shared" si="49"/>
        <v>0.70000000000000007</v>
      </c>
      <c r="CB33" s="179">
        <f t="shared" si="63"/>
        <v>0.82098363136882213</v>
      </c>
      <c r="CC33" s="6">
        <f t="shared" si="64"/>
        <v>82.098363136882213</v>
      </c>
      <c r="CF33" s="581">
        <f t="shared" si="50"/>
        <v>-50</v>
      </c>
      <c r="CG33">
        <f t="shared" si="51"/>
        <v>-50</v>
      </c>
    </row>
    <row r="34" spans="5:85" x14ac:dyDescent="0.2">
      <c r="E34" s="176">
        <v>29</v>
      </c>
      <c r="F34" s="223">
        <f t="shared" si="52"/>
        <v>0.14499999999999999</v>
      </c>
      <c r="G34" s="223"/>
      <c r="H34" s="223">
        <f t="shared" si="0"/>
        <v>0.72499999999999998</v>
      </c>
      <c r="I34" s="559">
        <f t="shared" si="1"/>
        <v>24</v>
      </c>
      <c r="J34" s="178">
        <f t="shared" si="2"/>
        <v>15.75</v>
      </c>
      <c r="K34" s="454">
        <f t="shared" si="3"/>
        <v>39.75</v>
      </c>
      <c r="L34" s="454"/>
      <c r="M34" s="223">
        <f t="shared" si="4"/>
        <v>0.39622641509433965</v>
      </c>
      <c r="N34" s="178">
        <f t="shared" si="5"/>
        <v>3.2094339622641508</v>
      </c>
      <c r="O34" s="178">
        <f t="shared" si="53"/>
        <v>0.72499999999999998</v>
      </c>
      <c r="P34" s="223">
        <f t="shared" si="6"/>
        <v>0.6418867924528302</v>
      </c>
      <c r="Q34" s="223">
        <f t="shared" si="7"/>
        <v>5</v>
      </c>
      <c r="R34" s="223">
        <f t="shared" si="8"/>
        <v>0.71320754716981138</v>
      </c>
      <c r="S34" s="178">
        <f t="shared" si="9"/>
        <v>47.903602721808632</v>
      </c>
      <c r="T34" s="178">
        <f t="shared" si="10"/>
        <v>5</v>
      </c>
      <c r="U34" s="223">
        <f t="shared" si="11"/>
        <v>0.16942239858906524</v>
      </c>
      <c r="V34" s="223">
        <f t="shared" si="12"/>
        <v>0.31060773074661957</v>
      </c>
      <c r="W34" s="223">
        <f t="shared" si="13"/>
        <v>0.47330701828056321</v>
      </c>
      <c r="X34" s="203">
        <f t="shared" si="14"/>
        <v>350</v>
      </c>
      <c r="Y34" s="454">
        <f t="shared" si="54"/>
        <v>350</v>
      </c>
      <c r="AA34" s="223">
        <f t="shared" si="15"/>
        <v>0.61749571183533458</v>
      </c>
      <c r="AB34" s="179">
        <f t="shared" si="16"/>
        <v>1.7250673854447443</v>
      </c>
      <c r="AC34" s="179">
        <f t="shared" si="17"/>
        <v>0.55924139939803896</v>
      </c>
      <c r="AD34" s="179"/>
      <c r="AE34" s="179">
        <f t="shared" si="18"/>
        <v>0.419047619047619</v>
      </c>
      <c r="AF34" s="563">
        <f t="shared" si="65"/>
        <v>1537.878787878788</v>
      </c>
      <c r="AG34" s="546">
        <f t="shared" si="19"/>
        <v>3.2999999999999995E-2</v>
      </c>
      <c r="AI34" s="179">
        <f t="shared" si="20"/>
        <v>0.33143398263980844</v>
      </c>
      <c r="AJ34" s="179">
        <f t="shared" si="21"/>
        <v>0.33143398263980844</v>
      </c>
      <c r="AK34" s="179">
        <f t="shared" si="22"/>
        <v>1.3343955426961545</v>
      </c>
      <c r="AM34" s="563">
        <f t="shared" si="23"/>
        <v>145</v>
      </c>
      <c r="AN34" s="472">
        <f t="shared" si="24"/>
        <v>350</v>
      </c>
      <c r="AP34">
        <f t="shared" si="25"/>
        <v>145</v>
      </c>
      <c r="AQ34" s="472">
        <f t="shared" si="26"/>
        <v>350</v>
      </c>
      <c r="AR34" s="472"/>
      <c r="AS34" s="6">
        <f t="shared" si="55"/>
        <v>2.8571428571428572</v>
      </c>
      <c r="AT34" s="6">
        <f t="shared" si="27"/>
        <v>0.60762896817298218</v>
      </c>
      <c r="AU34" s="6">
        <f t="shared" si="56"/>
        <v>2.2495138889698749</v>
      </c>
      <c r="AV34" s="6">
        <f t="shared" si="28"/>
        <v>0.92591080864454423</v>
      </c>
      <c r="AW34" s="179">
        <f t="shared" si="57"/>
        <v>0.21267013886054376</v>
      </c>
      <c r="AX34" s="179">
        <f t="shared" si="29"/>
        <v>0.84583333333333333</v>
      </c>
      <c r="AY34" s="179">
        <f t="shared" si="30"/>
        <v>0.39142180729304599</v>
      </c>
      <c r="AZ34" s="179">
        <f t="shared" si="58"/>
        <v>2.1609254200292494</v>
      </c>
      <c r="BA34" s="472">
        <f t="shared" si="31"/>
        <v>24.124421502313997</v>
      </c>
      <c r="BB34" s="472">
        <f t="shared" si="32"/>
        <v>1.6045311576536645</v>
      </c>
      <c r="BC34" s="6">
        <f t="shared" si="33"/>
        <v>6.2920430922189768E-2</v>
      </c>
      <c r="BD34" s="563">
        <f t="shared" si="34"/>
        <v>16.776826282189148</v>
      </c>
      <c r="BE34" s="6"/>
      <c r="BF34" s="179">
        <f t="shared" si="59"/>
        <v>8.8244910195711596E-2</v>
      </c>
      <c r="BG34" s="179">
        <f t="shared" si="35"/>
        <v>0.50937312155865822</v>
      </c>
      <c r="BH34" s="179"/>
      <c r="BI34" s="546">
        <f t="shared" si="36"/>
        <v>2.7255074614072213E-3</v>
      </c>
      <c r="BJ34" s="546">
        <f t="shared" si="37"/>
        <v>3.458306462607251E-2</v>
      </c>
      <c r="BK34" s="546">
        <f t="shared" si="38"/>
        <v>4.3749999999999995E-3</v>
      </c>
      <c r="BL34" s="546">
        <f t="shared" si="39"/>
        <v>2.7651093750000001E-2</v>
      </c>
      <c r="BM34">
        <f t="shared" si="40"/>
        <v>6.96E-3</v>
      </c>
      <c r="BN34" s="546">
        <f t="shared" si="41"/>
        <v>7.6735077056456102E-2</v>
      </c>
      <c r="BO34" s="472">
        <f t="shared" si="60"/>
        <v>76.735077056456106</v>
      </c>
      <c r="BP34" s="546">
        <f t="shared" si="42"/>
        <v>3.9584999999999995E-2</v>
      </c>
      <c r="BQ34" s="546"/>
      <c r="BS34" s="472">
        <f t="shared" si="61"/>
        <v>39.584999999999994</v>
      </c>
      <c r="BT34" s="546">
        <f t="shared" si="43"/>
        <v>1.5574328350898411E-3</v>
      </c>
      <c r="BU34" s="546">
        <f t="shared" si="44"/>
        <v>1.0378439078656463E-2</v>
      </c>
      <c r="BV34" s="546">
        <f t="shared" si="45"/>
        <v>7.2465735417848141E-3</v>
      </c>
      <c r="BW34" s="546">
        <f t="shared" si="46"/>
        <v>2.063445330050908E-2</v>
      </c>
      <c r="BX34" s="546">
        <f t="shared" si="47"/>
        <v>1.9223484848484854E-2</v>
      </c>
      <c r="BY34" s="472">
        <f t="shared" si="62"/>
        <v>39.857938148993938</v>
      </c>
      <c r="BZ34" s="179">
        <f t="shared" si="48"/>
        <v>0.15617801520545002</v>
      </c>
      <c r="CA34" s="6">
        <f t="shared" si="49"/>
        <v>0.72499999999999998</v>
      </c>
      <c r="CB34" s="179">
        <f t="shared" si="63"/>
        <v>0.82276224269050047</v>
      </c>
      <c r="CC34" s="6">
        <f t="shared" si="64"/>
        <v>82.276224269050047</v>
      </c>
      <c r="CF34" s="581">
        <f t="shared" si="50"/>
        <v>-50</v>
      </c>
      <c r="CG34">
        <f t="shared" si="51"/>
        <v>-50</v>
      </c>
    </row>
    <row r="35" spans="5:85" x14ac:dyDescent="0.2">
      <c r="E35" s="176">
        <v>30</v>
      </c>
      <c r="F35" s="223">
        <f t="shared" si="52"/>
        <v>0.15</v>
      </c>
      <c r="G35" s="223"/>
      <c r="H35" s="223">
        <f t="shared" si="0"/>
        <v>0.75</v>
      </c>
      <c r="I35" s="559">
        <f t="shared" si="1"/>
        <v>24</v>
      </c>
      <c r="J35" s="178">
        <f t="shared" si="2"/>
        <v>15.75</v>
      </c>
      <c r="K35" s="454">
        <f t="shared" si="3"/>
        <v>39.75</v>
      </c>
      <c r="L35" s="454"/>
      <c r="M35" s="223">
        <f t="shared" si="4"/>
        <v>0.39622641509433965</v>
      </c>
      <c r="N35" s="178">
        <f t="shared" si="5"/>
        <v>3.2094339622641508</v>
      </c>
      <c r="O35" s="178">
        <f t="shared" si="53"/>
        <v>0.75</v>
      </c>
      <c r="P35" s="223">
        <f t="shared" si="6"/>
        <v>0.6418867924528302</v>
      </c>
      <c r="Q35" s="223">
        <f t="shared" si="7"/>
        <v>5</v>
      </c>
      <c r="R35" s="223">
        <f t="shared" si="8"/>
        <v>0.71320754716981138</v>
      </c>
      <c r="S35" s="178">
        <f t="shared" si="9"/>
        <v>46.043202886715235</v>
      </c>
      <c r="T35" s="178">
        <f t="shared" si="10"/>
        <v>5</v>
      </c>
      <c r="U35" s="223">
        <f t="shared" si="11"/>
        <v>0.17526455026455026</v>
      </c>
      <c r="V35" s="223">
        <f t="shared" si="12"/>
        <v>0.32131834215167548</v>
      </c>
      <c r="W35" s="223">
        <f t="shared" si="13"/>
        <v>0.4896279499454102</v>
      </c>
      <c r="X35" s="203">
        <f t="shared" si="14"/>
        <v>350</v>
      </c>
      <c r="Y35" s="454">
        <f t="shared" si="54"/>
        <v>350</v>
      </c>
      <c r="AA35" s="223">
        <f t="shared" si="15"/>
        <v>0.61749571183533458</v>
      </c>
      <c r="AB35" s="179">
        <f t="shared" si="16"/>
        <v>1.7250673854447443</v>
      </c>
      <c r="AC35" s="179">
        <f t="shared" si="17"/>
        <v>0.55924139939803896</v>
      </c>
      <c r="AD35" s="179"/>
      <c r="AE35" s="179">
        <f t="shared" si="18"/>
        <v>0.419047619047619</v>
      </c>
      <c r="AF35" s="563">
        <f t="shared" si="65"/>
        <v>1590.909090909091</v>
      </c>
      <c r="AG35" s="546">
        <f t="shared" si="19"/>
        <v>3.2999999999999995E-2</v>
      </c>
      <c r="AI35" s="179">
        <f t="shared" si="20"/>
        <v>0.33709993123162102</v>
      </c>
      <c r="AJ35" s="179">
        <f t="shared" si="21"/>
        <v>0.33709993123162102</v>
      </c>
      <c r="AK35" s="179">
        <f t="shared" si="22"/>
        <v>1.3385925416530526</v>
      </c>
      <c r="AM35" s="563">
        <f t="shared" si="23"/>
        <v>150</v>
      </c>
      <c r="AN35" s="472">
        <f t="shared" si="24"/>
        <v>350</v>
      </c>
      <c r="AP35">
        <f t="shared" si="25"/>
        <v>150</v>
      </c>
      <c r="AQ35" s="472">
        <f t="shared" si="26"/>
        <v>350</v>
      </c>
      <c r="AR35" s="472"/>
      <c r="AS35" s="6">
        <f t="shared" si="55"/>
        <v>2.8571428571428572</v>
      </c>
      <c r="AT35" s="6">
        <f t="shared" si="27"/>
        <v>0.61801654059130529</v>
      </c>
      <c r="AU35" s="6">
        <f t="shared" si="56"/>
        <v>2.2391263165515518</v>
      </c>
      <c r="AV35" s="6">
        <f t="shared" si="28"/>
        <v>0.94173949042484606</v>
      </c>
      <c r="AW35" s="179">
        <f t="shared" si="57"/>
        <v>0.21630578920695684</v>
      </c>
      <c r="AX35" s="179">
        <f t="shared" si="29"/>
        <v>0.87499999999999978</v>
      </c>
      <c r="AY35" s="179">
        <f t="shared" si="30"/>
        <v>0.39627489684743156</v>
      </c>
      <c r="AZ35" s="179">
        <f t="shared" si="58"/>
        <v>2.2080631575733665</v>
      </c>
      <c r="BA35" s="472">
        <f t="shared" si="31"/>
        <v>24.124421502313997</v>
      </c>
      <c r="BB35" s="472">
        <f t="shared" si="32"/>
        <v>1.7015791223404257</v>
      </c>
      <c r="BC35" s="6">
        <f t="shared" si="33"/>
        <v>6.4789534622440706E-2</v>
      </c>
      <c r="BD35" s="563">
        <f t="shared" si="34"/>
        <v>17.328489831986094</v>
      </c>
      <c r="BE35" s="6"/>
      <c r="BF35" s="179">
        <f t="shared" si="59"/>
        <v>9.0517407753006943E-2</v>
      </c>
      <c r="BG35" s="179">
        <f t="shared" si="35"/>
        <v>0.51688343071931964</v>
      </c>
      <c r="BH35" s="179"/>
      <c r="BI35" s="546">
        <f t="shared" si="36"/>
        <v>2.8676903872134423E-3</v>
      </c>
      <c r="BJ35" s="546">
        <f t="shared" si="37"/>
        <v>3.517427094944945E-2</v>
      </c>
      <c r="BK35" s="546">
        <f t="shared" si="38"/>
        <v>4.3749999999999995E-3</v>
      </c>
      <c r="BL35" s="546">
        <f t="shared" si="39"/>
        <v>2.7651093750000001E-2</v>
      </c>
      <c r="BM35">
        <f t="shared" si="40"/>
        <v>6.96E-3</v>
      </c>
      <c r="BN35" s="546">
        <f t="shared" si="41"/>
        <v>7.7492193772978016E-2</v>
      </c>
      <c r="BO35" s="472">
        <f t="shared" si="60"/>
        <v>77.492193772978013</v>
      </c>
      <c r="BP35" s="546">
        <f t="shared" si="42"/>
        <v>4.095E-2</v>
      </c>
      <c r="BQ35" s="546"/>
      <c r="BS35" s="472">
        <f t="shared" si="61"/>
        <v>40.950000000000003</v>
      </c>
      <c r="BT35" s="546">
        <f t="shared" si="43"/>
        <v>1.6386802212648242E-3</v>
      </c>
      <c r="BU35" s="546">
        <f t="shared" si="44"/>
        <v>1.0686739238086948E-2</v>
      </c>
      <c r="BV35" s="546">
        <f t="shared" si="45"/>
        <v>7.5602607611886365E-3</v>
      </c>
      <c r="BW35" s="546">
        <f t="shared" si="46"/>
        <v>2.1385817689543007E-2</v>
      </c>
      <c r="BX35" s="546">
        <f t="shared" si="47"/>
        <v>1.9886363636363636E-2</v>
      </c>
      <c r="BY35" s="472">
        <f t="shared" si="62"/>
        <v>41.272181325906637</v>
      </c>
      <c r="BZ35" s="179">
        <f t="shared" si="48"/>
        <v>0.15971437509888467</v>
      </c>
      <c r="CA35" s="6">
        <f t="shared" si="49"/>
        <v>0.75</v>
      </c>
      <c r="CB35" s="179">
        <f t="shared" si="63"/>
        <v>0.82443459236144978</v>
      </c>
      <c r="CC35" s="6">
        <f t="shared" si="64"/>
        <v>82.443459236144975</v>
      </c>
      <c r="CF35" s="581">
        <f t="shared" si="50"/>
        <v>-50</v>
      </c>
      <c r="CG35">
        <f t="shared" si="51"/>
        <v>-50</v>
      </c>
    </row>
    <row r="36" spans="5:85" x14ac:dyDescent="0.2">
      <c r="E36" s="176">
        <v>31</v>
      </c>
      <c r="F36" s="223">
        <f t="shared" si="52"/>
        <v>0.155</v>
      </c>
      <c r="G36" s="223"/>
      <c r="H36" s="223">
        <f t="shared" si="0"/>
        <v>0.77500000000000002</v>
      </c>
      <c r="I36" s="559">
        <f t="shared" si="1"/>
        <v>24</v>
      </c>
      <c r="J36" s="178">
        <f t="shared" si="2"/>
        <v>15.75</v>
      </c>
      <c r="K36" s="454">
        <f t="shared" si="3"/>
        <v>39.75</v>
      </c>
      <c r="L36" s="454"/>
      <c r="M36" s="223">
        <f t="shared" si="4"/>
        <v>0.39622641509433965</v>
      </c>
      <c r="N36" s="178">
        <f t="shared" si="5"/>
        <v>3.2094339622641508</v>
      </c>
      <c r="O36" s="178">
        <f t="shared" si="53"/>
        <v>0.77500000000000002</v>
      </c>
      <c r="P36" s="223">
        <f t="shared" si="6"/>
        <v>0.6418867924528302</v>
      </c>
      <c r="Q36" s="223">
        <f t="shared" si="7"/>
        <v>5</v>
      </c>
      <c r="R36" s="223">
        <f t="shared" si="8"/>
        <v>0.71320754716981138</v>
      </c>
      <c r="S36" s="178">
        <f t="shared" si="9"/>
        <v>44.302954916860756</v>
      </c>
      <c r="T36" s="178">
        <f t="shared" si="10"/>
        <v>5</v>
      </c>
      <c r="U36" s="223">
        <f t="shared" si="11"/>
        <v>0.18110670194003525</v>
      </c>
      <c r="V36" s="223">
        <f t="shared" si="12"/>
        <v>0.33202895355673129</v>
      </c>
      <c r="W36" s="223">
        <f t="shared" si="13"/>
        <v>0.5059488816102572</v>
      </c>
      <c r="X36" s="203">
        <f t="shared" si="14"/>
        <v>350</v>
      </c>
      <c r="Y36" s="454">
        <f t="shared" si="54"/>
        <v>350</v>
      </c>
      <c r="AA36" s="223">
        <f t="shared" si="15"/>
        <v>0.61749571183533458</v>
      </c>
      <c r="AB36" s="179">
        <f t="shared" si="16"/>
        <v>1.7250673854447443</v>
      </c>
      <c r="AC36" s="179">
        <f t="shared" si="17"/>
        <v>0.55924139939803896</v>
      </c>
      <c r="AD36" s="179"/>
      <c r="AE36" s="179">
        <f t="shared" si="18"/>
        <v>0.419047619047619</v>
      </c>
      <c r="AF36" s="563">
        <f t="shared" si="65"/>
        <v>1643.9393939393942</v>
      </c>
      <c r="AG36" s="546">
        <f t="shared" si="19"/>
        <v>3.2999999999999995E-2</v>
      </c>
      <c r="AI36" s="179">
        <f t="shared" si="20"/>
        <v>0.34267220842117097</v>
      </c>
      <c r="AJ36" s="179">
        <f t="shared" si="21"/>
        <v>0.34267220842117097</v>
      </c>
      <c r="AK36" s="179">
        <f t="shared" si="22"/>
        <v>1.3427201543860525</v>
      </c>
      <c r="AM36" s="563">
        <f t="shared" si="23"/>
        <v>155</v>
      </c>
      <c r="AN36" s="472">
        <f t="shared" si="24"/>
        <v>350</v>
      </c>
      <c r="AP36">
        <f t="shared" si="25"/>
        <v>155</v>
      </c>
      <c r="AQ36" s="472">
        <f t="shared" si="26"/>
        <v>350</v>
      </c>
      <c r="AR36" s="472"/>
      <c r="AS36" s="6">
        <f t="shared" si="55"/>
        <v>2.8571428571428572</v>
      </c>
      <c r="AT36" s="6">
        <f t="shared" si="27"/>
        <v>0.62823238210548005</v>
      </c>
      <c r="AU36" s="6">
        <f t="shared" si="56"/>
        <v>2.2289104750373774</v>
      </c>
      <c r="AV36" s="6">
        <f t="shared" si="28"/>
        <v>0.95730648701787435</v>
      </c>
      <c r="AW36" s="179">
        <f t="shared" si="57"/>
        <v>0.21988133373691801</v>
      </c>
      <c r="AX36" s="179">
        <f t="shared" si="29"/>
        <v>0.90416666666666656</v>
      </c>
      <c r="AY36" s="179">
        <f t="shared" si="30"/>
        <v>0.40098747929842316</v>
      </c>
      <c r="AZ36" s="179">
        <f t="shared" si="58"/>
        <v>2.254850122125053</v>
      </c>
      <c r="BA36" s="472">
        <f t="shared" si="31"/>
        <v>24.124421502313997</v>
      </c>
      <c r="BB36" s="472">
        <f t="shared" si="32"/>
        <v>1.8014083739657214</v>
      </c>
      <c r="BC36" s="6">
        <f t="shared" si="33"/>
        <v>6.6643735268285778E-2</v>
      </c>
      <c r="BD36" s="563">
        <f t="shared" si="34"/>
        <v>17.878700234147129</v>
      </c>
      <c r="BE36" s="6"/>
      <c r="BF36" s="179">
        <f t="shared" si="59"/>
        <v>9.2771042603622844E-2</v>
      </c>
      <c r="BG36" s="179">
        <f t="shared" si="35"/>
        <v>0.52422755570540025</v>
      </c>
      <c r="BH36" s="179"/>
      <c r="BI36" s="546">
        <f t="shared" si="36"/>
        <v>3.0122632210171215E-3</v>
      </c>
      <c r="BJ36" s="546">
        <f t="shared" si="37"/>
        <v>3.5755703247446549E-2</v>
      </c>
      <c r="BK36" s="546">
        <f t="shared" si="38"/>
        <v>4.3749999999999995E-3</v>
      </c>
      <c r="BL36" s="546">
        <f t="shared" si="39"/>
        <v>2.7651093750000001E-2</v>
      </c>
      <c r="BM36">
        <f t="shared" si="40"/>
        <v>6.96E-3</v>
      </c>
      <c r="BN36" s="546">
        <f t="shared" si="41"/>
        <v>7.824238117653598E-2</v>
      </c>
      <c r="BO36" s="472">
        <f t="shared" si="60"/>
        <v>78.242381176535986</v>
      </c>
      <c r="BP36" s="546">
        <f t="shared" si="42"/>
        <v>4.2314999999999998E-2</v>
      </c>
      <c r="BQ36" s="546"/>
      <c r="BS36" s="472">
        <f t="shared" si="61"/>
        <v>42.314999999999998</v>
      </c>
      <c r="BT36" s="546">
        <f t="shared" si="43"/>
        <v>1.721293269152641E-3</v>
      </c>
      <c r="BU36" s="546">
        <f t="shared" si="44"/>
        <v>1.099258120643434E-2</v>
      </c>
      <c r="BV36" s="546">
        <f t="shared" si="45"/>
        <v>7.8765733902778738E-3</v>
      </c>
      <c r="BW36" s="546">
        <f t="shared" si="46"/>
        <v>2.213863022419384E-2</v>
      </c>
      <c r="BX36" s="546">
        <f t="shared" si="47"/>
        <v>2.0549242424242425E-2</v>
      </c>
      <c r="BY36" s="472">
        <f t="shared" si="62"/>
        <v>42.687872648436262</v>
      </c>
      <c r="BZ36" s="179">
        <f t="shared" si="48"/>
        <v>0.16324525382497224</v>
      </c>
      <c r="CA36" s="6">
        <f t="shared" si="49"/>
        <v>0.77500000000000002</v>
      </c>
      <c r="CB36" s="179">
        <f t="shared" si="63"/>
        <v>0.8260100403818027</v>
      </c>
      <c r="CC36" s="6">
        <f t="shared" si="64"/>
        <v>82.601004038180264</v>
      </c>
      <c r="CF36" s="581">
        <f t="shared" si="50"/>
        <v>-50</v>
      </c>
      <c r="CG36">
        <f t="shared" si="51"/>
        <v>-50</v>
      </c>
    </row>
    <row r="37" spans="5:85" x14ac:dyDescent="0.2">
      <c r="E37" s="176">
        <v>32</v>
      </c>
      <c r="F37" s="223">
        <f t="shared" si="52"/>
        <v>0.16</v>
      </c>
      <c r="G37" s="223"/>
      <c r="H37" s="223">
        <f t="shared" ref="H37:H68" si="66">F37*Vout</f>
        <v>0.8</v>
      </c>
      <c r="I37" s="559">
        <f t="shared" ref="I37:I68" si="67">Vin</f>
        <v>24</v>
      </c>
      <c r="J37" s="178">
        <f t="shared" ref="J37:J68" si="68">(T37+Vfwd1)*Nps</f>
        <v>15.75</v>
      </c>
      <c r="K37" s="454">
        <f t="shared" ref="K37:K68" si="69">(Vout+Vfwd1)*Nps+I37</f>
        <v>39.75</v>
      </c>
      <c r="L37" s="454"/>
      <c r="M37" s="223">
        <f t="shared" ref="M37:M68" si="70">(Vout+Vfwd1)*Nps/((Vout+Vfwd1)*Nps+I37)</f>
        <v>0.39622641509433965</v>
      </c>
      <c r="N37" s="178">
        <f t="shared" si="5"/>
        <v>3.2094339622641508</v>
      </c>
      <c r="O37" s="178">
        <f t="shared" si="53"/>
        <v>0.8</v>
      </c>
      <c r="P37" s="223">
        <f t="shared" ref="P37:P68" si="71">N37/Vout</f>
        <v>0.6418867924528302</v>
      </c>
      <c r="Q37" s="223">
        <f t="shared" ref="Q37:Q68" si="72">MIN(Vout,N37/F37)</f>
        <v>5</v>
      </c>
      <c r="R37" s="223">
        <f t="shared" ref="R37:R68" si="73">Isw_max/2*I37*Nps*(Q37+Vfwd1)/Q37/(I37+Nps*(Q37+Vfwd1))</f>
        <v>0.71320754716981138</v>
      </c>
      <c r="S37" s="178">
        <f t="shared" ref="S37:S68" si="74">(SQRT(Isw_max^2*Nps^2*I37^2+4*Isw_max*F37/Efficiency*(Nps^2*Vfwd1*I37-Nps*I37^2)+4*(F37/Efficiency)^2*Nps^2*Vfwd1^2+8*(F37/Efficiency)^2*Nps*Vfwd1*I37+4*(F37/Efficiency)^2*I37^2)-2*F37/Efficiency*I37-2*F37/Efficiency*Nps*Vfwd1+Isw_max*Nps*I37)/(4*F37/Efficiency*Nps)</f>
        <v>42.671596589105164</v>
      </c>
      <c r="T37" s="178">
        <f t="shared" ref="T37:T68" si="75">MIN(Vout, S37)</f>
        <v>5</v>
      </c>
      <c r="U37" s="223">
        <f t="shared" ref="U37:U68" si="76">MIN(2*Vout*F37/(Efficiency*I37*M37), Isw_max)</f>
        <v>0.18694885361552027</v>
      </c>
      <c r="V37" s="223">
        <f t="shared" ref="V37:V68" si="77">L*U37/I37*1000000</f>
        <v>0.34273956496178715</v>
      </c>
      <c r="W37" s="223">
        <f t="shared" ref="W37:W68" si="78">L*U37/J37*1000000</f>
        <v>0.52226981327510413</v>
      </c>
      <c r="X37" s="203">
        <f t="shared" ref="X37:X68" si="79">IF(1/((350000*L)*(1/I37+1/J37))&gt;Isw_min, 350, 0.001/((Isw_min*L)*(1/I37+1/J37)))</f>
        <v>350</v>
      </c>
      <c r="Y37" s="454">
        <f t="shared" si="54"/>
        <v>350</v>
      </c>
      <c r="AA37" s="223">
        <f t="shared" ref="AA37:AA68" si="80">1/((X37*1000*L)*(1/I37+1/J37))</f>
        <v>0.61749571183533458</v>
      </c>
      <c r="AB37" s="179">
        <f t="shared" ref="AB37:AB68" si="81">L*AA37/J37*1000000</f>
        <v>1.7250673854447443</v>
      </c>
      <c r="AC37" s="179">
        <f t="shared" ref="AC37:AC68" si="82">0.5*AB37*AA37*Nps*X37/1000</f>
        <v>0.55924139939803896</v>
      </c>
      <c r="AD37" s="179"/>
      <c r="AE37" s="179">
        <f t="shared" ref="AE37:AE68" si="83">L*Isw_min/J37*1000000</f>
        <v>0.419047619047619</v>
      </c>
      <c r="AF37" s="563">
        <f t="shared" si="65"/>
        <v>1696.9696969696972</v>
      </c>
      <c r="AG37" s="546">
        <f t="shared" ref="AG37:AG68" si="84">0.5*AE37/1000000*Isw_min*Nps*X37*1000</f>
        <v>3.2999999999999995E-2</v>
      </c>
      <c r="AI37" s="179">
        <f t="shared" ref="AI37:AI68" si="85">SQRT(F37/Efficiency/(0.5*L/J37*Fsw_DCM*Nps))</f>
        <v>0.34815531191139565</v>
      </c>
      <c r="AJ37" s="179">
        <f t="shared" ref="AJ37:AJ68" si="86">MAX(IF(F37&gt;AC37,U37,AI37),Isw_min)</f>
        <v>0.34815531191139565</v>
      </c>
      <c r="AK37" s="179">
        <f t="shared" ref="AK37:AK68" si="87">IF(F37&gt;AG37, (AJ37-Isw_min)/1.08*0.8+1.2, AF37*0.2/350+1)</f>
        <v>1.3467817125269597</v>
      </c>
      <c r="AM37" s="563">
        <f t="shared" ref="AM37:AM68" si="88">F37*1000</f>
        <v>160</v>
      </c>
      <c r="AN37" s="472">
        <f t="shared" ref="AN37:AN68" si="89">IF(F37&gt;AG37, Y37, AF37)</f>
        <v>350</v>
      </c>
      <c r="AP37">
        <f t="shared" ref="AP37:AP68" si="90">IF(H37&gt;N37, "",AM37)</f>
        <v>160</v>
      </c>
      <c r="AQ37" s="472">
        <f t="shared" ref="AQ37:AQ68" si="91">IF(H37&gt;N37, "",AN37)</f>
        <v>350</v>
      </c>
      <c r="AR37" s="472"/>
      <c r="AS37" s="6">
        <f t="shared" si="55"/>
        <v>2.8571428571428572</v>
      </c>
      <c r="AT37" s="6">
        <f t="shared" ref="AT37:AT68" si="92">L*AJ37/I37*1000000</f>
        <v>0.6382847385042254</v>
      </c>
      <c r="AU37" s="6">
        <f t="shared" si="56"/>
        <v>2.2188581186386318</v>
      </c>
      <c r="AV37" s="6">
        <f t="shared" ref="AV37:AV68" si="93">L*AJ37/J37*1000000</f>
        <v>0.97262436343501002</v>
      </c>
      <c r="AW37" s="179">
        <f t="shared" si="57"/>
        <v>0.22339965847647889</v>
      </c>
      <c r="AX37" s="179">
        <f t="shared" ref="AX37:AX68" si="94">0.5*L*AJ37^2*AN37*1000</f>
        <v>0.93333333333333313</v>
      </c>
      <c r="AY37" s="179">
        <f t="shared" ref="AY37:AY68" si="95">AJ37*Nps/2*(1-AW37)</f>
        <v>0.4055663012004268</v>
      </c>
      <c r="AZ37" s="179">
        <f t="shared" si="58"/>
        <v>2.3013088872788008</v>
      </c>
      <c r="BA37" s="472">
        <f t="shared" ref="BA37:BA68" si="96">L*Isw_max^2/(2*Vout_ripple*Vout)*1000000000*((1+M37)/2)^2</f>
        <v>24.124421502313997</v>
      </c>
      <c r="BB37" s="472">
        <f t="shared" ref="BB37:BB68" si="97">L*F37^2/(2*Cout*Vout*Nps^2)*1000000000*((1+M37)/(1-M37))^2+F37*RCoutEsr</f>
        <v>1.904018912529551</v>
      </c>
      <c r="BC37" s="6">
        <f t="shared" ref="BC37:BC68" si="98">H37/Efficiency/I37*AU37/Vinripple1</f>
        <v>6.8483275266624441E-2</v>
      </c>
      <c r="BD37" s="563">
        <f t="shared" ref="BD37:BD68" si="99">((CA37/I37/Efficiency)*AU37/Cin+(BY37/I37/Efficiency)*RCinEsr)*1000</f>
        <v>18.427476399214548</v>
      </c>
      <c r="BE37" s="6"/>
      <c r="BF37" s="179">
        <f t="shared" si="59"/>
        <v>9.5006572548074153E-2</v>
      </c>
      <c r="BG37" s="179">
        <f t="shared" ref="BG37:BG68" si="100">AJ37*Nps*SQRT((1-AW37)/3)</f>
        <v>0.53141332707260103</v>
      </c>
      <c r="BH37" s="179"/>
      <c r="BI37" s="546">
        <f t="shared" ref="BI37:BI68" si="101">Rdson*BF37^2</f>
        <v>3.1591870895663668E-3</v>
      </c>
      <c r="BJ37" s="546">
        <f t="shared" ref="BJ37:BJ68" si="102">0.5*K37*AJ37*AN37*1000*Trise</f>
        <v>3.6327830827254687E-2</v>
      </c>
      <c r="BK37" s="546">
        <f t="shared" ref="BK37:BK68" si="103">Qg*Vdd*AN37*1000</f>
        <v>4.3749999999999995E-3</v>
      </c>
      <c r="BL37" s="546">
        <f t="shared" ref="BL37:BL68" si="104">0.5*(Coss+Csw)*K37^2*AN37*1000</f>
        <v>2.7651093750000001E-2</v>
      </c>
      <c r="BM37">
        <f t="shared" ref="BM37:BM68" si="105">I37*IQ</f>
        <v>6.96E-3</v>
      </c>
      <c r="BN37" s="546">
        <f t="shared" ref="BN37:BN68" si="106">(BJ37+BK37+BL37+BM37+BI37*(1+RdsonTC*(Ta-25)))/(1-BI37*RdsonTC*ThetaJA)</f>
        <v>7.8986064677291717E-2</v>
      </c>
      <c r="BO37" s="472">
        <f t="shared" si="60"/>
        <v>78.986064677291722</v>
      </c>
      <c r="BP37" s="546">
        <f t="shared" ref="BP37:BP68" si="107">Vfwd2*F37*(1+Diode_TC/1000*(Ta-25))</f>
        <v>4.3680000000000004E-2</v>
      </c>
      <c r="BQ37" s="546"/>
      <c r="BS37" s="472">
        <f t="shared" si="61"/>
        <v>43.680000000000007</v>
      </c>
      <c r="BT37" s="546">
        <f t="shared" ref="BT37:BT68" si="108">Rdcr_pri*BF37^2</f>
        <v>1.8052497654664956E-3</v>
      </c>
      <c r="BU37" s="546">
        <f t="shared" ref="BU37:BU68" si="109">Rdcr_sec*BG37^2</f>
        <v>1.1296004967614849E-2</v>
      </c>
      <c r="BV37" s="546">
        <f t="shared" ref="BV37:BV68" si="110">AJ37^2.5*AN37^2.5*k_core</f>
        <v>8.1954476316763326E-3</v>
      </c>
      <c r="BW37" s="546">
        <f t="shared" ref="BW37:BW68" si="111">(BV37+(BT37+BU37)*(1+Ltc*(Ta-25)))/(1-(BT37+BU37)*Ltc*ThetaCa)</f>
        <v>2.2892846934267543E-2</v>
      </c>
      <c r="BX37" s="546">
        <f t="shared" ref="BX37:BX68" si="112">0.5*Lleak*0.000000001*AJ37^2*AN37*1000</f>
        <v>2.1212121212121213E-2</v>
      </c>
      <c r="BY37" s="472">
        <f t="shared" si="62"/>
        <v>44.104968146388757</v>
      </c>
      <c r="BZ37" s="179">
        <f t="shared" ref="BZ37:BZ68" si="113">SUM(BN37,BP37:BR37,BW37, BX37)</f>
        <v>0.16677103282368047</v>
      </c>
      <c r="CA37" s="6">
        <f t="shared" ref="CA37:CA68" si="114">MIN(H37,O37)</f>
        <v>0.8</v>
      </c>
      <c r="CB37" s="179">
        <f t="shared" si="63"/>
        <v>0.82749686620565499</v>
      </c>
      <c r="CC37" s="6">
        <f t="shared" si="64"/>
        <v>82.749686620565498</v>
      </c>
      <c r="CF37" s="581">
        <f t="shared" ref="CF37:CF68" si="115">IF(ABS(F37-Ioutmax_Vinnom)&lt;Iout/200, AN37, -50)</f>
        <v>-50</v>
      </c>
      <c r="CG37">
        <f t="shared" ref="CG37:CG68" si="116">IF(ABS(F37-Ioutmax_Vinnom)&lt;Iout/200, N37*CB37, -50)</f>
        <v>-50</v>
      </c>
    </row>
    <row r="38" spans="5:85" x14ac:dyDescent="0.2">
      <c r="E38" s="176">
        <v>33</v>
      </c>
      <c r="F38" s="223">
        <f t="shared" ref="F38:F69" si="117">IF(PLOT_TYPE=1, E38/100*Iout_max, min_I*EXP(N38*rr/100))</f>
        <v>0.16500000000000001</v>
      </c>
      <c r="G38" s="223"/>
      <c r="H38" s="223">
        <f t="shared" si="66"/>
        <v>0.82500000000000007</v>
      </c>
      <c r="I38" s="559">
        <f t="shared" si="67"/>
        <v>24</v>
      </c>
      <c r="J38" s="178">
        <f t="shared" si="68"/>
        <v>15.75</v>
      </c>
      <c r="K38" s="454">
        <f t="shared" si="69"/>
        <v>39.75</v>
      </c>
      <c r="L38" s="454"/>
      <c r="M38" s="223">
        <f t="shared" si="70"/>
        <v>0.39622641509433965</v>
      </c>
      <c r="N38" s="178">
        <f t="shared" si="5"/>
        <v>3.2094339622641508</v>
      </c>
      <c r="O38" s="178">
        <f t="shared" si="53"/>
        <v>0.82500000000000007</v>
      </c>
      <c r="P38" s="223">
        <f t="shared" si="71"/>
        <v>0.6418867924528302</v>
      </c>
      <c r="Q38" s="223">
        <f t="shared" si="72"/>
        <v>5</v>
      </c>
      <c r="R38" s="223">
        <f t="shared" si="73"/>
        <v>0.71320754716981138</v>
      </c>
      <c r="S38" s="178">
        <f t="shared" si="74"/>
        <v>41.139230839331134</v>
      </c>
      <c r="T38" s="178">
        <f t="shared" si="75"/>
        <v>5</v>
      </c>
      <c r="U38" s="223">
        <f t="shared" si="76"/>
        <v>0.19279100529100529</v>
      </c>
      <c r="V38" s="223">
        <f t="shared" si="77"/>
        <v>0.35345017636684301</v>
      </c>
      <c r="W38" s="223">
        <f t="shared" si="78"/>
        <v>0.53859074493995129</v>
      </c>
      <c r="X38" s="203">
        <f t="shared" si="79"/>
        <v>350</v>
      </c>
      <c r="Y38" s="454">
        <f t="shared" si="54"/>
        <v>350</v>
      </c>
      <c r="AA38" s="223">
        <f t="shared" si="80"/>
        <v>0.61749571183533458</v>
      </c>
      <c r="AB38" s="179">
        <f t="shared" si="81"/>
        <v>1.7250673854447443</v>
      </c>
      <c r="AC38" s="179">
        <f t="shared" si="82"/>
        <v>0.55924139939803896</v>
      </c>
      <c r="AD38" s="179"/>
      <c r="AE38" s="179">
        <f t="shared" si="83"/>
        <v>0.419047619047619</v>
      </c>
      <c r="AF38" s="563">
        <f t="shared" si="65"/>
        <v>1750.0000000000005</v>
      </c>
      <c r="AG38" s="546">
        <f t="shared" si="84"/>
        <v>3.2999999999999995E-2</v>
      </c>
      <c r="AI38" s="179">
        <f t="shared" si="85"/>
        <v>0.35355339059327379</v>
      </c>
      <c r="AJ38" s="179">
        <f t="shared" si="86"/>
        <v>0.35355339059327379</v>
      </c>
      <c r="AK38" s="179">
        <f t="shared" si="87"/>
        <v>1.3507802893283509</v>
      </c>
      <c r="AM38" s="563">
        <f t="shared" si="88"/>
        <v>165</v>
      </c>
      <c r="AN38" s="472">
        <f t="shared" si="89"/>
        <v>350</v>
      </c>
      <c r="AP38">
        <f t="shared" si="90"/>
        <v>165</v>
      </c>
      <c r="AQ38" s="472">
        <f t="shared" si="91"/>
        <v>350</v>
      </c>
      <c r="AR38" s="472"/>
      <c r="AS38" s="6">
        <f t="shared" si="55"/>
        <v>2.8571428571428572</v>
      </c>
      <c r="AT38" s="6">
        <f t="shared" si="92"/>
        <v>0.64818121608766865</v>
      </c>
      <c r="AU38" s="6">
        <f t="shared" si="56"/>
        <v>2.2089616410551884</v>
      </c>
      <c r="AV38" s="6">
        <f t="shared" si="93"/>
        <v>0.98770471022882855</v>
      </c>
      <c r="AW38" s="179">
        <f t="shared" si="57"/>
        <v>0.22686342563068401</v>
      </c>
      <c r="AX38" s="179">
        <f t="shared" si="94"/>
        <v>0.96250000000000013</v>
      </c>
      <c r="AY38" s="179">
        <f t="shared" si="95"/>
        <v>0.41001758588991066</v>
      </c>
      <c r="AZ38" s="179">
        <f t="shared" si="58"/>
        <v>2.3474602873702848</v>
      </c>
      <c r="BA38" s="472">
        <f t="shared" si="96"/>
        <v>24.124421502313997</v>
      </c>
      <c r="BB38" s="472">
        <f t="shared" si="97"/>
        <v>2.0094107380319155</v>
      </c>
      <c r="BC38" s="6">
        <f t="shared" si="98"/>
        <v>7.0308385565992684E-2</v>
      </c>
      <c r="BD38" s="563">
        <f t="shared" si="99"/>
        <v>18.974836455992662</v>
      </c>
      <c r="BE38" s="6"/>
      <c r="BF38" s="179">
        <f t="shared" si="59"/>
        <v>9.7224702286053996E-2</v>
      </c>
      <c r="BG38" s="179">
        <f t="shared" si="100"/>
        <v>0.53844796906339387</v>
      </c>
      <c r="BH38" s="179"/>
      <c r="BI38" s="546">
        <f t="shared" si="101"/>
        <v>3.3084249571141418E-3</v>
      </c>
      <c r="BJ38" s="546">
        <f t="shared" si="102"/>
        <v>3.6891086599716912E-2</v>
      </c>
      <c r="BK38" s="546">
        <f t="shared" si="103"/>
        <v>4.3749999999999995E-3</v>
      </c>
      <c r="BL38" s="546">
        <f t="shared" si="104"/>
        <v>2.7651093750000001E-2</v>
      </c>
      <c r="BM38">
        <f t="shared" si="105"/>
        <v>6.96E-3</v>
      </c>
      <c r="BN38" s="546">
        <f t="shared" si="106"/>
        <v>7.9723635399974055E-2</v>
      </c>
      <c r="BO38" s="472">
        <f t="shared" si="60"/>
        <v>79.723635399974057</v>
      </c>
      <c r="BP38" s="546">
        <f t="shared" si="107"/>
        <v>4.5045000000000002E-2</v>
      </c>
      <c r="BQ38" s="546"/>
      <c r="BS38" s="472">
        <f t="shared" si="61"/>
        <v>45.045000000000002</v>
      </c>
      <c r="BT38" s="546">
        <f t="shared" si="108"/>
        <v>1.8905285469223668E-3</v>
      </c>
      <c r="BU38" s="546">
        <f t="shared" si="109"/>
        <v>1.1597048615539743E-2</v>
      </c>
      <c r="BV38" s="546">
        <f t="shared" si="110"/>
        <v>8.5168231924393975E-3</v>
      </c>
      <c r="BW38" s="546">
        <f t="shared" si="111"/>
        <v>2.3648426412477688E-2</v>
      </c>
      <c r="BX38" s="546">
        <f t="shared" si="112"/>
        <v>2.1875000000000009E-2</v>
      </c>
      <c r="BY38" s="472">
        <f t="shared" si="62"/>
        <v>45.523426412477697</v>
      </c>
      <c r="BZ38" s="179">
        <f t="shared" si="113"/>
        <v>0.17029206181245174</v>
      </c>
      <c r="CA38" s="6">
        <f t="shared" si="114"/>
        <v>0.82500000000000007</v>
      </c>
      <c r="CB38" s="179">
        <f t="shared" si="63"/>
        <v>0.82890242136328751</v>
      </c>
      <c r="CC38" s="6">
        <f t="shared" si="64"/>
        <v>82.890242136328752</v>
      </c>
      <c r="CF38" s="581">
        <f t="shared" si="115"/>
        <v>-50</v>
      </c>
      <c r="CG38">
        <f t="shared" si="116"/>
        <v>-50</v>
      </c>
    </row>
    <row r="39" spans="5:85" x14ac:dyDescent="0.2">
      <c r="E39" s="176">
        <v>34</v>
      </c>
      <c r="F39" s="223">
        <f t="shared" si="117"/>
        <v>0.17</v>
      </c>
      <c r="G39" s="223"/>
      <c r="H39" s="223">
        <f t="shared" si="66"/>
        <v>0.85000000000000009</v>
      </c>
      <c r="I39" s="559">
        <f t="shared" si="67"/>
        <v>24</v>
      </c>
      <c r="J39" s="178">
        <f t="shared" si="68"/>
        <v>15.75</v>
      </c>
      <c r="K39" s="454">
        <f t="shared" si="69"/>
        <v>39.75</v>
      </c>
      <c r="L39" s="454"/>
      <c r="M39" s="223">
        <f t="shared" si="70"/>
        <v>0.39622641509433965</v>
      </c>
      <c r="N39" s="178">
        <f t="shared" si="5"/>
        <v>3.2094339622641508</v>
      </c>
      <c r="O39" s="178">
        <f t="shared" si="53"/>
        <v>0.85000000000000009</v>
      </c>
      <c r="P39" s="223">
        <f t="shared" si="71"/>
        <v>0.6418867924528302</v>
      </c>
      <c r="Q39" s="223">
        <f t="shared" si="72"/>
        <v>5</v>
      </c>
      <c r="R39" s="223">
        <f t="shared" si="73"/>
        <v>0.71320754716981138</v>
      </c>
      <c r="S39" s="178">
        <f t="shared" si="74"/>
        <v>39.697125004756771</v>
      </c>
      <c r="T39" s="178">
        <f t="shared" si="75"/>
        <v>5</v>
      </c>
      <c r="U39" s="223">
        <f t="shared" si="76"/>
        <v>0.19863315696649031</v>
      </c>
      <c r="V39" s="223">
        <f t="shared" si="77"/>
        <v>0.36416078777189886</v>
      </c>
      <c r="W39" s="223">
        <f t="shared" si="78"/>
        <v>0.55491167660479823</v>
      </c>
      <c r="X39" s="203">
        <f t="shared" si="79"/>
        <v>350</v>
      </c>
      <c r="Y39" s="454">
        <f t="shared" si="54"/>
        <v>350</v>
      </c>
      <c r="AA39" s="223">
        <f t="shared" si="80"/>
        <v>0.61749571183533458</v>
      </c>
      <c r="AB39" s="179">
        <f t="shared" si="81"/>
        <v>1.7250673854447443</v>
      </c>
      <c r="AC39" s="179">
        <f t="shared" si="82"/>
        <v>0.55924139939803896</v>
      </c>
      <c r="AD39" s="179"/>
      <c r="AE39" s="179">
        <f t="shared" si="83"/>
        <v>0.419047619047619</v>
      </c>
      <c r="AF39" s="563">
        <f t="shared" si="65"/>
        <v>1803.0303030303035</v>
      </c>
      <c r="AG39" s="546">
        <f t="shared" si="84"/>
        <v>3.2999999999999995E-2</v>
      </c>
      <c r="AI39" s="179">
        <f t="shared" si="85"/>
        <v>0.35887028128263671</v>
      </c>
      <c r="AJ39" s="179">
        <f t="shared" si="86"/>
        <v>0.35887028128263671</v>
      </c>
      <c r="AK39" s="179">
        <f t="shared" si="87"/>
        <v>1.3547187268760272</v>
      </c>
      <c r="AM39" s="563">
        <f t="shared" si="88"/>
        <v>170</v>
      </c>
      <c r="AN39" s="472">
        <f t="shared" si="89"/>
        <v>350</v>
      </c>
      <c r="AP39">
        <f t="shared" si="90"/>
        <v>170</v>
      </c>
      <c r="AQ39" s="472">
        <f t="shared" si="91"/>
        <v>350</v>
      </c>
      <c r="AR39" s="472"/>
      <c r="AS39" s="6">
        <f t="shared" si="55"/>
        <v>2.8571428571428572</v>
      </c>
      <c r="AT39" s="6">
        <f t="shared" si="92"/>
        <v>0.65792884901816728</v>
      </c>
      <c r="AU39" s="6">
        <f t="shared" si="56"/>
        <v>2.1992140081246898</v>
      </c>
      <c r="AV39" s="6">
        <f t="shared" si="93"/>
        <v>1.0025582461229217</v>
      </c>
      <c r="AW39" s="179">
        <f t="shared" si="57"/>
        <v>0.23027509715635855</v>
      </c>
      <c r="AX39" s="179">
        <f t="shared" si="94"/>
        <v>0.99166666666666647</v>
      </c>
      <c r="AY39" s="179">
        <f t="shared" si="95"/>
        <v>0.41434708859062169</v>
      </c>
      <c r="AZ39" s="179">
        <f t="shared" si="58"/>
        <v>2.393323602296241</v>
      </c>
      <c r="BA39" s="472">
        <f t="shared" si="96"/>
        <v>24.124421502313997</v>
      </c>
      <c r="BB39" s="472">
        <f t="shared" si="97"/>
        <v>2.1175838504728142</v>
      </c>
      <c r="BC39" s="6">
        <f t="shared" si="98"/>
        <v>7.211928653186675E-2</v>
      </c>
      <c r="BD39" s="563">
        <f t="shared" si="99"/>
        <v>19.52079780533407</v>
      </c>
      <c r="BE39" s="6"/>
      <c r="BF39" s="179">
        <f t="shared" si="59"/>
        <v>9.9426088629427159E-2</v>
      </c>
      <c r="BG39" s="179">
        <f t="shared" si="100"/>
        <v>0.54533816340167862</v>
      </c>
      <c r="BH39" s="179"/>
      <c r="BI39" s="546">
        <f t="shared" si="101"/>
        <v>3.4599414850513465E-3</v>
      </c>
      <c r="BJ39" s="546">
        <f t="shared" si="102"/>
        <v>3.7445870912585111E-2</v>
      </c>
      <c r="BK39" s="546">
        <f t="shared" si="103"/>
        <v>4.3749999999999995E-3</v>
      </c>
      <c r="BL39" s="546">
        <f t="shared" si="104"/>
        <v>2.7651093750000001E-2</v>
      </c>
      <c r="BM39">
        <f t="shared" si="105"/>
        <v>6.96E-3</v>
      </c>
      <c r="BN39" s="546">
        <f t="shared" si="106"/>
        <v>8.0455453855922801E-2</v>
      </c>
      <c r="BO39" s="472">
        <f t="shared" si="60"/>
        <v>80.455453855922798</v>
      </c>
      <c r="BP39" s="546">
        <f t="shared" si="107"/>
        <v>4.6410000000000007E-2</v>
      </c>
      <c r="BQ39" s="546"/>
      <c r="BS39" s="472">
        <f t="shared" si="61"/>
        <v>46.410000000000004</v>
      </c>
      <c r="BT39" s="546">
        <f t="shared" si="108"/>
        <v>1.9771094200293411E-3</v>
      </c>
      <c r="BU39" s="546">
        <f t="shared" si="109"/>
        <v>1.1895748498492637E-2</v>
      </c>
      <c r="BV39" s="546">
        <f t="shared" si="110"/>
        <v>8.8406429907081276E-3</v>
      </c>
      <c r="BW39" s="546">
        <f t="shared" si="111"/>
        <v>2.4405329593044665E-2</v>
      </c>
      <c r="BX39" s="546">
        <f t="shared" si="112"/>
        <v>2.2537878787878787E-2</v>
      </c>
      <c r="BY39" s="472">
        <f t="shared" si="62"/>
        <v>46.943208380923451</v>
      </c>
      <c r="BZ39" s="179">
        <f t="shared" si="113"/>
        <v>0.17380866223684627</v>
      </c>
      <c r="CA39" s="6">
        <f t="shared" si="114"/>
        <v>0.85000000000000009</v>
      </c>
      <c r="CB39" s="179">
        <f t="shared" si="63"/>
        <v>0.83023325681079496</v>
      </c>
      <c r="CC39" s="6">
        <f t="shared" si="64"/>
        <v>83.023325681079498</v>
      </c>
      <c r="CF39" s="581">
        <f t="shared" si="115"/>
        <v>-50</v>
      </c>
      <c r="CG39">
        <f t="shared" si="116"/>
        <v>-50</v>
      </c>
    </row>
    <row r="40" spans="5:85" x14ac:dyDescent="0.2">
      <c r="E40" s="176">
        <v>35</v>
      </c>
      <c r="F40" s="223">
        <f t="shared" si="117"/>
        <v>0.17499999999999999</v>
      </c>
      <c r="G40" s="223"/>
      <c r="H40" s="223">
        <f t="shared" si="66"/>
        <v>0.875</v>
      </c>
      <c r="I40" s="559">
        <f t="shared" si="67"/>
        <v>24</v>
      </c>
      <c r="J40" s="178">
        <f t="shared" si="68"/>
        <v>15.75</v>
      </c>
      <c r="K40" s="454">
        <f t="shared" si="69"/>
        <v>39.75</v>
      </c>
      <c r="L40" s="454"/>
      <c r="M40" s="223">
        <f t="shared" si="70"/>
        <v>0.39622641509433965</v>
      </c>
      <c r="N40" s="178">
        <f t="shared" si="5"/>
        <v>3.2094339622641508</v>
      </c>
      <c r="O40" s="178">
        <f t="shared" si="53"/>
        <v>0.875</v>
      </c>
      <c r="P40" s="223">
        <f t="shared" si="71"/>
        <v>0.6418867924528302</v>
      </c>
      <c r="Q40" s="223">
        <f t="shared" si="72"/>
        <v>5</v>
      </c>
      <c r="R40" s="223">
        <f t="shared" si="73"/>
        <v>0.71320754716981138</v>
      </c>
      <c r="S40" s="178">
        <f t="shared" si="74"/>
        <v>38.33754448187873</v>
      </c>
      <c r="T40" s="178">
        <f t="shared" si="75"/>
        <v>5</v>
      </c>
      <c r="U40" s="223">
        <f t="shared" si="76"/>
        <v>0.2044753086419753</v>
      </c>
      <c r="V40" s="223">
        <f t="shared" si="77"/>
        <v>0.37487139917695467</v>
      </c>
      <c r="W40" s="223">
        <f t="shared" si="78"/>
        <v>0.57123260826964528</v>
      </c>
      <c r="X40" s="203">
        <f t="shared" si="79"/>
        <v>350</v>
      </c>
      <c r="Y40" s="454">
        <f t="shared" si="54"/>
        <v>350</v>
      </c>
      <c r="AA40" s="223">
        <f t="shared" si="80"/>
        <v>0.61749571183533458</v>
      </c>
      <c r="AB40" s="179">
        <f t="shared" si="81"/>
        <v>1.7250673854447443</v>
      </c>
      <c r="AC40" s="179">
        <f t="shared" si="82"/>
        <v>0.55924139939803896</v>
      </c>
      <c r="AD40" s="179"/>
      <c r="AE40" s="179">
        <f t="shared" si="83"/>
        <v>0.419047619047619</v>
      </c>
      <c r="AF40" s="563">
        <f t="shared" ref="AF40:AF71" si="118">MAX(10000,F40/(0.5*AE40/1000000*Isw_min*Nps))/1000</f>
        <v>1856.0606060606062</v>
      </c>
      <c r="AG40" s="546">
        <f t="shared" si="84"/>
        <v>3.2999999999999995E-2</v>
      </c>
      <c r="AI40" s="179">
        <f t="shared" si="85"/>
        <v>0.36410954062720952</v>
      </c>
      <c r="AJ40" s="179">
        <f t="shared" si="86"/>
        <v>0.36410954062720952</v>
      </c>
      <c r="AK40" s="179">
        <f t="shared" si="87"/>
        <v>1.358599659723859</v>
      </c>
      <c r="AM40" s="563">
        <f t="shared" si="88"/>
        <v>175</v>
      </c>
      <c r="AN40" s="472">
        <f t="shared" si="89"/>
        <v>350</v>
      </c>
      <c r="AP40">
        <f t="shared" si="90"/>
        <v>175</v>
      </c>
      <c r="AQ40" s="472">
        <f t="shared" si="91"/>
        <v>350</v>
      </c>
      <c r="AR40" s="472"/>
      <c r="AS40" s="6">
        <f t="shared" si="55"/>
        <v>2.8571428571428572</v>
      </c>
      <c r="AT40" s="6">
        <f t="shared" si="92"/>
        <v>0.66753415781655079</v>
      </c>
      <c r="AU40" s="6">
        <f t="shared" si="56"/>
        <v>2.1896086993263064</v>
      </c>
      <c r="AV40" s="6">
        <f t="shared" si="93"/>
        <v>1.0171949071490298</v>
      </c>
      <c r="AW40" s="179">
        <f t="shared" si="57"/>
        <v>0.23363695523579278</v>
      </c>
      <c r="AX40" s="179">
        <f t="shared" si="94"/>
        <v>1.020833333333333</v>
      </c>
      <c r="AY40" s="179">
        <f t="shared" si="95"/>
        <v>0.41856014427414767</v>
      </c>
      <c r="AZ40" s="179">
        <f t="shared" si="58"/>
        <v>2.4389167179393691</v>
      </c>
      <c r="BA40" s="472">
        <f t="shared" si="96"/>
        <v>24.124421502313997</v>
      </c>
      <c r="BB40" s="472">
        <f t="shared" si="97"/>
        <v>2.2285382498522459</v>
      </c>
      <c r="BC40" s="6">
        <f t="shared" si="98"/>
        <v>7.3916188731115662E-2</v>
      </c>
      <c r="BD40" s="563">
        <f t="shared" si="99"/>
        <v>20.065377168818546</v>
      </c>
      <c r="BE40" s="6"/>
      <c r="BF40" s="179">
        <f t="shared" si="59"/>
        <v>0.10161134506552992</v>
      </c>
      <c r="BG40" s="179">
        <f t="shared" si="100"/>
        <v>0.5520901047048723</v>
      </c>
      <c r="BH40" s="179"/>
      <c r="BI40" s="546">
        <f t="shared" si="101"/>
        <v>3.6137029061091672E-3</v>
      </c>
      <c r="BJ40" s="546">
        <f t="shared" si="102"/>
        <v>3.7992554879820395E-2</v>
      </c>
      <c r="BK40" s="546">
        <f t="shared" si="103"/>
        <v>4.3749999999999995E-3</v>
      </c>
      <c r="BL40" s="546">
        <f t="shared" si="104"/>
        <v>2.7651093750000001E-2</v>
      </c>
      <c r="BM40">
        <f t="shared" si="105"/>
        <v>6.96E-3</v>
      </c>
      <c r="BN40" s="546">
        <f t="shared" si="106"/>
        <v>8.1181853127909376E-2</v>
      </c>
      <c r="BO40" s="472">
        <f t="shared" si="60"/>
        <v>81.181853127909378</v>
      </c>
      <c r="BP40" s="546">
        <f t="shared" si="107"/>
        <v>4.7774999999999998E-2</v>
      </c>
      <c r="BQ40" s="546"/>
      <c r="BS40" s="472">
        <f t="shared" si="61"/>
        <v>47.774999999999999</v>
      </c>
      <c r="BT40" s="546">
        <f t="shared" si="108"/>
        <v>2.0649730892052386E-3</v>
      </c>
      <c r="BU40" s="546">
        <f t="shared" si="109"/>
        <v>1.2192139348521473E-2</v>
      </c>
      <c r="BV40" s="546">
        <f t="shared" si="110"/>
        <v>9.1668528948639257E-3</v>
      </c>
      <c r="BW40" s="546">
        <f t="shared" si="111"/>
        <v>2.5163519555328185E-2</v>
      </c>
      <c r="BX40" s="546">
        <f t="shared" si="112"/>
        <v>2.3200757575757572E-2</v>
      </c>
      <c r="BY40" s="472">
        <f t="shared" si="62"/>
        <v>48.364277131085757</v>
      </c>
      <c r="BZ40" s="179">
        <f t="shared" si="113"/>
        <v>0.17732113025899515</v>
      </c>
      <c r="CA40" s="6">
        <f t="shared" si="114"/>
        <v>0.875</v>
      </c>
      <c r="CB40" s="179">
        <f t="shared" si="63"/>
        <v>0.83149522977329815</v>
      </c>
      <c r="CC40" s="6">
        <f t="shared" si="64"/>
        <v>83.149522977329809</v>
      </c>
      <c r="CF40" s="581">
        <f t="shared" si="115"/>
        <v>-50</v>
      </c>
      <c r="CG40">
        <f t="shared" si="116"/>
        <v>-50</v>
      </c>
    </row>
    <row r="41" spans="5:85" x14ac:dyDescent="0.2">
      <c r="E41" s="176">
        <v>36</v>
      </c>
      <c r="F41" s="223">
        <f t="shared" si="117"/>
        <v>0.18</v>
      </c>
      <c r="G41" s="223"/>
      <c r="H41" s="223">
        <f t="shared" si="66"/>
        <v>0.89999999999999991</v>
      </c>
      <c r="I41" s="559">
        <f t="shared" si="67"/>
        <v>24</v>
      </c>
      <c r="J41" s="178">
        <f t="shared" si="68"/>
        <v>15.75</v>
      </c>
      <c r="K41" s="454">
        <f t="shared" si="69"/>
        <v>39.75</v>
      </c>
      <c r="L41" s="454"/>
      <c r="M41" s="223">
        <f t="shared" si="70"/>
        <v>0.39622641509433965</v>
      </c>
      <c r="N41" s="178">
        <f t="shared" si="5"/>
        <v>3.2094339622641508</v>
      </c>
      <c r="O41" s="178">
        <f t="shared" si="53"/>
        <v>0.89999999999999991</v>
      </c>
      <c r="P41" s="223">
        <f t="shared" si="71"/>
        <v>0.6418867924528302</v>
      </c>
      <c r="Q41" s="223">
        <f t="shared" si="72"/>
        <v>5</v>
      </c>
      <c r="R41" s="223">
        <f t="shared" si="73"/>
        <v>0.71320754716981138</v>
      </c>
      <c r="S41" s="178">
        <f t="shared" si="74"/>
        <v>37.05361410811841</v>
      </c>
      <c r="T41" s="178">
        <f t="shared" si="75"/>
        <v>5</v>
      </c>
      <c r="U41" s="223">
        <f t="shared" si="76"/>
        <v>0.21031746031746026</v>
      </c>
      <c r="V41" s="223">
        <f t="shared" si="77"/>
        <v>0.38558201058201047</v>
      </c>
      <c r="W41" s="223">
        <f t="shared" si="78"/>
        <v>0.58755353993449211</v>
      </c>
      <c r="X41" s="203">
        <f t="shared" si="79"/>
        <v>350</v>
      </c>
      <c r="Y41" s="454">
        <f t="shared" si="54"/>
        <v>350</v>
      </c>
      <c r="AA41" s="223">
        <f t="shared" si="80"/>
        <v>0.61749571183533458</v>
      </c>
      <c r="AB41" s="179">
        <f t="shared" si="81"/>
        <v>1.7250673854447443</v>
      </c>
      <c r="AC41" s="179">
        <f t="shared" si="82"/>
        <v>0.55924139939803896</v>
      </c>
      <c r="AD41" s="179"/>
      <c r="AE41" s="179">
        <f t="shared" si="83"/>
        <v>0.419047619047619</v>
      </c>
      <c r="AF41" s="563">
        <f t="shared" si="118"/>
        <v>1909.0909090909095</v>
      </c>
      <c r="AG41" s="546">
        <f t="shared" si="84"/>
        <v>3.2999999999999995E-2</v>
      </c>
      <c r="AI41" s="179">
        <f t="shared" si="85"/>
        <v>0.3692744729379982</v>
      </c>
      <c r="AJ41" s="179">
        <f t="shared" si="86"/>
        <v>0.3692744729379982</v>
      </c>
      <c r="AK41" s="179">
        <f t="shared" si="87"/>
        <v>1.3624255355096282</v>
      </c>
      <c r="AM41" s="563">
        <f t="shared" si="88"/>
        <v>180</v>
      </c>
      <c r="AN41" s="472">
        <f t="shared" si="89"/>
        <v>350</v>
      </c>
      <c r="AP41">
        <f t="shared" si="90"/>
        <v>180</v>
      </c>
      <c r="AQ41" s="472">
        <f t="shared" si="91"/>
        <v>350</v>
      </c>
      <c r="AR41" s="472"/>
      <c r="AS41" s="6">
        <f t="shared" si="55"/>
        <v>2.8571428571428572</v>
      </c>
      <c r="AT41" s="6">
        <f t="shared" si="92"/>
        <v>0.67700320038632988</v>
      </c>
      <c r="AU41" s="6">
        <f t="shared" si="56"/>
        <v>2.1801396567565274</v>
      </c>
      <c r="AV41" s="6">
        <f t="shared" si="93"/>
        <v>1.031623924398217</v>
      </c>
      <c r="AW41" s="179">
        <f t="shared" si="57"/>
        <v>0.23695112013521547</v>
      </c>
      <c r="AX41" s="179">
        <f t="shared" si="94"/>
        <v>1.05</v>
      </c>
      <c r="AY41" s="179">
        <f t="shared" si="95"/>
        <v>0.42266170940699732</v>
      </c>
      <c r="AZ41" s="179">
        <f t="shared" si="58"/>
        <v>2.484256266017498</v>
      </c>
      <c r="BA41" s="472">
        <f t="shared" si="96"/>
        <v>24.124421502313997</v>
      </c>
      <c r="BB41" s="472">
        <f t="shared" si="97"/>
        <v>2.342273936170213</v>
      </c>
      <c r="BC41" s="6">
        <f t="shared" si="98"/>
        <v>7.5699293637379414E-2</v>
      </c>
      <c r="BD41" s="563">
        <f t="shared" si="99"/>
        <v>20.608590632936011</v>
      </c>
      <c r="BE41" s="6"/>
      <c r="BF41" s="179">
        <f t="shared" si="59"/>
        <v>0.10378104576796097</v>
      </c>
      <c r="BG41" s="179">
        <f t="shared" si="100"/>
        <v>0.55870954882182255</v>
      </c>
      <c r="BH41" s="179"/>
      <c r="BI41" s="546">
        <f t="shared" si="101"/>
        <v>3.7696769112420636E-3</v>
      </c>
      <c r="BJ41" s="546">
        <f t="shared" si="102"/>
        <v>3.8531483285624252E-2</v>
      </c>
      <c r="BK41" s="546">
        <f t="shared" si="103"/>
        <v>4.3749999999999995E-3</v>
      </c>
      <c r="BL41" s="546">
        <f t="shared" si="104"/>
        <v>2.7651093750000001E-2</v>
      </c>
      <c r="BM41">
        <f t="shared" si="105"/>
        <v>6.96E-3</v>
      </c>
      <c r="BN41" s="546">
        <f t="shared" si="106"/>
        <v>8.1903141644252012E-2</v>
      </c>
      <c r="BO41" s="472">
        <f t="shared" si="60"/>
        <v>81.903141644252017</v>
      </c>
      <c r="BP41" s="546">
        <f t="shared" si="107"/>
        <v>4.9140000000000003E-2</v>
      </c>
      <c r="BQ41" s="546"/>
      <c r="BS41" s="472">
        <f t="shared" si="61"/>
        <v>49.14</v>
      </c>
      <c r="BT41" s="546">
        <f t="shared" si="108"/>
        <v>2.1541010921383224E-3</v>
      </c>
      <c r="BU41" s="546">
        <f t="shared" si="109"/>
        <v>1.2486254397787382E-2</v>
      </c>
      <c r="BV41" s="546">
        <f t="shared" si="110"/>
        <v>9.4954014907528052E-3</v>
      </c>
      <c r="BW41" s="546">
        <f t="shared" si="111"/>
        <v>2.5922961349029709E-2</v>
      </c>
      <c r="BX41" s="546">
        <f t="shared" si="112"/>
        <v>2.3863636363636365E-2</v>
      </c>
      <c r="BY41" s="472">
        <f t="shared" si="62"/>
        <v>49.786597712666072</v>
      </c>
      <c r="BZ41" s="179">
        <f t="shared" si="113"/>
        <v>0.1808297393569181</v>
      </c>
      <c r="CA41" s="6">
        <f t="shared" si="114"/>
        <v>0.89999999999999991</v>
      </c>
      <c r="CB41" s="179">
        <f t="shared" si="63"/>
        <v>0.83269359384530839</v>
      </c>
      <c r="CC41" s="6">
        <f t="shared" si="64"/>
        <v>83.269359384530844</v>
      </c>
      <c r="CF41" s="581">
        <f t="shared" si="115"/>
        <v>-50</v>
      </c>
      <c r="CG41">
        <f t="shared" si="116"/>
        <v>-50</v>
      </c>
    </row>
    <row r="42" spans="5:85" x14ac:dyDescent="0.2">
      <c r="E42" s="176">
        <v>37</v>
      </c>
      <c r="F42" s="223">
        <f t="shared" si="117"/>
        <v>0.185</v>
      </c>
      <c r="G42" s="223"/>
      <c r="H42" s="223">
        <f t="shared" si="66"/>
        <v>0.92500000000000004</v>
      </c>
      <c r="I42" s="559">
        <f t="shared" si="67"/>
        <v>24</v>
      </c>
      <c r="J42" s="178">
        <f t="shared" si="68"/>
        <v>15.75</v>
      </c>
      <c r="K42" s="454">
        <f t="shared" si="69"/>
        <v>39.75</v>
      </c>
      <c r="L42" s="454"/>
      <c r="M42" s="223">
        <f t="shared" si="70"/>
        <v>0.39622641509433965</v>
      </c>
      <c r="N42" s="178">
        <f t="shared" si="5"/>
        <v>3.2094339622641508</v>
      </c>
      <c r="O42" s="178">
        <f t="shared" si="53"/>
        <v>0.92500000000000004</v>
      </c>
      <c r="P42" s="223">
        <f t="shared" si="71"/>
        <v>0.6418867924528302</v>
      </c>
      <c r="Q42" s="223">
        <f t="shared" si="72"/>
        <v>5</v>
      </c>
      <c r="R42" s="223">
        <f t="shared" si="73"/>
        <v>0.71320754716981138</v>
      </c>
      <c r="S42" s="178">
        <f t="shared" si="74"/>
        <v>35.839202022146956</v>
      </c>
      <c r="T42" s="178">
        <f t="shared" si="75"/>
        <v>5</v>
      </c>
      <c r="U42" s="223">
        <f t="shared" si="76"/>
        <v>0.21615961199294531</v>
      </c>
      <c r="V42" s="223">
        <f t="shared" si="77"/>
        <v>0.39629262198706644</v>
      </c>
      <c r="W42" s="223">
        <f t="shared" si="78"/>
        <v>0.60387447159933927</v>
      </c>
      <c r="X42" s="203">
        <f t="shared" si="79"/>
        <v>350</v>
      </c>
      <c r="Y42" s="454">
        <f t="shared" si="54"/>
        <v>350</v>
      </c>
      <c r="AA42" s="223">
        <f t="shared" si="80"/>
        <v>0.61749571183533458</v>
      </c>
      <c r="AB42" s="179">
        <f t="shared" si="81"/>
        <v>1.7250673854447443</v>
      </c>
      <c r="AC42" s="179">
        <f t="shared" si="82"/>
        <v>0.55924139939803896</v>
      </c>
      <c r="AD42" s="179"/>
      <c r="AE42" s="179">
        <f t="shared" si="83"/>
        <v>0.419047619047619</v>
      </c>
      <c r="AF42" s="563">
        <f t="shared" si="118"/>
        <v>1962.1212121212125</v>
      </c>
      <c r="AG42" s="546">
        <f t="shared" si="84"/>
        <v>3.2999999999999995E-2</v>
      </c>
      <c r="AI42" s="179">
        <f t="shared" si="85"/>
        <v>0.37436815456381323</v>
      </c>
      <c r="AJ42" s="179">
        <f t="shared" si="86"/>
        <v>0.37436815456381323</v>
      </c>
      <c r="AK42" s="179">
        <f t="shared" si="87"/>
        <v>1.366198633010232</v>
      </c>
      <c r="AM42" s="563">
        <f t="shared" si="88"/>
        <v>185</v>
      </c>
      <c r="AN42" s="472">
        <f t="shared" si="89"/>
        <v>350</v>
      </c>
      <c r="AP42">
        <f t="shared" si="90"/>
        <v>185</v>
      </c>
      <c r="AQ42" s="472">
        <f t="shared" si="91"/>
        <v>350</v>
      </c>
      <c r="AR42" s="472"/>
      <c r="AS42" s="6">
        <f t="shared" si="55"/>
        <v>2.8571428571428572</v>
      </c>
      <c r="AT42" s="6">
        <f t="shared" si="92"/>
        <v>0.68634161670032412</v>
      </c>
      <c r="AU42" s="6">
        <f t="shared" si="56"/>
        <v>2.170801240442533</v>
      </c>
      <c r="AV42" s="6">
        <f t="shared" si="93"/>
        <v>1.0458538921147797</v>
      </c>
      <c r="AW42" s="179">
        <f t="shared" si="57"/>
        <v>0.24021956584511345</v>
      </c>
      <c r="AX42" s="179">
        <f t="shared" si="94"/>
        <v>1.0791666666666664</v>
      </c>
      <c r="AY42" s="179">
        <f t="shared" si="95"/>
        <v>0.42665639851238651</v>
      </c>
      <c r="AZ42" s="179">
        <f t="shared" si="58"/>
        <v>2.5293577464896182</v>
      </c>
      <c r="BA42" s="472">
        <f t="shared" si="96"/>
        <v>24.124421502313997</v>
      </c>
      <c r="BB42" s="472">
        <f t="shared" si="97"/>
        <v>2.458790909426714</v>
      </c>
      <c r="BC42" s="6">
        <f t="shared" si="98"/>
        <v>7.7468794267335758E-2</v>
      </c>
      <c r="BD42" s="563">
        <f t="shared" si="99"/>
        <v>21.150453689297688</v>
      </c>
      <c r="BE42" s="6"/>
      <c r="BF42" s="179">
        <f t="shared" si="59"/>
        <v>0.10593572913521955</v>
      </c>
      <c r="BG42" s="179">
        <f t="shared" si="100"/>
        <v>0.5652018551702126</v>
      </c>
      <c r="BH42" s="179"/>
      <c r="BI42" s="546">
        <f t="shared" si="101"/>
        <v>3.9278325475937109E-3</v>
      </c>
      <c r="BJ42" s="546">
        <f t="shared" si="102"/>
        <v>3.9062977127767885E-2</v>
      </c>
      <c r="BK42" s="546">
        <f t="shared" si="103"/>
        <v>4.3749999999999995E-3</v>
      </c>
      <c r="BL42" s="546">
        <f t="shared" si="104"/>
        <v>2.7651093750000001E-2</v>
      </c>
      <c r="BM42">
        <f t="shared" si="105"/>
        <v>6.96E-3</v>
      </c>
      <c r="BN42" s="546">
        <f t="shared" si="106"/>
        <v>8.2619605604958457E-2</v>
      </c>
      <c r="BO42" s="472">
        <f t="shared" si="60"/>
        <v>82.619605604958451</v>
      </c>
      <c r="BP42" s="546">
        <f t="shared" si="107"/>
        <v>5.0505000000000001E-2</v>
      </c>
      <c r="BQ42" s="546"/>
      <c r="BS42" s="472">
        <f t="shared" si="61"/>
        <v>50.505000000000003</v>
      </c>
      <c r="BT42" s="546">
        <f t="shared" si="108"/>
        <v>2.244475741482121E-3</v>
      </c>
      <c r="BU42" s="546">
        <f t="shared" si="109"/>
        <v>1.2778125483514001E-2</v>
      </c>
      <c r="BV42" s="546">
        <f t="shared" si="110"/>
        <v>9.8262398732594028E-3</v>
      </c>
      <c r="BW42" s="546">
        <f t="shared" si="111"/>
        <v>2.6683621838064005E-2</v>
      </c>
      <c r="BX42" s="546">
        <f t="shared" si="112"/>
        <v>2.4526515151515153E-2</v>
      </c>
      <c r="BY42" s="472">
        <f t="shared" si="62"/>
        <v>51.210136989579155</v>
      </c>
      <c r="BZ42" s="179">
        <f t="shared" si="113"/>
        <v>0.18433474259453761</v>
      </c>
      <c r="CA42" s="6">
        <f t="shared" si="114"/>
        <v>0.92500000000000004</v>
      </c>
      <c r="CB42" s="179">
        <f t="shared" si="63"/>
        <v>0.83383307534080175</v>
      </c>
      <c r="CC42" s="6">
        <f t="shared" si="64"/>
        <v>83.383307534080174</v>
      </c>
      <c r="CF42" s="581">
        <f t="shared" si="115"/>
        <v>-50</v>
      </c>
      <c r="CG42">
        <f t="shared" si="116"/>
        <v>-50</v>
      </c>
    </row>
    <row r="43" spans="5:85" x14ac:dyDescent="0.2">
      <c r="E43" s="176">
        <v>38</v>
      </c>
      <c r="F43" s="223">
        <f t="shared" si="117"/>
        <v>0.19</v>
      </c>
      <c r="G43" s="223"/>
      <c r="H43" s="223">
        <f t="shared" si="66"/>
        <v>0.95</v>
      </c>
      <c r="I43" s="559">
        <f t="shared" si="67"/>
        <v>24</v>
      </c>
      <c r="J43" s="178">
        <f t="shared" si="68"/>
        <v>15.75</v>
      </c>
      <c r="K43" s="454">
        <f t="shared" si="69"/>
        <v>39.75</v>
      </c>
      <c r="L43" s="454"/>
      <c r="M43" s="223">
        <f t="shared" si="70"/>
        <v>0.39622641509433965</v>
      </c>
      <c r="N43" s="178">
        <f t="shared" si="5"/>
        <v>3.2094339622641508</v>
      </c>
      <c r="O43" s="178">
        <f t="shared" si="53"/>
        <v>0.95</v>
      </c>
      <c r="P43" s="223">
        <f t="shared" si="71"/>
        <v>0.6418867924528302</v>
      </c>
      <c r="Q43" s="223">
        <f t="shared" si="72"/>
        <v>5</v>
      </c>
      <c r="R43" s="223">
        <f t="shared" si="73"/>
        <v>0.71320754716981138</v>
      </c>
      <c r="S43" s="178">
        <f t="shared" si="74"/>
        <v>34.688821862080736</v>
      </c>
      <c r="T43" s="178">
        <f t="shared" si="75"/>
        <v>5</v>
      </c>
      <c r="U43" s="223">
        <f t="shared" si="76"/>
        <v>0.2220017636684303</v>
      </c>
      <c r="V43" s="223">
        <f t="shared" si="77"/>
        <v>0.40700323339212213</v>
      </c>
      <c r="W43" s="223">
        <f t="shared" si="78"/>
        <v>0.6201954032641861</v>
      </c>
      <c r="X43" s="203">
        <f t="shared" si="79"/>
        <v>350</v>
      </c>
      <c r="Y43" s="454">
        <f t="shared" si="54"/>
        <v>350</v>
      </c>
      <c r="AA43" s="223">
        <f t="shared" si="80"/>
        <v>0.61749571183533458</v>
      </c>
      <c r="AB43" s="179">
        <f t="shared" si="81"/>
        <v>1.7250673854447443</v>
      </c>
      <c r="AC43" s="179">
        <f t="shared" si="82"/>
        <v>0.55924139939803896</v>
      </c>
      <c r="AD43" s="179"/>
      <c r="AE43" s="179">
        <f t="shared" si="83"/>
        <v>0.419047619047619</v>
      </c>
      <c r="AF43" s="563">
        <f t="shared" si="118"/>
        <v>2015.1515151515157</v>
      </c>
      <c r="AG43" s="546">
        <f t="shared" si="84"/>
        <v>3.2999999999999995E-2</v>
      </c>
      <c r="AI43" s="179">
        <f t="shared" si="85"/>
        <v>0.37939345531966406</v>
      </c>
      <c r="AJ43" s="179">
        <f t="shared" si="86"/>
        <v>0.37939345531966406</v>
      </c>
      <c r="AK43" s="179">
        <f t="shared" si="87"/>
        <v>1.3699210780145659</v>
      </c>
      <c r="AM43" s="563">
        <f t="shared" si="88"/>
        <v>190</v>
      </c>
      <c r="AN43" s="472">
        <f t="shared" si="89"/>
        <v>350</v>
      </c>
      <c r="AP43">
        <f t="shared" si="90"/>
        <v>190</v>
      </c>
      <c r="AQ43" s="472">
        <f t="shared" si="91"/>
        <v>350</v>
      </c>
      <c r="AR43" s="472"/>
      <c r="AS43" s="6">
        <f t="shared" si="55"/>
        <v>2.8571428571428572</v>
      </c>
      <c r="AT43" s="6">
        <f t="shared" si="92"/>
        <v>0.69555466808605082</v>
      </c>
      <c r="AU43" s="6">
        <f t="shared" si="56"/>
        <v>2.1615881890568063</v>
      </c>
      <c r="AV43" s="6">
        <f t="shared" si="93"/>
        <v>1.0598928275596964</v>
      </c>
      <c r="AW43" s="179">
        <f t="shared" si="57"/>
        <v>0.24344413383011779</v>
      </c>
      <c r="AX43" s="179">
        <f t="shared" si="94"/>
        <v>1.1083333333333332</v>
      </c>
      <c r="AY43" s="179">
        <f t="shared" si="95"/>
        <v>0.43054851631282942</v>
      </c>
      <c r="AZ43" s="179">
        <f t="shared" si="58"/>
        <v>2.574235635103284</v>
      </c>
      <c r="BA43" s="472">
        <f t="shared" si="96"/>
        <v>24.124421502313997</v>
      </c>
      <c r="BB43" s="472">
        <f t="shared" si="97"/>
        <v>2.5780891696217498</v>
      </c>
      <c r="BC43" s="6">
        <f t="shared" si="98"/>
        <v>7.9224875756325835E-2</v>
      </c>
      <c r="BD43" s="563">
        <f t="shared" si="99"/>
        <v>21.690981271326432</v>
      </c>
      <c r="BE43" s="6"/>
      <c r="BF43" s="179">
        <f t="shared" si="59"/>
        <v>0.10807590092400782</v>
      </c>
      <c r="BG43" s="179">
        <f t="shared" si="100"/>
        <v>0.5715720239596741</v>
      </c>
      <c r="BH43" s="179"/>
      <c r="BI43" s="546">
        <f t="shared" si="101"/>
        <v>4.0881401261875835E-3</v>
      </c>
      <c r="BJ43" s="546">
        <f t="shared" si="102"/>
        <v>3.9587335853511194E-2</v>
      </c>
      <c r="BK43" s="546">
        <f t="shared" si="103"/>
        <v>4.3749999999999995E-3</v>
      </c>
      <c r="BL43" s="546">
        <f t="shared" si="104"/>
        <v>2.7651093750000001E-2</v>
      </c>
      <c r="BM43">
        <f t="shared" si="105"/>
        <v>6.96E-3</v>
      </c>
      <c r="BN43" s="546">
        <f t="shared" si="106"/>
        <v>8.3331511111626816E-2</v>
      </c>
      <c r="BO43" s="472">
        <f t="shared" si="60"/>
        <v>83.33151111162681</v>
      </c>
      <c r="BP43" s="546">
        <f t="shared" si="107"/>
        <v>5.1869999999999999E-2</v>
      </c>
      <c r="BQ43" s="546"/>
      <c r="BS43" s="472">
        <f t="shared" si="61"/>
        <v>51.87</v>
      </c>
      <c r="BT43" s="546">
        <f t="shared" si="108"/>
        <v>2.3360800721071908E-3</v>
      </c>
      <c r="BU43" s="546">
        <f t="shared" si="109"/>
        <v>1.3067783142934331E-2</v>
      </c>
      <c r="BV43" s="546">
        <f t="shared" si="110"/>
        <v>1.0159321459091623E-2</v>
      </c>
      <c r="BW43" s="546">
        <f t="shared" si="111"/>
        <v>2.7445469560656924E-2</v>
      </c>
      <c r="BX43" s="546">
        <f t="shared" si="112"/>
        <v>2.5189393939393942E-2</v>
      </c>
      <c r="BY43" s="472">
        <f t="shared" si="62"/>
        <v>52.634863500050869</v>
      </c>
      <c r="BZ43" s="179">
        <f t="shared" si="113"/>
        <v>0.18783637461167768</v>
      </c>
      <c r="CA43" s="6">
        <f t="shared" si="114"/>
        <v>0.95</v>
      </c>
      <c r="CB43" s="179">
        <f t="shared" si="63"/>
        <v>0.83491793828811034</v>
      </c>
      <c r="CC43" s="6">
        <f t="shared" si="64"/>
        <v>83.491793828811041</v>
      </c>
      <c r="CF43" s="581">
        <f t="shared" si="115"/>
        <v>-50</v>
      </c>
      <c r="CG43">
        <f t="shared" si="116"/>
        <v>-50</v>
      </c>
    </row>
    <row r="44" spans="5:85" x14ac:dyDescent="0.2">
      <c r="E44" s="176">
        <v>39</v>
      </c>
      <c r="F44" s="223">
        <f t="shared" si="117"/>
        <v>0.19500000000000001</v>
      </c>
      <c r="G44" s="223"/>
      <c r="H44" s="223">
        <f t="shared" si="66"/>
        <v>0.97500000000000009</v>
      </c>
      <c r="I44" s="559">
        <f t="shared" si="67"/>
        <v>24</v>
      </c>
      <c r="J44" s="178">
        <f t="shared" si="68"/>
        <v>15.75</v>
      </c>
      <c r="K44" s="454">
        <f t="shared" si="69"/>
        <v>39.75</v>
      </c>
      <c r="L44" s="454"/>
      <c r="M44" s="223">
        <f t="shared" si="70"/>
        <v>0.39622641509433965</v>
      </c>
      <c r="N44" s="178">
        <f t="shared" si="5"/>
        <v>3.2094339622641508</v>
      </c>
      <c r="O44" s="178">
        <f t="shared" si="53"/>
        <v>0.97500000000000009</v>
      </c>
      <c r="P44" s="223">
        <f t="shared" si="71"/>
        <v>0.6418867924528302</v>
      </c>
      <c r="Q44" s="223">
        <f t="shared" si="72"/>
        <v>5</v>
      </c>
      <c r="R44" s="223">
        <f t="shared" si="73"/>
        <v>0.71320754716981138</v>
      </c>
      <c r="S44" s="178">
        <f t="shared" si="74"/>
        <v>33.597550010135294</v>
      </c>
      <c r="T44" s="178">
        <f t="shared" si="75"/>
        <v>5</v>
      </c>
      <c r="U44" s="223">
        <f t="shared" si="76"/>
        <v>0.22784391534391535</v>
      </c>
      <c r="V44" s="223">
        <f t="shared" si="77"/>
        <v>0.41771384479717816</v>
      </c>
      <c r="W44" s="223">
        <f t="shared" si="78"/>
        <v>0.63651633492903337</v>
      </c>
      <c r="X44" s="203">
        <f t="shared" si="79"/>
        <v>350</v>
      </c>
      <c r="Y44" s="454">
        <f t="shared" si="54"/>
        <v>350</v>
      </c>
      <c r="AA44" s="223">
        <f t="shared" si="80"/>
        <v>0.61749571183533458</v>
      </c>
      <c r="AB44" s="179">
        <f t="shared" si="81"/>
        <v>1.7250673854447443</v>
      </c>
      <c r="AC44" s="179">
        <f t="shared" si="82"/>
        <v>0.55924139939803896</v>
      </c>
      <c r="AD44" s="179"/>
      <c r="AE44" s="179">
        <f t="shared" si="83"/>
        <v>0.419047619047619</v>
      </c>
      <c r="AF44" s="563">
        <f t="shared" si="118"/>
        <v>2068.1818181818185</v>
      </c>
      <c r="AG44" s="546">
        <f t="shared" si="84"/>
        <v>3.2999999999999995E-2</v>
      </c>
      <c r="AI44" s="179">
        <f t="shared" si="85"/>
        <v>0.38435305739290365</v>
      </c>
      <c r="AJ44" s="179">
        <f t="shared" si="86"/>
        <v>0.38435305739290365</v>
      </c>
      <c r="AK44" s="179">
        <f t="shared" si="87"/>
        <v>1.3735948573280767</v>
      </c>
      <c r="AM44" s="563">
        <f t="shared" si="88"/>
        <v>195</v>
      </c>
      <c r="AN44" s="472">
        <f t="shared" si="89"/>
        <v>350</v>
      </c>
      <c r="AP44">
        <f t="shared" si="90"/>
        <v>195</v>
      </c>
      <c r="AQ44" s="472">
        <f t="shared" si="91"/>
        <v>350</v>
      </c>
      <c r="AR44" s="472"/>
      <c r="AS44" s="6">
        <f t="shared" si="55"/>
        <v>2.8571428571428572</v>
      </c>
      <c r="AT44" s="6">
        <f t="shared" si="92"/>
        <v>0.70464727188698995</v>
      </c>
      <c r="AU44" s="6">
        <f t="shared" si="56"/>
        <v>2.1524955852558674</v>
      </c>
      <c r="AV44" s="6">
        <f t="shared" si="93"/>
        <v>1.0737482238277942</v>
      </c>
      <c r="AW44" s="179">
        <f t="shared" si="57"/>
        <v>0.24662654516044646</v>
      </c>
      <c r="AX44" s="179">
        <f t="shared" si="94"/>
        <v>1.1374999999999997</v>
      </c>
      <c r="AY44" s="179">
        <f t="shared" si="95"/>
        <v>0.43434208608935554</v>
      </c>
      <c r="AZ44" s="179">
        <f t="shared" si="58"/>
        <v>2.6189034782274958</v>
      </c>
      <c r="BA44" s="472">
        <f t="shared" si="96"/>
        <v>24.124421502313997</v>
      </c>
      <c r="BB44" s="472">
        <f t="shared" si="97"/>
        <v>2.7001687167553201</v>
      </c>
      <c r="BC44" s="6">
        <f t="shared" si="98"/>
        <v>8.0967715880573721E-2</v>
      </c>
      <c r="BD44" s="563">
        <f t="shared" si="99"/>
        <v>22.230187787815645</v>
      </c>
      <c r="BE44" s="6"/>
      <c r="BF44" s="179">
        <f t="shared" si="59"/>
        <v>0.1102020370330517</v>
      </c>
      <c r="BG44" s="179">
        <f t="shared" si="100"/>
        <v>0.57782472903615945</v>
      </c>
      <c r="BH44" s="179"/>
      <c r="BI44" s="546">
        <f t="shared" si="101"/>
        <v>4.2505711381819345E-3</v>
      </c>
      <c r="BJ44" s="546">
        <f t="shared" si="102"/>
        <v>4.0104839332340783E-2</v>
      </c>
      <c r="BK44" s="546">
        <f t="shared" si="103"/>
        <v>4.3749999999999995E-3</v>
      </c>
      <c r="BL44" s="546">
        <f t="shared" si="104"/>
        <v>2.7651093750000001E-2</v>
      </c>
      <c r="BM44">
        <f t="shared" si="105"/>
        <v>6.96E-3</v>
      </c>
      <c r="BN44" s="546">
        <f t="shared" si="106"/>
        <v>8.4039106044002304E-2</v>
      </c>
      <c r="BO44" s="472">
        <f t="shared" si="60"/>
        <v>84.03910604400231</v>
      </c>
      <c r="BP44" s="546">
        <f t="shared" si="107"/>
        <v>5.3234999999999998E-2</v>
      </c>
      <c r="BQ44" s="546"/>
      <c r="BS44" s="472">
        <f t="shared" si="61"/>
        <v>53.234999999999999</v>
      </c>
      <c r="BT44" s="546">
        <f t="shared" si="108"/>
        <v>2.42889779324682E-3</v>
      </c>
      <c r="BU44" s="546">
        <f t="shared" si="109"/>
        <v>1.3355256699428443E-2</v>
      </c>
      <c r="BV44" s="546">
        <f t="shared" si="110"/>
        <v>1.0494601818113481E-2</v>
      </c>
      <c r="BW44" s="546">
        <f t="shared" si="111"/>
        <v>2.8208474603601454E-2</v>
      </c>
      <c r="BX44" s="546">
        <f t="shared" si="112"/>
        <v>2.585227272727272E-2</v>
      </c>
      <c r="BY44" s="472">
        <f t="shared" si="62"/>
        <v>54.060747330874172</v>
      </c>
      <c r="BZ44" s="179">
        <f t="shared" si="113"/>
        <v>0.19133485337487649</v>
      </c>
      <c r="CA44" s="6">
        <f t="shared" si="114"/>
        <v>0.97500000000000009</v>
      </c>
      <c r="CB44" s="179">
        <f t="shared" si="63"/>
        <v>0.83595203999843204</v>
      </c>
      <c r="CC44" s="6">
        <f t="shared" si="64"/>
        <v>83.595203999843207</v>
      </c>
      <c r="CF44" s="581">
        <f t="shared" si="115"/>
        <v>-50</v>
      </c>
      <c r="CG44">
        <f t="shared" si="116"/>
        <v>-50</v>
      </c>
    </row>
    <row r="45" spans="5:85" x14ac:dyDescent="0.2">
      <c r="E45" s="176">
        <v>40</v>
      </c>
      <c r="F45" s="223">
        <f t="shared" si="117"/>
        <v>0.2</v>
      </c>
      <c r="G45" s="223"/>
      <c r="H45" s="223">
        <f t="shared" si="66"/>
        <v>1</v>
      </c>
      <c r="I45" s="559">
        <f t="shared" si="67"/>
        <v>24</v>
      </c>
      <c r="J45" s="178">
        <f t="shared" si="68"/>
        <v>15.75</v>
      </c>
      <c r="K45" s="454">
        <f t="shared" si="69"/>
        <v>39.75</v>
      </c>
      <c r="L45" s="454"/>
      <c r="M45" s="223">
        <f t="shared" si="70"/>
        <v>0.39622641509433965</v>
      </c>
      <c r="N45" s="178">
        <f t="shared" si="5"/>
        <v>3.2094339622641508</v>
      </c>
      <c r="O45" s="178">
        <f t="shared" si="53"/>
        <v>1</v>
      </c>
      <c r="P45" s="223">
        <f t="shared" si="71"/>
        <v>0.6418867924528302</v>
      </c>
      <c r="Q45" s="223">
        <f t="shared" si="72"/>
        <v>5</v>
      </c>
      <c r="R45" s="223">
        <f t="shared" si="73"/>
        <v>0.71320754716981138</v>
      </c>
      <c r="S45" s="178">
        <f t="shared" si="74"/>
        <v>32.56095525060833</v>
      </c>
      <c r="T45" s="178">
        <f t="shared" si="75"/>
        <v>5</v>
      </c>
      <c r="U45" s="223">
        <f t="shared" si="76"/>
        <v>0.23368606701940034</v>
      </c>
      <c r="V45" s="223">
        <f t="shared" si="77"/>
        <v>0.42842445620223396</v>
      </c>
      <c r="W45" s="223">
        <f t="shared" si="78"/>
        <v>0.65283726659388031</v>
      </c>
      <c r="X45" s="203">
        <f t="shared" si="79"/>
        <v>350</v>
      </c>
      <c r="Y45" s="454">
        <f t="shared" si="54"/>
        <v>350</v>
      </c>
      <c r="AA45" s="223">
        <f t="shared" si="80"/>
        <v>0.61749571183533458</v>
      </c>
      <c r="AB45" s="179">
        <f t="shared" si="81"/>
        <v>1.7250673854447443</v>
      </c>
      <c r="AC45" s="179">
        <f t="shared" si="82"/>
        <v>0.55924139939803896</v>
      </c>
      <c r="AD45" s="179"/>
      <c r="AE45" s="179">
        <f t="shared" si="83"/>
        <v>0.419047619047619</v>
      </c>
      <c r="AF45" s="563">
        <f t="shared" si="118"/>
        <v>2121.2121212121215</v>
      </c>
      <c r="AG45" s="546">
        <f t="shared" si="84"/>
        <v>3.2999999999999995E-2</v>
      </c>
      <c r="AI45" s="179">
        <f t="shared" si="85"/>
        <v>0.38924947208076149</v>
      </c>
      <c r="AJ45" s="179">
        <f t="shared" si="86"/>
        <v>0.38924947208076149</v>
      </c>
      <c r="AK45" s="179">
        <f t="shared" si="87"/>
        <v>1.3772218311709343</v>
      </c>
      <c r="AM45" s="563">
        <f t="shared" si="88"/>
        <v>200</v>
      </c>
      <c r="AN45" s="472">
        <f t="shared" si="89"/>
        <v>350</v>
      </c>
      <c r="AP45">
        <f t="shared" si="90"/>
        <v>200</v>
      </c>
      <c r="AQ45" s="472">
        <f t="shared" si="91"/>
        <v>350</v>
      </c>
      <c r="AR45" s="472"/>
      <c r="AS45" s="6">
        <f t="shared" si="55"/>
        <v>2.8571428571428572</v>
      </c>
      <c r="AT45" s="6">
        <f t="shared" si="92"/>
        <v>0.71362403214806269</v>
      </c>
      <c r="AU45" s="6">
        <f t="shared" si="56"/>
        <v>2.1435188249947945</v>
      </c>
      <c r="AV45" s="6">
        <f t="shared" si="93"/>
        <v>1.0874270966065718</v>
      </c>
      <c r="AW45" s="179">
        <f t="shared" si="57"/>
        <v>0.24976841125182195</v>
      </c>
      <c r="AX45" s="179">
        <f t="shared" si="94"/>
        <v>1.1666666666666667</v>
      </c>
      <c r="AY45" s="179">
        <f t="shared" si="95"/>
        <v>0.4380408747878089</v>
      </c>
      <c r="AZ45" s="179">
        <f t="shared" si="58"/>
        <v>2.6633739767591575</v>
      </c>
      <c r="BA45" s="472">
        <f t="shared" si="96"/>
        <v>24.124421502313997</v>
      </c>
      <c r="BB45" s="472">
        <f t="shared" si="97"/>
        <v>2.8250295508274244</v>
      </c>
      <c r="BC45" s="6">
        <f t="shared" si="98"/>
        <v>8.2697485532206572E-2</v>
      </c>
      <c r="BD45" s="563">
        <f t="shared" si="99"/>
        <v>22.768087153694903</v>
      </c>
      <c r="BE45" s="6"/>
      <c r="BF45" s="179">
        <f t="shared" si="59"/>
        <v>0.11231458598436578</v>
      </c>
      <c r="BG45" s="179">
        <f t="shared" si="100"/>
        <v>0.58396434696126709</v>
      </c>
      <c r="BH45" s="179"/>
      <c r="BI45" s="546">
        <f t="shared" si="101"/>
        <v>4.415098178693822E-3</v>
      </c>
      <c r="BJ45" s="546">
        <f t="shared" si="102"/>
        <v>4.0615749602426948E-2</v>
      </c>
      <c r="BK45" s="546">
        <f t="shared" si="103"/>
        <v>4.3749999999999995E-3</v>
      </c>
      <c r="BL45" s="546">
        <f t="shared" si="104"/>
        <v>2.7651093750000001E-2</v>
      </c>
      <c r="BM45">
        <f t="shared" si="105"/>
        <v>6.96E-3</v>
      </c>
      <c r="BN45" s="546">
        <f t="shared" si="106"/>
        <v>8.4742621718945768E-2</v>
      </c>
      <c r="BO45" s="472">
        <f t="shared" si="60"/>
        <v>84.74262171894577</v>
      </c>
      <c r="BP45" s="546">
        <f t="shared" si="107"/>
        <v>5.4600000000000003E-2</v>
      </c>
      <c r="BQ45" s="546"/>
      <c r="BS45" s="472">
        <f t="shared" si="61"/>
        <v>54.6</v>
      </c>
      <c r="BT45" s="546">
        <f t="shared" si="108"/>
        <v>2.5229132449678987E-3</v>
      </c>
      <c r="BU45" s="546">
        <f t="shared" si="109"/>
        <v>1.3640574340875967E-2</v>
      </c>
      <c r="BV45" s="546">
        <f t="shared" si="110"/>
        <v>1.083203852095823E-2</v>
      </c>
      <c r="BW45" s="546">
        <f t="shared" si="111"/>
        <v>2.8972608488914569E-2</v>
      </c>
      <c r="BX45" s="546">
        <f t="shared" si="112"/>
        <v>2.6515151515151523E-2</v>
      </c>
      <c r="BY45" s="472">
        <f t="shared" si="62"/>
        <v>55.487760004066089</v>
      </c>
      <c r="BZ45" s="179">
        <f t="shared" si="113"/>
        <v>0.19483038172301184</v>
      </c>
      <c r="CA45" s="6">
        <f t="shared" si="114"/>
        <v>1</v>
      </c>
      <c r="CB45" s="179">
        <f t="shared" si="63"/>
        <v>0.83693887877034423</v>
      </c>
      <c r="CC45" s="6">
        <f t="shared" si="64"/>
        <v>83.693887877034427</v>
      </c>
      <c r="CF45" s="581">
        <f t="shared" si="115"/>
        <v>-50</v>
      </c>
      <c r="CG45">
        <f t="shared" si="116"/>
        <v>-50</v>
      </c>
    </row>
    <row r="46" spans="5:85" x14ac:dyDescent="0.2">
      <c r="E46" s="176">
        <v>41</v>
      </c>
      <c r="F46" s="223">
        <f t="shared" si="117"/>
        <v>0.20499999999999999</v>
      </c>
      <c r="G46" s="223"/>
      <c r="H46" s="223">
        <f t="shared" si="66"/>
        <v>1.0249999999999999</v>
      </c>
      <c r="I46" s="559">
        <f t="shared" si="67"/>
        <v>24</v>
      </c>
      <c r="J46" s="178">
        <f t="shared" si="68"/>
        <v>15.75</v>
      </c>
      <c r="K46" s="454">
        <f t="shared" si="69"/>
        <v>39.75</v>
      </c>
      <c r="L46" s="454"/>
      <c r="M46" s="223">
        <f t="shared" si="70"/>
        <v>0.39622641509433965</v>
      </c>
      <c r="N46" s="178">
        <f t="shared" si="5"/>
        <v>3.2094339622641508</v>
      </c>
      <c r="O46" s="178">
        <f t="shared" si="53"/>
        <v>1.0249999999999999</v>
      </c>
      <c r="P46" s="223">
        <f t="shared" si="71"/>
        <v>0.6418867924528302</v>
      </c>
      <c r="Q46" s="223">
        <f t="shared" si="72"/>
        <v>5</v>
      </c>
      <c r="R46" s="223">
        <f t="shared" si="73"/>
        <v>0.71320754716981138</v>
      </c>
      <c r="S46" s="178">
        <f t="shared" si="74"/>
        <v>31.575038721843761</v>
      </c>
      <c r="T46" s="178">
        <f t="shared" si="75"/>
        <v>5</v>
      </c>
      <c r="U46" s="223">
        <f t="shared" si="76"/>
        <v>0.23952821869488533</v>
      </c>
      <c r="V46" s="223">
        <f t="shared" si="77"/>
        <v>0.43913506760728976</v>
      </c>
      <c r="W46" s="223">
        <f t="shared" si="78"/>
        <v>0.66915819825872724</v>
      </c>
      <c r="X46" s="203">
        <f t="shared" si="79"/>
        <v>350</v>
      </c>
      <c r="Y46" s="454">
        <f t="shared" si="54"/>
        <v>350</v>
      </c>
      <c r="AA46" s="223">
        <f t="shared" si="80"/>
        <v>0.61749571183533458</v>
      </c>
      <c r="AB46" s="179">
        <f t="shared" si="81"/>
        <v>1.7250673854447443</v>
      </c>
      <c r="AC46" s="179">
        <f t="shared" si="82"/>
        <v>0.55924139939803896</v>
      </c>
      <c r="AD46" s="179"/>
      <c r="AE46" s="179">
        <f t="shared" si="83"/>
        <v>0.419047619047619</v>
      </c>
      <c r="AF46" s="563">
        <f t="shared" si="118"/>
        <v>2174.2424242424245</v>
      </c>
      <c r="AG46" s="546">
        <f t="shared" si="84"/>
        <v>3.2999999999999995E-2</v>
      </c>
      <c r="AI46" s="179">
        <f t="shared" si="85"/>
        <v>0.39408505465575611</v>
      </c>
      <c r="AJ46" s="179">
        <f t="shared" si="86"/>
        <v>0.39408505465575611</v>
      </c>
      <c r="AK46" s="179">
        <f t="shared" si="87"/>
        <v>1.380803744189449</v>
      </c>
      <c r="AM46" s="563">
        <f t="shared" si="88"/>
        <v>205</v>
      </c>
      <c r="AN46" s="472">
        <f t="shared" si="89"/>
        <v>350</v>
      </c>
      <c r="AP46">
        <f t="shared" si="90"/>
        <v>205</v>
      </c>
      <c r="AQ46" s="472">
        <f t="shared" si="91"/>
        <v>350</v>
      </c>
      <c r="AR46" s="472"/>
      <c r="AS46" s="6">
        <f t="shared" si="55"/>
        <v>2.8571428571428572</v>
      </c>
      <c r="AT46" s="6">
        <f t="shared" si="92"/>
        <v>0.72248926686888615</v>
      </c>
      <c r="AU46" s="6">
        <f t="shared" si="56"/>
        <v>2.1346535902739712</v>
      </c>
      <c r="AV46" s="6">
        <f t="shared" si="93"/>
        <v>1.1009360257049694</v>
      </c>
      <c r="AW46" s="179">
        <f t="shared" si="57"/>
        <v>0.25287124340411016</v>
      </c>
      <c r="AX46" s="179">
        <f t="shared" si="94"/>
        <v>1.1958333333333331</v>
      </c>
      <c r="AY46" s="179">
        <f t="shared" si="95"/>
        <v>0.44164841531696752</v>
      </c>
      <c r="AZ46" s="179">
        <f t="shared" si="58"/>
        <v>2.7076590606016171</v>
      </c>
      <c r="BA46" s="472">
        <f t="shared" si="96"/>
        <v>24.124421502313997</v>
      </c>
      <c r="BB46" s="472">
        <f t="shared" si="97"/>
        <v>2.9526716718380612</v>
      </c>
      <c r="BC46" s="6">
        <f t="shared" si="98"/>
        <v>8.4414349152423615E-2</v>
      </c>
      <c r="BD46" s="563">
        <f t="shared" si="99"/>
        <v>23.304692818296292</v>
      </c>
      <c r="BE46" s="6"/>
      <c r="BF46" s="179">
        <f t="shared" si="59"/>
        <v>0.11441397114157209</v>
      </c>
      <c r="BG46" s="179">
        <f t="shared" si="100"/>
        <v>0.58999498284106655</v>
      </c>
      <c r="BH46" s="179"/>
      <c r="BI46" s="546">
        <f t="shared" si="101"/>
        <v>4.5816948773345712E-3</v>
      </c>
      <c r="BJ46" s="546">
        <f t="shared" si="102"/>
        <v>4.1120312421736541E-2</v>
      </c>
      <c r="BK46" s="546">
        <f t="shared" si="103"/>
        <v>4.3749999999999995E-3</v>
      </c>
      <c r="BL46" s="546">
        <f t="shared" si="104"/>
        <v>2.7651093750000001E-2</v>
      </c>
      <c r="BM46">
        <f t="shared" si="105"/>
        <v>6.96E-3</v>
      </c>
      <c r="BN46" s="546">
        <f t="shared" si="106"/>
        <v>8.5442274361766518E-2</v>
      </c>
      <c r="BO46" s="472">
        <f t="shared" si="60"/>
        <v>85.442274361766522</v>
      </c>
      <c r="BP46" s="546">
        <f t="shared" si="107"/>
        <v>5.5964999999999994E-2</v>
      </c>
      <c r="BQ46" s="546"/>
      <c r="BS46" s="472">
        <f t="shared" si="61"/>
        <v>55.964999999999996</v>
      </c>
      <c r="BT46" s="546">
        <f t="shared" si="108"/>
        <v>2.6181113584768986E-3</v>
      </c>
      <c r="BU46" s="546">
        <f t="shared" si="109"/>
        <v>1.3923763191105217E-2</v>
      </c>
      <c r="BV46" s="546">
        <f t="shared" si="110"/>
        <v>1.1171591000980996E-2</v>
      </c>
      <c r="BW46" s="546">
        <f t="shared" si="111"/>
        <v>2.9737844071393287E-2</v>
      </c>
      <c r="BX46" s="546">
        <f t="shared" si="112"/>
        <v>2.7178030303030301E-2</v>
      </c>
      <c r="BY46" s="472">
        <f t="shared" si="62"/>
        <v>56.915874374423588</v>
      </c>
      <c r="BZ46" s="179">
        <f t="shared" si="113"/>
        <v>0.19832314873619011</v>
      </c>
      <c r="CA46" s="6">
        <f t="shared" si="114"/>
        <v>1.0249999999999999</v>
      </c>
      <c r="CB46" s="179">
        <f t="shared" si="63"/>
        <v>0.83788163500292068</v>
      </c>
      <c r="CC46" s="6">
        <f t="shared" si="64"/>
        <v>83.788163500292072</v>
      </c>
      <c r="CF46" s="581">
        <f t="shared" si="115"/>
        <v>-50</v>
      </c>
      <c r="CG46">
        <f t="shared" si="116"/>
        <v>-50</v>
      </c>
    </row>
    <row r="47" spans="5:85" x14ac:dyDescent="0.2">
      <c r="E47" s="176">
        <v>42</v>
      </c>
      <c r="F47" s="223">
        <f t="shared" si="117"/>
        <v>0.21</v>
      </c>
      <c r="G47" s="223"/>
      <c r="H47" s="223">
        <f t="shared" si="66"/>
        <v>1.05</v>
      </c>
      <c r="I47" s="559">
        <f t="shared" si="67"/>
        <v>24</v>
      </c>
      <c r="J47" s="178">
        <f t="shared" si="68"/>
        <v>15.75</v>
      </c>
      <c r="K47" s="454">
        <f t="shared" si="69"/>
        <v>39.75</v>
      </c>
      <c r="L47" s="454"/>
      <c r="M47" s="223">
        <f t="shared" si="70"/>
        <v>0.39622641509433965</v>
      </c>
      <c r="N47" s="178">
        <f t="shared" si="5"/>
        <v>3.2094339622641508</v>
      </c>
      <c r="O47" s="178">
        <f t="shared" si="53"/>
        <v>1.05</v>
      </c>
      <c r="P47" s="223">
        <f t="shared" si="71"/>
        <v>0.6418867924528302</v>
      </c>
      <c r="Q47" s="223">
        <f t="shared" si="72"/>
        <v>5</v>
      </c>
      <c r="R47" s="223">
        <f t="shared" si="73"/>
        <v>0.71320754716981138</v>
      </c>
      <c r="S47" s="178">
        <f t="shared" si="74"/>
        <v>30.636182446513761</v>
      </c>
      <c r="T47" s="178">
        <f t="shared" si="75"/>
        <v>5</v>
      </c>
      <c r="U47" s="223">
        <f t="shared" si="76"/>
        <v>0.24537037037037035</v>
      </c>
      <c r="V47" s="223">
        <f t="shared" si="77"/>
        <v>0.44984567901234562</v>
      </c>
      <c r="W47" s="223">
        <f t="shared" si="78"/>
        <v>0.68547912992357429</v>
      </c>
      <c r="X47" s="203">
        <f t="shared" si="79"/>
        <v>350</v>
      </c>
      <c r="Y47" s="454">
        <f t="shared" si="54"/>
        <v>350</v>
      </c>
      <c r="AA47" s="223">
        <f t="shared" si="80"/>
        <v>0.61749571183533458</v>
      </c>
      <c r="AB47" s="179">
        <f t="shared" si="81"/>
        <v>1.7250673854447443</v>
      </c>
      <c r="AC47" s="179">
        <f t="shared" si="82"/>
        <v>0.55924139939803896</v>
      </c>
      <c r="AD47" s="179"/>
      <c r="AE47" s="179">
        <f t="shared" si="83"/>
        <v>0.419047619047619</v>
      </c>
      <c r="AF47" s="563">
        <f t="shared" si="118"/>
        <v>2227.2727272727275</v>
      </c>
      <c r="AG47" s="546">
        <f t="shared" si="84"/>
        <v>3.2999999999999995E-2</v>
      </c>
      <c r="AI47" s="179">
        <f t="shared" si="85"/>
        <v>0.3988620176087328</v>
      </c>
      <c r="AJ47" s="179">
        <f t="shared" si="86"/>
        <v>0.3988620176087328</v>
      </c>
      <c r="AK47" s="179">
        <f t="shared" si="87"/>
        <v>1.384342235265728</v>
      </c>
      <c r="AM47" s="563">
        <f t="shared" si="88"/>
        <v>210</v>
      </c>
      <c r="AN47" s="472">
        <f t="shared" si="89"/>
        <v>350</v>
      </c>
      <c r="AP47">
        <f t="shared" si="90"/>
        <v>210</v>
      </c>
      <c r="AQ47" s="472">
        <f t="shared" si="91"/>
        <v>350</v>
      </c>
      <c r="AR47" s="472"/>
      <c r="AS47" s="6">
        <f t="shared" si="55"/>
        <v>2.8571428571428572</v>
      </c>
      <c r="AT47" s="6">
        <f t="shared" si="92"/>
        <v>0.73124703228267673</v>
      </c>
      <c r="AU47" s="6">
        <f t="shared" si="56"/>
        <v>2.1258958248601805</v>
      </c>
      <c r="AV47" s="6">
        <f t="shared" si="93"/>
        <v>1.114281192049793</v>
      </c>
      <c r="AW47" s="179">
        <f t="shared" si="57"/>
        <v>0.25593646129893682</v>
      </c>
      <c r="AX47" s="179">
        <f t="shared" si="94"/>
        <v>1.2249999999999996</v>
      </c>
      <c r="AY47" s="179">
        <f t="shared" si="95"/>
        <v>0.44516802641309933</v>
      </c>
      <c r="AZ47" s="179">
        <f t="shared" si="58"/>
        <v>2.7517699549770569</v>
      </c>
      <c r="BA47" s="472">
        <f t="shared" si="96"/>
        <v>24.124421502313997</v>
      </c>
      <c r="BB47" s="472">
        <f t="shared" si="97"/>
        <v>3.0830950797872343</v>
      </c>
      <c r="BC47" s="6">
        <f t="shared" si="98"/>
        <v>8.6118465127437857E-2</v>
      </c>
      <c r="BD47" s="563">
        <f t="shared" si="99"/>
        <v>23.840017791378681</v>
      </c>
      <c r="BE47" s="6"/>
      <c r="BF47" s="179">
        <f t="shared" si="59"/>
        <v>0.11650059269886159</v>
      </c>
      <c r="BG47" s="179">
        <f t="shared" si="100"/>
        <v>0.59592049333787211</v>
      </c>
      <c r="BH47" s="179"/>
      <c r="BI47" s="546">
        <f t="shared" si="101"/>
        <v>4.7503358347151144E-3</v>
      </c>
      <c r="BJ47" s="546">
        <f t="shared" si="102"/>
        <v>4.1618758649861205E-2</v>
      </c>
      <c r="BK47" s="546">
        <f t="shared" si="103"/>
        <v>4.3749999999999995E-3</v>
      </c>
      <c r="BL47" s="546">
        <f t="shared" si="104"/>
        <v>2.7651093750000001E-2</v>
      </c>
      <c r="BM47">
        <f t="shared" si="105"/>
        <v>6.96E-3</v>
      </c>
      <c r="BN47" s="546">
        <f t="shared" si="106"/>
        <v>8.6138266415127146E-2</v>
      </c>
      <c r="BO47" s="472">
        <f t="shared" si="60"/>
        <v>86.138266415127148</v>
      </c>
      <c r="BP47" s="546">
        <f t="shared" si="107"/>
        <v>5.7329999999999999E-2</v>
      </c>
      <c r="BQ47" s="546"/>
      <c r="BS47" s="472">
        <f t="shared" si="61"/>
        <v>57.33</v>
      </c>
      <c r="BT47" s="546">
        <f t="shared" si="108"/>
        <v>2.7144776198372088E-3</v>
      </c>
      <c r="BU47" s="546">
        <f t="shared" si="109"/>
        <v>1.4204849375202116E-2</v>
      </c>
      <c r="BV47" s="546">
        <f t="shared" si="110"/>
        <v>1.1513220428883402E-2</v>
      </c>
      <c r="BW47" s="546">
        <f t="shared" si="111"/>
        <v>3.0504155445783023E-2</v>
      </c>
      <c r="BX47" s="546">
        <f t="shared" si="112"/>
        <v>2.784090909090909E-2</v>
      </c>
      <c r="BY47" s="472">
        <f t="shared" si="62"/>
        <v>58.345064536692107</v>
      </c>
      <c r="BZ47" s="179">
        <f t="shared" si="113"/>
        <v>0.20181333095181925</v>
      </c>
      <c r="CA47" s="6">
        <f t="shared" si="114"/>
        <v>1.05</v>
      </c>
      <c r="CB47" s="179">
        <f t="shared" si="63"/>
        <v>0.8387832067594535</v>
      </c>
      <c r="CC47" s="6">
        <f t="shared" si="64"/>
        <v>83.878320675945346</v>
      </c>
      <c r="CF47" s="581">
        <f t="shared" si="115"/>
        <v>-50</v>
      </c>
      <c r="CG47">
        <f t="shared" si="116"/>
        <v>-50</v>
      </c>
    </row>
    <row r="48" spans="5:85" x14ac:dyDescent="0.2">
      <c r="E48" s="176">
        <v>43</v>
      </c>
      <c r="F48" s="223">
        <f t="shared" si="117"/>
        <v>0.215</v>
      </c>
      <c r="G48" s="223"/>
      <c r="H48" s="223">
        <f t="shared" si="66"/>
        <v>1.075</v>
      </c>
      <c r="I48" s="559">
        <f t="shared" si="67"/>
        <v>24</v>
      </c>
      <c r="J48" s="178">
        <f t="shared" si="68"/>
        <v>15.75</v>
      </c>
      <c r="K48" s="454">
        <f t="shared" si="69"/>
        <v>39.75</v>
      </c>
      <c r="L48" s="454"/>
      <c r="M48" s="223">
        <f t="shared" si="70"/>
        <v>0.39622641509433965</v>
      </c>
      <c r="N48" s="178">
        <f t="shared" si="5"/>
        <v>3.2094339622641508</v>
      </c>
      <c r="O48" s="178">
        <f t="shared" si="53"/>
        <v>1.075</v>
      </c>
      <c r="P48" s="223">
        <f t="shared" si="71"/>
        <v>0.6418867924528302</v>
      </c>
      <c r="Q48" s="223">
        <f t="shared" si="72"/>
        <v>5</v>
      </c>
      <c r="R48" s="223">
        <f t="shared" si="73"/>
        <v>0.71320754716981138</v>
      </c>
      <c r="S48" s="178">
        <f t="shared" si="74"/>
        <v>29.741105043749776</v>
      </c>
      <c r="T48" s="178">
        <f t="shared" si="75"/>
        <v>5</v>
      </c>
      <c r="U48" s="223">
        <f t="shared" si="76"/>
        <v>0.25121252204585537</v>
      </c>
      <c r="V48" s="223">
        <f t="shared" si="77"/>
        <v>0.46055629041740148</v>
      </c>
      <c r="W48" s="223">
        <f t="shared" si="78"/>
        <v>0.70180006158842145</v>
      </c>
      <c r="X48" s="203">
        <f t="shared" si="79"/>
        <v>350</v>
      </c>
      <c r="Y48" s="454">
        <f t="shared" si="54"/>
        <v>350</v>
      </c>
      <c r="AA48" s="223">
        <f t="shared" si="80"/>
        <v>0.61749571183533458</v>
      </c>
      <c r="AB48" s="179">
        <f t="shared" si="81"/>
        <v>1.7250673854447443</v>
      </c>
      <c r="AC48" s="179">
        <f t="shared" si="82"/>
        <v>0.55924139939803896</v>
      </c>
      <c r="AD48" s="179"/>
      <c r="AE48" s="179">
        <f t="shared" si="83"/>
        <v>0.419047619047619</v>
      </c>
      <c r="AF48" s="563">
        <f t="shared" si="118"/>
        <v>2280.3030303030309</v>
      </c>
      <c r="AG48" s="546">
        <f t="shared" si="84"/>
        <v>3.2999999999999995E-2</v>
      </c>
      <c r="AI48" s="179">
        <f t="shared" si="85"/>
        <v>0.40358244248082431</v>
      </c>
      <c r="AJ48" s="179">
        <f t="shared" si="86"/>
        <v>0.40358244248082431</v>
      </c>
      <c r="AK48" s="179">
        <f t="shared" si="87"/>
        <v>1.3878388462820921</v>
      </c>
      <c r="AM48" s="563">
        <f t="shared" si="88"/>
        <v>215</v>
      </c>
      <c r="AN48" s="472">
        <f t="shared" si="89"/>
        <v>350</v>
      </c>
      <c r="AP48">
        <f t="shared" si="90"/>
        <v>215</v>
      </c>
      <c r="AQ48" s="472">
        <f t="shared" si="91"/>
        <v>350</v>
      </c>
      <c r="AR48" s="472"/>
      <c r="AS48" s="6">
        <f t="shared" si="55"/>
        <v>2.8571428571428572</v>
      </c>
      <c r="AT48" s="6">
        <f t="shared" si="92"/>
        <v>0.7399011445481779</v>
      </c>
      <c r="AU48" s="6">
        <f t="shared" si="56"/>
        <v>2.1172417125946792</v>
      </c>
      <c r="AV48" s="6">
        <f t="shared" si="93"/>
        <v>1.1274684107400805</v>
      </c>
      <c r="AW48" s="179">
        <f t="shared" si="57"/>
        <v>0.25896540059186224</v>
      </c>
      <c r="AX48" s="179">
        <f t="shared" si="94"/>
        <v>1.2541666666666667</v>
      </c>
      <c r="AY48" s="179">
        <f t="shared" si="95"/>
        <v>0.44860283038790316</v>
      </c>
      <c r="AZ48" s="179">
        <f t="shared" si="58"/>
        <v>2.7957172396397927</v>
      </c>
      <c r="BA48" s="472">
        <f t="shared" si="96"/>
        <v>24.124421502313997</v>
      </c>
      <c r="BB48" s="472">
        <f t="shared" si="97"/>
        <v>3.2162997746749413</v>
      </c>
      <c r="BC48" s="6">
        <f t="shared" si="98"/>
        <v>8.7809986151206776E-2</v>
      </c>
      <c r="BD48" s="563">
        <f t="shared" si="99"/>
        <v>24.374074667134913</v>
      </c>
      <c r="BE48" s="6"/>
      <c r="BF48" s="179">
        <f t="shared" si="59"/>
        <v>0.11857482946919673</v>
      </c>
      <c r="BG48" s="179">
        <f t="shared" si="100"/>
        <v>0.60174450723170037</v>
      </c>
      <c r="BH48" s="179"/>
      <c r="BI48" s="546">
        <f t="shared" si="101"/>
        <v>4.9209965642771792E-3</v>
      </c>
      <c r="BJ48" s="546">
        <f t="shared" si="102"/>
        <v>4.211130548260851E-2</v>
      </c>
      <c r="BK48" s="546">
        <f t="shared" si="103"/>
        <v>4.3749999999999995E-3</v>
      </c>
      <c r="BL48" s="546">
        <f t="shared" si="104"/>
        <v>2.7651093750000001E-2</v>
      </c>
      <c r="BM48">
        <f t="shared" si="105"/>
        <v>6.96E-3</v>
      </c>
      <c r="BN48" s="546">
        <f t="shared" si="106"/>
        <v>8.6830787706827756E-2</v>
      </c>
      <c r="BO48" s="472">
        <f t="shared" si="60"/>
        <v>86.830787706827749</v>
      </c>
      <c r="BP48" s="546">
        <f t="shared" si="107"/>
        <v>5.8695000000000004E-2</v>
      </c>
      <c r="BQ48" s="546"/>
      <c r="BS48" s="472">
        <f t="shared" si="61"/>
        <v>58.695000000000007</v>
      </c>
      <c r="BT48" s="546">
        <f t="shared" si="108"/>
        <v>2.8119980367298171E-3</v>
      </c>
      <c r="BU48" s="546">
        <f t="shared" si="109"/>
        <v>1.4483858079340876E-2</v>
      </c>
      <c r="BV48" s="546">
        <f t="shared" si="110"/>
        <v>1.1856889598571767E-2</v>
      </c>
      <c r="BW48" s="546">
        <f t="shared" si="111"/>
        <v>3.1271517862449347E-2</v>
      </c>
      <c r="BX48" s="546">
        <f t="shared" si="112"/>
        <v>2.8503787878787882E-2</v>
      </c>
      <c r="BY48" s="472">
        <f t="shared" si="62"/>
        <v>59.775305741237226</v>
      </c>
      <c r="BZ48" s="179">
        <f t="shared" si="113"/>
        <v>0.20530109344806496</v>
      </c>
      <c r="CA48" s="6">
        <f t="shared" si="114"/>
        <v>1.075</v>
      </c>
      <c r="CB48" s="179">
        <f t="shared" si="63"/>
        <v>0.83964624063925863</v>
      </c>
      <c r="CC48" s="6">
        <f t="shared" si="64"/>
        <v>83.964624063925868</v>
      </c>
      <c r="CF48" s="581">
        <f t="shared" si="115"/>
        <v>-50</v>
      </c>
      <c r="CG48">
        <f t="shared" si="116"/>
        <v>-50</v>
      </c>
    </row>
    <row r="49" spans="5:85" x14ac:dyDescent="0.2">
      <c r="E49" s="176">
        <v>44</v>
      </c>
      <c r="F49" s="223">
        <f t="shared" si="117"/>
        <v>0.22</v>
      </c>
      <c r="G49" s="223"/>
      <c r="H49" s="223">
        <f t="shared" si="66"/>
        <v>1.1000000000000001</v>
      </c>
      <c r="I49" s="559">
        <f t="shared" si="67"/>
        <v>24</v>
      </c>
      <c r="J49" s="178">
        <f t="shared" si="68"/>
        <v>15.75</v>
      </c>
      <c r="K49" s="454">
        <f t="shared" si="69"/>
        <v>39.75</v>
      </c>
      <c r="L49" s="454"/>
      <c r="M49" s="223">
        <f t="shared" si="70"/>
        <v>0.39622641509433965</v>
      </c>
      <c r="N49" s="178">
        <f t="shared" si="5"/>
        <v>3.2094339622641508</v>
      </c>
      <c r="O49" s="178">
        <f t="shared" si="53"/>
        <v>1.1000000000000001</v>
      </c>
      <c r="P49" s="223">
        <f t="shared" si="71"/>
        <v>0.6418867924528302</v>
      </c>
      <c r="Q49" s="223">
        <f t="shared" si="72"/>
        <v>5</v>
      </c>
      <c r="R49" s="223">
        <f t="shared" si="73"/>
        <v>0.71320754716981138</v>
      </c>
      <c r="S49" s="178">
        <f t="shared" si="74"/>
        <v>28.886823480555712</v>
      </c>
      <c r="T49" s="178">
        <f t="shared" si="75"/>
        <v>5</v>
      </c>
      <c r="U49" s="223">
        <f t="shared" si="76"/>
        <v>0.25705467372134039</v>
      </c>
      <c r="V49" s="223">
        <f t="shared" si="77"/>
        <v>0.47126690182245734</v>
      </c>
      <c r="W49" s="223">
        <f t="shared" si="78"/>
        <v>0.71812099325326828</v>
      </c>
      <c r="X49" s="203">
        <f t="shared" si="79"/>
        <v>350</v>
      </c>
      <c r="Y49" s="454">
        <f t="shared" si="54"/>
        <v>350</v>
      </c>
      <c r="AA49" s="223">
        <f t="shared" si="80"/>
        <v>0.61749571183533458</v>
      </c>
      <c r="AB49" s="179">
        <f t="shared" si="81"/>
        <v>1.7250673854447443</v>
      </c>
      <c r="AC49" s="179">
        <f t="shared" si="82"/>
        <v>0.55924139939803896</v>
      </c>
      <c r="AD49" s="179"/>
      <c r="AE49" s="179">
        <f t="shared" si="83"/>
        <v>0.419047619047619</v>
      </c>
      <c r="AF49" s="563">
        <f t="shared" si="118"/>
        <v>2333.3333333333339</v>
      </c>
      <c r="AG49" s="546">
        <f t="shared" si="84"/>
        <v>3.2999999999999995E-2</v>
      </c>
      <c r="AI49" s="179">
        <f t="shared" si="85"/>
        <v>0.40824829046386302</v>
      </c>
      <c r="AJ49" s="179">
        <f t="shared" si="86"/>
        <v>0.40824829046386302</v>
      </c>
      <c r="AK49" s="179">
        <f t="shared" si="87"/>
        <v>1.3912950299732318</v>
      </c>
      <c r="AM49" s="563">
        <f t="shared" si="88"/>
        <v>220</v>
      </c>
      <c r="AN49" s="472">
        <f t="shared" si="89"/>
        <v>350</v>
      </c>
      <c r="AP49">
        <f t="shared" si="90"/>
        <v>220</v>
      </c>
      <c r="AQ49" s="472">
        <f t="shared" si="91"/>
        <v>350</v>
      </c>
      <c r="AR49" s="472"/>
      <c r="AS49" s="6">
        <f t="shared" si="55"/>
        <v>2.8571428571428572</v>
      </c>
      <c r="AT49" s="6">
        <f t="shared" si="92"/>
        <v>0.74845519918374892</v>
      </c>
      <c r="AU49" s="6">
        <f t="shared" si="56"/>
        <v>2.1086876579591083</v>
      </c>
      <c r="AV49" s="6">
        <f t="shared" si="93"/>
        <v>1.1405031606609508</v>
      </c>
      <c r="AW49" s="179">
        <f t="shared" si="57"/>
        <v>0.26195931971431213</v>
      </c>
      <c r="AX49" s="179">
        <f t="shared" si="94"/>
        <v>1.2833333333333334</v>
      </c>
      <c r="AY49" s="179">
        <f t="shared" si="95"/>
        <v>0.45195576902912776</v>
      </c>
      <c r="AZ49" s="179">
        <f t="shared" si="58"/>
        <v>2.8395109018967402</v>
      </c>
      <c r="BA49" s="472">
        <f t="shared" si="96"/>
        <v>24.124421502313997</v>
      </c>
      <c r="BB49" s="472">
        <f t="shared" si="97"/>
        <v>3.3522857565011832</v>
      </c>
      <c r="BC49" s="6">
        <f t="shared" si="98"/>
        <v>8.948905955844981E-2</v>
      </c>
      <c r="BD49" s="563">
        <f t="shared" si="99"/>
        <v>24.906875646380318</v>
      </c>
      <c r="BE49" s="6"/>
      <c r="BF49" s="179">
        <f t="shared" si="59"/>
        <v>0.12063704049620916</v>
      </c>
      <c r="BG49" s="179">
        <f t="shared" si="100"/>
        <v>0.60747044384302662</v>
      </c>
      <c r="BH49" s="179"/>
      <c r="BI49" s="546">
        <f t="shared" si="101"/>
        <v>5.0936534388894023E-3</v>
      </c>
      <c r="BJ49" s="546">
        <f t="shared" si="102"/>
        <v>4.2598157558088705E-2</v>
      </c>
      <c r="BK49" s="546">
        <f t="shared" si="103"/>
        <v>4.3749999999999995E-3</v>
      </c>
      <c r="BL49" s="546">
        <f t="shared" si="104"/>
        <v>2.7651093750000001E-2</v>
      </c>
      <c r="BM49">
        <f t="shared" si="105"/>
        <v>6.96E-3</v>
      </c>
      <c r="BN49" s="546">
        <f t="shared" si="106"/>
        <v>8.7520016494558914E-2</v>
      </c>
      <c r="BO49" s="472">
        <f t="shared" si="60"/>
        <v>87.520016494558917</v>
      </c>
      <c r="BP49" s="546">
        <f t="shared" si="107"/>
        <v>6.0060000000000002E-2</v>
      </c>
      <c r="BQ49" s="546"/>
      <c r="BS49" s="472">
        <f t="shared" si="61"/>
        <v>60.06</v>
      </c>
      <c r="BT49" s="546">
        <f t="shared" si="108"/>
        <v>2.9106591079368018E-3</v>
      </c>
      <c r="BU49" s="546">
        <f t="shared" si="109"/>
        <v>1.4760813605713749E-2</v>
      </c>
      <c r="BV49" s="546">
        <f t="shared" si="110"/>
        <v>1.2202562823003686E-2</v>
      </c>
      <c r="BW49" s="546">
        <f t="shared" si="111"/>
        <v>3.2039907650595938E-2</v>
      </c>
      <c r="BX49" s="546">
        <f t="shared" si="112"/>
        <v>2.9166666666666671E-2</v>
      </c>
      <c r="BY49" s="472">
        <f t="shared" si="62"/>
        <v>61.206574317262607</v>
      </c>
      <c r="BZ49" s="179">
        <f t="shared" si="113"/>
        <v>0.20878659081182155</v>
      </c>
      <c r="CA49" s="6">
        <f t="shared" si="114"/>
        <v>1.1000000000000001</v>
      </c>
      <c r="CB49" s="179">
        <f t="shared" si="63"/>
        <v>0.84047315866652161</v>
      </c>
      <c r="CC49" s="6">
        <f t="shared" si="64"/>
        <v>84.047315866652156</v>
      </c>
      <c r="CF49" s="581">
        <f t="shared" si="115"/>
        <v>-50</v>
      </c>
      <c r="CG49">
        <f t="shared" si="116"/>
        <v>-50</v>
      </c>
    </row>
    <row r="50" spans="5:85" x14ac:dyDescent="0.2">
      <c r="E50" s="176">
        <v>45</v>
      </c>
      <c r="F50" s="223">
        <f t="shared" si="117"/>
        <v>0.22500000000000001</v>
      </c>
      <c r="G50" s="223"/>
      <c r="H50" s="223">
        <f t="shared" si="66"/>
        <v>1.125</v>
      </c>
      <c r="I50" s="559">
        <f t="shared" si="67"/>
        <v>24</v>
      </c>
      <c r="J50" s="178">
        <f t="shared" si="68"/>
        <v>15.75</v>
      </c>
      <c r="K50" s="454">
        <f t="shared" si="69"/>
        <v>39.75</v>
      </c>
      <c r="L50" s="454"/>
      <c r="M50" s="223">
        <f t="shared" si="70"/>
        <v>0.39622641509433965</v>
      </c>
      <c r="N50" s="178">
        <f t="shared" si="5"/>
        <v>3.2094339622641508</v>
      </c>
      <c r="O50" s="178">
        <f t="shared" si="53"/>
        <v>1.125</v>
      </c>
      <c r="P50" s="223">
        <f t="shared" si="71"/>
        <v>0.6418867924528302</v>
      </c>
      <c r="Q50" s="223">
        <f t="shared" si="72"/>
        <v>5</v>
      </c>
      <c r="R50" s="223">
        <f t="shared" si="73"/>
        <v>0.71320754716981138</v>
      </c>
      <c r="S50" s="178">
        <f t="shared" si="74"/>
        <v>28.070619923060775</v>
      </c>
      <c r="T50" s="178">
        <f t="shared" si="75"/>
        <v>5</v>
      </c>
      <c r="U50" s="223">
        <f t="shared" si="76"/>
        <v>0.26289682539682535</v>
      </c>
      <c r="V50" s="223">
        <f t="shared" si="77"/>
        <v>0.48197751322751309</v>
      </c>
      <c r="W50" s="223">
        <f t="shared" si="78"/>
        <v>0.73444192491811522</v>
      </c>
      <c r="X50" s="203">
        <f t="shared" si="79"/>
        <v>350</v>
      </c>
      <c r="Y50" s="454">
        <f t="shared" si="54"/>
        <v>350</v>
      </c>
      <c r="AA50" s="223">
        <f t="shared" si="80"/>
        <v>0.61749571183533458</v>
      </c>
      <c r="AB50" s="179">
        <f t="shared" si="81"/>
        <v>1.7250673854447443</v>
      </c>
      <c r="AC50" s="179">
        <f t="shared" si="82"/>
        <v>0.55924139939803896</v>
      </c>
      <c r="AD50" s="179"/>
      <c r="AE50" s="179">
        <f t="shared" si="83"/>
        <v>0.419047619047619</v>
      </c>
      <c r="AF50" s="563">
        <f t="shared" si="118"/>
        <v>2386.3636363636365</v>
      </c>
      <c r="AG50" s="546">
        <f t="shared" si="84"/>
        <v>3.2999999999999995E-2</v>
      </c>
      <c r="AI50" s="179">
        <f t="shared" si="85"/>
        <v>0.41286141192238524</v>
      </c>
      <c r="AJ50" s="179">
        <f t="shared" si="86"/>
        <v>0.41286141192238524</v>
      </c>
      <c r="AK50" s="179">
        <f t="shared" si="87"/>
        <v>1.3947121569795446</v>
      </c>
      <c r="AM50" s="563">
        <f t="shared" si="88"/>
        <v>225</v>
      </c>
      <c r="AN50" s="472">
        <f t="shared" si="89"/>
        <v>350</v>
      </c>
      <c r="AP50">
        <f t="shared" si="90"/>
        <v>225</v>
      </c>
      <c r="AQ50" s="472">
        <f t="shared" si="91"/>
        <v>350</v>
      </c>
      <c r="AR50" s="472"/>
      <c r="AS50" s="6">
        <f t="shared" si="55"/>
        <v>2.8571428571428572</v>
      </c>
      <c r="AT50" s="6">
        <f t="shared" si="92"/>
        <v>0.75691258852437293</v>
      </c>
      <c r="AU50" s="6">
        <f t="shared" si="56"/>
        <v>2.1002302686184842</v>
      </c>
      <c r="AV50" s="6">
        <f t="shared" si="93"/>
        <v>1.1533906110847587</v>
      </c>
      <c r="AW50" s="179">
        <f t="shared" si="57"/>
        <v>0.26491940598353053</v>
      </c>
      <c r="AX50" s="179">
        <f t="shared" si="94"/>
        <v>1.3125</v>
      </c>
      <c r="AY50" s="179">
        <f t="shared" si="95"/>
        <v>0.45522961788357785</v>
      </c>
      <c r="AZ50" s="179">
        <f t="shared" si="58"/>
        <v>2.8831603842078302</v>
      </c>
      <c r="BA50" s="472">
        <f t="shared" si="96"/>
        <v>24.124421502313997</v>
      </c>
      <c r="BB50" s="472">
        <f t="shared" si="97"/>
        <v>3.4910530252659591</v>
      </c>
      <c r="BC50" s="6">
        <f t="shared" si="98"/>
        <v>9.1155827631010586E-2</v>
      </c>
      <c r="BD50" s="563">
        <f t="shared" si="99"/>
        <v>25.438432557097013</v>
      </c>
      <c r="BE50" s="6"/>
      <c r="BF50" s="179">
        <f t="shared" si="59"/>
        <v>0.12268756651077958</v>
      </c>
      <c r="BG50" s="179">
        <f t="shared" si="100"/>
        <v>0.61310152958266528</v>
      </c>
      <c r="BH50" s="179"/>
      <c r="BI50" s="546">
        <f t="shared" si="101"/>
        <v>5.2682836417179369E-3</v>
      </c>
      <c r="BJ50" s="546">
        <f t="shared" si="102"/>
        <v>4.3079507950276381E-2</v>
      </c>
      <c r="BK50" s="546">
        <f t="shared" si="103"/>
        <v>4.3749999999999995E-3</v>
      </c>
      <c r="BL50" s="546">
        <f t="shared" si="104"/>
        <v>2.7651093750000001E-2</v>
      </c>
      <c r="BM50">
        <f t="shared" si="105"/>
        <v>6.96E-3</v>
      </c>
      <c r="BN50" s="546">
        <f t="shared" si="106"/>
        <v>8.8206120403038518E-2</v>
      </c>
      <c r="BO50" s="472">
        <f t="shared" si="60"/>
        <v>88.206120403038511</v>
      </c>
      <c r="BP50" s="546">
        <f t="shared" si="107"/>
        <v>6.1425000000000007E-2</v>
      </c>
      <c r="BQ50" s="546"/>
      <c r="BS50" s="472">
        <f t="shared" si="61"/>
        <v>61.425000000000004</v>
      </c>
      <c r="BT50" s="546">
        <f t="shared" si="108"/>
        <v>3.010447795267393E-3</v>
      </c>
      <c r="BU50" s="546">
        <f t="shared" si="109"/>
        <v>1.5035739423064153E-2</v>
      </c>
      <c r="BV50" s="546">
        <f t="shared" si="110"/>
        <v>1.2550205838940884E-2</v>
      </c>
      <c r="BW50" s="546">
        <f t="shared" si="111"/>
        <v>3.2809302148197751E-2</v>
      </c>
      <c r="BX50" s="546">
        <f t="shared" si="112"/>
        <v>2.9829545454545463E-2</v>
      </c>
      <c r="BY50" s="472">
        <f t="shared" si="62"/>
        <v>62.638847602743212</v>
      </c>
      <c r="BZ50" s="179">
        <f t="shared" si="113"/>
        <v>0.21226996800578174</v>
      </c>
      <c r="CA50" s="6">
        <f t="shared" si="114"/>
        <v>1.125</v>
      </c>
      <c r="CB50" s="179">
        <f t="shared" si="63"/>
        <v>0.84126618178502011</v>
      </c>
      <c r="CC50" s="6">
        <f t="shared" si="64"/>
        <v>84.126618178502014</v>
      </c>
      <c r="CF50" s="581">
        <f t="shared" si="115"/>
        <v>-50</v>
      </c>
      <c r="CG50">
        <f t="shared" si="116"/>
        <v>-50</v>
      </c>
    </row>
    <row r="51" spans="5:85" x14ac:dyDescent="0.2">
      <c r="E51" s="176">
        <v>46</v>
      </c>
      <c r="F51" s="223">
        <f t="shared" si="117"/>
        <v>0.23</v>
      </c>
      <c r="G51" s="223"/>
      <c r="H51" s="223">
        <f t="shared" si="66"/>
        <v>1.1500000000000001</v>
      </c>
      <c r="I51" s="559">
        <f t="shared" si="67"/>
        <v>24</v>
      </c>
      <c r="J51" s="178">
        <f t="shared" si="68"/>
        <v>15.75</v>
      </c>
      <c r="K51" s="454">
        <f t="shared" si="69"/>
        <v>39.75</v>
      </c>
      <c r="L51" s="454"/>
      <c r="M51" s="223">
        <f t="shared" si="70"/>
        <v>0.39622641509433965</v>
      </c>
      <c r="N51" s="178">
        <f t="shared" si="5"/>
        <v>3.2094339622641508</v>
      </c>
      <c r="O51" s="178">
        <f t="shared" si="53"/>
        <v>1.1500000000000001</v>
      </c>
      <c r="P51" s="223">
        <f t="shared" si="71"/>
        <v>0.6418867924528302</v>
      </c>
      <c r="Q51" s="223">
        <f t="shared" si="72"/>
        <v>5</v>
      </c>
      <c r="R51" s="223">
        <f t="shared" si="73"/>
        <v>0.71320754716981138</v>
      </c>
      <c r="S51" s="178">
        <f t="shared" si="74"/>
        <v>27.290012911549805</v>
      </c>
      <c r="T51" s="178">
        <f t="shared" si="75"/>
        <v>5</v>
      </c>
      <c r="U51" s="223">
        <f t="shared" si="76"/>
        <v>0.26873897707231043</v>
      </c>
      <c r="V51" s="223">
        <f t="shared" si="77"/>
        <v>0.49268812463256906</v>
      </c>
      <c r="W51" s="223">
        <f t="shared" si="78"/>
        <v>0.75076285658296238</v>
      </c>
      <c r="X51" s="203">
        <f t="shared" si="79"/>
        <v>350</v>
      </c>
      <c r="Y51" s="454">
        <f t="shared" si="54"/>
        <v>350</v>
      </c>
      <c r="AA51" s="223">
        <f t="shared" si="80"/>
        <v>0.61749571183533458</v>
      </c>
      <c r="AB51" s="179">
        <f t="shared" si="81"/>
        <v>1.7250673854447443</v>
      </c>
      <c r="AC51" s="179">
        <f t="shared" si="82"/>
        <v>0.55924139939803896</v>
      </c>
      <c r="AD51" s="179"/>
      <c r="AE51" s="179">
        <f t="shared" si="83"/>
        <v>0.419047619047619</v>
      </c>
      <c r="AF51" s="563">
        <f t="shared" si="118"/>
        <v>2439.3939393939399</v>
      </c>
      <c r="AG51" s="546">
        <f t="shared" si="84"/>
        <v>3.2999999999999995E-2</v>
      </c>
      <c r="AI51" s="179">
        <f t="shared" si="85"/>
        <v>0.41742355496836092</v>
      </c>
      <c r="AJ51" s="179">
        <f t="shared" si="86"/>
        <v>0.41742355496836092</v>
      </c>
      <c r="AK51" s="179">
        <f t="shared" si="87"/>
        <v>1.3980915221987857</v>
      </c>
      <c r="AM51" s="563">
        <f t="shared" si="88"/>
        <v>230</v>
      </c>
      <c r="AN51" s="472">
        <f t="shared" si="89"/>
        <v>350</v>
      </c>
      <c r="AP51">
        <f t="shared" si="90"/>
        <v>230</v>
      </c>
      <c r="AQ51" s="472">
        <f t="shared" si="91"/>
        <v>350</v>
      </c>
      <c r="AR51" s="472"/>
      <c r="AS51" s="6">
        <f t="shared" si="55"/>
        <v>2.8571428571428572</v>
      </c>
      <c r="AT51" s="6">
        <f t="shared" si="92"/>
        <v>0.76527651744199499</v>
      </c>
      <c r="AU51" s="6">
        <f t="shared" si="56"/>
        <v>2.0918663397008621</v>
      </c>
      <c r="AV51" s="6">
        <f t="shared" si="93"/>
        <v>1.1661356456258971</v>
      </c>
      <c r="AW51" s="179">
        <f t="shared" si="57"/>
        <v>0.26784678110469823</v>
      </c>
      <c r="AX51" s="179">
        <f t="shared" si="94"/>
        <v>1.3416666666666666</v>
      </c>
      <c r="AY51" s="179">
        <f t="shared" si="95"/>
        <v>0.45842699911920803</v>
      </c>
      <c r="AZ51" s="179">
        <f t="shared" si="58"/>
        <v>2.9266746270277668</v>
      </c>
      <c r="BA51" s="472">
        <f t="shared" si="96"/>
        <v>24.124421502313997</v>
      </c>
      <c r="BB51" s="472">
        <f t="shared" si="97"/>
        <v>3.632601580969268</v>
      </c>
      <c r="BC51" s="6">
        <f t="shared" si="98"/>
        <v>9.2810427880246585E-2</v>
      </c>
      <c r="BD51" s="563">
        <f t="shared" si="99"/>
        <v>25.968756873488584</v>
      </c>
      <c r="BE51" s="6"/>
      <c r="BF51" s="179">
        <f t="shared" si="59"/>
        <v>0.12472673125037867</v>
      </c>
      <c r="BG51" s="179">
        <f t="shared" si="100"/>
        <v>0.61864081285640615</v>
      </c>
      <c r="BH51" s="179"/>
      <c r="BI51" s="546">
        <f t="shared" si="101"/>
        <v>5.4448651209414653E-3</v>
      </c>
      <c r="BJ51" s="546">
        <f t="shared" si="102"/>
        <v>4.3555539063729908E-2</v>
      </c>
      <c r="BK51" s="546">
        <f t="shared" si="103"/>
        <v>4.3749999999999995E-3</v>
      </c>
      <c r="BL51" s="546">
        <f t="shared" si="104"/>
        <v>2.7651093750000001E-2</v>
      </c>
      <c r="BM51">
        <f t="shared" si="105"/>
        <v>6.96E-3</v>
      </c>
      <c r="BN51" s="546">
        <f t="shared" si="106"/>
        <v>8.8889257266721922E-2</v>
      </c>
      <c r="BO51" s="472">
        <f t="shared" si="60"/>
        <v>88.889257266721927</v>
      </c>
      <c r="BP51" s="546">
        <f t="shared" si="107"/>
        <v>6.2790000000000012E-2</v>
      </c>
      <c r="BQ51" s="546"/>
      <c r="BS51" s="472">
        <f t="shared" si="61"/>
        <v>62.790000000000013</v>
      </c>
      <c r="BT51" s="546">
        <f t="shared" si="108"/>
        <v>3.1113514976808376E-3</v>
      </c>
      <c r="BU51" s="546">
        <f t="shared" si="109"/>
        <v>1.5308658213265398E-2</v>
      </c>
      <c r="BV51" s="546">
        <f t="shared" si="110"/>
        <v>1.289978571966513E-2</v>
      </c>
      <c r="BW51" s="546">
        <f t="shared" si="111"/>
        <v>3.3579679637926602E-2</v>
      </c>
      <c r="BX51" s="546">
        <f t="shared" si="112"/>
        <v>3.0492424242424244E-2</v>
      </c>
      <c r="BY51" s="472">
        <f t="shared" si="62"/>
        <v>64.072103880350838</v>
      </c>
      <c r="BZ51" s="179">
        <f t="shared" si="113"/>
        <v>0.21575136114707277</v>
      </c>
      <c r="CA51" s="6">
        <f t="shared" si="114"/>
        <v>1.1500000000000001</v>
      </c>
      <c r="CB51" s="179">
        <f t="shared" si="63"/>
        <v>0.84202735044988963</v>
      </c>
      <c r="CC51" s="6">
        <f t="shared" si="64"/>
        <v>84.20273504498897</v>
      </c>
      <c r="CF51" s="581">
        <f t="shared" si="115"/>
        <v>-50</v>
      </c>
      <c r="CG51">
        <f t="shared" si="116"/>
        <v>-50</v>
      </c>
    </row>
    <row r="52" spans="5:85" x14ac:dyDescent="0.2">
      <c r="E52" s="176">
        <v>47</v>
      </c>
      <c r="F52" s="223">
        <f t="shared" si="117"/>
        <v>0.23499999999999999</v>
      </c>
      <c r="G52" s="223"/>
      <c r="H52" s="223">
        <f t="shared" si="66"/>
        <v>1.1749999999999998</v>
      </c>
      <c r="I52" s="559">
        <f t="shared" si="67"/>
        <v>24</v>
      </c>
      <c r="J52" s="178">
        <f t="shared" si="68"/>
        <v>15.75</v>
      </c>
      <c r="K52" s="454">
        <f t="shared" si="69"/>
        <v>39.75</v>
      </c>
      <c r="L52" s="454"/>
      <c r="M52" s="223">
        <f t="shared" si="70"/>
        <v>0.39622641509433965</v>
      </c>
      <c r="N52" s="178">
        <f t="shared" si="5"/>
        <v>3.2094339622641508</v>
      </c>
      <c r="O52" s="178">
        <f t="shared" si="53"/>
        <v>1.1749999999999998</v>
      </c>
      <c r="P52" s="223">
        <f t="shared" si="71"/>
        <v>0.6418867924528302</v>
      </c>
      <c r="Q52" s="223">
        <f t="shared" si="72"/>
        <v>5</v>
      </c>
      <c r="R52" s="223">
        <f t="shared" si="73"/>
        <v>0.71320754716981138</v>
      </c>
      <c r="S52" s="178">
        <f t="shared" si="74"/>
        <v>26.542732215305211</v>
      </c>
      <c r="T52" s="178">
        <f t="shared" si="75"/>
        <v>5</v>
      </c>
      <c r="U52" s="223">
        <f t="shared" si="76"/>
        <v>0.27458112874779533</v>
      </c>
      <c r="V52" s="223">
        <f t="shared" si="77"/>
        <v>0.50339873603762475</v>
      </c>
      <c r="W52" s="223">
        <f t="shared" si="78"/>
        <v>0.76708378824780921</v>
      </c>
      <c r="X52" s="203">
        <f t="shared" si="79"/>
        <v>350</v>
      </c>
      <c r="Y52" s="454">
        <f t="shared" si="54"/>
        <v>350</v>
      </c>
      <c r="AA52" s="223">
        <f t="shared" si="80"/>
        <v>0.61749571183533458</v>
      </c>
      <c r="AB52" s="179">
        <f t="shared" si="81"/>
        <v>1.7250673854447443</v>
      </c>
      <c r="AC52" s="179">
        <f t="shared" si="82"/>
        <v>0.55924139939803896</v>
      </c>
      <c r="AD52" s="179"/>
      <c r="AE52" s="179">
        <f t="shared" si="83"/>
        <v>0.419047619047619</v>
      </c>
      <c r="AF52" s="563">
        <f t="shared" si="118"/>
        <v>2492.4242424242425</v>
      </c>
      <c r="AG52" s="546">
        <f t="shared" si="84"/>
        <v>3.2999999999999995E-2</v>
      </c>
      <c r="AI52" s="179">
        <f t="shared" si="85"/>
        <v>0.42193637320134297</v>
      </c>
      <c r="AJ52" s="179">
        <f t="shared" si="86"/>
        <v>0.42193637320134297</v>
      </c>
      <c r="AK52" s="179">
        <f t="shared" si="87"/>
        <v>1.4014343505195133</v>
      </c>
      <c r="AM52" s="563">
        <f t="shared" si="88"/>
        <v>235</v>
      </c>
      <c r="AN52" s="472">
        <f t="shared" si="89"/>
        <v>350</v>
      </c>
      <c r="AP52">
        <f t="shared" si="90"/>
        <v>235</v>
      </c>
      <c r="AQ52" s="472">
        <f t="shared" si="91"/>
        <v>350</v>
      </c>
      <c r="AR52" s="472"/>
      <c r="AS52" s="6">
        <f t="shared" si="55"/>
        <v>2.8571428571428572</v>
      </c>
      <c r="AT52" s="6">
        <f t="shared" si="92"/>
        <v>0.77355001753579544</v>
      </c>
      <c r="AU52" s="6">
        <f t="shared" si="56"/>
        <v>2.0835928396070615</v>
      </c>
      <c r="AV52" s="6">
        <f t="shared" si="93"/>
        <v>1.1787428838640692</v>
      </c>
      <c r="AW52" s="179">
        <f t="shared" si="57"/>
        <v>0.27074250613752837</v>
      </c>
      <c r="AX52" s="179">
        <f t="shared" si="94"/>
        <v>1.3708333333333331</v>
      </c>
      <c r="AY52" s="179">
        <f t="shared" si="95"/>
        <v>0.46155039313534785</v>
      </c>
      <c r="AZ52" s="179">
        <f t="shared" si="58"/>
        <v>2.9700621074573359</v>
      </c>
      <c r="BA52" s="472">
        <f t="shared" si="96"/>
        <v>24.124421502313997</v>
      </c>
      <c r="BB52" s="472">
        <f t="shared" si="97"/>
        <v>3.7769314236111122</v>
      </c>
      <c r="BC52" s="6">
        <f t="shared" si="98"/>
        <v>9.4452993307804642E-2</v>
      </c>
      <c r="BD52" s="563">
        <f t="shared" si="99"/>
        <v>26.497859733682272</v>
      </c>
      <c r="BE52" s="6"/>
      <c r="BF52" s="179">
        <f t="shared" si="59"/>
        <v>0.12675484265679668</v>
      </c>
      <c r="BG52" s="179">
        <f t="shared" si="100"/>
        <v>0.62409117752005228</v>
      </c>
      <c r="BH52" s="179"/>
      <c r="BI52" s="546">
        <f t="shared" si="101"/>
        <v>5.6233765479322484E-3</v>
      </c>
      <c r="BJ52" s="546">
        <f t="shared" si="102"/>
        <v>4.4026423441227626E-2</v>
      </c>
      <c r="BK52" s="546">
        <f t="shared" si="103"/>
        <v>4.3749999999999995E-3</v>
      </c>
      <c r="BL52" s="546">
        <f t="shared" si="104"/>
        <v>2.7651093750000001E-2</v>
      </c>
      <c r="BM52">
        <f t="shared" si="105"/>
        <v>6.96E-3</v>
      </c>
      <c r="BN52" s="546">
        <f t="shared" si="106"/>
        <v>8.9569575889409753E-2</v>
      </c>
      <c r="BO52" s="472">
        <f t="shared" si="60"/>
        <v>89.569575889409748</v>
      </c>
      <c r="BP52" s="546">
        <f t="shared" si="107"/>
        <v>6.415499999999999E-2</v>
      </c>
      <c r="BQ52" s="546"/>
      <c r="BS52" s="472">
        <f t="shared" si="61"/>
        <v>64.154999999999987</v>
      </c>
      <c r="BT52" s="546">
        <f t="shared" si="108"/>
        <v>3.2133580273898568E-3</v>
      </c>
      <c r="BU52" s="546">
        <f t="shared" si="109"/>
        <v>1.5579591914334617E-2</v>
      </c>
      <c r="BV52" s="546">
        <f t="shared" si="110"/>
        <v>1.3251270794832255E-2</v>
      </c>
      <c r="BW52" s="546">
        <f t="shared" si="111"/>
        <v>3.4351019288438457E-2</v>
      </c>
      <c r="BX52" s="546">
        <f t="shared" si="112"/>
        <v>3.115530303030303E-2</v>
      </c>
      <c r="BY52" s="472">
        <f t="shared" si="62"/>
        <v>65.506322318741482</v>
      </c>
      <c r="BZ52" s="179">
        <f t="shared" si="113"/>
        <v>0.21923089820815123</v>
      </c>
      <c r="CA52" s="6">
        <f t="shared" si="114"/>
        <v>1.1749999999999998</v>
      </c>
      <c r="CB52" s="179">
        <f t="shared" si="63"/>
        <v>0.84275854272781925</v>
      </c>
      <c r="CC52" s="6">
        <f t="shared" si="64"/>
        <v>84.275854272781928</v>
      </c>
      <c r="CF52" s="581">
        <f t="shared" si="115"/>
        <v>-50</v>
      </c>
      <c r="CG52">
        <f t="shared" si="116"/>
        <v>-50</v>
      </c>
    </row>
    <row r="53" spans="5:85" x14ac:dyDescent="0.2">
      <c r="E53" s="176">
        <v>48</v>
      </c>
      <c r="F53" s="223">
        <f t="shared" si="117"/>
        <v>0.24</v>
      </c>
      <c r="G53" s="223"/>
      <c r="H53" s="223">
        <f t="shared" si="66"/>
        <v>1.2</v>
      </c>
      <c r="I53" s="559">
        <f t="shared" si="67"/>
        <v>24</v>
      </c>
      <c r="J53" s="178">
        <f t="shared" si="68"/>
        <v>15.75</v>
      </c>
      <c r="K53" s="454">
        <f t="shared" si="69"/>
        <v>39.75</v>
      </c>
      <c r="L53" s="454"/>
      <c r="M53" s="223">
        <f t="shared" si="70"/>
        <v>0.39622641509433965</v>
      </c>
      <c r="N53" s="178">
        <f t="shared" si="5"/>
        <v>3.2094339622641508</v>
      </c>
      <c r="O53" s="178">
        <f t="shared" si="53"/>
        <v>1.2</v>
      </c>
      <c r="P53" s="223">
        <f t="shared" si="71"/>
        <v>0.6418867924528302</v>
      </c>
      <c r="Q53" s="223">
        <f t="shared" si="72"/>
        <v>5</v>
      </c>
      <c r="R53" s="223">
        <f t="shared" si="73"/>
        <v>0.71320754716981138</v>
      </c>
      <c r="S53" s="178">
        <f t="shared" si="74"/>
        <v>25.826696830622019</v>
      </c>
      <c r="T53" s="178">
        <f t="shared" si="75"/>
        <v>5</v>
      </c>
      <c r="U53" s="223">
        <f t="shared" si="76"/>
        <v>0.28042328042328041</v>
      </c>
      <c r="V53" s="223">
        <f t="shared" si="77"/>
        <v>0.51410934744268066</v>
      </c>
      <c r="W53" s="223">
        <f t="shared" si="78"/>
        <v>0.78340471991265637</v>
      </c>
      <c r="X53" s="203">
        <f t="shared" si="79"/>
        <v>350</v>
      </c>
      <c r="Y53" s="454">
        <f t="shared" si="54"/>
        <v>350</v>
      </c>
      <c r="AA53" s="223">
        <f t="shared" si="80"/>
        <v>0.61749571183533458</v>
      </c>
      <c r="AB53" s="179">
        <f t="shared" si="81"/>
        <v>1.7250673854447443</v>
      </c>
      <c r="AC53" s="179">
        <f t="shared" si="82"/>
        <v>0.55924139939803896</v>
      </c>
      <c r="AD53" s="179"/>
      <c r="AE53" s="179">
        <f t="shared" si="83"/>
        <v>0.419047619047619</v>
      </c>
      <c r="AF53" s="563">
        <f t="shared" si="118"/>
        <v>2545.454545454546</v>
      </c>
      <c r="AG53" s="546">
        <f t="shared" si="84"/>
        <v>3.2999999999999995E-2</v>
      </c>
      <c r="AI53" s="179">
        <f t="shared" si="85"/>
        <v>0.42640143271122083</v>
      </c>
      <c r="AJ53" s="179">
        <f t="shared" si="86"/>
        <v>0.42640143271122083</v>
      </c>
      <c r="AK53" s="179">
        <f t="shared" si="87"/>
        <v>1.4047418020083118</v>
      </c>
      <c r="AM53" s="563">
        <f t="shared" si="88"/>
        <v>240</v>
      </c>
      <c r="AN53" s="472">
        <f t="shared" si="89"/>
        <v>350</v>
      </c>
      <c r="AP53">
        <f t="shared" si="90"/>
        <v>240</v>
      </c>
      <c r="AQ53" s="472">
        <f t="shared" si="91"/>
        <v>350</v>
      </c>
      <c r="AR53" s="472"/>
      <c r="AS53" s="6">
        <f t="shared" si="55"/>
        <v>2.8571428571428572</v>
      </c>
      <c r="AT53" s="6">
        <f t="shared" si="92"/>
        <v>0.78173595997057155</v>
      </c>
      <c r="AU53" s="6">
        <f t="shared" si="56"/>
        <v>2.0754068971722859</v>
      </c>
      <c r="AV53" s="6">
        <f t="shared" si="93"/>
        <v>1.1912167009075374</v>
      </c>
      <c r="AW53" s="179">
        <f t="shared" si="57"/>
        <v>0.27360758598970003</v>
      </c>
      <c r="AX53" s="179">
        <f t="shared" si="94"/>
        <v>1.4</v>
      </c>
      <c r="AY53" s="179">
        <f t="shared" si="95"/>
        <v>0.46460214906683128</v>
      </c>
      <c r="AZ53" s="179">
        <f t="shared" si="58"/>
        <v>3.0133308741940734</v>
      </c>
      <c r="BA53" s="472">
        <f t="shared" si="96"/>
        <v>24.124421502313997</v>
      </c>
      <c r="BB53" s="472">
        <f t="shared" si="97"/>
        <v>3.92404255319149</v>
      </c>
      <c r="BC53" s="6">
        <f t="shared" si="98"/>
        <v>9.6083652646865067E-2</v>
      </c>
      <c r="BD53" s="563">
        <f t="shared" si="99"/>
        <v>27.025751956200466</v>
      </c>
      <c r="BE53" s="6"/>
      <c r="BF53" s="179">
        <f t="shared" si="59"/>
        <v>0.12877219396581585</v>
      </c>
      <c r="BG53" s="179">
        <f t="shared" si="100"/>
        <v>0.62945535505357175</v>
      </c>
      <c r="BH53" s="179"/>
      <c r="BI53" s="546">
        <f t="shared" si="101"/>
        <v>5.8037972785693944E-3</v>
      </c>
      <c r="BJ53" s="546">
        <f t="shared" si="102"/>
        <v>4.4492324494461444E-2</v>
      </c>
      <c r="BK53" s="546">
        <f t="shared" si="103"/>
        <v>4.3749999999999995E-3</v>
      </c>
      <c r="BL53" s="546">
        <f t="shared" si="104"/>
        <v>2.7651093750000001E-2</v>
      </c>
      <c r="BM53">
        <f t="shared" si="105"/>
        <v>6.96E-3</v>
      </c>
      <c r="BN53" s="546">
        <f t="shared" si="106"/>
        <v>9.0247216730510338E-2</v>
      </c>
      <c r="BO53" s="472">
        <f t="shared" si="60"/>
        <v>90.247216730510331</v>
      </c>
      <c r="BP53" s="546">
        <f t="shared" si="107"/>
        <v>6.5519999999999995E-2</v>
      </c>
      <c r="BQ53" s="546"/>
      <c r="BS53" s="472">
        <f t="shared" si="61"/>
        <v>65.52</v>
      </c>
      <c r="BT53" s="546">
        <f t="shared" si="108"/>
        <v>3.3164555877539404E-3</v>
      </c>
      <c r="BU53" s="546">
        <f t="shared" si="109"/>
        <v>1.5848561760224724E-2</v>
      </c>
      <c r="BV53" s="546">
        <f t="shared" si="110"/>
        <v>1.3604630576740521E-2</v>
      </c>
      <c r="BW53" s="546">
        <f t="shared" si="111"/>
        <v>3.512330110046933E-2</v>
      </c>
      <c r="BX53" s="546">
        <f t="shared" si="112"/>
        <v>3.1818181818181822E-2</v>
      </c>
      <c r="BY53" s="472">
        <f t="shared" si="62"/>
        <v>66.941482918651147</v>
      </c>
      <c r="BZ53" s="179">
        <f t="shared" si="113"/>
        <v>0.22270869964916148</v>
      </c>
      <c r="CA53" s="6">
        <f t="shared" si="114"/>
        <v>1.2</v>
      </c>
      <c r="CB53" s="179">
        <f t="shared" si="63"/>
        <v>0.84346149025160166</v>
      </c>
      <c r="CC53" s="6">
        <f t="shared" si="64"/>
        <v>84.346149025160173</v>
      </c>
      <c r="CF53" s="581">
        <f t="shared" si="115"/>
        <v>-50</v>
      </c>
      <c r="CG53">
        <f t="shared" si="116"/>
        <v>-50</v>
      </c>
    </row>
    <row r="54" spans="5:85" x14ac:dyDescent="0.2">
      <c r="E54" s="176">
        <v>49</v>
      </c>
      <c r="F54" s="223">
        <f t="shared" si="117"/>
        <v>0.245</v>
      </c>
      <c r="G54" s="223"/>
      <c r="H54" s="223">
        <f t="shared" si="66"/>
        <v>1.2250000000000001</v>
      </c>
      <c r="I54" s="559">
        <f t="shared" si="67"/>
        <v>24</v>
      </c>
      <c r="J54" s="178">
        <f t="shared" si="68"/>
        <v>15.75</v>
      </c>
      <c r="K54" s="454">
        <f t="shared" si="69"/>
        <v>39.75</v>
      </c>
      <c r="L54" s="454"/>
      <c r="M54" s="223">
        <f t="shared" si="70"/>
        <v>0.39622641509433965</v>
      </c>
      <c r="N54" s="178">
        <f t="shared" si="5"/>
        <v>3.2094339622641508</v>
      </c>
      <c r="O54" s="178">
        <f t="shared" si="53"/>
        <v>1.2250000000000001</v>
      </c>
      <c r="P54" s="223">
        <f t="shared" si="71"/>
        <v>0.6418867924528302</v>
      </c>
      <c r="Q54" s="223">
        <f t="shared" si="72"/>
        <v>5</v>
      </c>
      <c r="R54" s="223">
        <f t="shared" si="73"/>
        <v>0.71320754716981138</v>
      </c>
      <c r="S54" s="178">
        <f t="shared" si="74"/>
        <v>25.139995672972173</v>
      </c>
      <c r="T54" s="178">
        <f t="shared" si="75"/>
        <v>5</v>
      </c>
      <c r="U54" s="223">
        <f t="shared" si="76"/>
        <v>0.28626543209876543</v>
      </c>
      <c r="V54" s="223">
        <f t="shared" si="77"/>
        <v>0.52481995884773669</v>
      </c>
      <c r="W54" s="223">
        <f t="shared" si="78"/>
        <v>0.79972565157750353</v>
      </c>
      <c r="X54" s="203">
        <f t="shared" si="79"/>
        <v>350</v>
      </c>
      <c r="Y54" s="454">
        <f t="shared" si="54"/>
        <v>350</v>
      </c>
      <c r="AA54" s="223">
        <f t="shared" si="80"/>
        <v>0.61749571183533458</v>
      </c>
      <c r="AB54" s="179">
        <f t="shared" si="81"/>
        <v>1.7250673854447443</v>
      </c>
      <c r="AC54" s="179">
        <f t="shared" si="82"/>
        <v>0.55924139939803896</v>
      </c>
      <c r="AD54" s="179"/>
      <c r="AE54" s="179">
        <f t="shared" si="83"/>
        <v>0.419047619047619</v>
      </c>
      <c r="AF54" s="563">
        <f t="shared" si="118"/>
        <v>2598.484848484849</v>
      </c>
      <c r="AG54" s="546">
        <f t="shared" si="84"/>
        <v>3.2999999999999995E-2</v>
      </c>
      <c r="AI54" s="179">
        <f t="shared" si="85"/>
        <v>0.43082021842766455</v>
      </c>
      <c r="AJ54" s="179">
        <f t="shared" si="86"/>
        <v>0.43082021842766455</v>
      </c>
      <c r="AK54" s="179">
        <f t="shared" si="87"/>
        <v>1.4080149766130847</v>
      </c>
      <c r="AM54" s="563">
        <f t="shared" si="88"/>
        <v>245</v>
      </c>
      <c r="AN54" s="472">
        <f t="shared" si="89"/>
        <v>350</v>
      </c>
      <c r="AP54">
        <f t="shared" si="90"/>
        <v>245</v>
      </c>
      <c r="AQ54" s="472">
        <f t="shared" si="91"/>
        <v>350</v>
      </c>
      <c r="AR54" s="472"/>
      <c r="AS54" s="6">
        <f t="shared" si="55"/>
        <v>2.8571428571428572</v>
      </c>
      <c r="AT54" s="6">
        <f t="shared" si="92"/>
        <v>0.78983706711738499</v>
      </c>
      <c r="AU54" s="6">
        <f t="shared" si="56"/>
        <v>2.0673057900254723</v>
      </c>
      <c r="AV54" s="6">
        <f t="shared" si="93"/>
        <v>1.2035612451312534</v>
      </c>
      <c r="AW54" s="179">
        <f t="shared" si="57"/>
        <v>0.27644297349108476</v>
      </c>
      <c r="AX54" s="179">
        <f t="shared" si="94"/>
        <v>1.4291666666666665</v>
      </c>
      <c r="AY54" s="179">
        <f t="shared" si="95"/>
        <v>0.46758449430816351</v>
      </c>
      <c r="AZ54" s="179">
        <f t="shared" si="58"/>
        <v>3.0564885792058969</v>
      </c>
      <c r="BA54" s="472">
        <f t="shared" si="96"/>
        <v>24.124421502313997</v>
      </c>
      <c r="BB54" s="472">
        <f t="shared" si="97"/>
        <v>4.073934969710403</v>
      </c>
      <c r="BC54" s="6">
        <f t="shared" si="98"/>
        <v>9.7702530585694572E-2</v>
      </c>
      <c r="BD54" s="563">
        <f t="shared" si="99"/>
        <v>27.552444055310097</v>
      </c>
      <c r="BE54" s="6"/>
      <c r="BF54" s="179">
        <f t="shared" si="59"/>
        <v>0.13077906470061876</v>
      </c>
      <c r="BG54" s="179">
        <f t="shared" si="100"/>
        <v>0.63473593560035979</v>
      </c>
      <c r="BH54" s="179"/>
      <c r="BI54" s="546">
        <f t="shared" si="101"/>
        <v>5.9861073173890188E-3</v>
      </c>
      <c r="BJ54" s="546">
        <f t="shared" si="102"/>
        <v>4.4953397166561618E-2</v>
      </c>
      <c r="BK54" s="546">
        <f t="shared" si="103"/>
        <v>4.3749999999999995E-3</v>
      </c>
      <c r="BL54" s="546">
        <f t="shared" si="104"/>
        <v>2.7651093750000001E-2</v>
      </c>
      <c r="BM54">
        <f t="shared" si="105"/>
        <v>6.96E-3</v>
      </c>
      <c r="BN54" s="546">
        <f t="shared" si="106"/>
        <v>9.0922312526391866E-2</v>
      </c>
      <c r="BO54" s="472">
        <f t="shared" si="60"/>
        <v>90.922312526391863</v>
      </c>
      <c r="BP54" s="546">
        <f t="shared" si="107"/>
        <v>6.6885E-2</v>
      </c>
      <c r="BQ54" s="546"/>
      <c r="BS54" s="472">
        <f t="shared" si="61"/>
        <v>66.885000000000005</v>
      </c>
      <c r="BT54" s="546">
        <f t="shared" si="108"/>
        <v>3.4206327527937252E-3</v>
      </c>
      <c r="BU54" s="546">
        <f t="shared" si="109"/>
        <v>1.6115588317698566E-2</v>
      </c>
      <c r="BV54" s="546">
        <f t="shared" si="110"/>
        <v>1.3959835692376724E-2</v>
      </c>
      <c r="BW54" s="546">
        <f t="shared" si="111"/>
        <v>3.5896505857254936E-2</v>
      </c>
      <c r="BX54" s="546">
        <f t="shared" si="112"/>
        <v>3.2481060606060604E-2</v>
      </c>
      <c r="BY54" s="472">
        <f t="shared" si="62"/>
        <v>68.377566463315546</v>
      </c>
      <c r="BZ54" s="179">
        <f t="shared" si="113"/>
        <v>0.22618487898970738</v>
      </c>
      <c r="CA54" s="6">
        <f t="shared" si="114"/>
        <v>1.2250000000000001</v>
      </c>
      <c r="CB54" s="179">
        <f t="shared" si="63"/>
        <v>0.8441377923210075</v>
      </c>
      <c r="CC54" s="6">
        <f t="shared" si="64"/>
        <v>84.413779232100751</v>
      </c>
      <c r="CF54" s="581">
        <f t="shared" si="115"/>
        <v>-50</v>
      </c>
      <c r="CG54">
        <f t="shared" si="116"/>
        <v>-50</v>
      </c>
    </row>
    <row r="55" spans="5:85" x14ac:dyDescent="0.2">
      <c r="E55" s="176">
        <v>50</v>
      </c>
      <c r="F55" s="223">
        <f t="shared" si="117"/>
        <v>0.25</v>
      </c>
      <c r="G55" s="223"/>
      <c r="H55" s="223">
        <f t="shared" si="66"/>
        <v>1.25</v>
      </c>
      <c r="I55" s="559">
        <f t="shared" si="67"/>
        <v>24</v>
      </c>
      <c r="J55" s="178">
        <f t="shared" si="68"/>
        <v>15.75</v>
      </c>
      <c r="K55" s="454">
        <f t="shared" si="69"/>
        <v>39.75</v>
      </c>
      <c r="L55" s="454"/>
      <c r="M55" s="223">
        <f t="shared" si="70"/>
        <v>0.39622641509433965</v>
      </c>
      <c r="N55" s="178">
        <f t="shared" si="5"/>
        <v>3.2094339622641508</v>
      </c>
      <c r="O55" s="178">
        <f t="shared" si="53"/>
        <v>1.25</v>
      </c>
      <c r="P55" s="223">
        <f t="shared" si="71"/>
        <v>0.6418867924528302</v>
      </c>
      <c r="Q55" s="223">
        <f t="shared" si="72"/>
        <v>5</v>
      </c>
      <c r="R55" s="223">
        <f t="shared" si="73"/>
        <v>0.71320754716981138</v>
      </c>
      <c r="S55" s="178">
        <f t="shared" si="74"/>
        <v>24.480870586137836</v>
      </c>
      <c r="T55" s="178">
        <f t="shared" si="75"/>
        <v>5</v>
      </c>
      <c r="U55" s="223">
        <f t="shared" si="76"/>
        <v>0.29210758377425039</v>
      </c>
      <c r="V55" s="223">
        <f t="shared" si="77"/>
        <v>0.53553057025279238</v>
      </c>
      <c r="W55" s="223">
        <f t="shared" si="78"/>
        <v>0.81604658324235035</v>
      </c>
      <c r="X55" s="203">
        <f t="shared" si="79"/>
        <v>350</v>
      </c>
      <c r="Y55" s="454">
        <f t="shared" si="54"/>
        <v>350</v>
      </c>
      <c r="AA55" s="223">
        <f t="shared" si="80"/>
        <v>0.61749571183533458</v>
      </c>
      <c r="AB55" s="179">
        <f t="shared" si="81"/>
        <v>1.7250673854447443</v>
      </c>
      <c r="AC55" s="179">
        <f t="shared" si="82"/>
        <v>0.55924139939803896</v>
      </c>
      <c r="AD55" s="179"/>
      <c r="AE55" s="179">
        <f t="shared" si="83"/>
        <v>0.419047619047619</v>
      </c>
      <c r="AF55" s="563">
        <f t="shared" si="118"/>
        <v>2651.515151515152</v>
      </c>
      <c r="AG55" s="546">
        <f t="shared" si="84"/>
        <v>3.2999999999999995E-2</v>
      </c>
      <c r="AI55" s="179">
        <f t="shared" si="85"/>
        <v>0.4351941398892446</v>
      </c>
      <c r="AJ55" s="179">
        <f t="shared" si="86"/>
        <v>0.4351941398892446</v>
      </c>
      <c r="AK55" s="179">
        <f t="shared" si="87"/>
        <v>1.4112549184364775</v>
      </c>
      <c r="AM55" s="563">
        <f t="shared" si="88"/>
        <v>250</v>
      </c>
      <c r="AN55" s="472">
        <f t="shared" si="89"/>
        <v>350</v>
      </c>
      <c r="AP55">
        <f t="shared" si="90"/>
        <v>250</v>
      </c>
      <c r="AQ55" s="472">
        <f t="shared" si="91"/>
        <v>350</v>
      </c>
      <c r="AR55" s="472"/>
      <c r="AS55" s="6">
        <f t="shared" si="55"/>
        <v>2.8571428571428572</v>
      </c>
      <c r="AT55" s="6">
        <f t="shared" si="92"/>
        <v>0.79785592313028175</v>
      </c>
      <c r="AU55" s="6">
        <f t="shared" si="56"/>
        <v>2.0592869340125755</v>
      </c>
      <c r="AV55" s="6">
        <f t="shared" si="93"/>
        <v>1.2157804542937625</v>
      </c>
      <c r="AW55" s="179">
        <f t="shared" si="57"/>
        <v>0.27924957309559861</v>
      </c>
      <c r="AX55" s="179">
        <f t="shared" si="94"/>
        <v>1.4583333333333335</v>
      </c>
      <c r="AY55" s="179">
        <f t="shared" si="95"/>
        <v>0.47049954316720022</v>
      </c>
      <c r="AZ55" s="179">
        <f t="shared" si="58"/>
        <v>3.0995425064952493</v>
      </c>
      <c r="BA55" s="472">
        <f t="shared" si="96"/>
        <v>24.124421502313997</v>
      </c>
      <c r="BB55" s="472">
        <f t="shared" si="97"/>
        <v>4.22660867316785</v>
      </c>
      <c r="BC55" s="6">
        <f t="shared" si="98"/>
        <v>9.9309747975143484E-2</v>
      </c>
      <c r="BD55" s="563">
        <f t="shared" si="99"/>
        <v>28.077946255347229</v>
      </c>
      <c r="BE55" s="6"/>
      <c r="BF55" s="179">
        <f t="shared" si="59"/>
        <v>0.13277572157922454</v>
      </c>
      <c r="BG55" s="179">
        <f t="shared" si="100"/>
        <v>0.63993537799832911</v>
      </c>
      <c r="BH55" s="179"/>
      <c r="BI55" s="546">
        <f t="shared" si="101"/>
        <v>6.1702872843093139E-3</v>
      </c>
      <c r="BJ55" s="546">
        <f t="shared" si="102"/>
        <v>4.5409788534068359E-2</v>
      </c>
      <c r="BK55" s="546">
        <f t="shared" si="103"/>
        <v>4.3749999999999995E-3</v>
      </c>
      <c r="BL55" s="546">
        <f t="shared" si="104"/>
        <v>2.7651093750000001E-2</v>
      </c>
      <c r="BM55">
        <f t="shared" si="105"/>
        <v>6.96E-3</v>
      </c>
      <c r="BN55" s="546">
        <f t="shared" si="106"/>
        <v>9.1594988854138415E-2</v>
      </c>
      <c r="BO55" s="472">
        <f t="shared" si="60"/>
        <v>91.594988854138421</v>
      </c>
      <c r="BP55" s="546">
        <f t="shared" si="107"/>
        <v>6.8250000000000005E-2</v>
      </c>
      <c r="BQ55" s="546"/>
      <c r="BS55" s="472">
        <f t="shared" si="61"/>
        <v>68.25</v>
      </c>
      <c r="BT55" s="546">
        <f t="shared" si="108"/>
        <v>3.525878448176751E-3</v>
      </c>
      <c r="BU55" s="546">
        <f t="shared" si="109"/>
        <v>1.6380691520554574E-2</v>
      </c>
      <c r="BV55" s="546">
        <f t="shared" si="110"/>
        <v>1.4316857820678083E-2</v>
      </c>
      <c r="BW55" s="546">
        <f t="shared" si="111"/>
        <v>3.6670615078846246E-2</v>
      </c>
      <c r="BX55" s="546">
        <f t="shared" si="112"/>
        <v>3.3143939393939399E-2</v>
      </c>
      <c r="BY55" s="472">
        <f t="shared" si="62"/>
        <v>69.814554472785645</v>
      </c>
      <c r="BZ55" s="179">
        <f t="shared" si="113"/>
        <v>0.22965954332692406</v>
      </c>
      <c r="CA55" s="6">
        <f t="shared" si="114"/>
        <v>1.25</v>
      </c>
      <c r="CB55" s="179">
        <f t="shared" si="63"/>
        <v>0.84478892839730635</v>
      </c>
      <c r="CC55" s="6">
        <f t="shared" si="64"/>
        <v>84.478892839730634</v>
      </c>
      <c r="CF55" s="581">
        <f t="shared" si="115"/>
        <v>-50</v>
      </c>
      <c r="CG55">
        <f t="shared" si="116"/>
        <v>-50</v>
      </c>
    </row>
    <row r="56" spans="5:85" x14ac:dyDescent="0.2">
      <c r="E56" s="176">
        <v>51</v>
      </c>
      <c r="F56" s="223">
        <f t="shared" si="117"/>
        <v>0.255</v>
      </c>
      <c r="G56" s="223"/>
      <c r="H56" s="223">
        <f t="shared" si="66"/>
        <v>1.2749999999999999</v>
      </c>
      <c r="I56" s="559">
        <f t="shared" si="67"/>
        <v>24</v>
      </c>
      <c r="J56" s="178">
        <f t="shared" si="68"/>
        <v>15.75</v>
      </c>
      <c r="K56" s="454">
        <f t="shared" si="69"/>
        <v>39.75</v>
      </c>
      <c r="L56" s="454"/>
      <c r="M56" s="223">
        <f t="shared" si="70"/>
        <v>0.39622641509433965</v>
      </c>
      <c r="N56" s="178">
        <f t="shared" si="5"/>
        <v>3.2094339622641508</v>
      </c>
      <c r="O56" s="178">
        <f t="shared" si="53"/>
        <v>1.2749999999999999</v>
      </c>
      <c r="P56" s="223">
        <f t="shared" si="71"/>
        <v>0.6418867924528302</v>
      </c>
      <c r="Q56" s="223">
        <f t="shared" si="72"/>
        <v>5</v>
      </c>
      <c r="R56" s="223">
        <f t="shared" si="73"/>
        <v>0.71320754716981138</v>
      </c>
      <c r="S56" s="178">
        <f t="shared" si="74"/>
        <v>23.847701350299314</v>
      </c>
      <c r="T56" s="178">
        <f t="shared" si="75"/>
        <v>5</v>
      </c>
      <c r="U56" s="223">
        <f t="shared" si="76"/>
        <v>0.29794973544973541</v>
      </c>
      <c r="V56" s="223">
        <f t="shared" si="77"/>
        <v>0.54624118165784818</v>
      </c>
      <c r="W56" s="223">
        <f t="shared" si="78"/>
        <v>0.83236751490719729</v>
      </c>
      <c r="X56" s="203">
        <f t="shared" si="79"/>
        <v>350</v>
      </c>
      <c r="Y56" s="454">
        <f t="shared" si="54"/>
        <v>350</v>
      </c>
      <c r="AA56" s="223">
        <f t="shared" si="80"/>
        <v>0.61749571183533458</v>
      </c>
      <c r="AB56" s="179">
        <f t="shared" si="81"/>
        <v>1.7250673854447443</v>
      </c>
      <c r="AC56" s="179">
        <f t="shared" si="82"/>
        <v>0.55924139939803896</v>
      </c>
      <c r="AD56" s="179"/>
      <c r="AE56" s="179">
        <f t="shared" si="83"/>
        <v>0.419047619047619</v>
      </c>
      <c r="AF56" s="563">
        <f t="shared" si="118"/>
        <v>2704.545454545455</v>
      </c>
      <c r="AG56" s="546">
        <f t="shared" si="84"/>
        <v>3.2999999999999995E-2</v>
      </c>
      <c r="AI56" s="179">
        <f t="shared" si="85"/>
        <v>0.43952453649576623</v>
      </c>
      <c r="AJ56" s="179">
        <f t="shared" si="86"/>
        <v>0.43952453649576623</v>
      </c>
      <c r="AK56" s="179">
        <f t="shared" si="87"/>
        <v>1.4144626196264936</v>
      </c>
      <c r="AM56" s="563">
        <f t="shared" si="88"/>
        <v>255</v>
      </c>
      <c r="AN56" s="472">
        <f t="shared" si="89"/>
        <v>350</v>
      </c>
      <c r="AP56">
        <f t="shared" si="90"/>
        <v>255</v>
      </c>
      <c r="AQ56" s="472">
        <f t="shared" si="91"/>
        <v>350</v>
      </c>
      <c r="AR56" s="472"/>
      <c r="AS56" s="6">
        <f t="shared" si="55"/>
        <v>2.8571428571428572</v>
      </c>
      <c r="AT56" s="6">
        <f t="shared" si="92"/>
        <v>0.80579498357557133</v>
      </c>
      <c r="AU56" s="6">
        <f t="shared" si="56"/>
        <v>2.0513478735672859</v>
      </c>
      <c r="AV56" s="6">
        <f t="shared" si="93"/>
        <v>1.2278780702103944</v>
      </c>
      <c r="AW56" s="179">
        <f t="shared" si="57"/>
        <v>0.28202824425144996</v>
      </c>
      <c r="AX56" s="179">
        <f t="shared" si="94"/>
        <v>1.4874999999999996</v>
      </c>
      <c r="AY56" s="179">
        <f t="shared" si="95"/>
        <v>0.47334930474364945</v>
      </c>
      <c r="AZ56" s="179">
        <f t="shared" si="58"/>
        <v>3.1424995982735862</v>
      </c>
      <c r="BA56" s="472">
        <f t="shared" si="96"/>
        <v>24.124421502313997</v>
      </c>
      <c r="BB56" s="472">
        <f t="shared" si="97"/>
        <v>4.382063663563831</v>
      </c>
      <c r="BC56" s="6">
        <f t="shared" si="98"/>
        <v>0.10090542202153892</v>
      </c>
      <c r="BD56" s="563">
        <f t="shared" si="99"/>
        <v>28.602268504103613</v>
      </c>
      <c r="BE56" s="6"/>
      <c r="BF56" s="179">
        <f t="shared" si="59"/>
        <v>0.13476241934496055</v>
      </c>
      <c r="BG56" s="179">
        <f t="shared" si="100"/>
        <v>0.64505601891315723</v>
      </c>
      <c r="BH56" s="179"/>
      <c r="BI56" s="546">
        <f t="shared" si="101"/>
        <v>6.3563183836974494E-3</v>
      </c>
      <c r="BJ56" s="546">
        <f t="shared" si="102"/>
        <v>4.5861638354980104E-2</v>
      </c>
      <c r="BK56" s="546">
        <f t="shared" si="103"/>
        <v>4.3749999999999995E-3</v>
      </c>
      <c r="BL56" s="546">
        <f t="shared" si="104"/>
        <v>2.7651093750000001E-2</v>
      </c>
      <c r="BM56">
        <f t="shared" si="105"/>
        <v>6.96E-3</v>
      </c>
      <c r="BN56" s="546">
        <f t="shared" si="106"/>
        <v>9.2265364644072548E-2</v>
      </c>
      <c r="BO56" s="472">
        <f t="shared" si="60"/>
        <v>92.265364644072548</v>
      </c>
      <c r="BP56" s="546">
        <f t="shared" si="107"/>
        <v>6.9614999999999996E-2</v>
      </c>
      <c r="BQ56" s="546"/>
      <c r="BS56" s="472">
        <f t="shared" si="61"/>
        <v>69.614999999999995</v>
      </c>
      <c r="BT56" s="546">
        <f t="shared" si="108"/>
        <v>3.6321819335414004E-3</v>
      </c>
      <c r="BU56" s="546">
        <f t="shared" si="109"/>
        <v>1.6643890701443658E-2</v>
      </c>
      <c r="BV56" s="546">
        <f t="shared" si="110"/>
        <v>1.467566963451309E-2</v>
      </c>
      <c r="BW56" s="546">
        <f t="shared" si="111"/>
        <v>3.7445610979943617E-2</v>
      </c>
      <c r="BX56" s="546">
        <f t="shared" si="112"/>
        <v>3.3806818181818181E-2</v>
      </c>
      <c r="BY56" s="472">
        <f t="shared" si="62"/>
        <v>71.25242916176181</v>
      </c>
      <c r="BZ56" s="179">
        <f t="shared" si="113"/>
        <v>0.23313279380583435</v>
      </c>
      <c r="CA56" s="6">
        <f t="shared" si="114"/>
        <v>1.2749999999999999</v>
      </c>
      <c r="CB56" s="179">
        <f t="shared" si="63"/>
        <v>0.8454162692016568</v>
      </c>
      <c r="CC56" s="6">
        <f t="shared" si="64"/>
        <v>84.541626920165683</v>
      </c>
      <c r="CF56" s="581">
        <f t="shared" si="115"/>
        <v>-50</v>
      </c>
      <c r="CG56">
        <f t="shared" si="116"/>
        <v>-50</v>
      </c>
    </row>
    <row r="57" spans="5:85" x14ac:dyDescent="0.2">
      <c r="E57" s="176">
        <v>52</v>
      </c>
      <c r="F57" s="223">
        <f t="shared" si="117"/>
        <v>0.26</v>
      </c>
      <c r="G57" s="223"/>
      <c r="H57" s="223">
        <f t="shared" si="66"/>
        <v>1.3</v>
      </c>
      <c r="I57" s="559">
        <f t="shared" si="67"/>
        <v>24</v>
      </c>
      <c r="J57" s="178">
        <f t="shared" si="68"/>
        <v>15.75</v>
      </c>
      <c r="K57" s="454">
        <f t="shared" si="69"/>
        <v>39.75</v>
      </c>
      <c r="L57" s="454"/>
      <c r="M57" s="223">
        <f t="shared" si="70"/>
        <v>0.39622641509433965</v>
      </c>
      <c r="N57" s="178">
        <f t="shared" si="5"/>
        <v>3.2094339622641508</v>
      </c>
      <c r="O57" s="178">
        <f t="shared" si="53"/>
        <v>1.3</v>
      </c>
      <c r="P57" s="223">
        <f t="shared" si="71"/>
        <v>0.6418867924528302</v>
      </c>
      <c r="Q57" s="223">
        <f t="shared" si="72"/>
        <v>5</v>
      </c>
      <c r="R57" s="223">
        <f t="shared" si="73"/>
        <v>0.71320754716981138</v>
      </c>
      <c r="S57" s="178">
        <f t="shared" si="74"/>
        <v>23.238992419988161</v>
      </c>
      <c r="T57" s="178">
        <f t="shared" si="75"/>
        <v>5</v>
      </c>
      <c r="U57" s="223">
        <f t="shared" si="76"/>
        <v>0.30379188712522043</v>
      </c>
      <c r="V57" s="223">
        <f t="shared" si="77"/>
        <v>0.5569517930629041</v>
      </c>
      <c r="W57" s="223">
        <f t="shared" si="78"/>
        <v>0.84868844657204434</v>
      </c>
      <c r="X57" s="203">
        <f t="shared" si="79"/>
        <v>350</v>
      </c>
      <c r="Y57" s="454">
        <f t="shared" si="54"/>
        <v>350</v>
      </c>
      <c r="AA57" s="223">
        <f t="shared" si="80"/>
        <v>0.61749571183533458</v>
      </c>
      <c r="AB57" s="179">
        <f t="shared" si="81"/>
        <v>1.7250673854447443</v>
      </c>
      <c r="AC57" s="179">
        <f t="shared" si="82"/>
        <v>0.55924139939803896</v>
      </c>
      <c r="AD57" s="179"/>
      <c r="AE57" s="179">
        <f t="shared" si="83"/>
        <v>0.419047619047619</v>
      </c>
      <c r="AF57" s="563">
        <f t="shared" si="118"/>
        <v>2757.5757575757584</v>
      </c>
      <c r="AG57" s="546">
        <f t="shared" si="84"/>
        <v>3.2999999999999995E-2</v>
      </c>
      <c r="AI57" s="179">
        <f t="shared" si="85"/>
        <v>0.44381268229929727</v>
      </c>
      <c r="AJ57" s="179">
        <f t="shared" si="86"/>
        <v>0.44381268229929727</v>
      </c>
      <c r="AK57" s="179">
        <f t="shared" si="87"/>
        <v>1.4176390239254053</v>
      </c>
      <c r="AM57" s="563">
        <f t="shared" si="88"/>
        <v>260</v>
      </c>
      <c r="AN57" s="472">
        <f t="shared" si="89"/>
        <v>350</v>
      </c>
      <c r="AP57">
        <f t="shared" si="90"/>
        <v>260</v>
      </c>
      <c r="AQ57" s="472">
        <f t="shared" si="91"/>
        <v>350</v>
      </c>
      <c r="AR57" s="472"/>
      <c r="AS57" s="6">
        <f t="shared" si="55"/>
        <v>2.8571428571428572</v>
      </c>
      <c r="AT57" s="6">
        <f t="shared" si="92"/>
        <v>0.81365658421537834</v>
      </c>
      <c r="AU57" s="6">
        <f t="shared" si="56"/>
        <v>2.043486272927479</v>
      </c>
      <c r="AV57" s="6">
        <f t="shared" si="93"/>
        <v>1.2398576521377194</v>
      </c>
      <c r="AW57" s="179">
        <f t="shared" si="57"/>
        <v>0.28477980447538243</v>
      </c>
      <c r="AX57" s="179">
        <f t="shared" si="94"/>
        <v>1.5166666666666666</v>
      </c>
      <c r="AY57" s="179">
        <f t="shared" si="95"/>
        <v>0.47613569011561252</v>
      </c>
      <c r="AZ57" s="179">
        <f t="shared" si="58"/>
        <v>3.1853664788253919</v>
      </c>
      <c r="BA57" s="472">
        <f t="shared" si="96"/>
        <v>24.124421502313997</v>
      </c>
      <c r="BB57" s="472">
        <f t="shared" si="97"/>
        <v>4.5402999408983469</v>
      </c>
      <c r="BC57" s="6">
        <f t="shared" si="98"/>
        <v>0.10248966646627015</v>
      </c>
      <c r="BD57" s="563">
        <f t="shared" si="99"/>
        <v>29.125420485353388</v>
      </c>
      <c r="BE57" s="6"/>
      <c r="BF57" s="179">
        <f t="shared" si="59"/>
        <v>0.13673940152787664</v>
      </c>
      <c r="BG57" s="179">
        <f t="shared" si="100"/>
        <v>0.6501000811700256</v>
      </c>
      <c r="BH57" s="179"/>
      <c r="BI57" s="546">
        <f t="shared" si="101"/>
        <v>6.5441823755706553E-3</v>
      </c>
      <c r="BJ57" s="546">
        <f t="shared" si="102"/>
        <v>4.6309079568667304E-2</v>
      </c>
      <c r="BK57" s="546">
        <f t="shared" si="103"/>
        <v>4.3749999999999995E-3</v>
      </c>
      <c r="BL57" s="546">
        <f t="shared" si="104"/>
        <v>2.7651093750000001E-2</v>
      </c>
      <c r="BM57">
        <f t="shared" si="105"/>
        <v>6.96E-3</v>
      </c>
      <c r="BN57" s="546">
        <f t="shared" si="106"/>
        <v>9.2933552646594489E-2</v>
      </c>
      <c r="BO57" s="472">
        <f t="shared" si="60"/>
        <v>92.933552646594492</v>
      </c>
      <c r="BP57" s="546">
        <f t="shared" si="107"/>
        <v>7.0980000000000001E-2</v>
      </c>
      <c r="BQ57" s="546"/>
      <c r="BS57" s="472">
        <f t="shared" si="61"/>
        <v>70.98</v>
      </c>
      <c r="BT57" s="546">
        <f t="shared" si="108"/>
        <v>3.739532786040375E-3</v>
      </c>
      <c r="BU57" s="546">
        <f t="shared" si="109"/>
        <v>1.6905204621490956E-2</v>
      </c>
      <c r="BV57" s="546">
        <f t="shared" si="110"/>
        <v>1.5036244746940562E-2</v>
      </c>
      <c r="BW57" s="546">
        <f t="shared" si="111"/>
        <v>3.8221476430915204E-2</v>
      </c>
      <c r="BX57" s="546">
        <f t="shared" si="112"/>
        <v>3.4469696969696977E-2</v>
      </c>
      <c r="BY57" s="472">
        <f t="shared" si="62"/>
        <v>72.691173400612186</v>
      </c>
      <c r="BZ57" s="179">
        <f t="shared" si="113"/>
        <v>0.23660472604720667</v>
      </c>
      <c r="CA57" s="6">
        <f t="shared" si="114"/>
        <v>1.3</v>
      </c>
      <c r="CB57" s="179">
        <f t="shared" si="63"/>
        <v>0.84602108659664643</v>
      </c>
      <c r="CC57" s="6">
        <f t="shared" si="64"/>
        <v>84.602108659664637</v>
      </c>
      <c r="CF57" s="581">
        <f t="shared" si="115"/>
        <v>-50</v>
      </c>
      <c r="CG57">
        <f t="shared" si="116"/>
        <v>-50</v>
      </c>
    </row>
    <row r="58" spans="5:85" x14ac:dyDescent="0.2">
      <c r="E58" s="176">
        <v>53</v>
      </c>
      <c r="F58" s="223">
        <f t="shared" si="117"/>
        <v>0.26500000000000001</v>
      </c>
      <c r="G58" s="223"/>
      <c r="H58" s="223">
        <f t="shared" si="66"/>
        <v>1.3250000000000002</v>
      </c>
      <c r="I58" s="559">
        <f t="shared" si="67"/>
        <v>24</v>
      </c>
      <c r="J58" s="178">
        <f t="shared" si="68"/>
        <v>15.75</v>
      </c>
      <c r="K58" s="454">
        <f t="shared" si="69"/>
        <v>39.75</v>
      </c>
      <c r="L58" s="454"/>
      <c r="M58" s="223">
        <f t="shared" si="70"/>
        <v>0.39622641509433965</v>
      </c>
      <c r="N58" s="178">
        <f t="shared" si="5"/>
        <v>3.2094339622641508</v>
      </c>
      <c r="O58" s="178">
        <f t="shared" si="53"/>
        <v>1.3250000000000002</v>
      </c>
      <c r="P58" s="223">
        <f t="shared" si="71"/>
        <v>0.6418867924528302</v>
      </c>
      <c r="Q58" s="223">
        <f t="shared" si="72"/>
        <v>5</v>
      </c>
      <c r="R58" s="223">
        <f t="shared" si="73"/>
        <v>0.71320754716981138</v>
      </c>
      <c r="S58" s="178">
        <f t="shared" si="74"/>
        <v>22.653361163433697</v>
      </c>
      <c r="T58" s="178">
        <f t="shared" si="75"/>
        <v>5</v>
      </c>
      <c r="U58" s="223">
        <f t="shared" si="76"/>
        <v>0.3096340388007055</v>
      </c>
      <c r="V58" s="223">
        <f t="shared" si="77"/>
        <v>0.56766240446796001</v>
      </c>
      <c r="W58" s="223">
        <f t="shared" si="78"/>
        <v>0.86500937823689161</v>
      </c>
      <c r="X58" s="203">
        <f t="shared" si="79"/>
        <v>350</v>
      </c>
      <c r="Y58" s="454">
        <f t="shared" si="54"/>
        <v>350</v>
      </c>
      <c r="AA58" s="223">
        <f t="shared" si="80"/>
        <v>0.61749571183533458</v>
      </c>
      <c r="AB58" s="179">
        <f t="shared" si="81"/>
        <v>1.7250673854447443</v>
      </c>
      <c r="AC58" s="179">
        <f t="shared" si="82"/>
        <v>0.55924139939803896</v>
      </c>
      <c r="AD58" s="179"/>
      <c r="AE58" s="179">
        <f t="shared" si="83"/>
        <v>0.419047619047619</v>
      </c>
      <c r="AF58" s="563">
        <f t="shared" si="118"/>
        <v>2810.6060606060614</v>
      </c>
      <c r="AG58" s="546">
        <f t="shared" si="84"/>
        <v>3.2999999999999995E-2</v>
      </c>
      <c r="AI58" s="179">
        <f t="shared" si="85"/>
        <v>0.44805979038246196</v>
      </c>
      <c r="AJ58" s="179">
        <f t="shared" si="86"/>
        <v>0.44805979038246196</v>
      </c>
      <c r="AK58" s="179">
        <f t="shared" si="87"/>
        <v>1.4207850299129348</v>
      </c>
      <c r="AM58" s="563">
        <f t="shared" si="88"/>
        <v>265</v>
      </c>
      <c r="AN58" s="472">
        <f t="shared" si="89"/>
        <v>350</v>
      </c>
      <c r="AP58">
        <f t="shared" si="90"/>
        <v>265</v>
      </c>
      <c r="AQ58" s="472">
        <f t="shared" si="91"/>
        <v>350</v>
      </c>
      <c r="AR58" s="472"/>
      <c r="AS58" s="6">
        <f t="shared" si="55"/>
        <v>2.8571428571428572</v>
      </c>
      <c r="AT58" s="6">
        <f t="shared" si="92"/>
        <v>0.82144294903451365</v>
      </c>
      <c r="AU58" s="6">
        <f t="shared" si="56"/>
        <v>2.0356999081083433</v>
      </c>
      <c r="AV58" s="6">
        <f t="shared" si="93"/>
        <v>1.251722589004973</v>
      </c>
      <c r="AW58" s="179">
        <f t="shared" si="57"/>
        <v>0.28750503216207979</v>
      </c>
      <c r="AX58" s="179">
        <f t="shared" si="94"/>
        <v>1.5458333333333332</v>
      </c>
      <c r="AY58" s="179">
        <f t="shared" si="95"/>
        <v>0.4788605189070263</v>
      </c>
      <c r="AZ58" s="179">
        <f t="shared" si="58"/>
        <v>3.2281494763059935</v>
      </c>
      <c r="BA58" s="472">
        <f t="shared" si="96"/>
        <v>24.124421502313997</v>
      </c>
      <c r="BB58" s="472">
        <f t="shared" si="97"/>
        <v>4.7013175051713967</v>
      </c>
      <c r="BC58" s="6">
        <f t="shared" si="98"/>
        <v>0.10406259175322356</v>
      </c>
      <c r="BD58" s="563">
        <f t="shared" si="99"/>
        <v>29.647411630590184</v>
      </c>
      <c r="BE58" s="6"/>
      <c r="BF58" s="179">
        <f t="shared" si="59"/>
        <v>0.13870690114405868</v>
      </c>
      <c r="BG58" s="179">
        <f t="shared" si="100"/>
        <v>0.65506968136820254</v>
      </c>
      <c r="BH58" s="179"/>
      <c r="BI58" s="546">
        <f t="shared" si="101"/>
        <v>6.7338615487456833E-3</v>
      </c>
      <c r="BJ58" s="546">
        <f t="shared" si="102"/>
        <v>4.6752238752720006E-2</v>
      </c>
      <c r="BK58" s="546">
        <f t="shared" si="103"/>
        <v>4.3749999999999995E-3</v>
      </c>
      <c r="BL58" s="546">
        <f t="shared" si="104"/>
        <v>2.7651093750000001E-2</v>
      </c>
      <c r="BM58">
        <f t="shared" si="105"/>
        <v>6.96E-3</v>
      </c>
      <c r="BN58" s="546">
        <f t="shared" si="106"/>
        <v>9.3599659858192796E-2</v>
      </c>
      <c r="BO58" s="472">
        <f t="shared" si="60"/>
        <v>93.599659858192794</v>
      </c>
      <c r="BP58" s="546">
        <f t="shared" si="107"/>
        <v>7.2345000000000007E-2</v>
      </c>
      <c r="BQ58" s="546"/>
      <c r="BS58" s="472">
        <f t="shared" si="61"/>
        <v>72.345000000000013</v>
      </c>
      <c r="BT58" s="546">
        <f t="shared" si="108"/>
        <v>3.8479208849975335E-3</v>
      </c>
      <c r="BU58" s="546">
        <f t="shared" si="109"/>
        <v>1.7164651497913536E-2</v>
      </c>
      <c r="BV58" s="546">
        <f t="shared" si="110"/>
        <v>1.5398557661354713E-2</v>
      </c>
      <c r="BW58" s="546">
        <f t="shared" si="111"/>
        <v>3.8998194921702728E-2</v>
      </c>
      <c r="BX58" s="546">
        <f t="shared" si="112"/>
        <v>3.5132575757575758E-2</v>
      </c>
      <c r="BY58" s="472">
        <f t="shared" si="62"/>
        <v>74.130770679278484</v>
      </c>
      <c r="BZ58" s="179">
        <f t="shared" si="113"/>
        <v>0.24007543053747127</v>
      </c>
      <c r="CA58" s="6">
        <f t="shared" si="114"/>
        <v>1.3250000000000002</v>
      </c>
      <c r="CB58" s="179">
        <f t="shared" si="63"/>
        <v>0.84660456240436566</v>
      </c>
      <c r="CC58" s="6">
        <f t="shared" si="64"/>
        <v>84.660456240436559</v>
      </c>
      <c r="CF58" s="581">
        <f t="shared" si="115"/>
        <v>-50</v>
      </c>
      <c r="CG58">
        <f t="shared" si="116"/>
        <v>-50</v>
      </c>
    </row>
    <row r="59" spans="5:85" x14ac:dyDescent="0.2">
      <c r="E59" s="176">
        <v>54</v>
      </c>
      <c r="F59" s="223">
        <f t="shared" si="117"/>
        <v>0.27</v>
      </c>
      <c r="G59" s="223"/>
      <c r="H59" s="223">
        <f t="shared" si="66"/>
        <v>1.35</v>
      </c>
      <c r="I59" s="559">
        <f t="shared" si="67"/>
        <v>24</v>
      </c>
      <c r="J59" s="178">
        <f t="shared" si="68"/>
        <v>15.75</v>
      </c>
      <c r="K59" s="454">
        <f t="shared" si="69"/>
        <v>39.75</v>
      </c>
      <c r="L59" s="454"/>
      <c r="M59" s="223">
        <f t="shared" si="70"/>
        <v>0.39622641509433965</v>
      </c>
      <c r="N59" s="178">
        <f t="shared" si="5"/>
        <v>3.2094339622641508</v>
      </c>
      <c r="O59" s="178">
        <f t="shared" si="53"/>
        <v>1.35</v>
      </c>
      <c r="P59" s="223">
        <f t="shared" si="71"/>
        <v>0.6418867924528302</v>
      </c>
      <c r="Q59" s="223">
        <f t="shared" si="72"/>
        <v>5</v>
      </c>
      <c r="R59" s="223">
        <f t="shared" si="73"/>
        <v>0.71320754716981138</v>
      </c>
      <c r="S59" s="178">
        <f t="shared" si="74"/>
        <v>22.089527408678446</v>
      </c>
      <c r="T59" s="178">
        <f t="shared" si="75"/>
        <v>5</v>
      </c>
      <c r="U59" s="223">
        <f t="shared" si="76"/>
        <v>0.31547619047619047</v>
      </c>
      <c r="V59" s="223">
        <f t="shared" si="77"/>
        <v>0.57837301587301593</v>
      </c>
      <c r="W59" s="223">
        <f t="shared" si="78"/>
        <v>0.88133030990173844</v>
      </c>
      <c r="X59" s="203">
        <f t="shared" si="79"/>
        <v>350</v>
      </c>
      <c r="Y59" s="454">
        <f t="shared" si="54"/>
        <v>350</v>
      </c>
      <c r="AA59" s="223">
        <f t="shared" si="80"/>
        <v>0.61749571183533458</v>
      </c>
      <c r="AB59" s="179">
        <f t="shared" si="81"/>
        <v>1.7250673854447443</v>
      </c>
      <c r="AC59" s="179">
        <f t="shared" si="82"/>
        <v>0.55924139939803896</v>
      </c>
      <c r="AD59" s="179"/>
      <c r="AE59" s="179">
        <f t="shared" si="83"/>
        <v>0.419047619047619</v>
      </c>
      <c r="AF59" s="563">
        <f t="shared" si="118"/>
        <v>2863.6363636363644</v>
      </c>
      <c r="AG59" s="546">
        <f t="shared" si="84"/>
        <v>3.2999999999999995E-2</v>
      </c>
      <c r="AI59" s="179">
        <f t="shared" si="85"/>
        <v>0.45226701686664544</v>
      </c>
      <c r="AJ59" s="179">
        <f t="shared" si="86"/>
        <v>0.45226701686664544</v>
      </c>
      <c r="AK59" s="179">
        <f t="shared" si="87"/>
        <v>1.423901493975293</v>
      </c>
      <c r="AM59" s="563">
        <f t="shared" si="88"/>
        <v>270</v>
      </c>
      <c r="AN59" s="472">
        <f t="shared" si="89"/>
        <v>350</v>
      </c>
      <c r="AP59">
        <f t="shared" si="90"/>
        <v>270</v>
      </c>
      <c r="AQ59" s="472">
        <f t="shared" si="91"/>
        <v>350</v>
      </c>
      <c r="AR59" s="472"/>
      <c r="AS59" s="6">
        <f t="shared" si="55"/>
        <v>2.8571428571428572</v>
      </c>
      <c r="AT59" s="6">
        <f t="shared" si="92"/>
        <v>0.82915619758884995</v>
      </c>
      <c r="AU59" s="6">
        <f t="shared" si="56"/>
        <v>2.0279866595540073</v>
      </c>
      <c r="AV59" s="6">
        <f t="shared" si="93"/>
        <v>1.2634761106115808</v>
      </c>
      <c r="AW59" s="179">
        <f t="shared" si="57"/>
        <v>0.29020466915609749</v>
      </c>
      <c r="AX59" s="179">
        <f t="shared" si="94"/>
        <v>1.575</v>
      </c>
      <c r="AY59" s="179">
        <f t="shared" si="95"/>
        <v>0.48152552529996812</v>
      </c>
      <c r="AZ59" s="179">
        <f t="shared" si="58"/>
        <v>3.2708546426876288</v>
      </c>
      <c r="BA59" s="472">
        <f t="shared" si="96"/>
        <v>24.124421502313997</v>
      </c>
      <c r="BB59" s="472">
        <f t="shared" si="97"/>
        <v>4.8651163563829805</v>
      </c>
      <c r="BC59" s="6">
        <f t="shared" si="98"/>
        <v>0.10562430518510453</v>
      </c>
      <c r="BD59" s="563">
        <f t="shared" si="99"/>
        <v>30.168251130037856</v>
      </c>
      <c r="BE59" s="6"/>
      <c r="BF59" s="179">
        <f t="shared" si="59"/>
        <v>0.14066514133898184</v>
      </c>
      <c r="BG59" s="179">
        <f t="shared" si="100"/>
        <v>0.659966836852521</v>
      </c>
      <c r="BH59" s="179"/>
      <c r="BI59" s="546">
        <f t="shared" si="101"/>
        <v>6.9253386957705068E-3</v>
      </c>
      <c r="BJ59" s="546">
        <f t="shared" si="102"/>
        <v>4.719123654117903E-2</v>
      </c>
      <c r="BK59" s="546">
        <f t="shared" si="103"/>
        <v>4.3749999999999995E-3</v>
      </c>
      <c r="BL59" s="546">
        <f t="shared" si="104"/>
        <v>2.7651093750000001E-2</v>
      </c>
      <c r="BM59">
        <f t="shared" si="105"/>
        <v>6.96E-3</v>
      </c>
      <c r="BN59" s="546">
        <f t="shared" si="106"/>
        <v>9.4263787910885646E-2</v>
      </c>
      <c r="BO59" s="472">
        <f t="shared" si="60"/>
        <v>94.26378791088564</v>
      </c>
      <c r="BP59" s="546">
        <f t="shared" si="107"/>
        <v>7.3710000000000012E-2</v>
      </c>
      <c r="BQ59" s="546"/>
      <c r="BS59" s="472">
        <f t="shared" si="61"/>
        <v>73.710000000000008</v>
      </c>
      <c r="BT59" s="546">
        <f t="shared" si="108"/>
        <v>3.9573363975831475E-3</v>
      </c>
      <c r="BU59" s="546">
        <f t="shared" si="109"/>
        <v>1.7422249029804885E-2</v>
      </c>
      <c r="BV59" s="546">
        <f t="shared" si="110"/>
        <v>1.5762583725167412E-2</v>
      </c>
      <c r="BW59" s="546">
        <f t="shared" si="111"/>
        <v>3.9775750528350765E-2</v>
      </c>
      <c r="BX59" s="546">
        <f t="shared" si="112"/>
        <v>3.5795454545454554E-2</v>
      </c>
      <c r="BY59" s="472">
        <f t="shared" si="62"/>
        <v>75.571205073805331</v>
      </c>
      <c r="BZ59" s="179">
        <f t="shared" si="113"/>
        <v>0.24354499298469098</v>
      </c>
      <c r="CA59" s="6">
        <f t="shared" si="114"/>
        <v>1.35</v>
      </c>
      <c r="CB59" s="179">
        <f t="shared" si="63"/>
        <v>0.84716779629263306</v>
      </c>
      <c r="CC59" s="6">
        <f t="shared" si="64"/>
        <v>84.7167796292633</v>
      </c>
      <c r="CF59" s="581">
        <f t="shared" si="115"/>
        <v>-50</v>
      </c>
      <c r="CG59">
        <f t="shared" si="116"/>
        <v>-50</v>
      </c>
    </row>
    <row r="60" spans="5:85" x14ac:dyDescent="0.2">
      <c r="E60" s="176">
        <v>55</v>
      </c>
      <c r="F60" s="223">
        <f t="shared" si="117"/>
        <v>0.27500000000000002</v>
      </c>
      <c r="G60" s="223"/>
      <c r="H60" s="223">
        <f t="shared" si="66"/>
        <v>1.375</v>
      </c>
      <c r="I60" s="559">
        <f t="shared" si="67"/>
        <v>24</v>
      </c>
      <c r="J60" s="178">
        <f t="shared" si="68"/>
        <v>15.75</v>
      </c>
      <c r="K60" s="454">
        <f t="shared" si="69"/>
        <v>39.75</v>
      </c>
      <c r="L60" s="454"/>
      <c r="M60" s="223">
        <f t="shared" si="70"/>
        <v>0.39622641509433965</v>
      </c>
      <c r="N60" s="178">
        <f t="shared" si="5"/>
        <v>3.2094339622641508</v>
      </c>
      <c r="O60" s="178">
        <f t="shared" si="53"/>
        <v>1.375</v>
      </c>
      <c r="P60" s="223">
        <f t="shared" si="71"/>
        <v>0.6418867924528302</v>
      </c>
      <c r="Q60" s="223">
        <f t="shared" si="72"/>
        <v>5</v>
      </c>
      <c r="R60" s="223">
        <f t="shared" si="73"/>
        <v>0.71320754716981138</v>
      </c>
      <c r="S60" s="178">
        <f t="shared" si="74"/>
        <v>21.546304130147419</v>
      </c>
      <c r="T60" s="178">
        <f t="shared" si="75"/>
        <v>5</v>
      </c>
      <c r="U60" s="223">
        <f t="shared" si="76"/>
        <v>0.32131834215167543</v>
      </c>
      <c r="V60" s="223">
        <f t="shared" si="77"/>
        <v>0.58908362727807162</v>
      </c>
      <c r="W60" s="223">
        <f t="shared" si="78"/>
        <v>0.89765124156658527</v>
      </c>
      <c r="X60" s="203">
        <f t="shared" si="79"/>
        <v>350</v>
      </c>
      <c r="Y60" s="454">
        <f t="shared" si="54"/>
        <v>350</v>
      </c>
      <c r="AA60" s="223">
        <f t="shared" si="80"/>
        <v>0.61749571183533458</v>
      </c>
      <c r="AB60" s="179">
        <f t="shared" si="81"/>
        <v>1.7250673854447443</v>
      </c>
      <c r="AC60" s="179">
        <f t="shared" si="82"/>
        <v>0.55924139939803896</v>
      </c>
      <c r="AD60" s="179"/>
      <c r="AE60" s="179">
        <f t="shared" si="83"/>
        <v>0.419047619047619</v>
      </c>
      <c r="AF60" s="563">
        <f t="shared" si="118"/>
        <v>2916.6666666666674</v>
      </c>
      <c r="AG60" s="546">
        <f t="shared" si="84"/>
        <v>3.2999999999999995E-2</v>
      </c>
      <c r="AI60" s="179">
        <f t="shared" si="85"/>
        <v>0.45643546458763845</v>
      </c>
      <c r="AJ60" s="179">
        <f t="shared" si="86"/>
        <v>0.45643546458763845</v>
      </c>
      <c r="AK60" s="179">
        <f t="shared" si="87"/>
        <v>1.4269892330278804</v>
      </c>
      <c r="AM60" s="563">
        <f t="shared" si="88"/>
        <v>275</v>
      </c>
      <c r="AN60" s="472">
        <f t="shared" si="89"/>
        <v>350</v>
      </c>
      <c r="AP60">
        <f t="shared" si="90"/>
        <v>275</v>
      </c>
      <c r="AQ60">
        <f t="shared" si="91"/>
        <v>350</v>
      </c>
      <c r="AS60" s="6">
        <f t="shared" si="55"/>
        <v>2.8571428571428572</v>
      </c>
      <c r="AT60" s="6">
        <f t="shared" si="92"/>
        <v>0.83679835174400385</v>
      </c>
      <c r="AU60" s="6">
        <f t="shared" si="56"/>
        <v>2.0203445053988531</v>
      </c>
      <c r="AV60" s="6">
        <f t="shared" si="93"/>
        <v>1.2751212978956248</v>
      </c>
      <c r="AW60" s="179">
        <f t="shared" si="57"/>
        <v>0.29287942311040133</v>
      </c>
      <c r="AX60" s="179">
        <f t="shared" si="94"/>
        <v>1.6041666666666667</v>
      </c>
      <c r="AY60" s="179">
        <f t="shared" si="95"/>
        <v>0.48413236354812433</v>
      </c>
      <c r="AZ60" s="179">
        <f t="shared" si="58"/>
        <v>3.3134877720423401</v>
      </c>
      <c r="BA60" s="472">
        <f t="shared" si="96"/>
        <v>24.124421502313997</v>
      </c>
      <c r="BB60" s="472">
        <f t="shared" si="97"/>
        <v>5.0316964945330991</v>
      </c>
      <c r="BC60" s="6">
        <f t="shared" si="98"/>
        <v>0.10717491106957648</v>
      </c>
      <c r="BD60" s="563">
        <f t="shared" si="99"/>
        <v>30.687947942992114</v>
      </c>
      <c r="BE60" s="6"/>
      <c r="BF60" s="179">
        <f t="shared" si="59"/>
        <v>0.14261433598033266</v>
      </c>
      <c r="BG60" s="179">
        <f t="shared" si="100"/>
        <v>0.66479347210693873</v>
      </c>
      <c r="BH60" s="179"/>
      <c r="BI60" s="546">
        <f t="shared" si="101"/>
        <v>7.1185970894889214E-3</v>
      </c>
      <c r="BJ60" s="546">
        <f t="shared" si="102"/>
        <v>4.7626188008066402E-2</v>
      </c>
      <c r="BK60" s="546">
        <f t="shared" si="103"/>
        <v>4.3749999999999995E-3</v>
      </c>
      <c r="BL60" s="546">
        <f t="shared" si="104"/>
        <v>2.7651093750000001E-2</v>
      </c>
      <c r="BM60">
        <f t="shared" si="105"/>
        <v>6.96E-3</v>
      </c>
      <c r="BN60" s="546">
        <f t="shared" si="106"/>
        <v>9.4926033428836973E-2</v>
      </c>
      <c r="BO60" s="472">
        <f t="shared" si="60"/>
        <v>94.926033428836973</v>
      </c>
      <c r="BP60" s="546">
        <f t="shared" si="107"/>
        <v>7.5075000000000003E-2</v>
      </c>
      <c r="BQ60" s="546"/>
      <c r="BS60" s="472">
        <f t="shared" si="61"/>
        <v>75.075000000000003</v>
      </c>
      <c r="BT60" s="546">
        <f t="shared" si="108"/>
        <v>4.0677697654222409E-3</v>
      </c>
      <c r="BU60" s="546">
        <f t="shared" si="109"/>
        <v>1.7678014422239964E-2</v>
      </c>
      <c r="BV60" s="546">
        <f t="shared" si="110"/>
        <v>1.6128299086715328E-2</v>
      </c>
      <c r="BW60" s="546">
        <f t="shared" si="111"/>
        <v>4.0554127881924133E-2</v>
      </c>
      <c r="BX60" s="546">
        <f t="shared" si="112"/>
        <v>3.6458333333333343E-2</v>
      </c>
      <c r="BY60" s="472">
        <f t="shared" si="62"/>
        <v>77.012461215257488</v>
      </c>
      <c r="BZ60" s="179">
        <f t="shared" si="113"/>
        <v>0.24701349464409447</v>
      </c>
      <c r="CA60" s="6">
        <f t="shared" si="114"/>
        <v>1.375</v>
      </c>
      <c r="CB60" s="179">
        <f t="shared" si="63"/>
        <v>0.84771181284265784</v>
      </c>
      <c r="CC60" s="6">
        <f t="shared" si="64"/>
        <v>84.771181284265779</v>
      </c>
      <c r="CF60" s="581">
        <f t="shared" si="115"/>
        <v>-50</v>
      </c>
      <c r="CG60">
        <f t="shared" si="116"/>
        <v>-50</v>
      </c>
    </row>
    <row r="61" spans="5:85" x14ac:dyDescent="0.2">
      <c r="E61" s="176">
        <v>56</v>
      </c>
      <c r="F61" s="223">
        <f t="shared" si="117"/>
        <v>0.28000000000000003</v>
      </c>
      <c r="G61" s="223"/>
      <c r="H61" s="223">
        <f t="shared" si="66"/>
        <v>1.4000000000000001</v>
      </c>
      <c r="I61" s="559">
        <f t="shared" si="67"/>
        <v>24</v>
      </c>
      <c r="J61" s="178">
        <f t="shared" si="68"/>
        <v>15.75</v>
      </c>
      <c r="K61" s="454">
        <f t="shared" si="69"/>
        <v>39.75</v>
      </c>
      <c r="L61" s="454"/>
      <c r="M61" s="223">
        <f t="shared" si="70"/>
        <v>0.39622641509433965</v>
      </c>
      <c r="N61" s="178">
        <f t="shared" si="5"/>
        <v>3.2094339622641508</v>
      </c>
      <c r="O61" s="178">
        <f t="shared" si="53"/>
        <v>1.4000000000000001</v>
      </c>
      <c r="P61" s="223">
        <f t="shared" si="71"/>
        <v>0.6418867924528302</v>
      </c>
      <c r="Q61" s="223">
        <f t="shared" si="72"/>
        <v>5</v>
      </c>
      <c r="R61" s="223">
        <f t="shared" si="73"/>
        <v>0.71320754716981138</v>
      </c>
      <c r="S61" s="178">
        <f t="shared" si="74"/>
        <v>21.022589133115282</v>
      </c>
      <c r="T61" s="178">
        <f t="shared" si="75"/>
        <v>5</v>
      </c>
      <c r="U61" s="223">
        <f t="shared" si="76"/>
        <v>0.3271604938271605</v>
      </c>
      <c r="V61" s="223">
        <f t="shared" si="77"/>
        <v>0.59979423868312753</v>
      </c>
      <c r="W61" s="223">
        <f t="shared" si="78"/>
        <v>0.91397217323143254</v>
      </c>
      <c r="X61" s="203">
        <f t="shared" si="79"/>
        <v>350</v>
      </c>
      <c r="Y61" s="454">
        <f t="shared" si="54"/>
        <v>350</v>
      </c>
      <c r="AA61" s="223">
        <f t="shared" si="80"/>
        <v>0.61749571183533458</v>
      </c>
      <c r="AB61" s="179">
        <f t="shared" si="81"/>
        <v>1.7250673854447443</v>
      </c>
      <c r="AC61" s="179">
        <f t="shared" si="82"/>
        <v>0.55924139939803896</v>
      </c>
      <c r="AD61" s="179"/>
      <c r="AE61" s="179">
        <f t="shared" si="83"/>
        <v>0.419047619047619</v>
      </c>
      <c r="AF61" s="563">
        <f t="shared" si="118"/>
        <v>2969.6969696969709</v>
      </c>
      <c r="AG61" s="546">
        <f t="shared" si="84"/>
        <v>3.2999999999999995E-2</v>
      </c>
      <c r="AI61" s="179">
        <f t="shared" si="85"/>
        <v>0.46056618647183828</v>
      </c>
      <c r="AJ61" s="179">
        <f t="shared" si="86"/>
        <v>0.46056618647183828</v>
      </c>
      <c r="AK61" s="179">
        <f t="shared" si="87"/>
        <v>1.4300490270161765</v>
      </c>
      <c r="AM61" s="563">
        <f t="shared" si="88"/>
        <v>280</v>
      </c>
      <c r="AN61" s="472">
        <f t="shared" si="89"/>
        <v>350</v>
      </c>
      <c r="AP61">
        <f t="shared" si="90"/>
        <v>280</v>
      </c>
      <c r="AQ61">
        <f t="shared" si="91"/>
        <v>350</v>
      </c>
      <c r="AS61" s="6">
        <f t="shared" si="55"/>
        <v>2.8571428571428572</v>
      </c>
      <c r="AT61" s="6">
        <f t="shared" si="92"/>
        <v>0.84437134186503682</v>
      </c>
      <c r="AU61" s="6">
        <f t="shared" si="56"/>
        <v>2.0127715152778203</v>
      </c>
      <c r="AV61" s="6">
        <f t="shared" si="93"/>
        <v>1.2866610923657704</v>
      </c>
      <c r="AW61" s="179">
        <f t="shared" si="57"/>
        <v>0.2955299696527629</v>
      </c>
      <c r="AX61" s="179">
        <f t="shared" si="94"/>
        <v>1.6333333333333333</v>
      </c>
      <c r="AY61" s="179">
        <f t="shared" si="95"/>
        <v>0.48668261304109078</v>
      </c>
      <c r="AZ61" s="179">
        <f t="shared" si="58"/>
        <v>3.3560544173280964</v>
      </c>
      <c r="BA61" s="472">
        <f t="shared" si="96"/>
        <v>24.124421502313997</v>
      </c>
      <c r="BB61" s="472">
        <f t="shared" si="97"/>
        <v>5.2010579196217508</v>
      </c>
      <c r="BC61" s="6">
        <f t="shared" si="98"/>
        <v>0.10871451085605509</v>
      </c>
      <c r="BD61" s="563">
        <f t="shared" si="99"/>
        <v>31.206510807544898</v>
      </c>
      <c r="BE61" s="6"/>
      <c r="BF61" s="179">
        <f t="shared" si="59"/>
        <v>0.14455469020511361</v>
      </c>
      <c r="BG61" s="179">
        <f t="shared" si="100"/>
        <v>0.66955142462768991</v>
      </c>
      <c r="BH61" s="179"/>
      <c r="BI61" s="546">
        <f t="shared" si="101"/>
        <v>7.3136204611037288E-3</v>
      </c>
      <c r="BJ61" s="546">
        <f t="shared" si="102"/>
        <v>4.8057203019670876E-2</v>
      </c>
      <c r="BK61" s="546">
        <f t="shared" si="103"/>
        <v>4.3749999999999995E-3</v>
      </c>
      <c r="BL61" s="546">
        <f t="shared" si="104"/>
        <v>2.7651093750000001E-2</v>
      </c>
      <c r="BM61">
        <f t="shared" si="105"/>
        <v>6.96E-3</v>
      </c>
      <c r="BN61" s="546">
        <f t="shared" si="106"/>
        <v>9.5586488355448473E-2</v>
      </c>
      <c r="BO61" s="472">
        <f t="shared" si="60"/>
        <v>95.586488355448466</v>
      </c>
      <c r="BP61" s="546">
        <f t="shared" si="107"/>
        <v>7.6440000000000008E-2</v>
      </c>
      <c r="BQ61" s="546"/>
      <c r="BS61" s="472">
        <f t="shared" si="61"/>
        <v>76.440000000000012</v>
      </c>
      <c r="BT61" s="546">
        <f t="shared" si="108"/>
        <v>4.179211692059274E-3</v>
      </c>
      <c r="BU61" s="546">
        <f t="shared" si="109"/>
        <v>1.7931964408838767E-2</v>
      </c>
      <c r="BV61" s="546">
        <f t="shared" si="110"/>
        <v>1.6495680655112865E-2</v>
      </c>
      <c r="BW61" s="546">
        <f t="shared" si="111"/>
        <v>4.1333312139602847E-2</v>
      </c>
      <c r="BX61" s="546">
        <f t="shared" si="112"/>
        <v>3.7121212121212124E-2</v>
      </c>
      <c r="BY61" s="472">
        <f t="shared" si="62"/>
        <v>78.454524260814978</v>
      </c>
      <c r="BZ61" s="179">
        <f t="shared" si="113"/>
        <v>0.25048101261626343</v>
      </c>
      <c r="CA61" s="6">
        <f t="shared" si="114"/>
        <v>1.4000000000000001</v>
      </c>
      <c r="CB61" s="179">
        <f t="shared" si="63"/>
        <v>0.84823756789591109</v>
      </c>
      <c r="CC61" s="6">
        <f t="shared" si="64"/>
        <v>84.823756789591116</v>
      </c>
      <c r="CF61" s="581">
        <f t="shared" si="115"/>
        <v>-50</v>
      </c>
      <c r="CG61">
        <f t="shared" si="116"/>
        <v>-50</v>
      </c>
    </row>
    <row r="62" spans="5:85" x14ac:dyDescent="0.2">
      <c r="E62" s="176">
        <v>57</v>
      </c>
      <c r="F62" s="223">
        <f t="shared" si="117"/>
        <v>0.28499999999999998</v>
      </c>
      <c r="G62" s="223"/>
      <c r="H62" s="223">
        <f t="shared" si="66"/>
        <v>1.4249999999999998</v>
      </c>
      <c r="I62" s="559">
        <f t="shared" si="67"/>
        <v>24</v>
      </c>
      <c r="J62" s="178">
        <f t="shared" si="68"/>
        <v>15.75</v>
      </c>
      <c r="K62" s="454">
        <f t="shared" si="69"/>
        <v>39.75</v>
      </c>
      <c r="L62" s="454"/>
      <c r="M62" s="223">
        <f t="shared" si="70"/>
        <v>0.39622641509433965</v>
      </c>
      <c r="N62" s="178">
        <f t="shared" si="5"/>
        <v>3.2094339622641508</v>
      </c>
      <c r="O62" s="178">
        <f t="shared" si="53"/>
        <v>1.4249999999999998</v>
      </c>
      <c r="P62" s="223">
        <f t="shared" si="71"/>
        <v>0.6418867924528302</v>
      </c>
      <c r="Q62" s="223">
        <f t="shared" si="72"/>
        <v>5</v>
      </c>
      <c r="R62" s="223">
        <f t="shared" si="73"/>
        <v>0.71320754716981138</v>
      </c>
      <c r="S62" s="178">
        <f t="shared" si="74"/>
        <v>20.517357613523192</v>
      </c>
      <c r="T62" s="178">
        <f t="shared" si="75"/>
        <v>5</v>
      </c>
      <c r="U62" s="223">
        <f t="shared" si="76"/>
        <v>0.33300264550264541</v>
      </c>
      <c r="V62" s="223">
        <f t="shared" si="77"/>
        <v>0.61050485008818323</v>
      </c>
      <c r="W62" s="223">
        <f t="shared" si="78"/>
        <v>0.93029310489627925</v>
      </c>
      <c r="X62" s="203">
        <f t="shared" si="79"/>
        <v>350</v>
      </c>
      <c r="Y62" s="454">
        <f t="shared" si="54"/>
        <v>350</v>
      </c>
      <c r="AA62" s="223">
        <f t="shared" si="80"/>
        <v>0.61749571183533458</v>
      </c>
      <c r="AB62" s="179">
        <f t="shared" si="81"/>
        <v>1.7250673854447443</v>
      </c>
      <c r="AC62" s="179">
        <f t="shared" si="82"/>
        <v>0.55924139939803896</v>
      </c>
      <c r="AD62" s="179"/>
      <c r="AE62" s="179">
        <f t="shared" si="83"/>
        <v>0.419047619047619</v>
      </c>
      <c r="AF62" s="563">
        <f t="shared" si="118"/>
        <v>3022.727272727273</v>
      </c>
      <c r="AG62" s="546">
        <f t="shared" si="84"/>
        <v>3.2999999999999995E-2</v>
      </c>
      <c r="AI62" s="179">
        <f t="shared" si="85"/>
        <v>0.46466018864229253</v>
      </c>
      <c r="AJ62" s="179">
        <f t="shared" si="86"/>
        <v>0.46466018864229253</v>
      </c>
      <c r="AK62" s="179">
        <f t="shared" si="87"/>
        <v>1.4330816212165129</v>
      </c>
      <c r="AM62" s="563">
        <f t="shared" si="88"/>
        <v>285</v>
      </c>
      <c r="AN62" s="472">
        <f t="shared" si="89"/>
        <v>350</v>
      </c>
      <c r="AP62">
        <f t="shared" si="90"/>
        <v>285</v>
      </c>
      <c r="AQ62">
        <f t="shared" si="91"/>
        <v>350</v>
      </c>
      <c r="AS62" s="6">
        <f t="shared" si="55"/>
        <v>2.8571428571428572</v>
      </c>
      <c r="AT62" s="6">
        <f t="shared" si="92"/>
        <v>0.85187701251086956</v>
      </c>
      <c r="AU62" s="6">
        <f t="shared" si="56"/>
        <v>2.0052658446319875</v>
      </c>
      <c r="AV62" s="6">
        <f t="shared" si="93"/>
        <v>1.2980983047784678</v>
      </c>
      <c r="AW62" s="179">
        <f t="shared" si="57"/>
        <v>0.29815695437880435</v>
      </c>
      <c r="AX62" s="179">
        <f t="shared" si="94"/>
        <v>1.6624999999999996</v>
      </c>
      <c r="AY62" s="179">
        <f t="shared" si="95"/>
        <v>0.48917778296343889</v>
      </c>
      <c r="AZ62" s="179">
        <f t="shared" si="58"/>
        <v>3.3985599058251892</v>
      </c>
      <c r="BA62" s="472">
        <f t="shared" si="96"/>
        <v>24.124421502313997</v>
      </c>
      <c r="BB62" s="472">
        <f t="shared" si="97"/>
        <v>5.3732006316489365</v>
      </c>
      <c r="BC62" s="6">
        <f t="shared" si="98"/>
        <v>0.11024320326391132</v>
      </c>
      <c r="BD62" s="563">
        <f t="shared" si="99"/>
        <v>31.723948249738079</v>
      </c>
      <c r="BE62" s="6"/>
      <c r="BF62" s="179">
        <f t="shared" si="59"/>
        <v>0.14648640092530879</v>
      </c>
      <c r="BG62" s="179">
        <f t="shared" si="100"/>
        <v>0.67424245032689833</v>
      </c>
      <c r="BH62" s="179"/>
      <c r="BI62" s="546">
        <f t="shared" si="101"/>
        <v>7.5103929796176078E-3</v>
      </c>
      <c r="BJ62" s="546">
        <f t="shared" si="102"/>
        <v>4.8484386558644212E-2</v>
      </c>
      <c r="BK62" s="546">
        <f t="shared" si="103"/>
        <v>4.3749999999999995E-3</v>
      </c>
      <c r="BL62" s="546">
        <f t="shared" si="104"/>
        <v>2.7651093750000001E-2</v>
      </c>
      <c r="BM62">
        <f t="shared" si="105"/>
        <v>6.96E-3</v>
      </c>
      <c r="BN62" s="546">
        <f t="shared" si="106"/>
        <v>9.624524025384508E-2</v>
      </c>
      <c r="BO62" s="472">
        <f t="shared" si="60"/>
        <v>96.245240253845083</v>
      </c>
      <c r="BP62" s="546">
        <f t="shared" si="107"/>
        <v>7.7804999999999999E-2</v>
      </c>
      <c r="BQ62" s="546"/>
      <c r="BS62" s="472">
        <f t="shared" si="61"/>
        <v>77.804999999999993</v>
      </c>
      <c r="BT62" s="546">
        <f t="shared" si="108"/>
        <v>4.2916531312100622E-3</v>
      </c>
      <c r="BU62" s="546">
        <f t="shared" si="109"/>
        <v>1.8184115272912801E-2</v>
      </c>
      <c r="BV62" s="546">
        <f t="shared" si="110"/>
        <v>1.6864706062800286E-2</v>
      </c>
      <c r="BW62" s="546">
        <f t="shared" si="111"/>
        <v>4.2113288957765956E-2</v>
      </c>
      <c r="BX62" s="546">
        <f t="shared" si="112"/>
        <v>3.7784090909090906E-2</v>
      </c>
      <c r="BY62" s="472">
        <f t="shared" si="62"/>
        <v>79.897379866856852</v>
      </c>
      <c r="BZ62" s="179">
        <f t="shared" si="113"/>
        <v>0.25394762012070193</v>
      </c>
      <c r="CA62" s="6">
        <f t="shared" si="114"/>
        <v>1.4249999999999998</v>
      </c>
      <c r="CB62" s="179">
        <f t="shared" si="63"/>
        <v>0.84874595426482369</v>
      </c>
      <c r="CC62" s="6">
        <f t="shared" si="64"/>
        <v>84.874595426482372</v>
      </c>
      <c r="CF62" s="581">
        <f t="shared" si="115"/>
        <v>-50</v>
      </c>
      <c r="CG62">
        <f t="shared" si="116"/>
        <v>-50</v>
      </c>
    </row>
    <row r="63" spans="5:85" x14ac:dyDescent="0.2">
      <c r="E63" s="176">
        <v>58</v>
      </c>
      <c r="F63" s="223">
        <f t="shared" si="117"/>
        <v>0.28999999999999998</v>
      </c>
      <c r="G63" s="223"/>
      <c r="H63" s="223">
        <f t="shared" si="66"/>
        <v>1.45</v>
      </c>
      <c r="I63" s="559">
        <f t="shared" si="67"/>
        <v>24</v>
      </c>
      <c r="J63" s="178">
        <f t="shared" si="68"/>
        <v>15.75</v>
      </c>
      <c r="K63" s="454">
        <f t="shared" si="69"/>
        <v>39.75</v>
      </c>
      <c r="L63" s="454"/>
      <c r="M63" s="223">
        <f t="shared" si="70"/>
        <v>0.39622641509433965</v>
      </c>
      <c r="N63" s="178">
        <f t="shared" si="5"/>
        <v>3.2094339622641508</v>
      </c>
      <c r="O63" s="178">
        <f t="shared" si="53"/>
        <v>1.45</v>
      </c>
      <c r="P63" s="223">
        <f t="shared" si="71"/>
        <v>0.6418867924528302</v>
      </c>
      <c r="Q63" s="223">
        <f t="shared" si="72"/>
        <v>5</v>
      </c>
      <c r="R63" s="223">
        <f t="shared" si="73"/>
        <v>0.71320754716981138</v>
      </c>
      <c r="S63" s="178">
        <f t="shared" si="74"/>
        <v>20.029655487500673</v>
      </c>
      <c r="T63" s="178">
        <f t="shared" si="75"/>
        <v>5</v>
      </c>
      <c r="U63" s="223">
        <f t="shared" si="76"/>
        <v>0.33884479717813049</v>
      </c>
      <c r="V63" s="223">
        <f t="shared" si="77"/>
        <v>0.62121546149323914</v>
      </c>
      <c r="W63" s="223">
        <f t="shared" si="78"/>
        <v>0.94661403656112642</v>
      </c>
      <c r="X63" s="203">
        <f t="shared" si="79"/>
        <v>350</v>
      </c>
      <c r="Y63" s="454">
        <f t="shared" si="54"/>
        <v>350</v>
      </c>
      <c r="AA63" s="223">
        <f t="shared" si="80"/>
        <v>0.61749571183533458</v>
      </c>
      <c r="AB63" s="179">
        <f t="shared" si="81"/>
        <v>1.7250673854447443</v>
      </c>
      <c r="AC63" s="179">
        <f t="shared" si="82"/>
        <v>0.55924139939803896</v>
      </c>
      <c r="AD63" s="179"/>
      <c r="AE63" s="179">
        <f t="shared" si="83"/>
        <v>0.419047619047619</v>
      </c>
      <c r="AF63" s="563">
        <f t="shared" si="118"/>
        <v>3075.757575757576</v>
      </c>
      <c r="AG63" s="546">
        <f t="shared" si="84"/>
        <v>3.2999999999999995E-2</v>
      </c>
      <c r="AI63" s="179">
        <f t="shared" si="85"/>
        <v>0.46871843328054602</v>
      </c>
      <c r="AJ63" s="179">
        <f t="shared" si="86"/>
        <v>0.46871843328054602</v>
      </c>
      <c r="AK63" s="179">
        <f t="shared" si="87"/>
        <v>1.4360877283559601</v>
      </c>
      <c r="AM63" s="563">
        <f t="shared" si="88"/>
        <v>290</v>
      </c>
      <c r="AN63" s="472">
        <f t="shared" si="89"/>
        <v>350</v>
      </c>
      <c r="AP63">
        <f t="shared" si="90"/>
        <v>290</v>
      </c>
      <c r="AQ63">
        <f t="shared" si="91"/>
        <v>350</v>
      </c>
      <c r="AS63" s="6">
        <f t="shared" si="55"/>
        <v>2.8571428571428572</v>
      </c>
      <c r="AT63" s="6">
        <f t="shared" si="92"/>
        <v>0.85931712768100099</v>
      </c>
      <c r="AU63" s="6">
        <f t="shared" si="56"/>
        <v>1.9978257294618562</v>
      </c>
      <c r="AV63" s="6">
        <f t="shared" si="93"/>
        <v>1.309435623132954</v>
      </c>
      <c r="AW63" s="179">
        <f t="shared" si="57"/>
        <v>0.30076099468835032</v>
      </c>
      <c r="AX63" s="179">
        <f t="shared" si="94"/>
        <v>1.6916666666666664</v>
      </c>
      <c r="AY63" s="179">
        <f t="shared" si="95"/>
        <v>0.49161931658748576</v>
      </c>
      <c r="AZ63" s="179">
        <f t="shared" si="58"/>
        <v>3.4410093533532407</v>
      </c>
      <c r="BA63" s="472">
        <f t="shared" si="96"/>
        <v>24.124421502313997</v>
      </c>
      <c r="BB63" s="472">
        <f t="shared" si="97"/>
        <v>5.5481246306146588</v>
      </c>
      <c r="BC63" s="6">
        <f t="shared" si="98"/>
        <v>0.11176108440276583</v>
      </c>
      <c r="BD63" s="563">
        <f t="shared" si="99"/>
        <v>32.240268592189622</v>
      </c>
      <c r="BE63" s="6"/>
      <c r="BF63" s="179">
        <f t="shared" si="59"/>
        <v>0.14840965729591968</v>
      </c>
      <c r="BG63" s="179">
        <f t="shared" si="100"/>
        <v>0.67886822851174744</v>
      </c>
      <c r="BH63" s="179"/>
      <c r="BI63" s="546">
        <f t="shared" si="101"/>
        <v>7.7088992325423135E-3</v>
      </c>
      <c r="BJ63" s="546">
        <f t="shared" si="102"/>
        <v>4.8907839022616972E-2</v>
      </c>
      <c r="BK63" s="546">
        <f t="shared" si="103"/>
        <v>4.3749999999999995E-3</v>
      </c>
      <c r="BL63" s="546">
        <f t="shared" si="104"/>
        <v>2.7651093750000001E-2</v>
      </c>
      <c r="BM63">
        <f t="shared" si="105"/>
        <v>6.96E-3</v>
      </c>
      <c r="BN63" s="546">
        <f t="shared" si="106"/>
        <v>9.6902372583336477E-2</v>
      </c>
      <c r="BO63" s="472">
        <f t="shared" si="60"/>
        <v>96.902372583336472</v>
      </c>
      <c r="BP63" s="546">
        <f t="shared" si="107"/>
        <v>7.916999999999999E-2</v>
      </c>
      <c r="BQ63" s="546"/>
      <c r="BS63" s="472">
        <f t="shared" si="61"/>
        <v>79.169999999999987</v>
      </c>
      <c r="BT63" s="546">
        <f t="shared" si="108"/>
        <v>4.4050852757384655E-3</v>
      </c>
      <c r="BU63" s="546">
        <f t="shared" si="109"/>
        <v>1.8434482867307124E-2</v>
      </c>
      <c r="BV63" s="546">
        <f t="shared" si="110"/>
        <v>1.7235353630561945E-2</v>
      </c>
      <c r="BW63" s="546">
        <f t="shared" si="111"/>
        <v>4.2894044466895612E-2</v>
      </c>
      <c r="BX63" s="546">
        <f t="shared" si="112"/>
        <v>3.8446969696969702E-2</v>
      </c>
      <c r="BY63" s="472">
        <f t="shared" si="62"/>
        <v>81.34101416386531</v>
      </c>
      <c r="BZ63" s="179">
        <f t="shared" si="113"/>
        <v>0.25741338674720177</v>
      </c>
      <c r="CA63" s="6">
        <f t="shared" si="114"/>
        <v>1.45</v>
      </c>
      <c r="CB63" s="179">
        <f t="shared" si="63"/>
        <v>0.84923780688073391</v>
      </c>
      <c r="CC63" s="6">
        <f t="shared" si="64"/>
        <v>84.923780688073393</v>
      </c>
      <c r="CF63" s="581">
        <f t="shared" si="115"/>
        <v>-50</v>
      </c>
      <c r="CG63">
        <f t="shared" si="116"/>
        <v>-50</v>
      </c>
    </row>
    <row r="64" spans="5:85" x14ac:dyDescent="0.2">
      <c r="E64" s="176">
        <v>59</v>
      </c>
      <c r="F64" s="223">
        <f t="shared" si="117"/>
        <v>0.29499999999999998</v>
      </c>
      <c r="G64" s="223"/>
      <c r="H64" s="223">
        <f t="shared" si="66"/>
        <v>1.4749999999999999</v>
      </c>
      <c r="I64" s="559">
        <f t="shared" si="67"/>
        <v>24</v>
      </c>
      <c r="J64" s="178">
        <f t="shared" si="68"/>
        <v>15.75</v>
      </c>
      <c r="K64" s="454">
        <f t="shared" si="69"/>
        <v>39.75</v>
      </c>
      <c r="L64" s="454"/>
      <c r="M64" s="223">
        <f t="shared" si="70"/>
        <v>0.39622641509433965</v>
      </c>
      <c r="N64" s="178">
        <f t="shared" si="5"/>
        <v>3.2094339622641508</v>
      </c>
      <c r="O64" s="178">
        <f t="shared" si="53"/>
        <v>1.4749999999999999</v>
      </c>
      <c r="P64" s="223">
        <f t="shared" si="71"/>
        <v>0.6418867924528302</v>
      </c>
      <c r="Q64" s="223">
        <f t="shared" si="72"/>
        <v>5</v>
      </c>
      <c r="R64" s="223">
        <f t="shared" si="73"/>
        <v>0.71320754716981138</v>
      </c>
      <c r="S64" s="178">
        <f t="shared" si="74"/>
        <v>19.558593399272223</v>
      </c>
      <c r="T64" s="178">
        <f t="shared" si="75"/>
        <v>5</v>
      </c>
      <c r="U64" s="223">
        <f t="shared" si="76"/>
        <v>0.34468694885361545</v>
      </c>
      <c r="V64" s="223">
        <f t="shared" si="77"/>
        <v>0.63192607289829505</v>
      </c>
      <c r="W64" s="223">
        <f t="shared" si="78"/>
        <v>0.96293496822597324</v>
      </c>
      <c r="X64" s="203">
        <f t="shared" si="79"/>
        <v>350</v>
      </c>
      <c r="Y64" s="454">
        <f t="shared" si="54"/>
        <v>350</v>
      </c>
      <c r="AA64" s="223">
        <f t="shared" si="80"/>
        <v>0.61749571183533458</v>
      </c>
      <c r="AB64" s="179">
        <f t="shared" si="81"/>
        <v>1.7250673854447443</v>
      </c>
      <c r="AC64" s="179">
        <f t="shared" si="82"/>
        <v>0.55924139939803896</v>
      </c>
      <c r="AD64" s="179"/>
      <c r="AE64" s="179">
        <f t="shared" si="83"/>
        <v>0.419047619047619</v>
      </c>
      <c r="AF64" s="563">
        <f t="shared" si="118"/>
        <v>3128.7878787878794</v>
      </c>
      <c r="AG64" s="546">
        <f t="shared" si="84"/>
        <v>3.2999999999999995E-2</v>
      </c>
      <c r="AI64" s="179">
        <f t="shared" si="85"/>
        <v>0.47274184126735436</v>
      </c>
      <c r="AJ64" s="179">
        <f t="shared" si="86"/>
        <v>0.47274184126735436</v>
      </c>
      <c r="AK64" s="179">
        <f t="shared" si="87"/>
        <v>1.4390680305684107</v>
      </c>
      <c r="AM64" s="563">
        <f t="shared" si="88"/>
        <v>295</v>
      </c>
      <c r="AN64" s="472">
        <f t="shared" si="89"/>
        <v>350</v>
      </c>
      <c r="AP64">
        <f t="shared" si="90"/>
        <v>295</v>
      </c>
      <c r="AQ64">
        <f t="shared" si="91"/>
        <v>350</v>
      </c>
      <c r="AS64" s="6">
        <f t="shared" si="55"/>
        <v>2.8571428571428572</v>
      </c>
      <c r="AT64" s="6">
        <f t="shared" si="92"/>
        <v>0.86669337565681637</v>
      </c>
      <c r="AU64" s="6">
        <f t="shared" si="56"/>
        <v>1.9904494814860407</v>
      </c>
      <c r="AV64" s="6">
        <f t="shared" si="93"/>
        <v>1.3206756200484819</v>
      </c>
      <c r="AW64" s="179">
        <f t="shared" si="57"/>
        <v>0.30334268147988575</v>
      </c>
      <c r="AX64" s="179">
        <f t="shared" si="94"/>
        <v>1.720833333333333</v>
      </c>
      <c r="AY64" s="179">
        <f t="shared" si="95"/>
        <v>0.49400859523436491</v>
      </c>
      <c r="AZ64" s="179">
        <f t="shared" si="58"/>
        <v>3.4834076773845291</v>
      </c>
      <c r="BA64" s="472">
        <f t="shared" si="96"/>
        <v>24.124421502313997</v>
      </c>
      <c r="BB64" s="472">
        <f t="shared" si="97"/>
        <v>5.7258299165189133</v>
      </c>
      <c r="BC64" s="6">
        <f t="shared" si="98"/>
        <v>0.11326824788549031</v>
      </c>
      <c r="BD64" s="563">
        <f t="shared" si="99"/>
        <v>32.755479962230439</v>
      </c>
      <c r="BE64" s="6"/>
      <c r="BF64" s="179">
        <f t="shared" si="59"/>
        <v>0.15032464114877053</v>
      </c>
      <c r="BG64" s="179">
        <f t="shared" si="100"/>
        <v>0.68343036647926736</v>
      </c>
      <c r="BH64" s="179"/>
      <c r="BI64" s="546">
        <f t="shared" si="101"/>
        <v>7.9091242077773214E-3</v>
      </c>
      <c r="BJ64" s="546">
        <f t="shared" si="102"/>
        <v>4.9327656499740503E-2</v>
      </c>
      <c r="BK64" s="546">
        <f t="shared" si="103"/>
        <v>4.3749999999999995E-3</v>
      </c>
      <c r="BL64" s="546">
        <f t="shared" si="104"/>
        <v>2.7651093750000001E-2</v>
      </c>
      <c r="BM64">
        <f t="shared" si="105"/>
        <v>6.96E-3</v>
      </c>
      <c r="BN64" s="546">
        <f t="shared" si="106"/>
        <v>9.7557964954147897E-2</v>
      </c>
      <c r="BO64" s="472">
        <f t="shared" si="60"/>
        <v>97.557964954147891</v>
      </c>
      <c r="BP64" s="546">
        <f t="shared" si="107"/>
        <v>8.0534999999999995E-2</v>
      </c>
      <c r="BQ64" s="546"/>
      <c r="BS64" s="472">
        <f t="shared" si="61"/>
        <v>80.534999999999997</v>
      </c>
      <c r="BT64" s="546">
        <f t="shared" si="108"/>
        <v>4.5194995473013273E-3</v>
      </c>
      <c r="BU64" s="546">
        <f t="shared" si="109"/>
        <v>1.8683082633039427E-2</v>
      </c>
      <c r="BV64" s="546">
        <f t="shared" si="110"/>
        <v>1.7607602334811727E-2</v>
      </c>
      <c r="BW64" s="546">
        <f t="shared" si="111"/>
        <v>4.3675565248148814E-2</v>
      </c>
      <c r="BX64" s="546">
        <f t="shared" si="112"/>
        <v>3.9109848484848483E-2</v>
      </c>
      <c r="BY64" s="472">
        <f t="shared" si="62"/>
        <v>82.785413732997299</v>
      </c>
      <c r="BZ64" s="179">
        <f t="shared" si="113"/>
        <v>0.2608783786871452</v>
      </c>
      <c r="CA64" s="6">
        <f t="shared" si="114"/>
        <v>1.4749999999999999</v>
      </c>
      <c r="CB64" s="179">
        <f t="shared" si="63"/>
        <v>0.84971390744295749</v>
      </c>
      <c r="CC64" s="6">
        <f t="shared" si="64"/>
        <v>84.971390744295746</v>
      </c>
      <c r="CF64" s="581">
        <f t="shared" si="115"/>
        <v>-50</v>
      </c>
      <c r="CG64">
        <f t="shared" si="116"/>
        <v>-50</v>
      </c>
    </row>
    <row r="65" spans="5:85" x14ac:dyDescent="0.2">
      <c r="E65" s="176">
        <v>60</v>
      </c>
      <c r="F65" s="223">
        <f t="shared" si="117"/>
        <v>0.3</v>
      </c>
      <c r="G65" s="223"/>
      <c r="H65" s="223">
        <f t="shared" si="66"/>
        <v>1.5</v>
      </c>
      <c r="I65" s="559">
        <f t="shared" si="67"/>
        <v>24</v>
      </c>
      <c r="J65" s="178">
        <f t="shared" si="68"/>
        <v>15.75</v>
      </c>
      <c r="K65" s="454">
        <f t="shared" si="69"/>
        <v>39.75</v>
      </c>
      <c r="L65" s="454"/>
      <c r="M65" s="223">
        <f t="shared" si="70"/>
        <v>0.39622641509433965</v>
      </c>
      <c r="N65" s="178">
        <f t="shared" si="5"/>
        <v>3.2094339622641508</v>
      </c>
      <c r="O65" s="178">
        <f t="shared" si="53"/>
        <v>1.5</v>
      </c>
      <c r="P65" s="223">
        <f t="shared" si="71"/>
        <v>0.6418867924528302</v>
      </c>
      <c r="Q65" s="223">
        <f t="shared" si="72"/>
        <v>5</v>
      </c>
      <c r="R65" s="223">
        <f t="shared" si="73"/>
        <v>0.71320754716981138</v>
      </c>
      <c r="S65" s="178">
        <f t="shared" si="74"/>
        <v>19.103341328304637</v>
      </c>
      <c r="T65" s="178">
        <f t="shared" si="75"/>
        <v>5</v>
      </c>
      <c r="U65" s="223">
        <f t="shared" si="76"/>
        <v>0.35052910052910052</v>
      </c>
      <c r="V65" s="223">
        <f t="shared" si="77"/>
        <v>0.64263668430335097</v>
      </c>
      <c r="W65" s="223">
        <f t="shared" si="78"/>
        <v>0.9792558998908204</v>
      </c>
      <c r="X65" s="203">
        <f t="shared" si="79"/>
        <v>350</v>
      </c>
      <c r="Y65" s="454">
        <f t="shared" si="54"/>
        <v>350</v>
      </c>
      <c r="AA65" s="223">
        <f t="shared" si="80"/>
        <v>0.61749571183533458</v>
      </c>
      <c r="AB65" s="179">
        <f t="shared" si="81"/>
        <v>1.7250673854447443</v>
      </c>
      <c r="AC65" s="179">
        <f t="shared" si="82"/>
        <v>0.55924139939803896</v>
      </c>
      <c r="AD65" s="179"/>
      <c r="AE65" s="179">
        <f t="shared" si="83"/>
        <v>0.419047619047619</v>
      </c>
      <c r="AF65" s="563">
        <f t="shared" si="118"/>
        <v>3181.818181818182</v>
      </c>
      <c r="AG65" s="546">
        <f t="shared" si="84"/>
        <v>3.2999999999999995E-2</v>
      </c>
      <c r="AI65" s="179">
        <f t="shared" si="85"/>
        <v>0.47673129462279612</v>
      </c>
      <c r="AJ65" s="179">
        <f t="shared" si="86"/>
        <v>0.47673129462279612</v>
      </c>
      <c r="AK65" s="179">
        <f t="shared" si="87"/>
        <v>1.4420231812020712</v>
      </c>
      <c r="AM65" s="563">
        <f t="shared" si="88"/>
        <v>300</v>
      </c>
      <c r="AN65" s="472">
        <f t="shared" si="89"/>
        <v>350</v>
      </c>
      <c r="AP65">
        <f t="shared" si="90"/>
        <v>300</v>
      </c>
      <c r="AQ65">
        <f t="shared" si="91"/>
        <v>350</v>
      </c>
      <c r="AS65" s="6">
        <f t="shared" si="55"/>
        <v>2.8571428571428572</v>
      </c>
      <c r="AT65" s="6">
        <f t="shared" si="92"/>
        <v>0.87400737347512614</v>
      </c>
      <c r="AU65" s="6">
        <f t="shared" si="56"/>
        <v>1.9831354836677311</v>
      </c>
      <c r="AV65" s="6">
        <f t="shared" si="93"/>
        <v>1.3318207595811447</v>
      </c>
      <c r="AW65" s="179">
        <f t="shared" si="57"/>
        <v>0.30590258071629411</v>
      </c>
      <c r="AX65" s="179">
        <f t="shared" si="94"/>
        <v>1.7499999999999996</v>
      </c>
      <c r="AY65" s="179">
        <f t="shared" si="95"/>
        <v>0.49634694193419426</v>
      </c>
      <c r="AZ65" s="179">
        <f t="shared" si="58"/>
        <v>3.5257596091566428</v>
      </c>
      <c r="BA65" s="472">
        <f t="shared" si="96"/>
        <v>24.124421502313997</v>
      </c>
      <c r="BB65" s="472">
        <f t="shared" si="97"/>
        <v>5.9063164893617035</v>
      </c>
      <c r="BC65" s="6">
        <f t="shared" si="98"/>
        <v>0.11476478493447513</v>
      </c>
      <c r="BD65" s="563">
        <f t="shared" si="99"/>
        <v>33.269590299587762</v>
      </c>
      <c r="BE65" s="6"/>
      <c r="BF65" s="179">
        <f t="shared" si="59"/>
        <v>0.15223152739512463</v>
      </c>
      <c r="BG65" s="179">
        <f t="shared" si="100"/>
        <v>0.68793040376240711</v>
      </c>
      <c r="BH65" s="179"/>
      <c r="BI65" s="546">
        <f t="shared" si="101"/>
        <v>8.1110532765684036E-3</v>
      </c>
      <c r="BJ65" s="546">
        <f t="shared" si="102"/>
        <v>4.9743931023297383E-2</v>
      </c>
      <c r="BK65" s="546">
        <f t="shared" si="103"/>
        <v>4.3749999999999995E-3</v>
      </c>
      <c r="BL65" s="546">
        <f t="shared" si="104"/>
        <v>2.7651093750000001E-2</v>
      </c>
      <c r="BM65">
        <f t="shared" si="105"/>
        <v>6.96E-3</v>
      </c>
      <c r="BN65" s="546">
        <f t="shared" si="106"/>
        <v>9.8212093362459854E-2</v>
      </c>
      <c r="BO65" s="472">
        <f t="shared" si="60"/>
        <v>98.212093362459854</v>
      </c>
      <c r="BP65" s="546">
        <f t="shared" si="107"/>
        <v>8.1900000000000001E-2</v>
      </c>
      <c r="BQ65" s="546"/>
      <c r="BS65" s="472">
        <f t="shared" si="61"/>
        <v>81.900000000000006</v>
      </c>
      <c r="BT65" s="546">
        <f t="shared" si="108"/>
        <v>4.634887586610517E-3</v>
      </c>
      <c r="BU65" s="546">
        <f t="shared" si="109"/>
        <v>1.892992961682834E-2</v>
      </c>
      <c r="BV65" s="546">
        <f t="shared" si="110"/>
        <v>1.7981431776962827E-2</v>
      </c>
      <c r="BW65" s="546">
        <f t="shared" si="111"/>
        <v>4.445783831145992E-2</v>
      </c>
      <c r="BX65" s="546">
        <f t="shared" si="112"/>
        <v>3.9772727272727272E-2</v>
      </c>
      <c r="BY65" s="472">
        <f t="shared" si="62"/>
        <v>84.23056558418719</v>
      </c>
      <c r="BZ65" s="179">
        <f t="shared" si="113"/>
        <v>0.26434265894664705</v>
      </c>
      <c r="CA65" s="6">
        <f t="shared" si="114"/>
        <v>1.5</v>
      </c>
      <c r="CB65" s="179">
        <f t="shared" si="63"/>
        <v>0.85017498862467811</v>
      </c>
      <c r="CC65" s="6">
        <f t="shared" si="64"/>
        <v>85.017498862467818</v>
      </c>
      <c r="CF65" s="581">
        <f t="shared" si="115"/>
        <v>-50</v>
      </c>
      <c r="CG65">
        <f t="shared" si="116"/>
        <v>-50</v>
      </c>
    </row>
    <row r="66" spans="5:85" x14ac:dyDescent="0.2">
      <c r="E66" s="176">
        <v>61</v>
      </c>
      <c r="F66" s="223">
        <f t="shared" si="117"/>
        <v>0.30499999999999999</v>
      </c>
      <c r="G66" s="223"/>
      <c r="H66" s="223">
        <f t="shared" si="66"/>
        <v>1.5249999999999999</v>
      </c>
      <c r="I66" s="559">
        <f t="shared" si="67"/>
        <v>24</v>
      </c>
      <c r="J66" s="178">
        <f t="shared" si="68"/>
        <v>15.75</v>
      </c>
      <c r="K66" s="454">
        <f t="shared" si="69"/>
        <v>39.75</v>
      </c>
      <c r="L66" s="454"/>
      <c r="M66" s="223">
        <f t="shared" si="70"/>
        <v>0.39622641509433965</v>
      </c>
      <c r="N66" s="178">
        <f t="shared" si="5"/>
        <v>3.2094339622641508</v>
      </c>
      <c r="O66" s="178">
        <f t="shared" si="53"/>
        <v>1.5249999999999999</v>
      </c>
      <c r="P66" s="223">
        <f t="shared" si="71"/>
        <v>0.6418867924528302</v>
      </c>
      <c r="Q66" s="223">
        <f t="shared" si="72"/>
        <v>5</v>
      </c>
      <c r="R66" s="223">
        <f t="shared" si="73"/>
        <v>0.71320754716981138</v>
      </c>
      <c r="S66" s="178">
        <f t="shared" si="74"/>
        <v>18.663123726930458</v>
      </c>
      <c r="T66" s="178">
        <f t="shared" si="75"/>
        <v>5</v>
      </c>
      <c r="U66" s="223">
        <f t="shared" si="76"/>
        <v>0.35637125220458549</v>
      </c>
      <c r="V66" s="223">
        <f t="shared" si="77"/>
        <v>0.65334729570840666</v>
      </c>
      <c r="W66" s="223">
        <f t="shared" si="78"/>
        <v>0.99557683155566734</v>
      </c>
      <c r="X66" s="203">
        <f t="shared" si="79"/>
        <v>350</v>
      </c>
      <c r="Y66" s="454">
        <f t="shared" si="54"/>
        <v>350</v>
      </c>
      <c r="AA66" s="223">
        <f t="shared" si="80"/>
        <v>0.61749571183533458</v>
      </c>
      <c r="AB66" s="179">
        <f t="shared" si="81"/>
        <v>1.7250673854447443</v>
      </c>
      <c r="AC66" s="179">
        <f t="shared" si="82"/>
        <v>0.55924139939803896</v>
      </c>
      <c r="AD66" s="179"/>
      <c r="AE66" s="179">
        <f t="shared" si="83"/>
        <v>0.419047619047619</v>
      </c>
      <c r="AF66" s="563">
        <f t="shared" si="118"/>
        <v>3234.8484848484854</v>
      </c>
      <c r="AG66" s="546">
        <f t="shared" si="84"/>
        <v>3.2999999999999995E-2</v>
      </c>
      <c r="AI66" s="179">
        <f t="shared" si="85"/>
        <v>0.48068763876410014</v>
      </c>
      <c r="AJ66" s="179">
        <f t="shared" si="86"/>
        <v>0.48068763876410014</v>
      </c>
      <c r="AK66" s="179">
        <f t="shared" si="87"/>
        <v>1.4449538064919261</v>
      </c>
      <c r="AM66" s="563">
        <f t="shared" si="88"/>
        <v>305</v>
      </c>
      <c r="AN66" s="472">
        <f t="shared" si="89"/>
        <v>350</v>
      </c>
      <c r="AP66">
        <f t="shared" si="90"/>
        <v>305</v>
      </c>
      <c r="AQ66">
        <f t="shared" si="91"/>
        <v>350</v>
      </c>
      <c r="AS66" s="6">
        <f t="shared" si="55"/>
        <v>2.8571428571428572</v>
      </c>
      <c r="AT66" s="6">
        <f t="shared" si="92"/>
        <v>0.88126067106751693</v>
      </c>
      <c r="AU66" s="6">
        <f t="shared" si="56"/>
        <v>1.9758821860753404</v>
      </c>
      <c r="AV66" s="6">
        <f t="shared" si="93"/>
        <v>1.3428734035314545</v>
      </c>
      <c r="AW66" s="179">
        <f t="shared" si="57"/>
        <v>0.3084412348736309</v>
      </c>
      <c r="AX66" s="179">
        <f t="shared" si="94"/>
        <v>1.7791666666666666</v>
      </c>
      <c r="AY66" s="179">
        <f t="shared" si="95"/>
        <v>0.49863562481281687</v>
      </c>
      <c r="AZ66" s="179">
        <f t="shared" si="58"/>
        <v>3.5680697048762791</v>
      </c>
      <c r="BA66" s="472">
        <f t="shared" si="96"/>
        <v>24.124421502313997</v>
      </c>
      <c r="BB66" s="472">
        <f t="shared" si="97"/>
        <v>6.0895843491430277</v>
      </c>
      <c r="BC66" s="6">
        <f t="shared" si="98"/>
        <v>0.11625078448167027</v>
      </c>
      <c r="BD66" s="563">
        <f t="shared" si="99"/>
        <v>33.782607363646797</v>
      </c>
      <c r="BE66" s="6"/>
      <c r="BF66" s="179">
        <f t="shared" si="59"/>
        <v>0.15413048439983451</v>
      </c>
      <c r="BG66" s="179">
        <f t="shared" si="100"/>
        <v>0.69236981605921366</v>
      </c>
      <c r="BH66" s="179"/>
      <c r="BI66" s="546">
        <f t="shared" si="101"/>
        <v>8.3146721774646701E-3</v>
      </c>
      <c r="BJ66" s="546">
        <f t="shared" si="102"/>
        <v>5.0156750807291567E-2</v>
      </c>
      <c r="BK66" s="546">
        <f t="shared" si="103"/>
        <v>4.3749999999999995E-3</v>
      </c>
      <c r="BL66" s="546">
        <f t="shared" si="104"/>
        <v>2.7651093750000001E-2</v>
      </c>
      <c r="BM66">
        <f t="shared" si="105"/>
        <v>6.96E-3</v>
      </c>
      <c r="BN66" s="546">
        <f t="shared" si="106"/>
        <v>9.8864830407574308E-2</v>
      </c>
      <c r="BO66" s="472">
        <f t="shared" si="60"/>
        <v>98.864830407574303</v>
      </c>
      <c r="BP66" s="546">
        <f t="shared" si="107"/>
        <v>8.3265000000000006E-2</v>
      </c>
      <c r="BQ66" s="546"/>
      <c r="BS66" s="472">
        <f t="shared" si="61"/>
        <v>83.265000000000001</v>
      </c>
      <c r="BT66" s="546">
        <f t="shared" si="108"/>
        <v>4.751241244265526E-3</v>
      </c>
      <c r="BU66" s="546">
        <f t="shared" si="109"/>
        <v>1.9175038487594772E-2</v>
      </c>
      <c r="BV66" s="546">
        <f t="shared" si="110"/>
        <v>1.8356822154716353E-2</v>
      </c>
      <c r="BW66" s="546">
        <f t="shared" si="111"/>
        <v>4.5240851075050208E-2</v>
      </c>
      <c r="BX66" s="546">
        <f t="shared" si="112"/>
        <v>4.0435606060606061E-2</v>
      </c>
      <c r="BY66" s="472">
        <f t="shared" si="62"/>
        <v>85.676457135656278</v>
      </c>
      <c r="BZ66" s="179">
        <f t="shared" si="113"/>
        <v>0.26780628754323055</v>
      </c>
      <c r="CA66" s="6">
        <f t="shared" si="114"/>
        <v>1.5249999999999999</v>
      </c>
      <c r="CB66" s="179">
        <f t="shared" si="63"/>
        <v>0.85062173788434303</v>
      </c>
      <c r="CC66" s="6">
        <f t="shared" si="64"/>
        <v>85.062173788434308</v>
      </c>
      <c r="CF66" s="581">
        <f t="shared" si="115"/>
        <v>-50</v>
      </c>
      <c r="CG66">
        <f t="shared" si="116"/>
        <v>-50</v>
      </c>
    </row>
    <row r="67" spans="5:85" x14ac:dyDescent="0.2">
      <c r="E67" s="176">
        <v>62</v>
      </c>
      <c r="F67" s="223">
        <f t="shared" si="117"/>
        <v>0.31</v>
      </c>
      <c r="G67" s="223"/>
      <c r="H67" s="223">
        <f t="shared" si="66"/>
        <v>1.55</v>
      </c>
      <c r="I67" s="559">
        <f t="shared" si="67"/>
        <v>24</v>
      </c>
      <c r="J67" s="178">
        <f t="shared" si="68"/>
        <v>15.75</v>
      </c>
      <c r="K67" s="454">
        <f t="shared" si="69"/>
        <v>39.75</v>
      </c>
      <c r="L67" s="454"/>
      <c r="M67" s="223">
        <f t="shared" si="70"/>
        <v>0.39622641509433965</v>
      </c>
      <c r="N67" s="178">
        <f t="shared" si="5"/>
        <v>3.2094339622641508</v>
      </c>
      <c r="O67" s="178">
        <f t="shared" si="53"/>
        <v>1.55</v>
      </c>
      <c r="P67" s="223">
        <f t="shared" si="71"/>
        <v>0.6418867924528302</v>
      </c>
      <c r="Q67" s="223">
        <f t="shared" si="72"/>
        <v>5</v>
      </c>
      <c r="R67" s="223">
        <f t="shared" si="73"/>
        <v>0.71320754716981138</v>
      </c>
      <c r="S67" s="178">
        <f t="shared" si="74"/>
        <v>18.237215128555963</v>
      </c>
      <c r="T67" s="178">
        <f t="shared" si="75"/>
        <v>5</v>
      </c>
      <c r="U67" s="223">
        <f t="shared" si="76"/>
        <v>0.36221340388007051</v>
      </c>
      <c r="V67" s="223">
        <f t="shared" si="77"/>
        <v>0.66405790711346258</v>
      </c>
      <c r="W67" s="223">
        <f t="shared" si="78"/>
        <v>1.0118977632205144</v>
      </c>
      <c r="X67" s="203">
        <f t="shared" si="79"/>
        <v>350</v>
      </c>
      <c r="Y67" s="454">
        <f t="shared" si="54"/>
        <v>350</v>
      </c>
      <c r="AA67" s="223">
        <f t="shared" si="80"/>
        <v>0.61749571183533458</v>
      </c>
      <c r="AB67" s="179">
        <f t="shared" si="81"/>
        <v>1.7250673854447443</v>
      </c>
      <c r="AC67" s="179">
        <f t="shared" si="82"/>
        <v>0.55924139939803896</v>
      </c>
      <c r="AD67" s="179"/>
      <c r="AE67" s="179">
        <f t="shared" si="83"/>
        <v>0.419047619047619</v>
      </c>
      <c r="AF67" s="563">
        <f t="shared" si="118"/>
        <v>3287.8787878787884</v>
      </c>
      <c r="AG67" s="546">
        <f t="shared" si="84"/>
        <v>3.2999999999999995E-2</v>
      </c>
      <c r="AI67" s="179">
        <f t="shared" si="85"/>
        <v>0.48461168459755988</v>
      </c>
      <c r="AJ67" s="179">
        <f t="shared" si="86"/>
        <v>0.48461168459755988</v>
      </c>
      <c r="AK67" s="179">
        <f t="shared" si="87"/>
        <v>1.4478605071093036</v>
      </c>
      <c r="AM67" s="563">
        <f t="shared" si="88"/>
        <v>310</v>
      </c>
      <c r="AN67" s="472">
        <f t="shared" si="89"/>
        <v>350</v>
      </c>
      <c r="AP67">
        <f t="shared" si="90"/>
        <v>310</v>
      </c>
      <c r="AQ67">
        <f t="shared" si="91"/>
        <v>350</v>
      </c>
      <c r="AS67" s="6">
        <f t="shared" si="55"/>
        <v>2.8571428571428572</v>
      </c>
      <c r="AT67" s="6">
        <f t="shared" si="92"/>
        <v>0.88845475509552652</v>
      </c>
      <c r="AU67" s="6">
        <f t="shared" si="56"/>
        <v>1.9686881020473308</v>
      </c>
      <c r="AV67" s="6">
        <f t="shared" si="93"/>
        <v>1.3538358172884213</v>
      </c>
      <c r="AW67" s="179">
        <f t="shared" si="57"/>
        <v>0.31095916428343429</v>
      </c>
      <c r="AX67" s="179">
        <f t="shared" si="94"/>
        <v>1.8083333333333331</v>
      </c>
      <c r="AY67" s="179">
        <f t="shared" si="95"/>
        <v>0.50087586022967312</v>
      </c>
      <c r="AZ67" s="179">
        <f t="shared" si="58"/>
        <v>3.6103423560962482</v>
      </c>
      <c r="BA67" s="472">
        <f t="shared" si="96"/>
        <v>24.124421502313997</v>
      </c>
      <c r="BB67" s="472">
        <f t="shared" si="97"/>
        <v>6.275633495862885</v>
      </c>
      <c r="BC67" s="6">
        <f t="shared" si="98"/>
        <v>0.11772633326286119</v>
      </c>
      <c r="BD67" s="563">
        <f t="shared" si="99"/>
        <v>34.294538740320597</v>
      </c>
      <c r="BE67" s="6"/>
      <c r="BF67" s="179">
        <f t="shared" si="59"/>
        <v>0.1560216743294722</v>
      </c>
      <c r="BG67" s="179">
        <f t="shared" si="100"/>
        <v>0.69675001887356103</v>
      </c>
      <c r="BH67" s="179"/>
      <c r="BI67" s="546">
        <f t="shared" si="101"/>
        <v>8.5199670012001596E-3</v>
      </c>
      <c r="BJ67" s="546">
        <f t="shared" si="102"/>
        <v>5.0566200464726631E-2</v>
      </c>
      <c r="BK67" s="546">
        <f t="shared" si="103"/>
        <v>4.3749999999999995E-3</v>
      </c>
      <c r="BL67" s="546">
        <f t="shared" si="104"/>
        <v>2.7651093750000001E-2</v>
      </c>
      <c r="BM67">
        <f t="shared" si="105"/>
        <v>6.96E-3</v>
      </c>
      <c r="BN67" s="546">
        <f t="shared" si="106"/>
        <v>9.9516245492830724E-2</v>
      </c>
      <c r="BO67" s="472">
        <f t="shared" si="60"/>
        <v>99.51624549283072</v>
      </c>
      <c r="BP67" s="546">
        <f t="shared" si="107"/>
        <v>8.4629999999999997E-2</v>
      </c>
      <c r="BQ67" s="546"/>
      <c r="BS67" s="472">
        <f t="shared" si="61"/>
        <v>84.63</v>
      </c>
      <c r="BT67" s="546">
        <f t="shared" si="108"/>
        <v>4.8685525721143775E-3</v>
      </c>
      <c r="BU67" s="546">
        <f t="shared" si="109"/>
        <v>1.9418423552012305E-2</v>
      </c>
      <c r="BV67" s="546">
        <f t="shared" si="110"/>
        <v>1.87337542351191E-2</v>
      </c>
      <c r="BW67" s="546">
        <f t="shared" si="111"/>
        <v>4.6024591346232886E-2</v>
      </c>
      <c r="BX67" s="546">
        <f t="shared" si="112"/>
        <v>4.1098484848484849E-2</v>
      </c>
      <c r="BY67" s="472">
        <f t="shared" si="62"/>
        <v>87.12307619471774</v>
      </c>
      <c r="BZ67" s="179">
        <f t="shared" si="113"/>
        <v>0.27126932168754841</v>
      </c>
      <c r="CA67" s="6">
        <f t="shared" si="114"/>
        <v>1.55</v>
      </c>
      <c r="CB67" s="179">
        <f t="shared" si="63"/>
        <v>0.85105480092521624</v>
      </c>
      <c r="CC67" s="6">
        <f t="shared" si="64"/>
        <v>85.105480092521617</v>
      </c>
      <c r="CF67" s="581">
        <f t="shared" si="115"/>
        <v>-50</v>
      </c>
      <c r="CG67">
        <f t="shared" si="116"/>
        <v>-50</v>
      </c>
    </row>
    <row r="68" spans="5:85" x14ac:dyDescent="0.2">
      <c r="E68" s="176">
        <v>63</v>
      </c>
      <c r="F68" s="223">
        <f t="shared" si="117"/>
        <v>0.315</v>
      </c>
      <c r="G68" s="223"/>
      <c r="H68" s="223">
        <f t="shared" si="66"/>
        <v>1.575</v>
      </c>
      <c r="I68" s="559">
        <f t="shared" si="67"/>
        <v>24</v>
      </c>
      <c r="J68" s="178">
        <f t="shared" si="68"/>
        <v>15.75</v>
      </c>
      <c r="K68" s="454">
        <f t="shared" si="69"/>
        <v>39.75</v>
      </c>
      <c r="L68" s="454"/>
      <c r="M68" s="223">
        <f t="shared" si="70"/>
        <v>0.39622641509433965</v>
      </c>
      <c r="N68" s="178">
        <f t="shared" si="5"/>
        <v>3.2094339622641508</v>
      </c>
      <c r="O68" s="178">
        <f t="shared" si="53"/>
        <v>1.575</v>
      </c>
      <c r="P68" s="223">
        <f t="shared" si="71"/>
        <v>0.6418867924528302</v>
      </c>
      <c r="Q68" s="223">
        <f t="shared" si="72"/>
        <v>5</v>
      </c>
      <c r="R68" s="223">
        <f t="shared" si="73"/>
        <v>0.71320754716981138</v>
      </c>
      <c r="S68" s="178">
        <f t="shared" si="74"/>
        <v>17.824936174167199</v>
      </c>
      <c r="T68" s="178">
        <f t="shared" si="75"/>
        <v>5</v>
      </c>
      <c r="U68" s="223">
        <f t="shared" si="76"/>
        <v>0.36805555555555552</v>
      </c>
      <c r="V68" s="223">
        <f t="shared" si="77"/>
        <v>0.6747685185185186</v>
      </c>
      <c r="W68" s="223">
        <f t="shared" si="78"/>
        <v>1.0282186948853616</v>
      </c>
      <c r="X68" s="203">
        <f t="shared" si="79"/>
        <v>350</v>
      </c>
      <c r="Y68" s="454">
        <f t="shared" si="54"/>
        <v>350</v>
      </c>
      <c r="AA68" s="223">
        <f t="shared" si="80"/>
        <v>0.61749571183533458</v>
      </c>
      <c r="AB68" s="179">
        <f t="shared" si="81"/>
        <v>1.7250673854447443</v>
      </c>
      <c r="AC68" s="179">
        <f t="shared" si="82"/>
        <v>0.55924139939803896</v>
      </c>
      <c r="AD68" s="179"/>
      <c r="AE68" s="179">
        <f t="shared" si="83"/>
        <v>0.419047619047619</v>
      </c>
      <c r="AF68" s="563">
        <f t="shared" si="118"/>
        <v>3340.9090909090919</v>
      </c>
      <c r="AG68" s="546">
        <f t="shared" si="84"/>
        <v>3.2999999999999995E-2</v>
      </c>
      <c r="AI68" s="179">
        <f t="shared" si="85"/>
        <v>0.48850421045919717</v>
      </c>
      <c r="AJ68" s="179">
        <f t="shared" si="86"/>
        <v>0.48850421045919717</v>
      </c>
      <c r="AK68" s="179">
        <f t="shared" si="87"/>
        <v>1.4507438595994053</v>
      </c>
      <c r="AM68" s="563">
        <f t="shared" si="88"/>
        <v>315</v>
      </c>
      <c r="AN68" s="472">
        <f t="shared" si="89"/>
        <v>350</v>
      </c>
      <c r="AP68">
        <f t="shared" si="90"/>
        <v>315</v>
      </c>
      <c r="AQ68">
        <f t="shared" si="91"/>
        <v>350</v>
      </c>
      <c r="AS68" s="6">
        <f t="shared" si="55"/>
        <v>2.8571428571428572</v>
      </c>
      <c r="AT68" s="6">
        <f t="shared" si="92"/>
        <v>0.89559105250852822</v>
      </c>
      <c r="AU68" s="6">
        <f t="shared" si="56"/>
        <v>1.961551804634329</v>
      </c>
      <c r="AV68" s="6">
        <f t="shared" si="93"/>
        <v>1.3647101752510906</v>
      </c>
      <c r="AW68" s="179">
        <f t="shared" si="57"/>
        <v>0.31345686837798487</v>
      </c>
      <c r="AX68" s="179">
        <f t="shared" si="94"/>
        <v>1.8374999999999999</v>
      </c>
      <c r="AY68" s="179">
        <f t="shared" si="95"/>
        <v>0.5030688156887958</v>
      </c>
      <c r="AZ68" s="179">
        <f t="shared" si="58"/>
        <v>3.6525817993391558</v>
      </c>
      <c r="BA68" s="472">
        <f t="shared" si="96"/>
        <v>24.124421502313997</v>
      </c>
      <c r="BB68" s="472">
        <f t="shared" si="97"/>
        <v>6.464463929521278</v>
      </c>
      <c r="BC68" s="6">
        <f t="shared" si="98"/>
        <v>0.11919151590659985</v>
      </c>
      <c r="BD68" s="563">
        <f t="shared" si="99"/>
        <v>34.805391848554756</v>
      </c>
      <c r="BE68" s="6"/>
      <c r="BF68" s="179">
        <f t="shared" si="59"/>
        <v>0.1579052534766387</v>
      </c>
      <c r="BG68" s="179">
        <f t="shared" si="100"/>
        <v>0.70107237089290364</v>
      </c>
      <c r="BH68" s="179"/>
      <c r="BI68" s="546">
        <f t="shared" si="101"/>
        <v>8.7269241764325305E-3</v>
      </c>
      <c r="BJ68" s="546">
        <f t="shared" si="102"/>
        <v>5.0972361210101853E-2</v>
      </c>
      <c r="BK68" s="546">
        <f t="shared" si="103"/>
        <v>4.3749999999999995E-3</v>
      </c>
      <c r="BL68" s="546">
        <f t="shared" si="104"/>
        <v>2.7651093750000001E-2</v>
      </c>
      <c r="BM68">
        <f t="shared" si="105"/>
        <v>6.96E-3</v>
      </c>
      <c r="BN68" s="546">
        <f t="shared" si="106"/>
        <v>0.10016640501172441</v>
      </c>
      <c r="BO68" s="472">
        <f t="shared" si="60"/>
        <v>100.16640501172441</v>
      </c>
      <c r="BP68" s="546">
        <f t="shared" si="107"/>
        <v>8.5995000000000002E-2</v>
      </c>
      <c r="BQ68" s="546"/>
      <c r="BS68" s="472">
        <f t="shared" si="61"/>
        <v>85.995000000000005</v>
      </c>
      <c r="BT68" s="546">
        <f t="shared" si="108"/>
        <v>4.9868138151043032E-3</v>
      </c>
      <c r="BU68" s="546">
        <f t="shared" si="109"/>
        <v>1.9660098769175884E-2</v>
      </c>
      <c r="BV68" s="546">
        <f t="shared" si="110"/>
        <v>1.9112209329254466E-2</v>
      </c>
      <c r="BW68" s="546">
        <f t="shared" si="111"/>
        <v>4.6809047303411531E-2</v>
      </c>
      <c r="BX68" s="546">
        <f t="shared" si="112"/>
        <v>4.1761363636363638E-2</v>
      </c>
      <c r="BY68" s="472">
        <f t="shared" si="62"/>
        <v>88.570410939775158</v>
      </c>
      <c r="BZ68" s="179">
        <f t="shared" si="113"/>
        <v>0.27473181595149959</v>
      </c>
      <c r="CA68" s="6">
        <f t="shared" si="114"/>
        <v>1.575</v>
      </c>
      <c r="CB68" s="179">
        <f t="shared" si="63"/>
        <v>0.85147478484053762</v>
      </c>
      <c r="CC68" s="6">
        <f t="shared" si="64"/>
        <v>85.147478484053764</v>
      </c>
      <c r="CF68" s="581">
        <f t="shared" si="115"/>
        <v>-50</v>
      </c>
      <c r="CG68">
        <f t="shared" si="116"/>
        <v>-50</v>
      </c>
    </row>
    <row r="69" spans="5:85" x14ac:dyDescent="0.2">
      <c r="E69" s="176">
        <v>64</v>
      </c>
      <c r="F69" s="223">
        <f t="shared" si="117"/>
        <v>0.32</v>
      </c>
      <c r="G69" s="223"/>
      <c r="H69" s="223">
        <f t="shared" ref="H69:H100" si="119">F69*Vout</f>
        <v>1.6</v>
      </c>
      <c r="I69" s="559">
        <f t="shared" ref="I69:I105" si="120">Vin</f>
        <v>24</v>
      </c>
      <c r="J69" s="178">
        <f t="shared" ref="J69:J105" si="121">(T69+Vfwd1)*Nps</f>
        <v>15.75</v>
      </c>
      <c r="K69" s="454">
        <f t="shared" ref="K69:K105" si="122">(Vout+Vfwd1)*Nps+I69</f>
        <v>39.75</v>
      </c>
      <c r="L69" s="454"/>
      <c r="M69" s="223">
        <f t="shared" ref="M69:M105" si="123">(Vout+Vfwd1)*Nps/((Vout+Vfwd1)*Nps+I69)</f>
        <v>0.39622641509433965</v>
      </c>
      <c r="N69" s="178">
        <f t="shared" ref="N69:N105" si="124">M69*I69*Isw_max*0.5*Efficiency</f>
        <v>3.2094339622641508</v>
      </c>
      <c r="O69" s="178">
        <f t="shared" si="53"/>
        <v>1.6</v>
      </c>
      <c r="P69" s="223">
        <f t="shared" ref="P69:P100" si="125">N69/Vout</f>
        <v>0.6418867924528302</v>
      </c>
      <c r="Q69" s="223">
        <f t="shared" ref="Q69:Q105" si="126">MIN(Vout,N69/F69)</f>
        <v>5</v>
      </c>
      <c r="R69" s="223">
        <f t="shared" ref="R69:R100" si="127">Isw_max/2*I69*Nps*(Q69+Vfwd1)/Q69/(I69+Nps*(Q69+Vfwd1))</f>
        <v>0.71320754716981138</v>
      </c>
      <c r="S69" s="178">
        <f t="shared" ref="S69:S105" si="128">(SQRT(Isw_max^2*Nps^2*I69^2+4*Isw_max*F69/Efficiency*(Nps^2*Vfwd1*I69-Nps*I69^2)+4*(F69/Efficiency)^2*Nps^2*Vfwd1^2+8*(F69/Efficiency)^2*Nps*Vfwd1*I69+4*(F69/Efficiency)^2*I69^2)-2*F69/Efficiency*I69-2*F69/Efficiency*Nps*Vfwd1+Isw_max*Nps*I69)/(4*F69/Efficiency*Nps)</f>
        <v>17.425650011383567</v>
      </c>
      <c r="T69" s="178">
        <f t="shared" ref="T69:T100" si="129">MIN(Vout, S69)</f>
        <v>5</v>
      </c>
      <c r="U69" s="223">
        <f t="shared" ref="U69:U105" si="130">MIN(2*Vout*F69/(Efficiency*I69*M69), Isw_max)</f>
        <v>0.37389770723104054</v>
      </c>
      <c r="V69" s="223">
        <f t="shared" ref="V69:V100" si="131">L*U69/I69*1000000</f>
        <v>0.68547912992357429</v>
      </c>
      <c r="W69" s="223">
        <f t="shared" ref="W69:W105" si="132">L*U69/J69*1000000</f>
        <v>1.0445396265502083</v>
      </c>
      <c r="X69" s="203">
        <f t="shared" ref="X69:X105" si="133">IF(1/((350000*L)*(1/I69+1/J69))&gt;Isw_min, 350, 0.001/((Isw_min*L)*(1/I69+1/J69)))</f>
        <v>350</v>
      </c>
      <c r="Y69" s="454">
        <f t="shared" si="54"/>
        <v>350</v>
      </c>
      <c r="AA69" s="223">
        <f t="shared" ref="AA69:AA105" si="134">1/((X69*1000*L)*(1/I69+1/J69))</f>
        <v>0.61749571183533458</v>
      </c>
      <c r="AB69" s="179">
        <f t="shared" ref="AB69:AB100" si="135">L*AA69/J69*1000000</f>
        <v>1.7250673854447443</v>
      </c>
      <c r="AC69" s="179">
        <f t="shared" ref="AC69:AC100" si="136">0.5*AB69*AA69*Nps*X69/1000</f>
        <v>0.55924139939803896</v>
      </c>
      <c r="AD69" s="179"/>
      <c r="AE69" s="179">
        <f t="shared" ref="AE69:AE105" si="137">L*Isw_min/J69*1000000</f>
        <v>0.419047619047619</v>
      </c>
      <c r="AF69" s="563">
        <f t="shared" si="118"/>
        <v>3393.9393939393944</v>
      </c>
      <c r="AG69" s="546">
        <f t="shared" ref="AG69:AG105" si="138">0.5*AE69/1000000*Isw_min*Nps*X69*1000</f>
        <v>3.2999999999999995E-2</v>
      </c>
      <c r="AI69" s="179">
        <f t="shared" ref="AI69:AI105" si="139">SQRT(F69/Efficiency/(0.5*L/J69*Fsw_DCM*Nps))</f>
        <v>0.4923659639173309</v>
      </c>
      <c r="AJ69" s="179">
        <f t="shared" ref="AJ69:AJ100" si="140">MAX(IF(F69&gt;AC69,U69,AI69),Isw_min)</f>
        <v>0.4923659639173309</v>
      </c>
      <c r="AK69" s="179">
        <f t="shared" ref="AK69:AK100" si="141">IF(F69&gt;AG69, (AJ69-Isw_min)/1.08*0.8+1.2, AF69*0.2/350+1)</f>
        <v>1.4536044177165413</v>
      </c>
      <c r="AM69" s="563">
        <f t="shared" ref="AM69:AM105" si="142">F69*1000</f>
        <v>320</v>
      </c>
      <c r="AN69" s="472">
        <f t="shared" ref="AN69:AN105" si="143">IF(F69&gt;AG69, Y69, AF69)</f>
        <v>350</v>
      </c>
      <c r="AP69">
        <f t="shared" ref="AP69:AP105" si="144">IF(H69&gt;N69, "",AM69)</f>
        <v>320</v>
      </c>
      <c r="AQ69">
        <f t="shared" ref="AQ69:AQ105" si="145">IF(H69&gt;N69, "",AN69)</f>
        <v>350</v>
      </c>
      <c r="AS69" s="6">
        <f t="shared" si="55"/>
        <v>2.8571428571428572</v>
      </c>
      <c r="AT69" s="6">
        <f t="shared" ref="AT69:AT105" si="146">L*AJ69/I69*1000000</f>
        <v>0.90267093384843999</v>
      </c>
      <c r="AU69" s="6">
        <f t="shared" si="56"/>
        <v>1.9544719232944172</v>
      </c>
      <c r="AV69" s="6">
        <f t="shared" ref="AV69:AV105" si="147">L*AJ69/J69*1000000</f>
        <v>1.3754985658642893</v>
      </c>
      <c r="AW69" s="179">
        <f t="shared" si="57"/>
        <v>0.31593482684695401</v>
      </c>
      <c r="AX69" s="179">
        <f t="shared" ref="AX69:AX132" si="148">0.5*L*AJ69^2*AN69*1000</f>
        <v>1.8666666666666665</v>
      </c>
      <c r="AY69" s="179">
        <f t="shared" ref="AY69:AY132" si="149">AJ69*Nps/2*(1-AW69)</f>
        <v>0.50521561254266312</v>
      </c>
      <c r="AZ69" s="179">
        <f t="shared" si="58"/>
        <v>3.6947921250336164</v>
      </c>
      <c r="BA69" s="472">
        <f t="shared" ref="BA69:BA105" si="150">L*Isw_max^2/(2*Vout_ripple*Vout)*1000000000*((1+M69)/2)^2</f>
        <v>24.124421502313997</v>
      </c>
      <c r="BB69" s="472">
        <f t="shared" ref="BB69:BB105" si="151">L*F69^2/(2*Cout*Vout*Nps^2)*1000000000*((1+M69)/(1-M69))^2+F69*RCoutEsr</f>
        <v>6.6560756501182041</v>
      </c>
      <c r="BC69" s="6">
        <f t="shared" ref="BC69:BC105" si="152">H69/Efficiency/I69*AU69/Vinripple1</f>
        <v>0.1206464150181739</v>
      </c>
      <c r="BD69" s="563">
        <f t="shared" ref="BD69:BD105" si="153">((CA69/I69/Efficiency)*AU69/Cin+(BY69/I69/Efficiency)*RCinEsr)*1000</f>
        <v>35.315173946491903</v>
      </c>
      <c r="BE69" s="6"/>
      <c r="BF69" s="179">
        <f t="shared" si="59"/>
        <v>0.15978137256243505</v>
      </c>
      <c r="BG69" s="179">
        <f t="shared" ref="BG69:BG132" si="154">AJ69*Nps*SQRT((1-AW69)/3)</f>
        <v>0.70533817712591329</v>
      </c>
      <c r="BH69" s="179"/>
      <c r="BI69" s="546">
        <f t="shared" ref="BI69:BI105" si="155">Rdson*BF69^2</f>
        <v>8.9355304562774834E-3</v>
      </c>
      <c r="BJ69" s="546">
        <f t="shared" ref="BJ69:BJ105" si="156">0.5*K69*AJ69*AN69*1000*Trise</f>
        <v>5.1375311047498991E-2</v>
      </c>
      <c r="BK69" s="546">
        <f t="shared" ref="BK69:BK105" si="157">Qg*Vdd*AN69*1000</f>
        <v>4.3749999999999995E-3</v>
      </c>
      <c r="BL69" s="546">
        <f t="shared" ref="BL69:BL105" si="158">0.5*(Coss+Csw)*K69^2*AN69*1000</f>
        <v>2.7651093750000001E-2</v>
      </c>
      <c r="BM69">
        <f t="shared" ref="BM69:BM105" si="159">I69*IQ</f>
        <v>6.96E-3</v>
      </c>
      <c r="BN69" s="546">
        <f t="shared" ref="BN69:BN100" si="160">(BJ69+BK69+BL69+BM69+BI69*(1+RdsonTC*(Ta-25)))/(1-BI69*RdsonTC*ThetaJA)</f>
        <v>0.10081537252052963</v>
      </c>
      <c r="BO69" s="472">
        <f t="shared" si="60"/>
        <v>100.81537252052964</v>
      </c>
      <c r="BP69" s="546">
        <f t="shared" ref="BP69:BP105" si="161">Vfwd2*F69*(1+Diode_TC/1000*(Ta-25))</f>
        <v>8.7360000000000007E-2</v>
      </c>
      <c r="BQ69" s="546"/>
      <c r="BS69" s="472">
        <f t="shared" si="61"/>
        <v>87.360000000000014</v>
      </c>
      <c r="BT69" s="546">
        <f t="shared" ref="BT69:BT105" si="162">Rdcr_pri*BF69^2</f>
        <v>5.1060174035871342E-3</v>
      </c>
      <c r="BU69" s="546">
        <f t="shared" ref="BU69:BU105" si="163">Rdcr_sec*BG69^2</f>
        <v>1.990007776445225E-2</v>
      </c>
      <c r="BV69" s="546">
        <f t="shared" ref="BV69:BV105" si="164">AJ69^2.5*AN69^2.5*k_core</f>
        <v>1.9492169268443389E-2</v>
      </c>
      <c r="BW69" s="546">
        <f t="shared" ref="BW69:BW100" si="165">(BV69+(BT69+BU69)*(1+Ltc*(Ta-25)))/(1-(BT69+BU69)*Ltc*ThetaCa)</f>
        <v>4.759420747918125E-2</v>
      </c>
      <c r="BX69" s="546">
        <f t="shared" ref="BX69:BX105" si="166">0.5*Lleak*0.000000001*AJ69^2*AN69*1000</f>
        <v>4.2424242424242427E-2</v>
      </c>
      <c r="BY69" s="472">
        <f t="shared" si="62"/>
        <v>90.018449903423672</v>
      </c>
      <c r="BZ69" s="179">
        <f t="shared" ref="BZ69:BZ105" si="167">SUM(BN69,BP69:BR69,BW69, BX69)</f>
        <v>0.2781938224239533</v>
      </c>
      <c r="CA69" s="6">
        <f t="shared" ref="CA69:CA105" si="168">MIN(H69,O69)</f>
        <v>1.6</v>
      </c>
      <c r="CB69" s="179">
        <f t="shared" si="63"/>
        <v>0.85188226097723885</v>
      </c>
      <c r="CC69" s="6">
        <f t="shared" si="64"/>
        <v>85.188226097723884</v>
      </c>
      <c r="CF69" s="581">
        <f t="shared" ref="CF69:CF105" si="169">IF(ABS(F69-Ioutmax_Vinnom)&lt;Iout/200, AN69, -50)</f>
        <v>-50</v>
      </c>
      <c r="CG69">
        <f t="shared" ref="CG69:CG105" si="170">IF(ABS(F69-Ioutmax_Vinnom)&lt;Iout/200, N69*CB69, -50)</f>
        <v>-50</v>
      </c>
    </row>
    <row r="70" spans="5:85" x14ac:dyDescent="0.2">
      <c r="E70" s="176">
        <v>65</v>
      </c>
      <c r="F70" s="223">
        <f t="shared" ref="F70:F101" si="171">IF(PLOT_TYPE=1, E70/100*Iout_max, min_I*EXP(N70*rr/100))</f>
        <v>0.32500000000000001</v>
      </c>
      <c r="G70" s="223"/>
      <c r="H70" s="223">
        <f t="shared" si="119"/>
        <v>1.625</v>
      </c>
      <c r="I70" s="559">
        <f t="shared" si="120"/>
        <v>24</v>
      </c>
      <c r="J70" s="178">
        <f t="shared" si="121"/>
        <v>15.75</v>
      </c>
      <c r="K70" s="454">
        <f t="shared" si="122"/>
        <v>39.75</v>
      </c>
      <c r="L70" s="454"/>
      <c r="M70" s="223">
        <f t="shared" si="123"/>
        <v>0.39622641509433965</v>
      </c>
      <c r="N70" s="178">
        <f t="shared" si="124"/>
        <v>3.2094339622641508</v>
      </c>
      <c r="O70" s="178">
        <f t="shared" ref="O70:O133" si="172">T70*F70</f>
        <v>1.625</v>
      </c>
      <c r="P70" s="223">
        <f t="shared" si="125"/>
        <v>0.6418867924528302</v>
      </c>
      <c r="Q70" s="223">
        <f t="shared" si="126"/>
        <v>5</v>
      </c>
      <c r="R70" s="223">
        <f t="shared" si="127"/>
        <v>0.71320754716981138</v>
      </c>
      <c r="S70" s="178">
        <f t="shared" si="128"/>
        <v>17.038759025939214</v>
      </c>
      <c r="T70" s="178">
        <f t="shared" si="129"/>
        <v>5</v>
      </c>
      <c r="U70" s="223">
        <f t="shared" si="130"/>
        <v>0.37973985890652556</v>
      </c>
      <c r="V70" s="223">
        <f t="shared" si="131"/>
        <v>0.69618974132863021</v>
      </c>
      <c r="W70" s="223">
        <f t="shared" si="132"/>
        <v>1.0608605582150554</v>
      </c>
      <c r="X70" s="203">
        <f t="shared" si="133"/>
        <v>350</v>
      </c>
      <c r="Y70" s="454">
        <f t="shared" ref="Y70:Y105" si="173">MIN(1/(V70+W70)*1000, 350)</f>
        <v>350</v>
      </c>
      <c r="AA70" s="223">
        <f t="shared" si="134"/>
        <v>0.61749571183533458</v>
      </c>
      <c r="AB70" s="179">
        <f t="shared" si="135"/>
        <v>1.7250673854447443</v>
      </c>
      <c r="AC70" s="179">
        <f t="shared" si="136"/>
        <v>0.55924139939803896</v>
      </c>
      <c r="AD70" s="179"/>
      <c r="AE70" s="179">
        <f t="shared" si="137"/>
        <v>0.419047619047619</v>
      </c>
      <c r="AF70" s="563">
        <f t="shared" si="118"/>
        <v>3446.9696969696979</v>
      </c>
      <c r="AG70" s="546">
        <f t="shared" si="138"/>
        <v>3.2999999999999995E-2</v>
      </c>
      <c r="AI70" s="179">
        <f t="shared" si="139"/>
        <v>0.49619766344887317</v>
      </c>
      <c r="AJ70" s="179">
        <f t="shared" si="140"/>
        <v>0.49619766344887317</v>
      </c>
      <c r="AK70" s="179">
        <f t="shared" si="141"/>
        <v>1.456442713665832</v>
      </c>
      <c r="AM70" s="563">
        <f t="shared" si="142"/>
        <v>325</v>
      </c>
      <c r="AN70" s="472">
        <f t="shared" si="143"/>
        <v>350</v>
      </c>
      <c r="AP70">
        <f t="shared" si="144"/>
        <v>325</v>
      </c>
      <c r="AQ70">
        <f t="shared" si="145"/>
        <v>350</v>
      </c>
      <c r="AS70" s="6">
        <f t="shared" ref="AS70:AS133" si="174">1/AN70*1000</f>
        <v>2.8571428571428572</v>
      </c>
      <c r="AT70" s="6">
        <f t="shared" si="146"/>
        <v>0.909695716322934</v>
      </c>
      <c r="AU70" s="6">
        <f t="shared" ref="AU70:AU105" si="175">AS70-AT70</f>
        <v>1.9474471408199232</v>
      </c>
      <c r="AV70" s="6">
        <f t="shared" si="147"/>
        <v>1.3862029963016138</v>
      </c>
      <c r="AW70" s="179">
        <f t="shared" ref="AW70:AW105" si="176">AT70/AS70</f>
        <v>0.31839350071302691</v>
      </c>
      <c r="AX70" s="179">
        <f t="shared" si="148"/>
        <v>1.8958333333333333</v>
      </c>
      <c r="AY70" s="179">
        <f t="shared" si="149"/>
        <v>0.50731732850664313</v>
      </c>
      <c r="AZ70" s="179">
        <f t="shared" ref="AZ70:AZ133" si="177">AX70/AY70</f>
        <v>3.736977285822217</v>
      </c>
      <c r="BA70" s="472">
        <f t="shared" si="150"/>
        <v>24.124421502313997</v>
      </c>
      <c r="BB70" s="472">
        <f t="shared" si="151"/>
        <v>6.850468657653666</v>
      </c>
      <c r="BC70" s="6">
        <f t="shared" si="152"/>
        <v>0.12209111125896509</v>
      </c>
      <c r="BD70" s="563">
        <f t="shared" si="153"/>
        <v>35.823892137318609</v>
      </c>
      <c r="BE70" s="6"/>
      <c r="BF70" s="179">
        <f t="shared" ref="BF70:BF133" si="178">AJ70*SQRT(AW70/3)</f>
        <v>0.16165017701888174</v>
      </c>
      <c r="BG70" s="179">
        <f t="shared" si="154"/>
        <v>0.70954869182054126</v>
      </c>
      <c r="BH70" s="179"/>
      <c r="BI70" s="546">
        <f t="shared" si="155"/>
        <v>9.1457729055825308E-3</v>
      </c>
      <c r="BJ70" s="546">
        <f t="shared" si="156"/>
        <v>5.1775124945493356E-2</v>
      </c>
      <c r="BK70" s="546">
        <f t="shared" si="157"/>
        <v>4.3749999999999995E-3</v>
      </c>
      <c r="BL70" s="546">
        <f t="shared" si="158"/>
        <v>2.7651093750000001E-2</v>
      </c>
      <c r="BM70">
        <f t="shared" si="159"/>
        <v>6.96E-3</v>
      </c>
      <c r="BN70" s="546">
        <f t="shared" si="160"/>
        <v>0.10146320889859589</v>
      </c>
      <c r="BO70" s="472">
        <f t="shared" ref="BO70:BO105" si="179">BN70*1000</f>
        <v>101.46320889859589</v>
      </c>
      <c r="BP70" s="546">
        <f t="shared" si="161"/>
        <v>8.8725000000000012E-2</v>
      </c>
      <c r="BQ70" s="546"/>
      <c r="BS70" s="472">
        <f t="shared" ref="BS70:BS105" si="180">SUM(BP70:BR70)*1000</f>
        <v>88.725000000000009</v>
      </c>
      <c r="BT70" s="546">
        <f t="shared" si="162"/>
        <v>5.2261559460471604E-3</v>
      </c>
      <c r="BU70" s="546">
        <f t="shared" si="163"/>
        <v>2.0138373842569661E-2</v>
      </c>
      <c r="BV70" s="546">
        <f t="shared" si="164"/>
        <v>1.9873616381842606E-2</v>
      </c>
      <c r="BW70" s="546">
        <f t="shared" si="165"/>
        <v>4.8380060744447666E-2</v>
      </c>
      <c r="BX70" s="546">
        <f t="shared" si="166"/>
        <v>4.3087121212121215E-2</v>
      </c>
      <c r="BY70" s="472">
        <f t="shared" ref="BY70:BY105" si="181">1000*(BW70+BX70)</f>
        <v>91.467181956568893</v>
      </c>
      <c r="BZ70" s="179">
        <f t="shared" si="167"/>
        <v>0.28165539085516478</v>
      </c>
      <c r="CA70" s="6">
        <f t="shared" si="168"/>
        <v>1.625</v>
      </c>
      <c r="CB70" s="179">
        <f t="shared" ref="CB70:CB105" si="182">CA70/(CA70+BZ70)</f>
        <v>0.85227776754726614</v>
      </c>
      <c r="CC70" s="6">
        <f t="shared" ref="CC70:CC105" si="183">CB70*100</f>
        <v>85.227776754726619</v>
      </c>
      <c r="CF70" s="581">
        <f t="shared" si="169"/>
        <v>-50</v>
      </c>
      <c r="CG70">
        <f t="shared" si="170"/>
        <v>-50</v>
      </c>
    </row>
    <row r="71" spans="5:85" x14ac:dyDescent="0.2">
      <c r="E71" s="176">
        <v>66</v>
      </c>
      <c r="F71" s="223">
        <f t="shared" si="171"/>
        <v>0.33</v>
      </c>
      <c r="G71" s="223"/>
      <c r="H71" s="223">
        <f t="shared" si="119"/>
        <v>1.6500000000000001</v>
      </c>
      <c r="I71" s="559">
        <f t="shared" si="120"/>
        <v>24</v>
      </c>
      <c r="J71" s="178">
        <f t="shared" si="121"/>
        <v>15.75</v>
      </c>
      <c r="K71" s="454">
        <f t="shared" si="122"/>
        <v>39.75</v>
      </c>
      <c r="L71" s="454"/>
      <c r="M71" s="223">
        <f t="shared" si="123"/>
        <v>0.39622641509433965</v>
      </c>
      <c r="N71" s="178">
        <f t="shared" si="124"/>
        <v>3.2094339622641508</v>
      </c>
      <c r="O71" s="178">
        <f t="shared" si="172"/>
        <v>1.6500000000000001</v>
      </c>
      <c r="P71" s="223">
        <f t="shared" si="125"/>
        <v>0.6418867924528302</v>
      </c>
      <c r="Q71" s="223">
        <f t="shared" si="126"/>
        <v>5</v>
      </c>
      <c r="R71" s="223">
        <f t="shared" si="127"/>
        <v>0.71320754716981138</v>
      </c>
      <c r="S71" s="178">
        <f t="shared" si="128"/>
        <v>16.66370187033543</v>
      </c>
      <c r="T71" s="178">
        <f t="shared" si="129"/>
        <v>5</v>
      </c>
      <c r="U71" s="223">
        <f t="shared" si="130"/>
        <v>0.38558201058201058</v>
      </c>
      <c r="V71" s="223">
        <f t="shared" si="131"/>
        <v>0.70690035273368601</v>
      </c>
      <c r="W71" s="223">
        <f t="shared" si="132"/>
        <v>1.0771814898799026</v>
      </c>
      <c r="X71" s="203">
        <f t="shared" si="133"/>
        <v>350</v>
      </c>
      <c r="Y71" s="454">
        <f t="shared" si="173"/>
        <v>350</v>
      </c>
      <c r="AA71" s="223">
        <f t="shared" si="134"/>
        <v>0.61749571183533458</v>
      </c>
      <c r="AB71" s="179">
        <f t="shared" si="135"/>
        <v>1.7250673854447443</v>
      </c>
      <c r="AC71" s="179">
        <f t="shared" si="136"/>
        <v>0.55924139939803896</v>
      </c>
      <c r="AD71" s="179"/>
      <c r="AE71" s="179">
        <f t="shared" si="137"/>
        <v>0.419047619047619</v>
      </c>
      <c r="AF71" s="563">
        <f t="shared" si="118"/>
        <v>3500.0000000000009</v>
      </c>
      <c r="AG71" s="546">
        <f t="shared" si="138"/>
        <v>3.2999999999999995E-2</v>
      </c>
      <c r="AI71" s="179">
        <f t="shared" si="139"/>
        <v>0.5</v>
      </c>
      <c r="AJ71" s="179">
        <f t="shared" si="140"/>
        <v>0.5</v>
      </c>
      <c r="AK71" s="179">
        <f t="shared" si="141"/>
        <v>1.4592592592592593</v>
      </c>
      <c r="AM71" s="563">
        <f t="shared" si="142"/>
        <v>330</v>
      </c>
      <c r="AN71" s="472">
        <f t="shared" si="143"/>
        <v>350</v>
      </c>
      <c r="AP71">
        <f t="shared" si="144"/>
        <v>330</v>
      </c>
      <c r="AQ71">
        <f t="shared" si="145"/>
        <v>350</v>
      </c>
      <c r="AS71" s="6">
        <f t="shared" si="174"/>
        <v>2.8571428571428572</v>
      </c>
      <c r="AT71" s="6">
        <f t="shared" si="146"/>
        <v>0.91666666666666663</v>
      </c>
      <c r="AU71" s="6">
        <f t="shared" si="175"/>
        <v>1.9404761904761907</v>
      </c>
      <c r="AV71" s="6">
        <f t="shared" si="147"/>
        <v>1.396825396825397</v>
      </c>
      <c r="AW71" s="179">
        <f t="shared" si="176"/>
        <v>0.3208333333333333</v>
      </c>
      <c r="AX71" s="179">
        <f t="shared" si="148"/>
        <v>1.9249999999999998</v>
      </c>
      <c r="AY71" s="179">
        <f t="shared" si="149"/>
        <v>0.50937500000000002</v>
      </c>
      <c r="AZ71" s="179">
        <f t="shared" si="177"/>
        <v>3.779141104294478</v>
      </c>
      <c r="BA71" s="472">
        <f t="shared" si="150"/>
        <v>24.124421502313997</v>
      </c>
      <c r="BB71" s="472">
        <f t="shared" si="151"/>
        <v>7.0476429521276618</v>
      </c>
      <c r="BC71" s="6">
        <f t="shared" si="152"/>
        <v>0.12352568342151676</v>
      </c>
      <c r="BD71" s="563">
        <f t="shared" si="153"/>
        <v>36.331553374815542</v>
      </c>
      <c r="BE71" s="6"/>
      <c r="BF71" s="179">
        <f t="shared" si="178"/>
        <v>0.16351180725290484</v>
      </c>
      <c r="BG71" s="179">
        <f t="shared" si="154"/>
        <v>0.71370512118100982</v>
      </c>
      <c r="BH71" s="179"/>
      <c r="BI71" s="546">
        <f t="shared" si="155"/>
        <v>9.3576388888888858E-3</v>
      </c>
      <c r="BJ71" s="546">
        <f t="shared" si="156"/>
        <v>5.2171874999999993E-2</v>
      </c>
      <c r="BK71" s="546">
        <f t="shared" si="157"/>
        <v>4.3749999999999995E-3</v>
      </c>
      <c r="BL71" s="546">
        <f t="shared" si="158"/>
        <v>2.7651093750000001E-2</v>
      </c>
      <c r="BM71">
        <f t="shared" si="159"/>
        <v>6.96E-3</v>
      </c>
      <c r="BN71" s="546">
        <f t="shared" si="160"/>
        <v>0.10210997249736999</v>
      </c>
      <c r="BO71" s="472">
        <f t="shared" si="179"/>
        <v>102.10997249736998</v>
      </c>
      <c r="BP71" s="546">
        <f t="shared" si="161"/>
        <v>9.0090000000000003E-2</v>
      </c>
      <c r="BQ71" s="546"/>
      <c r="BS71" s="472">
        <f t="shared" si="180"/>
        <v>90.09</v>
      </c>
      <c r="BT71" s="546">
        <f t="shared" si="162"/>
        <v>5.347222222222222E-3</v>
      </c>
      <c r="BU71" s="546">
        <f t="shared" si="163"/>
        <v>2.0374999999999997E-2</v>
      </c>
      <c r="BV71" s="546">
        <f t="shared" si="164"/>
        <v>2.0256533475338241E-2</v>
      </c>
      <c r="BW71" s="546">
        <f t="shared" si="165"/>
        <v>4.9166596293488844E-2</v>
      </c>
      <c r="BX71" s="546">
        <f t="shared" si="166"/>
        <v>4.3750000000000004E-2</v>
      </c>
      <c r="BY71" s="472">
        <f t="shared" si="181"/>
        <v>92.916596293488851</v>
      </c>
      <c r="BZ71" s="179">
        <f t="shared" si="167"/>
        <v>0.28511656879085884</v>
      </c>
      <c r="CA71" s="6">
        <f t="shared" si="168"/>
        <v>1.6500000000000001</v>
      </c>
      <c r="CB71" s="179">
        <f t="shared" si="182"/>
        <v>0.85266181201217695</v>
      </c>
      <c r="CC71" s="6">
        <f t="shared" si="183"/>
        <v>85.266181201217691</v>
      </c>
      <c r="CF71" s="581">
        <f t="shared" si="169"/>
        <v>-50</v>
      </c>
      <c r="CG71">
        <f t="shared" si="170"/>
        <v>-50</v>
      </c>
    </row>
    <row r="72" spans="5:85" x14ac:dyDescent="0.2">
      <c r="E72" s="176">
        <v>67</v>
      </c>
      <c r="F72" s="223">
        <f t="shared" si="171"/>
        <v>0.33500000000000002</v>
      </c>
      <c r="G72" s="223"/>
      <c r="H72" s="223">
        <f t="shared" si="119"/>
        <v>1.675</v>
      </c>
      <c r="I72" s="559">
        <f t="shared" si="120"/>
        <v>24</v>
      </c>
      <c r="J72" s="178">
        <f t="shared" si="121"/>
        <v>15.75</v>
      </c>
      <c r="K72" s="454">
        <f t="shared" si="122"/>
        <v>39.75</v>
      </c>
      <c r="L72" s="454"/>
      <c r="M72" s="223">
        <f t="shared" si="123"/>
        <v>0.39622641509433965</v>
      </c>
      <c r="N72" s="178">
        <f t="shared" si="124"/>
        <v>3.2094339622641508</v>
      </c>
      <c r="O72" s="178">
        <f t="shared" si="172"/>
        <v>1.675</v>
      </c>
      <c r="P72" s="223">
        <f t="shared" si="125"/>
        <v>0.6418867924528302</v>
      </c>
      <c r="Q72" s="223">
        <f t="shared" si="126"/>
        <v>5</v>
      </c>
      <c r="R72" s="223">
        <f t="shared" si="127"/>
        <v>0.71320754716981138</v>
      </c>
      <c r="S72" s="178">
        <f t="shared" si="128"/>
        <v>16.299950758617257</v>
      </c>
      <c r="T72" s="178">
        <f t="shared" si="129"/>
        <v>5</v>
      </c>
      <c r="U72" s="223">
        <f t="shared" si="130"/>
        <v>0.39142416225749554</v>
      </c>
      <c r="V72" s="223">
        <f t="shared" si="131"/>
        <v>0.71761096413874181</v>
      </c>
      <c r="W72" s="223">
        <f t="shared" si="132"/>
        <v>1.0935024215447495</v>
      </c>
      <c r="X72" s="203">
        <f t="shared" si="133"/>
        <v>350</v>
      </c>
      <c r="Y72" s="454">
        <f t="shared" si="173"/>
        <v>350</v>
      </c>
      <c r="AA72" s="223">
        <f t="shared" si="134"/>
        <v>0.61749571183533458</v>
      </c>
      <c r="AB72" s="179">
        <f t="shared" si="135"/>
        <v>1.7250673854447443</v>
      </c>
      <c r="AC72" s="179">
        <f t="shared" si="136"/>
        <v>0.55924139939803896</v>
      </c>
      <c r="AD72" s="179"/>
      <c r="AE72" s="179">
        <f t="shared" si="137"/>
        <v>0.419047619047619</v>
      </c>
      <c r="AF72" s="563">
        <f t="shared" ref="AF72:AF103" si="184">MAX(10000,F72/(0.5*AE72/1000000*Isw_min*Nps))/1000</f>
        <v>3553.0303030303044</v>
      </c>
      <c r="AG72" s="546">
        <f t="shared" si="138"/>
        <v>3.2999999999999995E-2</v>
      </c>
      <c r="AI72" s="179">
        <f t="shared" si="139"/>
        <v>0.50377363844079692</v>
      </c>
      <c r="AJ72" s="179">
        <f t="shared" si="140"/>
        <v>0.50377363844079692</v>
      </c>
      <c r="AK72" s="179">
        <f t="shared" si="141"/>
        <v>1.4620545469931829</v>
      </c>
      <c r="AM72" s="563">
        <f t="shared" si="142"/>
        <v>335</v>
      </c>
      <c r="AN72" s="472">
        <f t="shared" si="143"/>
        <v>350</v>
      </c>
      <c r="AP72">
        <f t="shared" si="144"/>
        <v>335</v>
      </c>
      <c r="AQ72">
        <f t="shared" si="145"/>
        <v>350</v>
      </c>
      <c r="AS72" s="6">
        <f t="shared" si="174"/>
        <v>2.8571428571428572</v>
      </c>
      <c r="AT72" s="6">
        <f t="shared" si="146"/>
        <v>0.92358500380812769</v>
      </c>
      <c r="AU72" s="6">
        <f t="shared" si="175"/>
        <v>1.9335578533347295</v>
      </c>
      <c r="AV72" s="6">
        <f t="shared" si="147"/>
        <v>1.4073676248504803</v>
      </c>
      <c r="AW72" s="179">
        <f t="shared" si="176"/>
        <v>0.3232547513328447</v>
      </c>
      <c r="AX72" s="179">
        <f t="shared" si="148"/>
        <v>1.9541666666666666</v>
      </c>
      <c r="AY72" s="179">
        <f t="shared" si="149"/>
        <v>0.51138962432786206</v>
      </c>
      <c r="AZ72" s="179">
        <f t="shared" si="177"/>
        <v>3.8212872801928643</v>
      </c>
      <c r="BA72" s="472">
        <f t="shared" si="150"/>
        <v>24.124421502313997</v>
      </c>
      <c r="BB72" s="472">
        <f t="shared" si="151"/>
        <v>7.2475985335401916</v>
      </c>
      <c r="BC72" s="6">
        <f t="shared" si="152"/>
        <v>0.12495020850060461</v>
      </c>
      <c r="BD72" s="563">
        <f t="shared" si="153"/>
        <v>36.838164468630218</v>
      </c>
      <c r="BE72" s="6"/>
      <c r="BF72" s="179">
        <f t="shared" si="178"/>
        <v>0.16536639889335225</v>
      </c>
      <c r="BG72" s="179">
        <f t="shared" si="154"/>
        <v>0.71780862590041261</v>
      </c>
      <c r="BH72" s="179"/>
      <c r="BI72" s="546">
        <f t="shared" si="155"/>
        <v>9.5711160590343514E-3</v>
      </c>
      <c r="BJ72" s="546">
        <f t="shared" si="156"/>
        <v>5.2565630586056906E-2</v>
      </c>
      <c r="BK72" s="546">
        <f t="shared" si="157"/>
        <v>4.3749999999999995E-3</v>
      </c>
      <c r="BL72" s="546">
        <f t="shared" si="158"/>
        <v>2.7651093750000001E-2</v>
      </c>
      <c r="BM72">
        <f t="shared" si="159"/>
        <v>6.96E-3</v>
      </c>
      <c r="BN72" s="546">
        <f t="shared" si="160"/>
        <v>0.10275571927909098</v>
      </c>
      <c r="BO72" s="472">
        <f t="shared" si="179"/>
        <v>102.75571927909098</v>
      </c>
      <c r="BP72" s="546">
        <f t="shared" si="161"/>
        <v>9.1455000000000009E-2</v>
      </c>
      <c r="BQ72" s="546"/>
      <c r="BS72" s="472">
        <f t="shared" si="180"/>
        <v>91.455000000000013</v>
      </c>
      <c r="BT72" s="546">
        <f t="shared" si="162"/>
        <v>5.4692091765910587E-3</v>
      </c>
      <c r="BU72" s="546">
        <f t="shared" si="163"/>
        <v>2.0609968936681541E-2</v>
      </c>
      <c r="BV72" s="546">
        <f t="shared" si="164"/>
        <v>2.0640903811641038E-2</v>
      </c>
      <c r="BW72" s="546">
        <f t="shared" si="165"/>
        <v>4.9953803629890305E-2</v>
      </c>
      <c r="BX72" s="546">
        <f t="shared" si="166"/>
        <v>4.44128787878788E-2</v>
      </c>
      <c r="BY72" s="472">
        <f t="shared" si="181"/>
        <v>94.366682417769098</v>
      </c>
      <c r="BZ72" s="179">
        <f t="shared" si="167"/>
        <v>0.28857740169686008</v>
      </c>
      <c r="CA72" s="6">
        <f t="shared" si="168"/>
        <v>1.675</v>
      </c>
      <c r="CB72" s="179">
        <f t="shared" si="182"/>
        <v>0.85303487326372729</v>
      </c>
      <c r="CC72" s="6">
        <f t="shared" si="183"/>
        <v>85.303487326372732</v>
      </c>
      <c r="CF72" s="581">
        <f t="shared" si="169"/>
        <v>-50</v>
      </c>
      <c r="CG72">
        <f t="shared" si="170"/>
        <v>-50</v>
      </c>
    </row>
    <row r="73" spans="5:85" x14ac:dyDescent="0.2">
      <c r="E73" s="176">
        <v>68</v>
      </c>
      <c r="F73" s="223">
        <f t="shared" si="171"/>
        <v>0.34</v>
      </c>
      <c r="G73" s="223"/>
      <c r="H73" s="223">
        <f t="shared" si="119"/>
        <v>1.7000000000000002</v>
      </c>
      <c r="I73" s="559">
        <f t="shared" si="120"/>
        <v>24</v>
      </c>
      <c r="J73" s="178">
        <f t="shared" si="121"/>
        <v>15.75</v>
      </c>
      <c r="K73" s="454">
        <f t="shared" si="122"/>
        <v>39.75</v>
      </c>
      <c r="L73" s="454"/>
      <c r="M73" s="223">
        <f t="shared" si="123"/>
        <v>0.39622641509433965</v>
      </c>
      <c r="N73" s="178">
        <f t="shared" si="124"/>
        <v>3.2094339622641508</v>
      </c>
      <c r="O73" s="178">
        <f t="shared" si="172"/>
        <v>1.7000000000000002</v>
      </c>
      <c r="P73" s="223">
        <f t="shared" si="125"/>
        <v>0.6418867924528302</v>
      </c>
      <c r="Q73" s="223">
        <f t="shared" si="126"/>
        <v>5</v>
      </c>
      <c r="R73" s="223">
        <f t="shared" si="127"/>
        <v>0.71320754716981138</v>
      </c>
      <c r="S73" s="178">
        <f t="shared" si="128"/>
        <v>15.947008999879701</v>
      </c>
      <c r="T73" s="178">
        <f t="shared" si="129"/>
        <v>5</v>
      </c>
      <c r="U73" s="223">
        <f t="shared" si="130"/>
        <v>0.39726631393298062</v>
      </c>
      <c r="V73" s="223">
        <f t="shared" si="131"/>
        <v>0.72832157554379773</v>
      </c>
      <c r="W73" s="223">
        <f t="shared" si="132"/>
        <v>1.1098233532095965</v>
      </c>
      <c r="X73" s="203">
        <f t="shared" si="133"/>
        <v>350</v>
      </c>
      <c r="Y73" s="454">
        <f t="shared" si="173"/>
        <v>350</v>
      </c>
      <c r="AA73" s="223">
        <f t="shared" si="134"/>
        <v>0.61749571183533458</v>
      </c>
      <c r="AB73" s="179">
        <f t="shared" si="135"/>
        <v>1.7250673854447443</v>
      </c>
      <c r="AC73" s="179">
        <f t="shared" si="136"/>
        <v>0.55924139939803896</v>
      </c>
      <c r="AD73" s="179"/>
      <c r="AE73" s="179">
        <f t="shared" si="137"/>
        <v>0.419047619047619</v>
      </c>
      <c r="AF73" s="563">
        <f t="shared" si="184"/>
        <v>3606.0606060606069</v>
      </c>
      <c r="AG73" s="546">
        <f t="shared" si="138"/>
        <v>3.2999999999999995E-2</v>
      </c>
      <c r="AI73" s="179">
        <f t="shared" si="139"/>
        <v>0.50751921892255225</v>
      </c>
      <c r="AJ73" s="179">
        <f t="shared" si="140"/>
        <v>0.50751921892255225</v>
      </c>
      <c r="AK73" s="179">
        <f t="shared" si="141"/>
        <v>1.4648290510537423</v>
      </c>
      <c r="AM73" s="563">
        <f t="shared" si="142"/>
        <v>340</v>
      </c>
      <c r="AN73" s="472">
        <f t="shared" si="143"/>
        <v>350</v>
      </c>
      <c r="AP73">
        <f t="shared" si="144"/>
        <v>340</v>
      </c>
      <c r="AQ73">
        <f t="shared" si="145"/>
        <v>350</v>
      </c>
      <c r="AS73" s="6">
        <f t="shared" si="174"/>
        <v>2.8571428571428572</v>
      </c>
      <c r="AT73" s="6">
        <f t="shared" si="146"/>
        <v>0.93045190135801248</v>
      </c>
      <c r="AU73" s="6">
        <f t="shared" si="175"/>
        <v>1.9266909557848448</v>
      </c>
      <c r="AV73" s="6">
        <f t="shared" si="147"/>
        <v>1.417831468736019</v>
      </c>
      <c r="AW73" s="179">
        <f t="shared" si="176"/>
        <v>0.32565816547530435</v>
      </c>
      <c r="AX73" s="179">
        <f t="shared" si="148"/>
        <v>1.9833333333333325</v>
      </c>
      <c r="AY73" s="179">
        <f t="shared" si="149"/>
        <v>0.51336216171716176</v>
      </c>
      <c r="AZ73" s="179">
        <f t="shared" si="177"/>
        <v>3.8634193971351851</v>
      </c>
      <c r="BA73" s="472">
        <f t="shared" si="150"/>
        <v>24.124421502313997</v>
      </c>
      <c r="BB73" s="472">
        <f t="shared" si="151"/>
        <v>7.4503354018912571</v>
      </c>
      <c r="BC73" s="6">
        <f t="shared" si="152"/>
        <v>0.12636476176058009</v>
      </c>
      <c r="BD73" s="563">
        <f t="shared" si="153"/>
        <v>37.343732089289894</v>
      </c>
      <c r="BE73" s="6"/>
      <c r="BF73" s="179">
        <f t="shared" si="178"/>
        <v>0.16721408302236679</v>
      </c>
      <c r="BG73" s="179">
        <f t="shared" si="154"/>
        <v>0.72186032352399987</v>
      </c>
      <c r="BH73" s="179"/>
      <c r="BI73" s="546">
        <f t="shared" si="155"/>
        <v>9.7861923463538388E-3</v>
      </c>
      <c r="BJ73" s="546">
        <f t="shared" si="156"/>
        <v>5.2956458499450063E-2</v>
      </c>
      <c r="BK73" s="546">
        <f t="shared" si="157"/>
        <v>4.3749999999999995E-3</v>
      </c>
      <c r="BL73" s="546">
        <f t="shared" si="158"/>
        <v>2.7651093750000001E-2</v>
      </c>
      <c r="BM73">
        <f t="shared" si="159"/>
        <v>6.96E-3</v>
      </c>
      <c r="BN73" s="546">
        <f t="shared" si="160"/>
        <v>0.10340050294601358</v>
      </c>
      <c r="BO73" s="472">
        <f t="shared" si="179"/>
        <v>103.40050294601357</v>
      </c>
      <c r="BP73" s="546">
        <f t="shared" si="161"/>
        <v>9.2820000000000014E-2</v>
      </c>
      <c r="BQ73" s="546"/>
      <c r="BS73" s="472">
        <f t="shared" si="180"/>
        <v>92.820000000000007</v>
      </c>
      <c r="BT73" s="546">
        <f t="shared" si="162"/>
        <v>5.5921099122021945E-3</v>
      </c>
      <c r="BU73" s="546">
        <f t="shared" si="163"/>
        <v>2.0843293067126952E-2</v>
      </c>
      <c r="BV73" s="546">
        <f t="shared" si="164"/>
        <v>2.102671109149808E-2</v>
      </c>
      <c r="BW73" s="546">
        <f t="shared" si="165"/>
        <v>5.0741672553290033E-2</v>
      </c>
      <c r="BX73" s="546">
        <f t="shared" si="166"/>
        <v>4.5075757575757568E-2</v>
      </c>
      <c r="BY73" s="472">
        <f t="shared" si="181"/>
        <v>95.817430129047608</v>
      </c>
      <c r="BZ73" s="179">
        <f t="shared" si="167"/>
        <v>0.29203793307506121</v>
      </c>
      <c r="CA73" s="6">
        <f t="shared" si="168"/>
        <v>1.7000000000000002</v>
      </c>
      <c r="CB73" s="179">
        <f t="shared" si="182"/>
        <v>0.85339740362059802</v>
      </c>
      <c r="CC73" s="6">
        <f t="shared" si="183"/>
        <v>85.3397403620598</v>
      </c>
      <c r="CF73" s="581">
        <f t="shared" si="169"/>
        <v>-50</v>
      </c>
      <c r="CG73">
        <f t="shared" si="170"/>
        <v>-50</v>
      </c>
    </row>
    <row r="74" spans="5:85" x14ac:dyDescent="0.2">
      <c r="E74" s="176">
        <v>69</v>
      </c>
      <c r="F74" s="223">
        <f t="shared" si="171"/>
        <v>0.34499999999999997</v>
      </c>
      <c r="G74" s="223"/>
      <c r="H74" s="223">
        <f t="shared" si="119"/>
        <v>1.7249999999999999</v>
      </c>
      <c r="I74" s="559">
        <f t="shared" si="120"/>
        <v>24</v>
      </c>
      <c r="J74" s="178">
        <f t="shared" si="121"/>
        <v>15.75</v>
      </c>
      <c r="K74" s="454">
        <f t="shared" si="122"/>
        <v>39.75</v>
      </c>
      <c r="L74" s="454"/>
      <c r="M74" s="223">
        <f t="shared" si="123"/>
        <v>0.39622641509433965</v>
      </c>
      <c r="N74" s="178">
        <f t="shared" si="124"/>
        <v>3.2094339622641508</v>
      </c>
      <c r="O74" s="178">
        <f t="shared" si="172"/>
        <v>1.7249999999999999</v>
      </c>
      <c r="P74" s="223">
        <f t="shared" si="125"/>
        <v>0.6418867924528302</v>
      </c>
      <c r="Q74" s="223">
        <f t="shared" si="126"/>
        <v>5</v>
      </c>
      <c r="R74" s="223">
        <f t="shared" si="127"/>
        <v>0.71320754716981138</v>
      </c>
      <c r="S74" s="178">
        <f t="shared" si="128"/>
        <v>15.604408746285538</v>
      </c>
      <c r="T74" s="178">
        <f t="shared" si="129"/>
        <v>5</v>
      </c>
      <c r="U74" s="223">
        <f t="shared" si="130"/>
        <v>0.40310846560846553</v>
      </c>
      <c r="V74" s="223">
        <f t="shared" si="131"/>
        <v>0.73903218694885353</v>
      </c>
      <c r="W74" s="223">
        <f t="shared" si="132"/>
        <v>1.1261442848744434</v>
      </c>
      <c r="X74" s="203">
        <f t="shared" si="133"/>
        <v>350</v>
      </c>
      <c r="Y74" s="454">
        <f t="shared" si="173"/>
        <v>350</v>
      </c>
      <c r="AA74" s="223">
        <f t="shared" si="134"/>
        <v>0.61749571183533458</v>
      </c>
      <c r="AB74" s="179">
        <f t="shared" si="135"/>
        <v>1.7250673854447443</v>
      </c>
      <c r="AC74" s="179">
        <f t="shared" si="136"/>
        <v>0.55924139939803896</v>
      </c>
      <c r="AD74" s="179"/>
      <c r="AE74" s="179">
        <f t="shared" si="137"/>
        <v>0.419047619047619</v>
      </c>
      <c r="AF74" s="563">
        <f t="shared" si="184"/>
        <v>3659.0909090909095</v>
      </c>
      <c r="AG74" s="546">
        <f t="shared" si="138"/>
        <v>3.2999999999999995E-2</v>
      </c>
      <c r="AI74" s="179">
        <f t="shared" si="139"/>
        <v>0.51123735814554505</v>
      </c>
      <c r="AJ74" s="179">
        <f t="shared" si="140"/>
        <v>0.51123735814554505</v>
      </c>
      <c r="AK74" s="179">
        <f t="shared" si="141"/>
        <v>1.4675832282559593</v>
      </c>
      <c r="AM74" s="563">
        <f t="shared" si="142"/>
        <v>345</v>
      </c>
      <c r="AN74" s="472">
        <f t="shared" si="143"/>
        <v>350</v>
      </c>
      <c r="AP74">
        <f t="shared" si="144"/>
        <v>345</v>
      </c>
      <c r="AQ74">
        <f t="shared" si="145"/>
        <v>350</v>
      </c>
      <c r="AS74" s="6">
        <f t="shared" si="174"/>
        <v>2.8571428571428572</v>
      </c>
      <c r="AT74" s="6">
        <f t="shared" si="146"/>
        <v>0.9372684899334992</v>
      </c>
      <c r="AU74" s="6">
        <f t="shared" si="175"/>
        <v>1.9198743672093581</v>
      </c>
      <c r="AV74" s="6">
        <f t="shared" si="147"/>
        <v>1.428218651327237</v>
      </c>
      <c r="AW74" s="179">
        <f t="shared" si="176"/>
        <v>0.32804397147672471</v>
      </c>
      <c r="AX74" s="179">
        <f t="shared" si="148"/>
        <v>2.0124999999999997</v>
      </c>
      <c r="AY74" s="179">
        <f t="shared" si="149"/>
        <v>0.51529353721831761</v>
      </c>
      <c r="AZ74" s="179">
        <f t="shared" si="177"/>
        <v>3.905540928892635</v>
      </c>
      <c r="BA74" s="472">
        <f t="shared" si="150"/>
        <v>24.124421502313997</v>
      </c>
      <c r="BB74" s="472">
        <f t="shared" si="151"/>
        <v>7.6558535571808513</v>
      </c>
      <c r="BC74" s="6">
        <f t="shared" si="152"/>
        <v>0.12776941679923387</v>
      </c>
      <c r="BD74" s="563">
        <f t="shared" si="153"/>
        <v>37.848262772971076</v>
      </c>
      <c r="BE74" s="6"/>
      <c r="BF74" s="179">
        <f t="shared" si="178"/>
        <v>0.16905498639232319</v>
      </c>
      <c r="BG74" s="179">
        <f t="shared" si="154"/>
        <v>0.72586129065678351</v>
      </c>
      <c r="BH74" s="179"/>
      <c r="BI74" s="546">
        <f t="shared" si="155"/>
        <v>1.0002855948438003E-2</v>
      </c>
      <c r="BJ74" s="546">
        <f t="shared" si="156"/>
        <v>5.3344423088999213E-2</v>
      </c>
      <c r="BK74" s="546">
        <f t="shared" si="157"/>
        <v>4.3749999999999995E-3</v>
      </c>
      <c r="BL74" s="546">
        <f t="shared" si="158"/>
        <v>2.7651093750000001E-2</v>
      </c>
      <c r="BM74">
        <f t="shared" si="159"/>
        <v>6.96E-3</v>
      </c>
      <c r="BN74" s="546">
        <f t="shared" si="160"/>
        <v>0.10404437506093334</v>
      </c>
      <c r="BO74" s="472">
        <f t="shared" si="179"/>
        <v>104.04437506093333</v>
      </c>
      <c r="BP74" s="546">
        <f t="shared" si="161"/>
        <v>9.4185000000000005E-2</v>
      </c>
      <c r="BQ74" s="546"/>
      <c r="BS74" s="472">
        <f t="shared" si="180"/>
        <v>94.185000000000002</v>
      </c>
      <c r="BT74" s="546">
        <f t="shared" si="162"/>
        <v>5.7159176848217167E-3</v>
      </c>
      <c r="BU74" s="546">
        <f t="shared" si="163"/>
        <v>2.1074984530957266E-2</v>
      </c>
      <c r="BV74" s="546">
        <f t="shared" si="164"/>
        <v>2.1413939435942698E-2</v>
      </c>
      <c r="BW74" s="546">
        <f t="shared" si="165"/>
        <v>5.1530193146875819E-2</v>
      </c>
      <c r="BX74" s="546">
        <f t="shared" si="166"/>
        <v>4.5738636363636363E-2</v>
      </c>
      <c r="BY74" s="472">
        <f t="shared" si="181"/>
        <v>97.268829510512191</v>
      </c>
      <c r="BZ74" s="179">
        <f t="shared" si="167"/>
        <v>0.29549820457144554</v>
      </c>
      <c r="CA74" s="6">
        <f t="shared" si="168"/>
        <v>1.7249999999999999</v>
      </c>
      <c r="CB74" s="179">
        <f t="shared" si="182"/>
        <v>0.85374983065915577</v>
      </c>
      <c r="CC74" s="6">
        <f t="shared" si="183"/>
        <v>85.374983065915572</v>
      </c>
      <c r="CF74" s="581">
        <f t="shared" si="169"/>
        <v>-50</v>
      </c>
      <c r="CG74">
        <f t="shared" si="170"/>
        <v>-50</v>
      </c>
    </row>
    <row r="75" spans="5:85" x14ac:dyDescent="0.2">
      <c r="E75" s="176">
        <v>70</v>
      </c>
      <c r="F75" s="223">
        <f t="shared" si="171"/>
        <v>0.35</v>
      </c>
      <c r="G75" s="223"/>
      <c r="H75" s="223">
        <f t="shared" si="119"/>
        <v>1.75</v>
      </c>
      <c r="I75" s="559">
        <f t="shared" si="120"/>
        <v>24</v>
      </c>
      <c r="J75" s="178">
        <f t="shared" si="121"/>
        <v>15.75</v>
      </c>
      <c r="K75" s="454">
        <f t="shared" si="122"/>
        <v>39.75</v>
      </c>
      <c r="L75" s="454"/>
      <c r="M75" s="223">
        <f t="shared" si="123"/>
        <v>0.39622641509433965</v>
      </c>
      <c r="N75" s="178">
        <f t="shared" si="124"/>
        <v>3.2094339622641508</v>
      </c>
      <c r="O75" s="178">
        <f t="shared" si="172"/>
        <v>1.75</v>
      </c>
      <c r="P75" s="223">
        <f t="shared" si="125"/>
        <v>0.6418867924528302</v>
      </c>
      <c r="Q75" s="223">
        <f t="shared" si="126"/>
        <v>5</v>
      </c>
      <c r="R75" s="223">
        <f t="shared" si="127"/>
        <v>0.71320754716981138</v>
      </c>
      <c r="S75" s="178">
        <f t="shared" si="128"/>
        <v>15.271708934144154</v>
      </c>
      <c r="T75" s="178">
        <f t="shared" si="129"/>
        <v>5</v>
      </c>
      <c r="U75" s="223">
        <f t="shared" si="130"/>
        <v>0.4089506172839506</v>
      </c>
      <c r="V75" s="223">
        <f t="shared" si="131"/>
        <v>0.74974279835390933</v>
      </c>
      <c r="W75" s="223">
        <f t="shared" si="132"/>
        <v>1.1424652165392906</v>
      </c>
      <c r="X75" s="203">
        <f t="shared" si="133"/>
        <v>350</v>
      </c>
      <c r="Y75" s="454">
        <f t="shared" si="173"/>
        <v>350</v>
      </c>
      <c r="AA75" s="223">
        <f t="shared" si="134"/>
        <v>0.61749571183533458</v>
      </c>
      <c r="AB75" s="179">
        <f t="shared" si="135"/>
        <v>1.7250673854447443</v>
      </c>
      <c r="AC75" s="179">
        <f t="shared" si="136"/>
        <v>0.55924139939803896</v>
      </c>
      <c r="AD75" s="179"/>
      <c r="AE75" s="179">
        <f t="shared" si="137"/>
        <v>0.419047619047619</v>
      </c>
      <c r="AF75" s="563">
        <f t="shared" si="184"/>
        <v>3712.1212121212125</v>
      </c>
      <c r="AG75" s="546">
        <f t="shared" si="138"/>
        <v>3.2999999999999995E-2</v>
      </c>
      <c r="AI75" s="179">
        <f t="shared" si="139"/>
        <v>0.51492865054443715</v>
      </c>
      <c r="AJ75" s="179">
        <f t="shared" si="140"/>
        <v>0.51492865054443715</v>
      </c>
      <c r="AK75" s="179">
        <f t="shared" si="141"/>
        <v>1.4703175189218052</v>
      </c>
      <c r="AM75" s="563">
        <f t="shared" si="142"/>
        <v>350</v>
      </c>
      <c r="AN75" s="472">
        <f t="shared" si="143"/>
        <v>350</v>
      </c>
      <c r="AP75">
        <f t="shared" si="144"/>
        <v>350</v>
      </c>
      <c r="AQ75">
        <f t="shared" si="145"/>
        <v>350</v>
      </c>
      <c r="AS75" s="6">
        <f t="shared" si="174"/>
        <v>2.8571428571428572</v>
      </c>
      <c r="AT75" s="6">
        <f t="shared" si="146"/>
        <v>0.94403585933146805</v>
      </c>
      <c r="AU75" s="6">
        <f t="shared" si="175"/>
        <v>1.913106997811389</v>
      </c>
      <c r="AV75" s="6">
        <f t="shared" si="147"/>
        <v>1.438530833266999</v>
      </c>
      <c r="AW75" s="179">
        <f t="shared" si="176"/>
        <v>0.33041255076601384</v>
      </c>
      <c r="AX75" s="179">
        <f t="shared" si="148"/>
        <v>2.0416666666666661</v>
      </c>
      <c r="AY75" s="179">
        <f t="shared" si="149"/>
        <v>0.51718464248332241</v>
      </c>
      <c r="AZ75" s="179">
        <f t="shared" si="177"/>
        <v>3.9476552452589568</v>
      </c>
      <c r="BA75" s="472">
        <f t="shared" si="150"/>
        <v>24.124421502313997</v>
      </c>
      <c r="BB75" s="472">
        <f t="shared" si="151"/>
        <v>7.8641529994089838</v>
      </c>
      <c r="BC75" s="6">
        <f t="shared" si="152"/>
        <v>0.12916424560840781</v>
      </c>
      <c r="BD75" s="563">
        <f t="shared" si="153"/>
        <v>38.351762926040614</v>
      </c>
      <c r="BE75" s="6"/>
      <c r="BF75" s="179">
        <f t="shared" si="178"/>
        <v>0.17088923162942465</v>
      </c>
      <c r="BG75" s="179">
        <f t="shared" si="154"/>
        <v>0.72981256502782188</v>
      </c>
      <c r="BH75" s="179"/>
      <c r="BI75" s="546">
        <f t="shared" si="155"/>
        <v>1.0221095320413301E-2</v>
      </c>
      <c r="BJ75" s="546">
        <f t="shared" si="156"/>
        <v>5.3729586380246115E-2</v>
      </c>
      <c r="BK75" s="546">
        <f t="shared" si="157"/>
        <v>4.3749999999999995E-3</v>
      </c>
      <c r="BL75" s="546">
        <f t="shared" si="158"/>
        <v>2.7651093750000001E-2</v>
      </c>
      <c r="BM75">
        <f t="shared" si="159"/>
        <v>6.96E-3</v>
      </c>
      <c r="BN75" s="546">
        <f t="shared" si="160"/>
        <v>0.10468738515971303</v>
      </c>
      <c r="BO75" s="472">
        <f t="shared" si="179"/>
        <v>104.68738515971303</v>
      </c>
      <c r="BP75" s="546">
        <f t="shared" si="161"/>
        <v>9.5549999999999996E-2</v>
      </c>
      <c r="BQ75" s="546"/>
      <c r="BS75" s="472">
        <f t="shared" si="180"/>
        <v>95.55</v>
      </c>
      <c r="BT75" s="546">
        <f t="shared" si="162"/>
        <v>5.8406258973790308E-3</v>
      </c>
      <c r="BU75" s="546">
        <f t="shared" si="163"/>
        <v>2.1305055202899551E-2</v>
      </c>
      <c r="BV75" s="546">
        <f t="shared" si="164"/>
        <v>2.1802573369510945E-2</v>
      </c>
      <c r="BW75" s="546">
        <f t="shared" si="165"/>
        <v>5.2319355765581721E-2</v>
      </c>
      <c r="BX75" s="546">
        <f t="shared" si="166"/>
        <v>4.6401515151515145E-2</v>
      </c>
      <c r="BY75" s="472">
        <f t="shared" si="181"/>
        <v>98.72087091709686</v>
      </c>
      <c r="BZ75" s="179">
        <f t="shared" si="167"/>
        <v>0.29895825607680987</v>
      </c>
      <c r="CA75" s="6">
        <f t="shared" si="168"/>
        <v>1.75</v>
      </c>
      <c r="CB75" s="179">
        <f t="shared" si="182"/>
        <v>0.85409255889418045</v>
      </c>
      <c r="CC75" s="6">
        <f t="shared" si="183"/>
        <v>85.409255889418048</v>
      </c>
      <c r="CF75" s="581">
        <f t="shared" si="169"/>
        <v>-50</v>
      </c>
      <c r="CG75">
        <f t="shared" si="170"/>
        <v>-50</v>
      </c>
    </row>
    <row r="76" spans="5:85" x14ac:dyDescent="0.2">
      <c r="E76" s="176">
        <v>71</v>
      </c>
      <c r="F76" s="223">
        <f t="shared" si="171"/>
        <v>0.35499999999999998</v>
      </c>
      <c r="G76" s="223"/>
      <c r="H76" s="223">
        <f t="shared" si="119"/>
        <v>1.7749999999999999</v>
      </c>
      <c r="I76" s="559">
        <f t="shared" si="120"/>
        <v>24</v>
      </c>
      <c r="J76" s="178">
        <f t="shared" si="121"/>
        <v>15.75</v>
      </c>
      <c r="K76" s="454">
        <f t="shared" si="122"/>
        <v>39.75</v>
      </c>
      <c r="L76" s="454"/>
      <c r="M76" s="223">
        <f t="shared" si="123"/>
        <v>0.39622641509433965</v>
      </c>
      <c r="N76" s="178">
        <f t="shared" si="124"/>
        <v>3.2094339622641508</v>
      </c>
      <c r="O76" s="178">
        <f t="shared" si="172"/>
        <v>1.7749999999999999</v>
      </c>
      <c r="P76" s="223">
        <f t="shared" si="125"/>
        <v>0.6418867924528302</v>
      </c>
      <c r="Q76" s="223">
        <f t="shared" si="126"/>
        <v>5</v>
      </c>
      <c r="R76" s="223">
        <f t="shared" si="127"/>
        <v>0.71320754716981138</v>
      </c>
      <c r="S76" s="178">
        <f t="shared" si="128"/>
        <v>14.948493399017956</v>
      </c>
      <c r="T76" s="178">
        <f t="shared" si="129"/>
        <v>5</v>
      </c>
      <c r="U76" s="223">
        <f t="shared" si="130"/>
        <v>0.41479276895943556</v>
      </c>
      <c r="V76" s="223">
        <f t="shared" si="131"/>
        <v>0.76045340975896514</v>
      </c>
      <c r="W76" s="223">
        <f t="shared" si="132"/>
        <v>1.1587861482041375</v>
      </c>
      <c r="X76" s="203">
        <f t="shared" si="133"/>
        <v>350</v>
      </c>
      <c r="Y76" s="454">
        <f t="shared" si="173"/>
        <v>350</v>
      </c>
      <c r="AA76" s="223">
        <f t="shared" si="134"/>
        <v>0.61749571183533458</v>
      </c>
      <c r="AB76" s="179">
        <f t="shared" si="135"/>
        <v>1.7250673854447443</v>
      </c>
      <c r="AC76" s="179">
        <f t="shared" si="136"/>
        <v>0.55924139939803896</v>
      </c>
      <c r="AD76" s="179"/>
      <c r="AE76" s="179">
        <f t="shared" si="137"/>
        <v>0.419047619047619</v>
      </c>
      <c r="AF76" s="563">
        <f t="shared" si="184"/>
        <v>3765.1515151515155</v>
      </c>
      <c r="AG76" s="546">
        <f t="shared" si="138"/>
        <v>3.2999999999999995E-2</v>
      </c>
      <c r="AI76" s="179">
        <f t="shared" si="139"/>
        <v>0.51859366939772211</v>
      </c>
      <c r="AJ76" s="179">
        <f t="shared" si="140"/>
        <v>0.51859366939772211</v>
      </c>
      <c r="AK76" s="179">
        <f t="shared" si="141"/>
        <v>1.4730323477020164</v>
      </c>
      <c r="AM76" s="563">
        <f t="shared" si="142"/>
        <v>355</v>
      </c>
      <c r="AN76" s="472">
        <f t="shared" si="143"/>
        <v>350</v>
      </c>
      <c r="AP76">
        <f t="shared" si="144"/>
        <v>355</v>
      </c>
      <c r="AQ76">
        <f t="shared" si="145"/>
        <v>350</v>
      </c>
      <c r="AS76" s="6">
        <f t="shared" si="174"/>
        <v>2.8571428571428572</v>
      </c>
      <c r="AT76" s="6">
        <f t="shared" si="146"/>
        <v>0.95075506056249048</v>
      </c>
      <c r="AU76" s="6">
        <f t="shared" si="175"/>
        <v>1.9063877965803666</v>
      </c>
      <c r="AV76" s="6">
        <f t="shared" si="147"/>
        <v>1.4487696160952235</v>
      </c>
      <c r="AW76" s="179">
        <f t="shared" si="176"/>
        <v>0.33276427119687169</v>
      </c>
      <c r="AX76" s="179">
        <f t="shared" si="148"/>
        <v>2.0708333333333333</v>
      </c>
      <c r="AY76" s="179">
        <f t="shared" si="149"/>
        <v>0.51903633742991651</v>
      </c>
      <c r="AZ76" s="179">
        <f t="shared" si="177"/>
        <v>3.9897656175430107</v>
      </c>
      <c r="BA76" s="472">
        <f t="shared" si="150"/>
        <v>24.124421502313997</v>
      </c>
      <c r="BB76" s="472">
        <f t="shared" si="151"/>
        <v>8.0752337285756521</v>
      </c>
      <c r="BC76" s="6">
        <f t="shared" si="152"/>
        <v>0.13054931863156441</v>
      </c>
      <c r="BD76" s="563">
        <f t="shared" si="153"/>
        <v>38.854238829382545</v>
      </c>
      <c r="BE76" s="6"/>
      <c r="BF76" s="179">
        <f t="shared" si="178"/>
        <v>0.17271693742495819</v>
      </c>
      <c r="BG76" s="179">
        <f t="shared" si="154"/>
        <v>0.73371514742239663</v>
      </c>
      <c r="BH76" s="179"/>
      <c r="BI76" s="546">
        <f t="shared" si="155"/>
        <v>1.0440899165709923E-2</v>
      </c>
      <c r="BJ76" s="546">
        <f t="shared" si="156"/>
        <v>5.4112008191218565E-2</v>
      </c>
      <c r="BK76" s="546">
        <f t="shared" si="157"/>
        <v>4.3749999999999995E-3</v>
      </c>
      <c r="BL76" s="546">
        <f t="shared" si="158"/>
        <v>2.7651093750000001E-2</v>
      </c>
      <c r="BM76">
        <f t="shared" si="159"/>
        <v>6.96E-3</v>
      </c>
      <c r="BN76" s="546">
        <f t="shared" si="160"/>
        <v>0.10532958085644524</v>
      </c>
      <c r="BO76" s="472">
        <f t="shared" si="179"/>
        <v>105.32958085644525</v>
      </c>
      <c r="BP76" s="546">
        <f t="shared" si="161"/>
        <v>9.6915000000000001E-2</v>
      </c>
      <c r="BQ76" s="546"/>
      <c r="BS76" s="472">
        <f t="shared" si="180"/>
        <v>96.915000000000006</v>
      </c>
      <c r="BT76" s="546">
        <f t="shared" si="162"/>
        <v>5.9662280946913854E-3</v>
      </c>
      <c r="BU76" s="546">
        <f t="shared" si="163"/>
        <v>2.1533516702282766E-2</v>
      </c>
      <c r="BV76" s="546">
        <f t="shared" si="164"/>
        <v>2.2192597804359056E-2</v>
      </c>
      <c r="BW76" s="546">
        <f t="shared" si="165"/>
        <v>5.3109151024935686E-2</v>
      </c>
      <c r="BX76" s="546">
        <f t="shared" si="166"/>
        <v>4.7064393939393941E-2</v>
      </c>
      <c r="BY76" s="472">
        <f t="shared" si="181"/>
        <v>100.17354496432962</v>
      </c>
      <c r="BZ76" s="179">
        <f t="shared" si="167"/>
        <v>0.30241812582077487</v>
      </c>
      <c r="CA76" s="6">
        <f t="shared" si="168"/>
        <v>1.7749999999999999</v>
      </c>
      <c r="CB76" s="179">
        <f t="shared" si="182"/>
        <v>0.85442597132375964</v>
      </c>
      <c r="CC76" s="6">
        <f t="shared" si="183"/>
        <v>85.442597132375965</v>
      </c>
      <c r="CF76" s="581">
        <f t="shared" si="169"/>
        <v>-50</v>
      </c>
      <c r="CG76">
        <f t="shared" si="170"/>
        <v>-50</v>
      </c>
    </row>
    <row r="77" spans="5:85" x14ac:dyDescent="0.2">
      <c r="E77" s="176">
        <v>72</v>
      </c>
      <c r="F77" s="223">
        <f t="shared" si="171"/>
        <v>0.36</v>
      </c>
      <c r="G77" s="223"/>
      <c r="H77" s="223">
        <f t="shared" si="119"/>
        <v>1.7999999999999998</v>
      </c>
      <c r="I77" s="559">
        <f t="shared" si="120"/>
        <v>24</v>
      </c>
      <c r="J77" s="178">
        <f t="shared" si="121"/>
        <v>15.75</v>
      </c>
      <c r="K77" s="454">
        <f t="shared" si="122"/>
        <v>39.75</v>
      </c>
      <c r="L77" s="454"/>
      <c r="M77" s="223">
        <f t="shared" si="123"/>
        <v>0.39622641509433965</v>
      </c>
      <c r="N77" s="178">
        <f t="shared" si="124"/>
        <v>3.2094339622641508</v>
      </c>
      <c r="O77" s="178">
        <f t="shared" si="172"/>
        <v>1.7999999999999998</v>
      </c>
      <c r="P77" s="223">
        <f t="shared" si="125"/>
        <v>0.6418867924528302</v>
      </c>
      <c r="Q77" s="223">
        <f t="shared" si="126"/>
        <v>5</v>
      </c>
      <c r="R77" s="223">
        <f t="shared" si="127"/>
        <v>0.71320754716981138</v>
      </c>
      <c r="S77" s="178">
        <f t="shared" si="128"/>
        <v>14.634369147937795</v>
      </c>
      <c r="T77" s="178">
        <f t="shared" si="129"/>
        <v>5</v>
      </c>
      <c r="U77" s="223">
        <f t="shared" si="130"/>
        <v>0.42063492063492053</v>
      </c>
      <c r="V77" s="223">
        <f t="shared" si="131"/>
        <v>0.77116402116402094</v>
      </c>
      <c r="W77" s="223">
        <f t="shared" si="132"/>
        <v>1.1751070798689842</v>
      </c>
      <c r="X77" s="203">
        <f t="shared" si="133"/>
        <v>350</v>
      </c>
      <c r="Y77" s="454">
        <f t="shared" si="173"/>
        <v>350</v>
      </c>
      <c r="AA77" s="223">
        <f t="shared" si="134"/>
        <v>0.61749571183533458</v>
      </c>
      <c r="AB77" s="179">
        <f t="shared" si="135"/>
        <v>1.7250673854447443</v>
      </c>
      <c r="AC77" s="179">
        <f t="shared" si="136"/>
        <v>0.55924139939803896</v>
      </c>
      <c r="AD77" s="179"/>
      <c r="AE77" s="179">
        <f t="shared" si="137"/>
        <v>0.419047619047619</v>
      </c>
      <c r="AF77" s="563">
        <f t="shared" si="184"/>
        <v>3818.1818181818189</v>
      </c>
      <c r="AG77" s="546">
        <f t="shared" si="138"/>
        <v>3.2999999999999995E-2</v>
      </c>
      <c r="AI77" s="179">
        <f t="shared" si="139"/>
        <v>0.5222329678670935</v>
      </c>
      <c r="AJ77" s="179">
        <f t="shared" si="140"/>
        <v>0.5222329678670935</v>
      </c>
      <c r="AK77" s="179">
        <f t="shared" si="141"/>
        <v>1.4757281243459952</v>
      </c>
      <c r="AM77" s="563">
        <f t="shared" si="142"/>
        <v>360</v>
      </c>
      <c r="AN77" s="472">
        <f t="shared" si="143"/>
        <v>350</v>
      </c>
      <c r="AP77">
        <f t="shared" si="144"/>
        <v>360</v>
      </c>
      <c r="AQ77">
        <f t="shared" si="145"/>
        <v>350</v>
      </c>
      <c r="AS77" s="6">
        <f t="shared" si="174"/>
        <v>2.8571428571428572</v>
      </c>
      <c r="AT77" s="6">
        <f t="shared" si="146"/>
        <v>0.9574271077563381</v>
      </c>
      <c r="AU77" s="6">
        <f t="shared" si="175"/>
        <v>1.8997157493865191</v>
      </c>
      <c r="AV77" s="6">
        <f t="shared" si="147"/>
        <v>1.4589365451525151</v>
      </c>
      <c r="AW77" s="179">
        <f t="shared" si="176"/>
        <v>0.33509948771471831</v>
      </c>
      <c r="AX77" s="179">
        <f t="shared" si="148"/>
        <v>2.1</v>
      </c>
      <c r="AY77" s="179">
        <f t="shared" si="149"/>
        <v>0.52084945180064035</v>
      </c>
      <c r="AZ77" s="179">
        <f t="shared" si="177"/>
        <v>4.0318752237139597</v>
      </c>
      <c r="BA77" s="472">
        <f t="shared" si="150"/>
        <v>24.124421502313997</v>
      </c>
      <c r="BB77" s="472">
        <f t="shared" si="151"/>
        <v>8.2890957446808535</v>
      </c>
      <c r="BC77" s="6">
        <f t="shared" si="152"/>
        <v>0.13192470481850824</v>
      </c>
      <c r="BD77" s="563">
        <f t="shared" si="153"/>
        <v>39.355696642523306</v>
      </c>
      <c r="BE77" s="6"/>
      <c r="BF77" s="179">
        <f t="shared" si="178"/>
        <v>0.17453821871512015</v>
      </c>
      <c r="BG77" s="179">
        <f t="shared" si="154"/>
        <v>0.73757000349227475</v>
      </c>
      <c r="BH77" s="179"/>
      <c r="BI77" s="546">
        <f t="shared" si="155"/>
        <v>1.0662256427286491E-2</v>
      </c>
      <c r="BJ77" s="546">
        <f t="shared" si="156"/>
        <v>5.4491746240882037E-2</v>
      </c>
      <c r="BK77" s="546">
        <f t="shared" si="157"/>
        <v>4.3749999999999995E-3</v>
      </c>
      <c r="BL77" s="546">
        <f t="shared" si="158"/>
        <v>2.7651093750000001E-2</v>
      </c>
      <c r="BM77">
        <f t="shared" si="159"/>
        <v>6.96E-3</v>
      </c>
      <c r="BN77" s="546">
        <f t="shared" si="160"/>
        <v>0.10597100794182714</v>
      </c>
      <c r="BO77" s="472">
        <f t="shared" si="179"/>
        <v>105.97100794182714</v>
      </c>
      <c r="BP77" s="546">
        <f t="shared" si="161"/>
        <v>9.8280000000000006E-2</v>
      </c>
      <c r="BQ77" s="546"/>
      <c r="BS77" s="472">
        <f t="shared" si="180"/>
        <v>98.28</v>
      </c>
      <c r="BT77" s="546">
        <f t="shared" si="162"/>
        <v>6.0927179584494241E-3</v>
      </c>
      <c r="BU77" s="546">
        <f t="shared" si="163"/>
        <v>2.1760380402063767E-2</v>
      </c>
      <c r="BV77" s="546">
        <f t="shared" si="164"/>
        <v>2.2583998025221354E-2</v>
      </c>
      <c r="BW77" s="546">
        <f t="shared" si="165"/>
        <v>5.3899569790513295E-2</v>
      </c>
      <c r="BX77" s="546">
        <f t="shared" si="166"/>
        <v>4.7727272727272729E-2</v>
      </c>
      <c r="BY77" s="472">
        <f t="shared" si="181"/>
        <v>101.62684251778603</v>
      </c>
      <c r="BZ77" s="179">
        <f t="shared" si="167"/>
        <v>0.30587785045961319</v>
      </c>
      <c r="CA77" s="6">
        <f t="shared" si="168"/>
        <v>1.7999999999999998</v>
      </c>
      <c r="CB77" s="179">
        <f t="shared" si="182"/>
        <v>0.85475043085103219</v>
      </c>
      <c r="CC77" s="6">
        <f t="shared" si="183"/>
        <v>85.475043085103223</v>
      </c>
      <c r="CF77" s="581">
        <f t="shared" si="169"/>
        <v>-50</v>
      </c>
      <c r="CG77">
        <f t="shared" si="170"/>
        <v>-50</v>
      </c>
    </row>
    <row r="78" spans="5:85" x14ac:dyDescent="0.2">
      <c r="E78" s="176">
        <v>73</v>
      </c>
      <c r="F78" s="223">
        <f t="shared" si="171"/>
        <v>0.36499999999999999</v>
      </c>
      <c r="G78" s="223"/>
      <c r="H78" s="223">
        <f t="shared" si="119"/>
        <v>1.825</v>
      </c>
      <c r="I78" s="559">
        <f t="shared" si="120"/>
        <v>24</v>
      </c>
      <c r="J78" s="178">
        <f t="shared" si="121"/>
        <v>15.75</v>
      </c>
      <c r="K78" s="454">
        <f t="shared" si="122"/>
        <v>39.75</v>
      </c>
      <c r="L78" s="454"/>
      <c r="M78" s="223">
        <f t="shared" si="123"/>
        <v>0.39622641509433965</v>
      </c>
      <c r="N78" s="178">
        <f t="shared" si="124"/>
        <v>3.2094339622641508</v>
      </c>
      <c r="O78" s="178">
        <f t="shared" si="172"/>
        <v>1.825</v>
      </c>
      <c r="P78" s="223">
        <f t="shared" si="125"/>
        <v>0.6418867924528302</v>
      </c>
      <c r="Q78" s="223">
        <f t="shared" si="126"/>
        <v>5</v>
      </c>
      <c r="R78" s="223">
        <f t="shared" si="127"/>
        <v>0.71320754716981138</v>
      </c>
      <c r="S78" s="178">
        <f t="shared" si="128"/>
        <v>14.328964773662658</v>
      </c>
      <c r="T78" s="178">
        <f t="shared" si="129"/>
        <v>5</v>
      </c>
      <c r="U78" s="223">
        <f t="shared" si="130"/>
        <v>0.4264770723104056</v>
      </c>
      <c r="V78" s="223">
        <f t="shared" si="131"/>
        <v>0.78187463256907697</v>
      </c>
      <c r="W78" s="223">
        <f t="shared" si="132"/>
        <v>1.1914280115338316</v>
      </c>
      <c r="X78" s="203">
        <f t="shared" si="133"/>
        <v>350</v>
      </c>
      <c r="Y78" s="454">
        <f t="shared" si="173"/>
        <v>350</v>
      </c>
      <c r="AA78" s="223">
        <f t="shared" si="134"/>
        <v>0.61749571183533458</v>
      </c>
      <c r="AB78" s="179">
        <f t="shared" si="135"/>
        <v>1.7250673854447443</v>
      </c>
      <c r="AC78" s="179">
        <f t="shared" si="136"/>
        <v>0.55924139939803896</v>
      </c>
      <c r="AD78" s="179"/>
      <c r="AE78" s="179">
        <f t="shared" si="137"/>
        <v>0.419047619047619</v>
      </c>
      <c r="AF78" s="563">
        <f t="shared" si="184"/>
        <v>3871.2121212121219</v>
      </c>
      <c r="AG78" s="546">
        <f t="shared" si="138"/>
        <v>3.2999999999999995E-2</v>
      </c>
      <c r="AI78" s="179">
        <f t="shared" si="139"/>
        <v>0.52584707997206892</v>
      </c>
      <c r="AJ78" s="179">
        <f t="shared" si="140"/>
        <v>0.52584707997206892</v>
      </c>
      <c r="AK78" s="179">
        <f t="shared" si="141"/>
        <v>1.4784052444237548</v>
      </c>
      <c r="AM78" s="563">
        <f t="shared" si="142"/>
        <v>365</v>
      </c>
      <c r="AN78" s="472">
        <f t="shared" si="143"/>
        <v>350</v>
      </c>
      <c r="AP78">
        <f t="shared" si="144"/>
        <v>365</v>
      </c>
      <c r="AQ78">
        <f t="shared" si="145"/>
        <v>350</v>
      </c>
      <c r="AS78" s="6">
        <f t="shared" si="174"/>
        <v>2.8571428571428572</v>
      </c>
      <c r="AT78" s="6">
        <f t="shared" si="146"/>
        <v>0.96405297994879291</v>
      </c>
      <c r="AU78" s="6">
        <f t="shared" si="175"/>
        <v>1.8930898771940643</v>
      </c>
      <c r="AV78" s="6">
        <f t="shared" si="147"/>
        <v>1.4690331123029226</v>
      </c>
      <c r="AW78" s="179">
        <f t="shared" si="176"/>
        <v>0.33741854298207752</v>
      </c>
      <c r="AX78" s="179">
        <f t="shared" si="148"/>
        <v>2.129166666666666</v>
      </c>
      <c r="AY78" s="179">
        <f t="shared" si="149"/>
        <v>0.52262478662477019</v>
      </c>
      <c r="AZ78" s="179">
        <f t="shared" si="177"/>
        <v>4.0739871532257563</v>
      </c>
      <c r="BA78" s="472">
        <f t="shared" si="150"/>
        <v>24.124421502313997</v>
      </c>
      <c r="BB78" s="472">
        <f t="shared" si="151"/>
        <v>8.5057390477245871</v>
      </c>
      <c r="BC78" s="6">
        <f t="shared" si="152"/>
        <v>0.13329047167743699</v>
      </c>
      <c r="BD78" s="563">
        <f t="shared" si="153"/>
        <v>39.85614240756756</v>
      </c>
      <c r="BE78" s="6"/>
      <c r="BF78" s="179">
        <f t="shared" si="178"/>
        <v>0.17635318685024362</v>
      </c>
      <c r="BG78" s="179">
        <f t="shared" si="154"/>
        <v>0.74137806545332985</v>
      </c>
      <c r="BH78" s="179"/>
      <c r="BI78" s="546">
        <f t="shared" si="155"/>
        <v>1.0885156279282928E-2</v>
      </c>
      <c r="BJ78" s="546">
        <f t="shared" si="156"/>
        <v>5.4868856250835561E-2</v>
      </c>
      <c r="BK78" s="546">
        <f t="shared" si="157"/>
        <v>4.3749999999999995E-3</v>
      </c>
      <c r="BL78" s="546">
        <f t="shared" si="158"/>
        <v>2.7651093750000001E-2</v>
      </c>
      <c r="BM78">
        <f t="shared" si="159"/>
        <v>6.96E-3</v>
      </c>
      <c r="BN78" s="546">
        <f t="shared" si="160"/>
        <v>0.10661171047527139</v>
      </c>
      <c r="BO78" s="472">
        <f t="shared" si="179"/>
        <v>106.61171047527139</v>
      </c>
      <c r="BP78" s="546">
        <f t="shared" si="161"/>
        <v>9.9644999999999997E-2</v>
      </c>
      <c r="BQ78" s="546"/>
      <c r="BS78" s="472">
        <f t="shared" si="180"/>
        <v>99.644999999999996</v>
      </c>
      <c r="BT78" s="546">
        <f t="shared" si="162"/>
        <v>6.2200893024473881E-3</v>
      </c>
      <c r="BU78" s="546">
        <f t="shared" si="163"/>
        <v>2.1985657437412875E-2</v>
      </c>
      <c r="BV78" s="546">
        <f t="shared" si="164"/>
        <v>2.2976759675153061E-2</v>
      </c>
      <c r="BW78" s="546">
        <f t="shared" si="165"/>
        <v>5.4690603167957014E-2</v>
      </c>
      <c r="BX78" s="546">
        <f t="shared" si="166"/>
        <v>4.8390151515151511E-2</v>
      </c>
      <c r="BY78" s="472">
        <f t="shared" si="181"/>
        <v>103.08075468310852</v>
      </c>
      <c r="BZ78" s="179">
        <f t="shared" si="167"/>
        <v>0.30933746515837995</v>
      </c>
      <c r="CA78" s="6">
        <f t="shared" si="168"/>
        <v>1.825</v>
      </c>
      <c r="CB78" s="179">
        <f t="shared" si="182"/>
        <v>0.85506628159412212</v>
      </c>
      <c r="CC78" s="6">
        <f t="shared" si="183"/>
        <v>85.506628159412216</v>
      </c>
      <c r="CF78" s="581">
        <f t="shared" si="169"/>
        <v>-50</v>
      </c>
      <c r="CG78">
        <f t="shared" si="170"/>
        <v>-50</v>
      </c>
    </row>
    <row r="79" spans="5:85" x14ac:dyDescent="0.2">
      <c r="E79" s="176">
        <v>74</v>
      </c>
      <c r="F79" s="223">
        <f t="shared" si="171"/>
        <v>0.37</v>
      </c>
      <c r="G79" s="223"/>
      <c r="H79" s="223">
        <f t="shared" si="119"/>
        <v>1.85</v>
      </c>
      <c r="I79" s="559">
        <f t="shared" si="120"/>
        <v>24</v>
      </c>
      <c r="J79" s="178">
        <f t="shared" si="121"/>
        <v>15.75</v>
      </c>
      <c r="K79" s="454">
        <f t="shared" si="122"/>
        <v>39.75</v>
      </c>
      <c r="L79" s="454"/>
      <c r="M79" s="223">
        <f t="shared" si="123"/>
        <v>0.39622641509433965</v>
      </c>
      <c r="N79" s="178">
        <f t="shared" si="124"/>
        <v>3.2094339622641508</v>
      </c>
      <c r="O79" s="178">
        <f t="shared" si="172"/>
        <v>1.85</v>
      </c>
      <c r="P79" s="223">
        <f t="shared" si="125"/>
        <v>0.6418867924528302</v>
      </c>
      <c r="Q79" s="223">
        <f t="shared" si="126"/>
        <v>5</v>
      </c>
      <c r="R79" s="223">
        <f t="shared" si="127"/>
        <v>0.71320754716981138</v>
      </c>
      <c r="S79" s="178">
        <f t="shared" si="128"/>
        <v>14.031928997547816</v>
      </c>
      <c r="T79" s="178">
        <f t="shared" si="129"/>
        <v>5</v>
      </c>
      <c r="U79" s="223">
        <f t="shared" si="130"/>
        <v>0.43231922398589062</v>
      </c>
      <c r="V79" s="223">
        <f t="shared" si="131"/>
        <v>0.79258524397413288</v>
      </c>
      <c r="W79" s="223">
        <f t="shared" si="132"/>
        <v>1.2077489431986785</v>
      </c>
      <c r="X79" s="203">
        <f t="shared" si="133"/>
        <v>350</v>
      </c>
      <c r="Y79" s="454">
        <f t="shared" si="173"/>
        <v>350</v>
      </c>
      <c r="AA79" s="223">
        <f t="shared" si="134"/>
        <v>0.61749571183533458</v>
      </c>
      <c r="AB79" s="179">
        <f t="shared" si="135"/>
        <v>1.7250673854447443</v>
      </c>
      <c r="AC79" s="179">
        <f t="shared" si="136"/>
        <v>0.55924139939803896</v>
      </c>
      <c r="AD79" s="179"/>
      <c r="AE79" s="179">
        <f t="shared" si="137"/>
        <v>0.419047619047619</v>
      </c>
      <c r="AF79" s="563">
        <f t="shared" si="184"/>
        <v>3924.2424242424249</v>
      </c>
      <c r="AG79" s="546">
        <f t="shared" si="138"/>
        <v>3.2999999999999995E-2</v>
      </c>
      <c r="AI79" s="179">
        <f t="shared" si="139"/>
        <v>0.52943652150473175</v>
      </c>
      <c r="AJ79" s="179">
        <f t="shared" si="140"/>
        <v>0.52943652150473175</v>
      </c>
      <c r="AK79" s="179">
        <f t="shared" si="141"/>
        <v>1.481064090003505</v>
      </c>
      <c r="AM79" s="563">
        <f t="shared" si="142"/>
        <v>370</v>
      </c>
      <c r="AN79" s="472">
        <f t="shared" si="143"/>
        <v>350</v>
      </c>
      <c r="AP79">
        <f t="shared" si="144"/>
        <v>370</v>
      </c>
      <c r="AQ79">
        <f t="shared" si="145"/>
        <v>350</v>
      </c>
      <c r="AS79" s="6">
        <f t="shared" si="174"/>
        <v>2.8571428571428572</v>
      </c>
      <c r="AT79" s="6">
        <f t="shared" si="146"/>
        <v>0.97063362275867482</v>
      </c>
      <c r="AU79" s="6">
        <f t="shared" si="175"/>
        <v>1.8865092343841825</v>
      </c>
      <c r="AV79" s="6">
        <f t="shared" si="147"/>
        <v>1.4790607584894091</v>
      </c>
      <c r="AW79" s="179">
        <f t="shared" si="176"/>
        <v>0.33972176796553616</v>
      </c>
      <c r="AX79" s="179">
        <f t="shared" si="148"/>
        <v>2.1583333333333328</v>
      </c>
      <c r="AY79" s="179">
        <f t="shared" si="149"/>
        <v>0.52436311559043092</v>
      </c>
      <c r="AZ79" s="179">
        <f t="shared" si="177"/>
        <v>4.1161044115451508</v>
      </c>
      <c r="BA79" s="472">
        <f t="shared" si="150"/>
        <v>24.124421502313997</v>
      </c>
      <c r="BB79" s="472">
        <f t="shared" si="151"/>
        <v>8.7251636377068564</v>
      </c>
      <c r="BC79" s="6">
        <f t="shared" si="152"/>
        <v>0.13464668532448831</v>
      </c>
      <c r="BD79" s="563">
        <f t="shared" si="153"/>
        <v>40.355582052955725</v>
      </c>
      <c r="BE79" s="6"/>
      <c r="BF79" s="179">
        <f t="shared" si="178"/>
        <v>0.1781619497541892</v>
      </c>
      <c r="BG79" s="179">
        <f t="shared" si="154"/>
        <v>0.74514023367897841</v>
      </c>
      <c r="BH79" s="179"/>
      <c r="BI79" s="546">
        <f t="shared" si="155"/>
        <v>1.1109588119074981E-2</v>
      </c>
      <c r="BJ79" s="546">
        <f t="shared" si="156"/>
        <v>5.524339204075935E-2</v>
      </c>
      <c r="BK79" s="546">
        <f t="shared" si="157"/>
        <v>4.3749999999999995E-3</v>
      </c>
      <c r="BL79" s="546">
        <f t="shared" si="158"/>
        <v>2.7651093750000001E-2</v>
      </c>
      <c r="BM79">
        <f t="shared" si="159"/>
        <v>6.96E-3</v>
      </c>
      <c r="BN79" s="546">
        <f t="shared" si="160"/>
        <v>0.10725173087122986</v>
      </c>
      <c r="BO79" s="472">
        <f t="shared" si="179"/>
        <v>107.25173087122985</v>
      </c>
      <c r="BP79" s="546">
        <f t="shared" si="161"/>
        <v>0.10101</v>
      </c>
      <c r="BQ79" s="546"/>
      <c r="BS79" s="472">
        <f t="shared" si="180"/>
        <v>101.01</v>
      </c>
      <c r="BT79" s="546">
        <f t="shared" si="162"/>
        <v>6.348336068042847E-3</v>
      </c>
      <c r="BU79" s="546">
        <f t="shared" si="163"/>
        <v>2.22093587138865E-2</v>
      </c>
      <c r="BV79" s="546">
        <f t="shared" si="164"/>
        <v>2.3370868742007035E-2</v>
      </c>
      <c r="BW79" s="546">
        <f t="shared" si="165"/>
        <v>5.5482242493523674E-2</v>
      </c>
      <c r="BX79" s="546">
        <f t="shared" si="166"/>
        <v>4.9053030303030307E-2</v>
      </c>
      <c r="BY79" s="472">
        <f t="shared" si="181"/>
        <v>104.53527279655397</v>
      </c>
      <c r="BZ79" s="179">
        <f t="shared" si="167"/>
        <v>0.31279700366778385</v>
      </c>
      <c r="CA79" s="6">
        <f t="shared" si="168"/>
        <v>1.85</v>
      </c>
      <c r="CB79" s="179">
        <f t="shared" si="182"/>
        <v>0.85537385009442579</v>
      </c>
      <c r="CC79" s="6">
        <f t="shared" si="183"/>
        <v>85.537385009442573</v>
      </c>
      <c r="CF79" s="581">
        <f t="shared" si="169"/>
        <v>-50</v>
      </c>
      <c r="CG79">
        <f t="shared" si="170"/>
        <v>-50</v>
      </c>
    </row>
    <row r="80" spans="5:85" x14ac:dyDescent="0.2">
      <c r="E80" s="176">
        <v>75</v>
      </c>
      <c r="F80" s="223">
        <f t="shared" si="171"/>
        <v>0.375</v>
      </c>
      <c r="G80" s="223"/>
      <c r="H80" s="223">
        <f t="shared" si="119"/>
        <v>1.875</v>
      </c>
      <c r="I80" s="559">
        <f t="shared" si="120"/>
        <v>24</v>
      </c>
      <c r="J80" s="178">
        <f t="shared" si="121"/>
        <v>15.75</v>
      </c>
      <c r="K80" s="454">
        <f t="shared" si="122"/>
        <v>39.75</v>
      </c>
      <c r="L80" s="454"/>
      <c r="M80" s="223">
        <f t="shared" si="123"/>
        <v>0.39622641509433965</v>
      </c>
      <c r="N80" s="178">
        <f t="shared" si="124"/>
        <v>3.2094339622641508</v>
      </c>
      <c r="O80" s="178">
        <f t="shared" si="172"/>
        <v>1.875</v>
      </c>
      <c r="P80" s="223">
        <f t="shared" si="125"/>
        <v>0.6418867924528302</v>
      </c>
      <c r="Q80" s="223">
        <f t="shared" si="126"/>
        <v>5</v>
      </c>
      <c r="R80" s="223">
        <f t="shared" si="127"/>
        <v>0.71320754716981138</v>
      </c>
      <c r="S80" s="178">
        <f t="shared" si="128"/>
        <v>13.742929329018505</v>
      </c>
      <c r="T80" s="178">
        <f t="shared" si="129"/>
        <v>5</v>
      </c>
      <c r="U80" s="223">
        <f t="shared" si="130"/>
        <v>0.43816137566137564</v>
      </c>
      <c r="V80" s="223">
        <f t="shared" si="131"/>
        <v>0.80329585537918857</v>
      </c>
      <c r="W80" s="223">
        <f t="shared" si="132"/>
        <v>1.2240698748635255</v>
      </c>
      <c r="X80" s="203">
        <f t="shared" si="133"/>
        <v>350</v>
      </c>
      <c r="Y80" s="454">
        <f t="shared" si="173"/>
        <v>350</v>
      </c>
      <c r="AA80" s="223">
        <f t="shared" si="134"/>
        <v>0.61749571183533458</v>
      </c>
      <c r="AB80" s="179">
        <f t="shared" si="135"/>
        <v>1.7250673854447443</v>
      </c>
      <c r="AC80" s="179">
        <f t="shared" si="136"/>
        <v>0.55924139939803896</v>
      </c>
      <c r="AD80" s="179"/>
      <c r="AE80" s="179">
        <f t="shared" si="137"/>
        <v>0.419047619047619</v>
      </c>
      <c r="AF80" s="563">
        <f t="shared" si="184"/>
        <v>3977.2727272727279</v>
      </c>
      <c r="AG80" s="546">
        <f t="shared" si="138"/>
        <v>3.2999999999999995E-2</v>
      </c>
      <c r="AI80" s="179">
        <f t="shared" si="139"/>
        <v>0.53300179088902611</v>
      </c>
      <c r="AJ80" s="179">
        <f t="shared" si="140"/>
        <v>0.53300179088902611</v>
      </c>
      <c r="AK80" s="179">
        <f t="shared" si="141"/>
        <v>1.4837050302881674</v>
      </c>
      <c r="AM80" s="563">
        <f t="shared" si="142"/>
        <v>375</v>
      </c>
      <c r="AN80" s="472">
        <f t="shared" si="143"/>
        <v>350</v>
      </c>
      <c r="AP80">
        <f t="shared" si="144"/>
        <v>375</v>
      </c>
      <c r="AQ80">
        <f t="shared" si="145"/>
        <v>350</v>
      </c>
      <c r="AS80" s="6">
        <f t="shared" si="174"/>
        <v>2.8571428571428572</v>
      </c>
      <c r="AT80" s="6">
        <f t="shared" si="146"/>
        <v>0.9771699499632146</v>
      </c>
      <c r="AU80" s="6">
        <f t="shared" si="175"/>
        <v>1.8799729071796425</v>
      </c>
      <c r="AV80" s="6">
        <f t="shared" si="147"/>
        <v>1.4890208761344221</v>
      </c>
      <c r="AW80" s="179">
        <f t="shared" si="176"/>
        <v>0.34200948248712509</v>
      </c>
      <c r="AX80" s="179">
        <f t="shared" si="148"/>
        <v>2.1875</v>
      </c>
      <c r="AY80" s="179">
        <f t="shared" si="149"/>
        <v>0.52606518633353905</v>
      </c>
      <c r="AZ80" s="179">
        <f t="shared" si="177"/>
        <v>4.1582299244053527</v>
      </c>
      <c r="BA80" s="472">
        <f t="shared" si="150"/>
        <v>24.124421502313997</v>
      </c>
      <c r="BB80" s="472">
        <f t="shared" si="151"/>
        <v>8.9473695146276633</v>
      </c>
      <c r="BC80" s="6">
        <f t="shared" si="152"/>
        <v>0.13599341053093478</v>
      </c>
      <c r="BD80" s="563">
        <f t="shared" si="153"/>
        <v>40.854021397053359</v>
      </c>
      <c r="BE80" s="6"/>
      <c r="BF80" s="179">
        <f t="shared" si="178"/>
        <v>0.17996461207459533</v>
      </c>
      <c r="BG80" s="179">
        <f t="shared" si="154"/>
        <v>0.74885737819713782</v>
      </c>
      <c r="BH80" s="179"/>
      <c r="BI80" s="546">
        <f t="shared" si="155"/>
        <v>1.1335541559705854E-2</v>
      </c>
      <c r="BJ80" s="546">
        <f t="shared" si="156"/>
        <v>5.5615405618076812E-2</v>
      </c>
      <c r="BK80" s="546">
        <f t="shared" si="157"/>
        <v>4.3749999999999995E-3</v>
      </c>
      <c r="BL80" s="546">
        <f t="shared" si="158"/>
        <v>2.7651093750000001E-2</v>
      </c>
      <c r="BM80">
        <f t="shared" si="159"/>
        <v>6.96E-3</v>
      </c>
      <c r="BN80" s="546">
        <f t="shared" si="160"/>
        <v>0.10789110998016511</v>
      </c>
      <c r="BO80" s="472">
        <f t="shared" si="179"/>
        <v>107.89110998016511</v>
      </c>
      <c r="BP80" s="546">
        <f t="shared" si="161"/>
        <v>0.10237499999999999</v>
      </c>
      <c r="BQ80" s="546"/>
      <c r="BS80" s="472">
        <f t="shared" si="180"/>
        <v>102.375</v>
      </c>
      <c r="BT80" s="546">
        <f t="shared" si="162"/>
        <v>6.4774523198319169E-3</v>
      </c>
      <c r="BU80" s="546">
        <f t="shared" si="163"/>
        <v>2.2431494915211646E-2</v>
      </c>
      <c r="BV80" s="546">
        <f t="shared" si="164"/>
        <v>2.3766311545596872E-2</v>
      </c>
      <c r="BW80" s="546">
        <f t="shared" si="165"/>
        <v>5.6274479325124832E-2</v>
      </c>
      <c r="BX80" s="546">
        <f t="shared" si="166"/>
        <v>4.9715909090909102E-2</v>
      </c>
      <c r="BY80" s="472">
        <f t="shared" si="181"/>
        <v>105.99038841603394</v>
      </c>
      <c r="BZ80" s="179">
        <f t="shared" si="167"/>
        <v>0.31625649839619902</v>
      </c>
      <c r="CA80" s="6">
        <f t="shared" si="168"/>
        <v>1.875</v>
      </c>
      <c r="CB80" s="179">
        <f t="shared" si="182"/>
        <v>0.85567344643236876</v>
      </c>
      <c r="CC80" s="6">
        <f t="shared" si="183"/>
        <v>85.567344643236879</v>
      </c>
      <c r="CF80" s="581">
        <f t="shared" si="169"/>
        <v>-50</v>
      </c>
      <c r="CG80">
        <f t="shared" si="170"/>
        <v>-50</v>
      </c>
    </row>
    <row r="81" spans="5:85" x14ac:dyDescent="0.2">
      <c r="E81" s="176">
        <v>76</v>
      </c>
      <c r="F81" s="223">
        <f t="shared" si="171"/>
        <v>0.38</v>
      </c>
      <c r="G81" s="223"/>
      <c r="H81" s="223">
        <f t="shared" si="119"/>
        <v>1.9</v>
      </c>
      <c r="I81" s="559">
        <f t="shared" si="120"/>
        <v>24</v>
      </c>
      <c r="J81" s="178">
        <f t="shared" si="121"/>
        <v>15.75</v>
      </c>
      <c r="K81" s="454">
        <f t="shared" si="122"/>
        <v>39.75</v>
      </c>
      <c r="L81" s="454"/>
      <c r="M81" s="223">
        <f t="shared" si="123"/>
        <v>0.39622641509433965</v>
      </c>
      <c r="N81" s="178">
        <f t="shared" si="124"/>
        <v>3.2094339622641508</v>
      </c>
      <c r="O81" s="178">
        <f t="shared" si="172"/>
        <v>1.9</v>
      </c>
      <c r="P81" s="223">
        <f t="shared" si="125"/>
        <v>0.6418867924528302</v>
      </c>
      <c r="Q81" s="223">
        <f t="shared" si="126"/>
        <v>5</v>
      </c>
      <c r="R81" s="223">
        <f t="shared" si="127"/>
        <v>0.71320754716981138</v>
      </c>
      <c r="S81" s="178">
        <f t="shared" si="128"/>
        <v>13.461650830909807</v>
      </c>
      <c r="T81" s="178">
        <f t="shared" si="129"/>
        <v>5</v>
      </c>
      <c r="U81" s="223">
        <f t="shared" si="130"/>
        <v>0.4440035273368606</v>
      </c>
      <c r="V81" s="223">
        <f t="shared" si="131"/>
        <v>0.81400646678424426</v>
      </c>
      <c r="W81" s="223">
        <f t="shared" si="132"/>
        <v>1.2403908065283722</v>
      </c>
      <c r="X81" s="203">
        <f t="shared" si="133"/>
        <v>350</v>
      </c>
      <c r="Y81" s="454">
        <f t="shared" si="173"/>
        <v>350</v>
      </c>
      <c r="AA81" s="223">
        <f t="shared" si="134"/>
        <v>0.61749571183533458</v>
      </c>
      <c r="AB81" s="179">
        <f t="shared" si="135"/>
        <v>1.7250673854447443</v>
      </c>
      <c r="AC81" s="179">
        <f t="shared" si="136"/>
        <v>0.55924139939803896</v>
      </c>
      <c r="AD81" s="179"/>
      <c r="AE81" s="179">
        <f t="shared" si="137"/>
        <v>0.419047619047619</v>
      </c>
      <c r="AF81" s="563">
        <f t="shared" si="184"/>
        <v>4030.3030303030314</v>
      </c>
      <c r="AG81" s="546">
        <f t="shared" si="138"/>
        <v>3.2999999999999995E-2</v>
      </c>
      <c r="AI81" s="179">
        <f t="shared" si="139"/>
        <v>0.53654336998865981</v>
      </c>
      <c r="AJ81" s="179">
        <f t="shared" si="140"/>
        <v>0.53654336998865981</v>
      </c>
      <c r="AK81" s="179">
        <f t="shared" si="141"/>
        <v>1.486328422213822</v>
      </c>
      <c r="AM81" s="563">
        <f t="shared" si="142"/>
        <v>380</v>
      </c>
      <c r="AN81" s="472">
        <f t="shared" si="143"/>
        <v>350</v>
      </c>
      <c r="AP81">
        <f t="shared" si="144"/>
        <v>380</v>
      </c>
      <c r="AQ81">
        <f t="shared" si="145"/>
        <v>350</v>
      </c>
      <c r="AS81" s="6">
        <f t="shared" si="174"/>
        <v>2.8571428571428572</v>
      </c>
      <c r="AT81" s="6">
        <f t="shared" si="146"/>
        <v>0.98366284497920953</v>
      </c>
      <c r="AU81" s="6">
        <f t="shared" si="175"/>
        <v>1.8734800121636477</v>
      </c>
      <c r="AV81" s="6">
        <f t="shared" si="147"/>
        <v>1.4989148113968909</v>
      </c>
      <c r="AW81" s="179">
        <f t="shared" si="176"/>
        <v>0.34428199574272333</v>
      </c>
      <c r="AX81" s="179">
        <f t="shared" si="148"/>
        <v>2.2166666666666668</v>
      </c>
      <c r="AY81" s="179">
        <f t="shared" si="149"/>
        <v>0.52773172164965643</v>
      </c>
      <c r="AZ81" s="179">
        <f t="shared" si="177"/>
        <v>4.2003665418055691</v>
      </c>
      <c r="BA81" s="472">
        <f t="shared" si="150"/>
        <v>24.124421502313997</v>
      </c>
      <c r="BB81" s="472">
        <f t="shared" si="151"/>
        <v>9.1723566784869988</v>
      </c>
      <c r="BC81" s="6">
        <f t="shared" si="152"/>
        <v>0.13733071076816861</v>
      </c>
      <c r="BD81" s="563">
        <f t="shared" si="153"/>
        <v>41.351466151582216</v>
      </c>
      <c r="BE81" s="6"/>
      <c r="BF81" s="179">
        <f t="shared" si="178"/>
        <v>0.18176127532462757</v>
      </c>
      <c r="BG81" s="179">
        <f t="shared" si="154"/>
        <v>0.75253034009775854</v>
      </c>
      <c r="BH81" s="179"/>
      <c r="BI81" s="546">
        <f t="shared" si="155"/>
        <v>1.1563006422672275E-2</v>
      </c>
      <c r="BJ81" s="546">
        <f t="shared" si="156"/>
        <v>5.5984947262254219E-2</v>
      </c>
      <c r="BK81" s="546">
        <f t="shared" si="157"/>
        <v>4.3749999999999995E-3</v>
      </c>
      <c r="BL81" s="546">
        <f t="shared" si="158"/>
        <v>2.7651093750000001E-2</v>
      </c>
      <c r="BM81">
        <f t="shared" si="159"/>
        <v>6.96E-3</v>
      </c>
      <c r="BN81" s="546">
        <f t="shared" si="160"/>
        <v>0.10852988716456659</v>
      </c>
      <c r="BO81" s="472">
        <f t="shared" si="179"/>
        <v>108.52988716456659</v>
      </c>
      <c r="BP81" s="546">
        <f t="shared" si="161"/>
        <v>0.10374</v>
      </c>
      <c r="BQ81" s="546"/>
      <c r="BS81" s="472">
        <f t="shared" si="180"/>
        <v>103.74</v>
      </c>
      <c r="BT81" s="546">
        <f t="shared" si="162"/>
        <v>6.6074322415270144E-3</v>
      </c>
      <c r="BU81" s="546">
        <f t="shared" si="163"/>
        <v>2.2652076510705929E-2</v>
      </c>
      <c r="BV81" s="546">
        <f t="shared" si="164"/>
        <v>2.4163074725503182E-2</v>
      </c>
      <c r="BW81" s="546">
        <f t="shared" si="165"/>
        <v>5.7067305433828673E-2</v>
      </c>
      <c r="BX81" s="546">
        <f t="shared" si="166"/>
        <v>5.0378787878787891E-2</v>
      </c>
      <c r="BY81" s="472">
        <f t="shared" si="181"/>
        <v>107.44609331261657</v>
      </c>
      <c r="BZ81" s="179">
        <f t="shared" si="167"/>
        <v>0.31971598047718314</v>
      </c>
      <c r="CA81" s="6">
        <f t="shared" si="168"/>
        <v>1.9</v>
      </c>
      <c r="CB81" s="179">
        <f t="shared" si="182"/>
        <v>0.85596536525882372</v>
      </c>
      <c r="CC81" s="6">
        <f t="shared" si="183"/>
        <v>85.596536525882371</v>
      </c>
      <c r="CF81" s="581">
        <f t="shared" si="169"/>
        <v>-50</v>
      </c>
      <c r="CG81">
        <f t="shared" si="170"/>
        <v>-50</v>
      </c>
    </row>
    <row r="82" spans="5:85" x14ac:dyDescent="0.2">
      <c r="E82" s="176">
        <v>77</v>
      </c>
      <c r="F82" s="223">
        <f t="shared" si="171"/>
        <v>0.38500000000000001</v>
      </c>
      <c r="G82" s="223"/>
      <c r="H82" s="223">
        <f t="shared" si="119"/>
        <v>1.925</v>
      </c>
      <c r="I82" s="559">
        <f t="shared" si="120"/>
        <v>24</v>
      </c>
      <c r="J82" s="178">
        <f t="shared" si="121"/>
        <v>15.75</v>
      </c>
      <c r="K82" s="454">
        <f t="shared" si="122"/>
        <v>39.75</v>
      </c>
      <c r="L82" s="454"/>
      <c r="M82" s="223">
        <f t="shared" si="123"/>
        <v>0.39622641509433965</v>
      </c>
      <c r="N82" s="178">
        <f t="shared" si="124"/>
        <v>3.2094339622641508</v>
      </c>
      <c r="O82" s="178">
        <f t="shared" si="172"/>
        <v>1.925</v>
      </c>
      <c r="P82" s="223">
        <f t="shared" si="125"/>
        <v>0.6418867924528302</v>
      </c>
      <c r="Q82" s="223">
        <f t="shared" si="126"/>
        <v>5</v>
      </c>
      <c r="R82" s="223">
        <f t="shared" si="127"/>
        <v>0.71320754716981138</v>
      </c>
      <c r="S82" s="178">
        <f t="shared" si="128"/>
        <v>13.18779498104905</v>
      </c>
      <c r="T82" s="178">
        <f t="shared" si="129"/>
        <v>5</v>
      </c>
      <c r="U82" s="223">
        <f t="shared" si="130"/>
        <v>0.44984567901234562</v>
      </c>
      <c r="V82" s="223">
        <f t="shared" si="131"/>
        <v>0.82471707818930029</v>
      </c>
      <c r="W82" s="223">
        <f t="shared" si="132"/>
        <v>1.2567117381932194</v>
      </c>
      <c r="X82" s="203">
        <f t="shared" si="133"/>
        <v>350</v>
      </c>
      <c r="Y82" s="454">
        <f t="shared" si="173"/>
        <v>350</v>
      </c>
      <c r="AA82" s="223">
        <f t="shared" si="134"/>
        <v>0.61749571183533458</v>
      </c>
      <c r="AB82" s="179">
        <f t="shared" si="135"/>
        <v>1.7250673854447443</v>
      </c>
      <c r="AC82" s="179">
        <f t="shared" si="136"/>
        <v>0.55924139939803896</v>
      </c>
      <c r="AD82" s="179"/>
      <c r="AE82" s="179">
        <f t="shared" si="137"/>
        <v>0.419047619047619</v>
      </c>
      <c r="AF82" s="563">
        <f t="shared" si="184"/>
        <v>4083.3333333333344</v>
      </c>
      <c r="AG82" s="546">
        <f t="shared" si="138"/>
        <v>3.2999999999999995E-2</v>
      </c>
      <c r="AI82" s="179">
        <f t="shared" si="139"/>
        <v>0.54006172486732162</v>
      </c>
      <c r="AJ82" s="179">
        <f t="shared" si="140"/>
        <v>0.54006172486732162</v>
      </c>
      <c r="AK82" s="179">
        <f t="shared" si="141"/>
        <v>1.4889346110128308</v>
      </c>
      <c r="AM82" s="563">
        <f t="shared" si="142"/>
        <v>385</v>
      </c>
      <c r="AN82" s="472">
        <f t="shared" si="143"/>
        <v>350</v>
      </c>
      <c r="AP82">
        <f t="shared" si="144"/>
        <v>385</v>
      </c>
      <c r="AQ82">
        <f t="shared" si="145"/>
        <v>350</v>
      </c>
      <c r="AS82" s="6">
        <f t="shared" si="174"/>
        <v>2.8571428571428572</v>
      </c>
      <c r="AT82" s="6">
        <f t="shared" si="146"/>
        <v>0.99011316225675639</v>
      </c>
      <c r="AU82" s="6">
        <f t="shared" si="175"/>
        <v>1.8670296948861007</v>
      </c>
      <c r="AV82" s="6">
        <f t="shared" si="147"/>
        <v>1.5087438662960095</v>
      </c>
      <c r="AW82" s="179">
        <f t="shared" si="176"/>
        <v>0.34653960678986473</v>
      </c>
      <c r="AX82" s="179">
        <f t="shared" si="148"/>
        <v>2.2458333333333327</v>
      </c>
      <c r="AY82" s="179">
        <f t="shared" si="149"/>
        <v>0.52936342063431585</v>
      </c>
      <c r="AZ82" s="179">
        <f t="shared" si="177"/>
        <v>4.242517041774887</v>
      </c>
      <c r="BA82" s="472">
        <f t="shared" si="150"/>
        <v>24.124421502313997</v>
      </c>
      <c r="BB82" s="472">
        <f t="shared" si="151"/>
        <v>9.4001251292848718</v>
      </c>
      <c r="BC82" s="6">
        <f t="shared" si="152"/>
        <v>0.13865864825060736</v>
      </c>
      <c r="BD82" s="563">
        <f t="shared" si="153"/>
        <v>41.847921924901712</v>
      </c>
      <c r="BE82" s="6"/>
      <c r="BF82" s="179">
        <f t="shared" si="178"/>
        <v>0.18355203801681347</v>
      </c>
      <c r="BG82" s="179">
        <f t="shared" si="154"/>
        <v>0.75615993285737393</v>
      </c>
      <c r="BH82" s="179"/>
      <c r="BI82" s="546">
        <f t="shared" si="155"/>
        <v>1.1791972731044006E-2</v>
      </c>
      <c r="BJ82" s="546">
        <f t="shared" si="156"/>
        <v>5.6352065604124583E-2</v>
      </c>
      <c r="BK82" s="546">
        <f t="shared" si="157"/>
        <v>4.3749999999999995E-3</v>
      </c>
      <c r="BL82" s="546">
        <f t="shared" si="158"/>
        <v>2.7651093750000001E-2</v>
      </c>
      <c r="BM82">
        <f t="shared" si="159"/>
        <v>6.96E-3</v>
      </c>
      <c r="BN82" s="546">
        <f t="shared" si="160"/>
        <v>0.10916810037037375</v>
      </c>
      <c r="BO82" s="472">
        <f t="shared" si="179"/>
        <v>109.16810037037375</v>
      </c>
      <c r="BP82" s="546">
        <f t="shared" si="161"/>
        <v>0.10510499999999999</v>
      </c>
      <c r="BQ82" s="546"/>
      <c r="BS82" s="472">
        <f t="shared" si="180"/>
        <v>105.10499999999999</v>
      </c>
      <c r="BT82" s="546">
        <f t="shared" si="162"/>
        <v>6.7382701320251471E-3</v>
      </c>
      <c r="BU82" s="546">
        <f t="shared" si="163"/>
        <v>2.287111376235473E-2</v>
      </c>
      <c r="BV82" s="546">
        <f t="shared" si="164"/>
        <v>2.4561145229482551E-2</v>
      </c>
      <c r="BW82" s="546">
        <f t="shared" si="165"/>
        <v>5.7860712795793863E-2</v>
      </c>
      <c r="BX82" s="546">
        <f t="shared" si="166"/>
        <v>5.1041666666666666E-2</v>
      </c>
      <c r="BY82" s="472">
        <f t="shared" si="181"/>
        <v>108.90237946246053</v>
      </c>
      <c r="BZ82" s="179">
        <f t="shared" si="167"/>
        <v>0.32317547983283423</v>
      </c>
      <c r="CA82" s="6">
        <f t="shared" si="168"/>
        <v>1.925</v>
      </c>
      <c r="CB82" s="179">
        <f t="shared" si="182"/>
        <v>0.85624988674955915</v>
      </c>
      <c r="CC82" s="6">
        <f t="shared" si="183"/>
        <v>85.624988674955915</v>
      </c>
      <c r="CF82" s="581">
        <f t="shared" si="169"/>
        <v>-50</v>
      </c>
      <c r="CG82">
        <f t="shared" si="170"/>
        <v>-50</v>
      </c>
    </row>
    <row r="83" spans="5:85" x14ac:dyDescent="0.2">
      <c r="E83" s="176">
        <v>78</v>
      </c>
      <c r="F83" s="223">
        <f t="shared" si="171"/>
        <v>0.39</v>
      </c>
      <c r="G83" s="223"/>
      <c r="H83" s="223">
        <f t="shared" si="119"/>
        <v>1.9500000000000002</v>
      </c>
      <c r="I83" s="559">
        <f t="shared" si="120"/>
        <v>24</v>
      </c>
      <c r="J83" s="178">
        <f t="shared" si="121"/>
        <v>15.75</v>
      </c>
      <c r="K83" s="454">
        <f t="shared" si="122"/>
        <v>39.75</v>
      </c>
      <c r="L83" s="454"/>
      <c r="M83" s="223">
        <f t="shared" si="123"/>
        <v>0.39622641509433965</v>
      </c>
      <c r="N83" s="178">
        <f t="shared" si="124"/>
        <v>3.2094339622641508</v>
      </c>
      <c r="O83" s="178">
        <f t="shared" si="172"/>
        <v>1.9500000000000002</v>
      </c>
      <c r="P83" s="223">
        <f t="shared" si="125"/>
        <v>0.6418867924528302</v>
      </c>
      <c r="Q83" s="223">
        <f t="shared" si="126"/>
        <v>5</v>
      </c>
      <c r="R83" s="223">
        <f t="shared" si="127"/>
        <v>0.71320754716981138</v>
      </c>
      <c r="S83" s="178">
        <f t="shared" si="128"/>
        <v>12.92107862144416</v>
      </c>
      <c r="T83" s="178">
        <f t="shared" si="129"/>
        <v>5</v>
      </c>
      <c r="U83" s="223">
        <f t="shared" si="130"/>
        <v>0.4556878306878307</v>
      </c>
      <c r="V83" s="223">
        <f t="shared" si="131"/>
        <v>0.83542768959435632</v>
      </c>
      <c r="W83" s="223">
        <f t="shared" si="132"/>
        <v>1.2730326698580667</v>
      </c>
      <c r="X83" s="203">
        <f t="shared" si="133"/>
        <v>350</v>
      </c>
      <c r="Y83" s="454">
        <f t="shared" si="173"/>
        <v>350</v>
      </c>
      <c r="AA83" s="223">
        <f t="shared" si="134"/>
        <v>0.61749571183533458</v>
      </c>
      <c r="AB83" s="179">
        <f t="shared" si="135"/>
        <v>1.7250673854447443</v>
      </c>
      <c r="AC83" s="179">
        <f t="shared" si="136"/>
        <v>0.55924139939803896</v>
      </c>
      <c r="AD83" s="179"/>
      <c r="AE83" s="179">
        <f t="shared" si="137"/>
        <v>0.419047619047619</v>
      </c>
      <c r="AF83" s="563">
        <f t="shared" si="184"/>
        <v>4136.3636363636369</v>
      </c>
      <c r="AG83" s="546">
        <f t="shared" si="138"/>
        <v>3.2999999999999995E-2</v>
      </c>
      <c r="AI83" s="179">
        <f t="shared" si="139"/>
        <v>0.54355730650460898</v>
      </c>
      <c r="AJ83" s="179">
        <f t="shared" si="140"/>
        <v>0.54355730650460898</v>
      </c>
      <c r="AK83" s="179">
        <f t="shared" si="141"/>
        <v>1.4915239307441548</v>
      </c>
      <c r="AM83" s="563">
        <f t="shared" si="142"/>
        <v>390</v>
      </c>
      <c r="AN83" s="472">
        <f t="shared" si="143"/>
        <v>350</v>
      </c>
      <c r="AP83">
        <f t="shared" si="144"/>
        <v>390</v>
      </c>
      <c r="AQ83">
        <f t="shared" si="145"/>
        <v>350</v>
      </c>
      <c r="AS83" s="6">
        <f t="shared" si="174"/>
        <v>2.8571428571428572</v>
      </c>
      <c r="AT83" s="6">
        <f t="shared" si="146"/>
        <v>0.99652172859178312</v>
      </c>
      <c r="AU83" s="6">
        <f t="shared" si="175"/>
        <v>1.8606211285510741</v>
      </c>
      <c r="AV83" s="6">
        <f t="shared" si="147"/>
        <v>1.5185093007112884</v>
      </c>
      <c r="AW83" s="179">
        <f t="shared" si="176"/>
        <v>0.3487826050071241</v>
      </c>
      <c r="AX83" s="179">
        <f t="shared" si="148"/>
        <v>2.2749999999999995</v>
      </c>
      <c r="AY83" s="179">
        <f t="shared" si="149"/>
        <v>0.53096095975691349</v>
      </c>
      <c r="AZ83" s="179">
        <f t="shared" si="177"/>
        <v>4.2846841339173949</v>
      </c>
      <c r="BA83" s="472">
        <f t="shared" si="150"/>
        <v>24.124421502313997</v>
      </c>
      <c r="BB83" s="472">
        <f t="shared" si="151"/>
        <v>9.6306748670212805</v>
      </c>
      <c r="BC83" s="6">
        <f t="shared" si="152"/>
        <v>0.1399772839766433</v>
      </c>
      <c r="BD83" s="563">
        <f t="shared" si="153"/>
        <v>42.343394225149403</v>
      </c>
      <c r="BE83" s="6"/>
      <c r="BF83" s="179">
        <f t="shared" si="178"/>
        <v>0.18533699578950061</v>
      </c>
      <c r="BG83" s="179">
        <f t="shared" si="154"/>
        <v>0.75974694358657335</v>
      </c>
      <c r="BH83" s="179"/>
      <c r="BI83" s="546">
        <f t="shared" si="155"/>
        <v>1.2022430702897076E-2</v>
      </c>
      <c r="BJ83" s="546">
        <f t="shared" si="156"/>
        <v>5.6716807700590288E-2</v>
      </c>
      <c r="BK83" s="546">
        <f t="shared" si="157"/>
        <v>4.3749999999999995E-3</v>
      </c>
      <c r="BL83" s="546">
        <f t="shared" si="158"/>
        <v>2.7651093750000001E-2</v>
      </c>
      <c r="BM83">
        <f t="shared" si="159"/>
        <v>6.96E-3</v>
      </c>
      <c r="BN83" s="546">
        <f t="shared" si="160"/>
        <v>0.10980578619413858</v>
      </c>
      <c r="BO83" s="472">
        <f t="shared" si="179"/>
        <v>109.80578619413858</v>
      </c>
      <c r="BP83" s="546">
        <f t="shared" si="161"/>
        <v>0.10647</v>
      </c>
      <c r="BQ83" s="546"/>
      <c r="BS83" s="472">
        <f t="shared" si="180"/>
        <v>106.47</v>
      </c>
      <c r="BT83" s="546">
        <f t="shared" si="162"/>
        <v>6.8699604016554732E-3</v>
      </c>
      <c r="BU83" s="546">
        <f t="shared" si="163"/>
        <v>2.3088616731565596E-2</v>
      </c>
      <c r="BV83" s="546">
        <f t="shared" si="164"/>
        <v>2.4960510302442087E-2</v>
      </c>
      <c r="BW83" s="546">
        <f t="shared" si="165"/>
        <v>5.8654693584608078E-2</v>
      </c>
      <c r="BX83" s="546">
        <f t="shared" si="166"/>
        <v>5.1704545454545454E-2</v>
      </c>
      <c r="BY83" s="472">
        <f t="shared" si="181"/>
        <v>110.35923903915354</v>
      </c>
      <c r="BZ83" s="179">
        <f t="shared" si="167"/>
        <v>0.32663502523329208</v>
      </c>
      <c r="CA83" s="6">
        <f t="shared" si="168"/>
        <v>1.9500000000000002</v>
      </c>
      <c r="CB83" s="179">
        <f t="shared" si="182"/>
        <v>0.85652727748936353</v>
      </c>
      <c r="CC83" s="6">
        <f t="shared" si="183"/>
        <v>85.652727748936357</v>
      </c>
      <c r="CF83" s="581">
        <f t="shared" si="169"/>
        <v>-50</v>
      </c>
      <c r="CG83">
        <f t="shared" si="170"/>
        <v>-50</v>
      </c>
    </row>
    <row r="84" spans="5:85" x14ac:dyDescent="0.2">
      <c r="E84" s="176">
        <v>79</v>
      </c>
      <c r="F84" s="223">
        <f t="shared" si="171"/>
        <v>0.39500000000000002</v>
      </c>
      <c r="G84" s="223"/>
      <c r="H84" s="223">
        <f t="shared" si="119"/>
        <v>1.9750000000000001</v>
      </c>
      <c r="I84" s="559">
        <f t="shared" si="120"/>
        <v>24</v>
      </c>
      <c r="J84" s="178">
        <f t="shared" si="121"/>
        <v>15.75</v>
      </c>
      <c r="K84" s="454">
        <f t="shared" si="122"/>
        <v>39.75</v>
      </c>
      <c r="L84" s="454"/>
      <c r="M84" s="223">
        <f t="shared" si="123"/>
        <v>0.39622641509433965</v>
      </c>
      <c r="N84" s="178">
        <f t="shared" si="124"/>
        <v>3.2094339622641508</v>
      </c>
      <c r="O84" s="178">
        <f t="shared" si="172"/>
        <v>1.9750000000000001</v>
      </c>
      <c r="P84" s="223">
        <f t="shared" si="125"/>
        <v>0.6418867924528302</v>
      </c>
      <c r="Q84" s="223">
        <f t="shared" si="126"/>
        <v>5</v>
      </c>
      <c r="R84" s="223">
        <f t="shared" si="127"/>
        <v>0.71320754716981138</v>
      </c>
      <c r="S84" s="178">
        <f t="shared" si="128"/>
        <v>12.661232987315911</v>
      </c>
      <c r="T84" s="178">
        <f t="shared" si="129"/>
        <v>5</v>
      </c>
      <c r="U84" s="223">
        <f t="shared" si="130"/>
        <v>0.46152998236331566</v>
      </c>
      <c r="V84" s="223">
        <f t="shared" si="131"/>
        <v>0.84613830099941201</v>
      </c>
      <c r="W84" s="223">
        <f t="shared" si="132"/>
        <v>1.2893536015229135</v>
      </c>
      <c r="X84" s="203">
        <f t="shared" si="133"/>
        <v>350</v>
      </c>
      <c r="Y84" s="454">
        <f t="shared" si="173"/>
        <v>350</v>
      </c>
      <c r="AA84" s="223">
        <f t="shared" si="134"/>
        <v>0.61749571183533458</v>
      </c>
      <c r="AB84" s="179">
        <f t="shared" si="135"/>
        <v>1.7250673854447443</v>
      </c>
      <c r="AC84" s="179">
        <f t="shared" si="136"/>
        <v>0.55924139939803896</v>
      </c>
      <c r="AD84" s="179"/>
      <c r="AE84" s="179">
        <f t="shared" si="137"/>
        <v>0.419047619047619</v>
      </c>
      <c r="AF84" s="563">
        <f t="shared" si="184"/>
        <v>4189.3939393939399</v>
      </c>
      <c r="AG84" s="546">
        <f t="shared" si="138"/>
        <v>3.2999999999999995E-2</v>
      </c>
      <c r="AI84" s="179">
        <f t="shared" si="139"/>
        <v>0.54703055147077861</v>
      </c>
      <c r="AJ84" s="179">
        <f t="shared" si="140"/>
        <v>0.54703055147077861</v>
      </c>
      <c r="AK84" s="179">
        <f t="shared" si="141"/>
        <v>1.4940967047931693</v>
      </c>
      <c r="AM84" s="563">
        <f t="shared" si="142"/>
        <v>395</v>
      </c>
      <c r="AN84" s="472">
        <f t="shared" si="143"/>
        <v>350</v>
      </c>
      <c r="AP84">
        <f t="shared" si="144"/>
        <v>395</v>
      </c>
      <c r="AQ84">
        <f t="shared" si="145"/>
        <v>350</v>
      </c>
      <c r="AS84" s="6">
        <f t="shared" si="174"/>
        <v>2.8571428571428572</v>
      </c>
      <c r="AT84" s="6">
        <f t="shared" si="146"/>
        <v>1.0028893443630942</v>
      </c>
      <c r="AU84" s="6">
        <f t="shared" si="175"/>
        <v>1.854253512779763</v>
      </c>
      <c r="AV84" s="6">
        <f t="shared" si="147"/>
        <v>1.5282123342675722</v>
      </c>
      <c r="AW84" s="179">
        <f t="shared" si="176"/>
        <v>0.35101127052708297</v>
      </c>
      <c r="AX84" s="179">
        <f t="shared" si="148"/>
        <v>2.3041666666666658</v>
      </c>
      <c r="AY84" s="179">
        <f t="shared" si="149"/>
        <v>0.5325249938728347</v>
      </c>
      <c r="AZ84" s="179">
        <f t="shared" si="177"/>
        <v>4.3268704627540799</v>
      </c>
      <c r="BA84" s="472">
        <f t="shared" si="150"/>
        <v>24.124421502313997</v>
      </c>
      <c r="BB84" s="472">
        <f t="shared" si="151"/>
        <v>9.8640058916962214</v>
      </c>
      <c r="BC84" s="6">
        <f t="shared" si="152"/>
        <v>0.14128667776774814</v>
      </c>
      <c r="BD84" s="563">
        <f t="shared" si="153"/>
        <v>42.837888463247836</v>
      </c>
      <c r="BE84" s="6"/>
      <c r="BF84" s="179">
        <f t="shared" si="178"/>
        <v>0.18711624152643519</v>
      </c>
      <c r="BG84" s="179">
        <f t="shared" si="154"/>
        <v>0.76329213420580944</v>
      </c>
      <c r="BH84" s="179"/>
      <c r="BI84" s="546">
        <f t="shared" si="155"/>
        <v>1.2254370745042729E-2</v>
      </c>
      <c r="BJ84" s="546">
        <f t="shared" si="156"/>
        <v>5.7079219105029048E-2</v>
      </c>
      <c r="BK84" s="546">
        <f t="shared" si="157"/>
        <v>4.3749999999999995E-3</v>
      </c>
      <c r="BL84" s="546">
        <f t="shared" si="158"/>
        <v>2.7651093750000001E-2</v>
      </c>
      <c r="BM84">
        <f t="shared" si="159"/>
        <v>6.96E-3</v>
      </c>
      <c r="BN84" s="546">
        <f t="shared" si="160"/>
        <v>0.11044297994623092</v>
      </c>
      <c r="BO84" s="472">
        <f t="shared" si="179"/>
        <v>110.44297994623092</v>
      </c>
      <c r="BP84" s="546">
        <f t="shared" si="161"/>
        <v>0.107835</v>
      </c>
      <c r="BQ84" s="546"/>
      <c r="BS84" s="472">
        <f t="shared" si="180"/>
        <v>107.83499999999999</v>
      </c>
      <c r="BT84" s="546">
        <f t="shared" si="162"/>
        <v>7.0024975685958465E-3</v>
      </c>
      <c r="BU84" s="546">
        <f t="shared" si="163"/>
        <v>2.3304595285618377E-2</v>
      </c>
      <c r="BV84" s="546">
        <f t="shared" si="164"/>
        <v>2.5361157475944786E-2</v>
      </c>
      <c r="BW84" s="546">
        <f t="shared" si="165"/>
        <v>5.9449240164005761E-2</v>
      </c>
      <c r="BX84" s="546">
        <f t="shared" si="166"/>
        <v>5.2367424242424236E-2</v>
      </c>
      <c r="BY84" s="472">
        <f t="shared" si="181"/>
        <v>111.81666440642999</v>
      </c>
      <c r="BZ84" s="179">
        <f t="shared" si="167"/>
        <v>0.33009464435266095</v>
      </c>
      <c r="CA84" s="6">
        <f t="shared" si="168"/>
        <v>1.9750000000000001</v>
      </c>
      <c r="CB84" s="179">
        <f t="shared" si="182"/>
        <v>0.85679779129183598</v>
      </c>
      <c r="CC84" s="6">
        <f t="shared" si="183"/>
        <v>85.679779129183601</v>
      </c>
      <c r="CF84" s="581">
        <f t="shared" si="169"/>
        <v>-50</v>
      </c>
      <c r="CG84">
        <f t="shared" si="170"/>
        <v>-50</v>
      </c>
    </row>
    <row r="85" spans="5:85" x14ac:dyDescent="0.2">
      <c r="E85" s="176">
        <v>80</v>
      </c>
      <c r="F85" s="223">
        <f t="shared" si="171"/>
        <v>0.4</v>
      </c>
      <c r="G85" s="223"/>
      <c r="H85" s="223">
        <f t="shared" si="119"/>
        <v>2</v>
      </c>
      <c r="I85" s="559">
        <f t="shared" si="120"/>
        <v>24</v>
      </c>
      <c r="J85" s="178">
        <f t="shared" si="121"/>
        <v>15.75</v>
      </c>
      <c r="K85" s="454">
        <f t="shared" si="122"/>
        <v>39.75</v>
      </c>
      <c r="L85" s="454"/>
      <c r="M85" s="223">
        <f t="shared" si="123"/>
        <v>0.39622641509433965</v>
      </c>
      <c r="N85" s="178">
        <f t="shared" si="124"/>
        <v>3.2094339622641508</v>
      </c>
      <c r="O85" s="178">
        <f t="shared" si="172"/>
        <v>2</v>
      </c>
      <c r="P85" s="223">
        <f t="shared" si="125"/>
        <v>0.6418867924528302</v>
      </c>
      <c r="Q85" s="223">
        <f t="shared" si="126"/>
        <v>5</v>
      </c>
      <c r="R85" s="223">
        <f t="shared" si="127"/>
        <v>0.71320754716981138</v>
      </c>
      <c r="S85" s="178">
        <f t="shared" si="128"/>
        <v>12.408002808988146</v>
      </c>
      <c r="T85" s="178">
        <f t="shared" si="129"/>
        <v>5</v>
      </c>
      <c r="U85" s="223">
        <f t="shared" si="130"/>
        <v>0.46737213403880068</v>
      </c>
      <c r="V85" s="223">
        <f t="shared" si="131"/>
        <v>0.85684891240446792</v>
      </c>
      <c r="W85" s="223">
        <f t="shared" si="132"/>
        <v>1.3056745331877606</v>
      </c>
      <c r="X85" s="203">
        <f t="shared" si="133"/>
        <v>350</v>
      </c>
      <c r="Y85" s="454">
        <f t="shared" si="173"/>
        <v>350</v>
      </c>
      <c r="AA85" s="223">
        <f t="shared" si="134"/>
        <v>0.61749571183533458</v>
      </c>
      <c r="AB85" s="179">
        <f t="shared" si="135"/>
        <v>1.7250673854447443</v>
      </c>
      <c r="AC85" s="179">
        <f t="shared" si="136"/>
        <v>0.55924139939803896</v>
      </c>
      <c r="AD85" s="179"/>
      <c r="AE85" s="179">
        <f t="shared" si="137"/>
        <v>0.419047619047619</v>
      </c>
      <c r="AF85" s="563">
        <f t="shared" si="184"/>
        <v>4242.4242424242429</v>
      </c>
      <c r="AG85" s="546">
        <f t="shared" si="138"/>
        <v>3.2999999999999995E-2</v>
      </c>
      <c r="AI85" s="179">
        <f t="shared" si="139"/>
        <v>0.55048188256318031</v>
      </c>
      <c r="AJ85" s="179">
        <f t="shared" si="140"/>
        <v>0.55048188256318031</v>
      </c>
      <c r="AK85" s="179">
        <f t="shared" si="141"/>
        <v>1.4966532463430964</v>
      </c>
      <c r="AM85" s="563">
        <f t="shared" si="142"/>
        <v>400</v>
      </c>
      <c r="AN85" s="472">
        <f t="shared" si="143"/>
        <v>350</v>
      </c>
      <c r="AP85">
        <f t="shared" si="144"/>
        <v>400</v>
      </c>
      <c r="AQ85">
        <f t="shared" si="145"/>
        <v>350</v>
      </c>
      <c r="AS85" s="6">
        <f t="shared" si="174"/>
        <v>2.8571428571428572</v>
      </c>
      <c r="AT85" s="6">
        <f t="shared" si="146"/>
        <v>1.009216784699164</v>
      </c>
      <c r="AU85" s="6">
        <f t="shared" si="175"/>
        <v>1.8479260724436932</v>
      </c>
      <c r="AV85" s="6">
        <f t="shared" si="147"/>
        <v>1.5378541481130117</v>
      </c>
      <c r="AW85" s="179">
        <f t="shared" si="176"/>
        <v>0.35322587464470739</v>
      </c>
      <c r="AX85" s="179">
        <f t="shared" si="148"/>
        <v>2.3333333333333335</v>
      </c>
      <c r="AY85" s="179">
        <f t="shared" si="149"/>
        <v>0.53405615717810373</v>
      </c>
      <c r="AZ85" s="179">
        <f t="shared" si="177"/>
        <v>4.369078610875718</v>
      </c>
      <c r="BA85" s="472">
        <f t="shared" si="150"/>
        <v>24.124421502313997</v>
      </c>
      <c r="BB85" s="472">
        <f t="shared" si="151"/>
        <v>10.100118203309698</v>
      </c>
      <c r="BC85" s="6">
        <f t="shared" si="152"/>
        <v>0.14258688830584051</v>
      </c>
      <c r="BD85" s="563">
        <f t="shared" si="153"/>
        <v>43.331409955785439</v>
      </c>
      <c r="BE85" s="6"/>
      <c r="BF85" s="179">
        <f t="shared" si="178"/>
        <v>0.18888986546991657</v>
      </c>
      <c r="BG85" s="179">
        <f t="shared" si="154"/>
        <v>0.76679624255451362</v>
      </c>
      <c r="BH85" s="179"/>
      <c r="BI85" s="546">
        <f t="shared" si="155"/>
        <v>1.2487783447035113E-2</v>
      </c>
      <c r="BJ85" s="546">
        <f t="shared" si="156"/>
        <v>5.7439343933701842E-2</v>
      </c>
      <c r="BK85" s="546">
        <f t="shared" si="157"/>
        <v>4.3749999999999995E-3</v>
      </c>
      <c r="BL85" s="546">
        <f t="shared" si="158"/>
        <v>2.7651093750000001E-2</v>
      </c>
      <c r="BM85">
        <f t="shared" si="159"/>
        <v>6.96E-3</v>
      </c>
      <c r="BN85" s="546">
        <f t="shared" si="160"/>
        <v>0.1110797157103659</v>
      </c>
      <c r="BO85" s="472">
        <f t="shared" si="179"/>
        <v>111.0797157103659</v>
      </c>
      <c r="BP85" s="546">
        <f t="shared" si="161"/>
        <v>0.10920000000000001</v>
      </c>
      <c r="BQ85" s="546"/>
      <c r="BS85" s="472">
        <f t="shared" si="180"/>
        <v>109.2</v>
      </c>
      <c r="BT85" s="546">
        <f t="shared" si="162"/>
        <v>7.1358762554486373E-3</v>
      </c>
      <c r="BU85" s="546">
        <f t="shared" si="163"/>
        <v>2.3519059103828819E-2</v>
      </c>
      <c r="BV85" s="546">
        <f t="shared" si="164"/>
        <v>2.5763074558214156E-2</v>
      </c>
      <c r="BW85" s="546">
        <f t="shared" si="165"/>
        <v>6.0244345080942362E-2</v>
      </c>
      <c r="BX85" s="546">
        <f t="shared" si="166"/>
        <v>5.3030303030303046E-2</v>
      </c>
      <c r="BY85" s="472">
        <f t="shared" si="181"/>
        <v>113.27464811124541</v>
      </c>
      <c r="BZ85" s="179">
        <f t="shared" si="167"/>
        <v>0.3335543638216113</v>
      </c>
      <c r="CA85" s="6">
        <f t="shared" si="168"/>
        <v>2</v>
      </c>
      <c r="CB85" s="179">
        <f t="shared" si="182"/>
        <v>0.85706166996025901</v>
      </c>
      <c r="CC85" s="6">
        <f t="shared" si="183"/>
        <v>85.7061669960259</v>
      </c>
      <c r="CF85" s="581">
        <f t="shared" si="169"/>
        <v>-50</v>
      </c>
      <c r="CG85">
        <f t="shared" si="170"/>
        <v>-50</v>
      </c>
    </row>
    <row r="86" spans="5:85" x14ac:dyDescent="0.2">
      <c r="E86" s="176">
        <v>81</v>
      </c>
      <c r="F86" s="223">
        <f t="shared" si="171"/>
        <v>0.40500000000000003</v>
      </c>
      <c r="G86" s="223"/>
      <c r="H86" s="223">
        <f t="shared" si="119"/>
        <v>2.0250000000000004</v>
      </c>
      <c r="I86" s="559">
        <f t="shared" si="120"/>
        <v>24</v>
      </c>
      <c r="J86" s="178">
        <f t="shared" si="121"/>
        <v>15.75</v>
      </c>
      <c r="K86" s="454">
        <f t="shared" si="122"/>
        <v>39.75</v>
      </c>
      <c r="L86" s="454"/>
      <c r="M86" s="223">
        <f t="shared" si="123"/>
        <v>0.39622641509433965</v>
      </c>
      <c r="N86" s="178">
        <f t="shared" si="124"/>
        <v>3.2094339622641508</v>
      </c>
      <c r="O86" s="178">
        <f t="shared" si="172"/>
        <v>2.0250000000000004</v>
      </c>
      <c r="P86" s="223">
        <f t="shared" si="125"/>
        <v>0.6418867924528302</v>
      </c>
      <c r="Q86" s="223">
        <f t="shared" si="126"/>
        <v>5</v>
      </c>
      <c r="R86" s="223">
        <f t="shared" si="127"/>
        <v>0.71320754716981138</v>
      </c>
      <c r="S86" s="178">
        <f t="shared" si="128"/>
        <v>12.161145480340076</v>
      </c>
      <c r="T86" s="178">
        <f t="shared" si="129"/>
        <v>5</v>
      </c>
      <c r="U86" s="223">
        <f t="shared" si="130"/>
        <v>0.47321428571428575</v>
      </c>
      <c r="V86" s="223">
        <f t="shared" si="131"/>
        <v>0.86755952380952384</v>
      </c>
      <c r="W86" s="223">
        <f t="shared" si="132"/>
        <v>1.3219954648526078</v>
      </c>
      <c r="X86" s="203">
        <f t="shared" si="133"/>
        <v>350</v>
      </c>
      <c r="Y86" s="454">
        <f t="shared" si="173"/>
        <v>350</v>
      </c>
      <c r="AA86" s="223">
        <f t="shared" si="134"/>
        <v>0.61749571183533458</v>
      </c>
      <c r="AB86" s="179">
        <f t="shared" si="135"/>
        <v>1.7250673854447443</v>
      </c>
      <c r="AC86" s="179">
        <f t="shared" si="136"/>
        <v>0.55924139939803896</v>
      </c>
      <c r="AD86" s="179"/>
      <c r="AE86" s="179">
        <f t="shared" si="137"/>
        <v>0.419047619047619</v>
      </c>
      <c r="AF86" s="563">
        <f t="shared" si="184"/>
        <v>4295.4545454545469</v>
      </c>
      <c r="AG86" s="546">
        <f t="shared" si="138"/>
        <v>3.2999999999999995E-2</v>
      </c>
      <c r="AI86" s="179">
        <f t="shared" si="139"/>
        <v>0.5539117094069973</v>
      </c>
      <c r="AJ86" s="179">
        <f t="shared" si="140"/>
        <v>0.5539117094069973</v>
      </c>
      <c r="AK86" s="179">
        <f t="shared" si="141"/>
        <v>1.499193858819998</v>
      </c>
      <c r="AM86" s="563">
        <f t="shared" si="142"/>
        <v>405</v>
      </c>
      <c r="AN86" s="472">
        <f t="shared" si="143"/>
        <v>350</v>
      </c>
      <c r="AP86">
        <f t="shared" si="144"/>
        <v>405</v>
      </c>
      <c r="AQ86">
        <f t="shared" si="145"/>
        <v>350</v>
      </c>
      <c r="AS86" s="6">
        <f t="shared" si="174"/>
        <v>2.8571428571428572</v>
      </c>
      <c r="AT86" s="6">
        <f t="shared" si="146"/>
        <v>1.0155048005794951</v>
      </c>
      <c r="AU86" s="6">
        <f t="shared" si="175"/>
        <v>1.8416380565633621</v>
      </c>
      <c r="AV86" s="6">
        <f t="shared" si="147"/>
        <v>1.5474358865973259</v>
      </c>
      <c r="AW86" s="179">
        <f t="shared" si="176"/>
        <v>0.35542668020282325</v>
      </c>
      <c r="AX86" s="179">
        <f t="shared" si="148"/>
        <v>2.3624999999999998</v>
      </c>
      <c r="AY86" s="179">
        <f t="shared" si="149"/>
        <v>0.53555506411049592</v>
      </c>
      <c r="AZ86" s="179">
        <f t="shared" si="177"/>
        <v>4.4113111019197984</v>
      </c>
      <c r="BA86" s="472">
        <f t="shared" si="150"/>
        <v>24.124421502313997</v>
      </c>
      <c r="BB86" s="472">
        <f t="shared" si="151"/>
        <v>10.339011801861707</v>
      </c>
      <c r="BC86" s="6">
        <f t="shared" si="152"/>
        <v>0.14387797316901266</v>
      </c>
      <c r="BD86" s="563">
        <f t="shared" si="153"/>
        <v>43.823963927777989</v>
      </c>
      <c r="BE86" s="6"/>
      <c r="BF86" s="179">
        <f t="shared" si="178"/>
        <v>0.19065795532794899</v>
      </c>
      <c r="BG86" s="179">
        <f t="shared" si="154"/>
        <v>0.77025998343808411</v>
      </c>
      <c r="BH86" s="179"/>
      <c r="BI86" s="546">
        <f t="shared" si="155"/>
        <v>1.2722659575441967E-2</v>
      </c>
      <c r="BJ86" s="546">
        <f t="shared" si="156"/>
        <v>5.7797224928436371E-2</v>
      </c>
      <c r="BK86" s="546">
        <f t="shared" si="157"/>
        <v>4.3749999999999995E-3</v>
      </c>
      <c r="BL86" s="546">
        <f t="shared" si="158"/>
        <v>2.7651093750000001E-2</v>
      </c>
      <c r="BM86">
        <f t="shared" si="159"/>
        <v>6.96E-3</v>
      </c>
      <c r="BN86" s="546">
        <f t="shared" si="160"/>
        <v>0.1117160263997091</v>
      </c>
      <c r="BO86" s="472">
        <f t="shared" si="179"/>
        <v>111.71602639970909</v>
      </c>
      <c r="BP86" s="546">
        <f t="shared" si="161"/>
        <v>0.110565</v>
      </c>
      <c r="BQ86" s="546"/>
      <c r="BS86" s="472">
        <f t="shared" si="180"/>
        <v>110.565</v>
      </c>
      <c r="BT86" s="546">
        <f t="shared" si="162"/>
        <v>7.2700911859668385E-3</v>
      </c>
      <c r="BU86" s="546">
        <f t="shared" si="163"/>
        <v>2.3732017683441506E-2</v>
      </c>
      <c r="BV86" s="546">
        <f t="shared" si="164"/>
        <v>2.6166249624607972E-2</v>
      </c>
      <c r="BW86" s="546">
        <f t="shared" si="165"/>
        <v>6.1040001059002924E-2</v>
      </c>
      <c r="BX86" s="546">
        <f t="shared" si="166"/>
        <v>5.369318181818182E-2</v>
      </c>
      <c r="BY86" s="472">
        <f t="shared" si="181"/>
        <v>114.73318287718475</v>
      </c>
      <c r="BZ86" s="179">
        <f t="shared" si="167"/>
        <v>0.33701420927689385</v>
      </c>
      <c r="CA86" s="6">
        <f t="shared" si="168"/>
        <v>2.0250000000000004</v>
      </c>
      <c r="CB86" s="179">
        <f t="shared" si="182"/>
        <v>0.85731914399445242</v>
      </c>
      <c r="CC86" s="6">
        <f t="shared" si="183"/>
        <v>85.731914399445245</v>
      </c>
      <c r="CF86" s="581">
        <f t="shared" si="169"/>
        <v>-50</v>
      </c>
      <c r="CG86">
        <f t="shared" si="170"/>
        <v>-50</v>
      </c>
    </row>
    <row r="87" spans="5:85" x14ac:dyDescent="0.2">
      <c r="E87" s="176">
        <v>82</v>
      </c>
      <c r="F87" s="223">
        <f t="shared" si="171"/>
        <v>0.41</v>
      </c>
      <c r="G87" s="223"/>
      <c r="H87" s="223">
        <f t="shared" si="119"/>
        <v>2.0499999999999998</v>
      </c>
      <c r="I87" s="559">
        <f t="shared" si="120"/>
        <v>24</v>
      </c>
      <c r="J87" s="178">
        <f t="shared" si="121"/>
        <v>15.75</v>
      </c>
      <c r="K87" s="454">
        <f t="shared" si="122"/>
        <v>39.75</v>
      </c>
      <c r="L87" s="454"/>
      <c r="M87" s="223">
        <f t="shared" si="123"/>
        <v>0.39622641509433965</v>
      </c>
      <c r="N87" s="178">
        <f t="shared" si="124"/>
        <v>3.2094339622641508</v>
      </c>
      <c r="O87" s="178">
        <f t="shared" si="172"/>
        <v>2.0499999999999998</v>
      </c>
      <c r="P87" s="223">
        <f t="shared" si="125"/>
        <v>0.6418867924528302</v>
      </c>
      <c r="Q87" s="223">
        <f t="shared" si="126"/>
        <v>5</v>
      </c>
      <c r="R87" s="223">
        <f t="shared" si="127"/>
        <v>0.71320754716981138</v>
      </c>
      <c r="S87" s="178">
        <f t="shared" si="128"/>
        <v>11.920430288138855</v>
      </c>
      <c r="T87" s="178">
        <f t="shared" si="129"/>
        <v>5</v>
      </c>
      <c r="U87" s="223">
        <f t="shared" si="130"/>
        <v>0.47905643738977066</v>
      </c>
      <c r="V87" s="223">
        <f t="shared" si="131"/>
        <v>0.87827013521457953</v>
      </c>
      <c r="W87" s="223">
        <f t="shared" si="132"/>
        <v>1.3383163965174545</v>
      </c>
      <c r="X87" s="203">
        <f t="shared" si="133"/>
        <v>350</v>
      </c>
      <c r="Y87" s="454">
        <f t="shared" si="173"/>
        <v>350</v>
      </c>
      <c r="AA87" s="223">
        <f t="shared" si="134"/>
        <v>0.61749571183533458</v>
      </c>
      <c r="AB87" s="179">
        <f t="shared" si="135"/>
        <v>1.7250673854447443</v>
      </c>
      <c r="AC87" s="179">
        <f t="shared" si="136"/>
        <v>0.55924139939803896</v>
      </c>
      <c r="AD87" s="179"/>
      <c r="AE87" s="179">
        <f t="shared" si="137"/>
        <v>0.419047619047619</v>
      </c>
      <c r="AF87" s="563">
        <f t="shared" si="184"/>
        <v>4348.484848484849</v>
      </c>
      <c r="AG87" s="546">
        <f t="shared" si="138"/>
        <v>3.2999999999999995E-2</v>
      </c>
      <c r="AI87" s="179">
        <f t="shared" si="139"/>
        <v>0.55732042902271273</v>
      </c>
      <c r="AJ87" s="179">
        <f t="shared" si="140"/>
        <v>0.55732042902271273</v>
      </c>
      <c r="AK87" s="179">
        <f t="shared" si="141"/>
        <v>1.5017188363131204</v>
      </c>
      <c r="AM87" s="563">
        <f t="shared" si="142"/>
        <v>410</v>
      </c>
      <c r="AN87" s="472">
        <f t="shared" si="143"/>
        <v>350</v>
      </c>
      <c r="AP87">
        <f t="shared" si="144"/>
        <v>410</v>
      </c>
      <c r="AQ87">
        <f t="shared" si="145"/>
        <v>350</v>
      </c>
      <c r="AS87" s="6">
        <f t="shared" si="174"/>
        <v>2.8571428571428572</v>
      </c>
      <c r="AT87" s="6">
        <f t="shared" si="146"/>
        <v>1.0217541198749731</v>
      </c>
      <c r="AU87" s="6">
        <f t="shared" si="175"/>
        <v>1.8353887372678841</v>
      </c>
      <c r="AV87" s="6">
        <f t="shared" si="147"/>
        <v>1.5569586588571021</v>
      </c>
      <c r="AW87" s="179">
        <f t="shared" si="176"/>
        <v>0.35761394195624058</v>
      </c>
      <c r="AX87" s="179">
        <f t="shared" si="148"/>
        <v>2.3916666666666662</v>
      </c>
      <c r="AY87" s="179">
        <f t="shared" si="149"/>
        <v>0.53702231020073588</v>
      </c>
      <c r="AZ87" s="179">
        <f t="shared" si="177"/>
        <v>4.4535704033835666</v>
      </c>
      <c r="BA87" s="472">
        <f t="shared" si="150"/>
        <v>24.124421502313997</v>
      </c>
      <c r="BB87" s="472">
        <f t="shared" si="151"/>
        <v>10.580686687352246</v>
      </c>
      <c r="BC87" s="6">
        <f t="shared" si="152"/>
        <v>0.14515998886570841</v>
      </c>
      <c r="BD87" s="563">
        <f t="shared" si="153"/>
        <v>44.315555515316902</v>
      </c>
      <c r="BE87" s="6"/>
      <c r="BF87" s="179">
        <f t="shared" si="178"/>
        <v>0.19242059637577982</v>
      </c>
      <c r="BG87" s="179">
        <f t="shared" si="154"/>
        <v>0.77368404961695114</v>
      </c>
      <c r="BH87" s="179"/>
      <c r="BI87" s="546">
        <f t="shared" si="155"/>
        <v>1.295899006836377E-2</v>
      </c>
      <c r="BJ87" s="546">
        <f t="shared" si="156"/>
        <v>5.8152903515838683E-2</v>
      </c>
      <c r="BK87" s="546">
        <f t="shared" si="157"/>
        <v>4.3749999999999995E-3</v>
      </c>
      <c r="BL87" s="546">
        <f t="shared" si="158"/>
        <v>2.7651093750000001E-2</v>
      </c>
      <c r="BM87">
        <f t="shared" si="159"/>
        <v>6.96E-3</v>
      </c>
      <c r="BN87" s="546">
        <f t="shared" si="160"/>
        <v>0.11235194380979498</v>
      </c>
      <c r="BO87" s="472">
        <f t="shared" si="179"/>
        <v>112.35194380979497</v>
      </c>
      <c r="BP87" s="546">
        <f t="shared" si="161"/>
        <v>0.11192999999999999</v>
      </c>
      <c r="BQ87" s="546"/>
      <c r="BS87" s="472">
        <f t="shared" si="180"/>
        <v>111.92999999999999</v>
      </c>
      <c r="BT87" s="546">
        <f t="shared" si="162"/>
        <v>7.4051371819221544E-3</v>
      </c>
      <c r="BU87" s="546">
        <f t="shared" si="163"/>
        <v>2.3943480345267398E-2</v>
      </c>
      <c r="BV87" s="546">
        <f t="shared" si="164"/>
        <v>2.6570671008533948E-2</v>
      </c>
      <c r="BW87" s="546">
        <f t="shared" si="165"/>
        <v>6.1836200992125175E-2</v>
      </c>
      <c r="BX87" s="546">
        <f t="shared" si="166"/>
        <v>5.4356060606060602E-2</v>
      </c>
      <c r="BY87" s="472">
        <f t="shared" si="181"/>
        <v>116.19226159818577</v>
      </c>
      <c r="BZ87" s="179">
        <f t="shared" si="167"/>
        <v>0.34047420540798079</v>
      </c>
      <c r="CA87" s="6">
        <f t="shared" si="168"/>
        <v>2.0499999999999998</v>
      </c>
      <c r="CB87" s="179">
        <f t="shared" si="182"/>
        <v>0.85757043324804572</v>
      </c>
      <c r="CC87" s="6">
        <f t="shared" si="183"/>
        <v>85.75704332480457</v>
      </c>
      <c r="CF87" s="581">
        <f t="shared" si="169"/>
        <v>-50</v>
      </c>
      <c r="CG87">
        <f t="shared" si="170"/>
        <v>-50</v>
      </c>
    </row>
    <row r="88" spans="5:85" x14ac:dyDescent="0.2">
      <c r="E88" s="176">
        <v>83</v>
      </c>
      <c r="F88" s="223">
        <f t="shared" si="171"/>
        <v>0.41499999999999998</v>
      </c>
      <c r="G88" s="223"/>
      <c r="H88" s="223">
        <f t="shared" si="119"/>
        <v>2.0749999999999997</v>
      </c>
      <c r="I88" s="559">
        <f t="shared" si="120"/>
        <v>24</v>
      </c>
      <c r="J88" s="178">
        <f t="shared" si="121"/>
        <v>15.75</v>
      </c>
      <c r="K88" s="454">
        <f t="shared" si="122"/>
        <v>39.75</v>
      </c>
      <c r="L88" s="454"/>
      <c r="M88" s="223">
        <f t="shared" si="123"/>
        <v>0.39622641509433965</v>
      </c>
      <c r="N88" s="178">
        <f t="shared" si="124"/>
        <v>3.2094339622641508</v>
      </c>
      <c r="O88" s="178">
        <f t="shared" si="172"/>
        <v>2.0749999999999997</v>
      </c>
      <c r="P88" s="223">
        <f t="shared" si="125"/>
        <v>0.6418867924528302</v>
      </c>
      <c r="Q88" s="223">
        <f t="shared" si="126"/>
        <v>5</v>
      </c>
      <c r="R88" s="223">
        <f t="shared" si="127"/>
        <v>0.71320754716981138</v>
      </c>
      <c r="S88" s="178">
        <f t="shared" si="128"/>
        <v>11.68563769711827</v>
      </c>
      <c r="T88" s="178">
        <f t="shared" si="129"/>
        <v>5</v>
      </c>
      <c r="U88" s="223">
        <f t="shared" si="130"/>
        <v>0.48489858906525563</v>
      </c>
      <c r="V88" s="223">
        <f t="shared" si="131"/>
        <v>0.88898074661963533</v>
      </c>
      <c r="W88" s="223">
        <f t="shared" si="132"/>
        <v>1.3546373281823014</v>
      </c>
      <c r="X88" s="203">
        <f t="shared" si="133"/>
        <v>350</v>
      </c>
      <c r="Y88" s="454">
        <f t="shared" si="173"/>
        <v>350</v>
      </c>
      <c r="AA88" s="223">
        <f t="shared" si="134"/>
        <v>0.61749571183533458</v>
      </c>
      <c r="AB88" s="179">
        <f t="shared" si="135"/>
        <v>1.7250673854447443</v>
      </c>
      <c r="AC88" s="179">
        <f t="shared" si="136"/>
        <v>0.55924139939803896</v>
      </c>
      <c r="AD88" s="179"/>
      <c r="AE88" s="179">
        <f t="shared" si="137"/>
        <v>0.419047619047619</v>
      </c>
      <c r="AF88" s="563">
        <f t="shared" si="184"/>
        <v>4401.515151515152</v>
      </c>
      <c r="AG88" s="546">
        <f t="shared" si="138"/>
        <v>3.2999999999999995E-2</v>
      </c>
      <c r="AI88" s="179">
        <f t="shared" si="139"/>
        <v>0.56070842636252516</v>
      </c>
      <c r="AJ88" s="179">
        <f t="shared" si="140"/>
        <v>0.56070842636252516</v>
      </c>
      <c r="AK88" s="179">
        <f t="shared" si="141"/>
        <v>1.5042284639722407</v>
      </c>
      <c r="AM88" s="563">
        <f t="shared" si="142"/>
        <v>415</v>
      </c>
      <c r="AN88" s="472">
        <f t="shared" si="143"/>
        <v>350</v>
      </c>
      <c r="AP88">
        <f t="shared" si="144"/>
        <v>415</v>
      </c>
      <c r="AQ88">
        <f t="shared" si="145"/>
        <v>350</v>
      </c>
      <c r="AS88" s="6">
        <f t="shared" si="174"/>
        <v>2.8571428571428572</v>
      </c>
      <c r="AT88" s="6">
        <f t="shared" si="146"/>
        <v>1.0279654483312961</v>
      </c>
      <c r="AU88" s="6">
        <f t="shared" si="175"/>
        <v>1.8291774088115611</v>
      </c>
      <c r="AV88" s="6">
        <f t="shared" si="147"/>
        <v>1.566423540314356</v>
      </c>
      <c r="AW88" s="179">
        <f t="shared" si="176"/>
        <v>0.35978790691595364</v>
      </c>
      <c r="AX88" s="179">
        <f t="shared" si="148"/>
        <v>2.4208333333333325</v>
      </c>
      <c r="AY88" s="179">
        <f t="shared" si="149"/>
        <v>0.53845847287712112</v>
      </c>
      <c r="AZ88" s="179">
        <f t="shared" si="177"/>
        <v>4.4958589292841875</v>
      </c>
      <c r="BA88" s="472">
        <f t="shared" si="150"/>
        <v>24.124421502313997</v>
      </c>
      <c r="BB88" s="472">
        <f t="shared" si="151"/>
        <v>10.825142859781325</v>
      </c>
      <c r="BC88" s="6">
        <f t="shared" si="152"/>
        <v>0.14643299086743783</v>
      </c>
      <c r="BD88" s="563">
        <f t="shared" si="153"/>
        <v>44.806189768110585</v>
      </c>
      <c r="BE88" s="6"/>
      <c r="BF88" s="179">
        <f t="shared" si="178"/>
        <v>0.19417787155218158</v>
      </c>
      <c r="BG88" s="179">
        <f t="shared" si="154"/>
        <v>0.77706911274158752</v>
      </c>
      <c r="BH88" s="179"/>
      <c r="BI88" s="546">
        <f t="shared" si="155"/>
        <v>1.3196766030187433E-2</v>
      </c>
      <c r="BJ88" s="546">
        <f t="shared" si="156"/>
        <v>5.8506419863264734E-2</v>
      </c>
      <c r="BK88" s="546">
        <f t="shared" si="157"/>
        <v>4.3749999999999995E-3</v>
      </c>
      <c r="BL88" s="546">
        <f t="shared" si="158"/>
        <v>2.7651093750000001E-2</v>
      </c>
      <c r="BM88">
        <f t="shared" si="159"/>
        <v>6.96E-3</v>
      </c>
      <c r="BN88" s="546">
        <f t="shared" si="160"/>
        <v>0.11298749866847492</v>
      </c>
      <c r="BO88" s="472">
        <f t="shared" si="179"/>
        <v>112.98749866847491</v>
      </c>
      <c r="BP88" s="546">
        <f t="shared" si="161"/>
        <v>0.11329499999999999</v>
      </c>
      <c r="BQ88" s="546"/>
      <c r="BS88" s="472">
        <f t="shared" si="180"/>
        <v>113.29499999999999</v>
      </c>
      <c r="BT88" s="546">
        <f t="shared" si="162"/>
        <v>7.541009160107106E-3</v>
      </c>
      <c r="BU88" s="546">
        <f t="shared" si="163"/>
        <v>2.4153456239079923E-2</v>
      </c>
      <c r="BV88" s="546">
        <f t="shared" si="164"/>
        <v>2.6976327292781474E-2</v>
      </c>
      <c r="BW88" s="546">
        <f t="shared" si="165"/>
        <v>6.2632937938618544E-2</v>
      </c>
      <c r="BX88" s="546">
        <f t="shared" si="166"/>
        <v>5.5018939393939384E-2</v>
      </c>
      <c r="BY88" s="472">
        <f t="shared" si="181"/>
        <v>117.65187733255793</v>
      </c>
      <c r="BZ88" s="179">
        <f t="shared" si="167"/>
        <v>0.34393437600103283</v>
      </c>
      <c r="CA88" s="6">
        <f t="shared" si="168"/>
        <v>2.0749999999999997</v>
      </c>
      <c r="CB88" s="179">
        <f t="shared" si="182"/>
        <v>0.85781574754019452</v>
      </c>
      <c r="CC88" s="6">
        <f t="shared" si="183"/>
        <v>85.781574754019445</v>
      </c>
      <c r="CF88" s="581">
        <f t="shared" si="169"/>
        <v>-50</v>
      </c>
      <c r="CG88">
        <f t="shared" si="170"/>
        <v>-50</v>
      </c>
    </row>
    <row r="89" spans="5:85" x14ac:dyDescent="0.2">
      <c r="E89" s="176">
        <v>84</v>
      </c>
      <c r="F89" s="223">
        <f t="shared" si="171"/>
        <v>0.42</v>
      </c>
      <c r="G89" s="223"/>
      <c r="H89" s="223">
        <f t="shared" si="119"/>
        <v>2.1</v>
      </c>
      <c r="I89" s="559">
        <f t="shared" si="120"/>
        <v>24</v>
      </c>
      <c r="J89" s="178">
        <f t="shared" si="121"/>
        <v>15.75</v>
      </c>
      <c r="K89" s="454">
        <f t="shared" si="122"/>
        <v>39.75</v>
      </c>
      <c r="L89" s="454"/>
      <c r="M89" s="223">
        <f t="shared" si="123"/>
        <v>0.39622641509433965</v>
      </c>
      <c r="N89" s="178">
        <f t="shared" si="124"/>
        <v>3.2094339622641508</v>
      </c>
      <c r="O89" s="178">
        <f t="shared" si="172"/>
        <v>2.1</v>
      </c>
      <c r="P89" s="223">
        <f t="shared" si="125"/>
        <v>0.6418867924528302</v>
      </c>
      <c r="Q89" s="223">
        <f t="shared" si="126"/>
        <v>5</v>
      </c>
      <c r="R89" s="223">
        <f t="shared" si="127"/>
        <v>0.71320754716981138</v>
      </c>
      <c r="S89" s="178">
        <f t="shared" si="128"/>
        <v>11.456558686158353</v>
      </c>
      <c r="T89" s="178">
        <f t="shared" si="129"/>
        <v>5</v>
      </c>
      <c r="U89" s="223">
        <f t="shared" si="130"/>
        <v>0.4907407407407407</v>
      </c>
      <c r="V89" s="223">
        <f t="shared" si="131"/>
        <v>0.89969135802469125</v>
      </c>
      <c r="W89" s="223">
        <f t="shared" si="132"/>
        <v>1.3709582598471486</v>
      </c>
      <c r="X89" s="203">
        <f t="shared" si="133"/>
        <v>350</v>
      </c>
      <c r="Y89" s="454">
        <f t="shared" si="173"/>
        <v>350</v>
      </c>
      <c r="AA89" s="223">
        <f t="shared" si="134"/>
        <v>0.61749571183533458</v>
      </c>
      <c r="AB89" s="179">
        <f t="shared" si="135"/>
        <v>1.7250673854447443</v>
      </c>
      <c r="AC89" s="179">
        <f t="shared" si="136"/>
        <v>0.55924139939803896</v>
      </c>
      <c r="AD89" s="179"/>
      <c r="AE89" s="179">
        <f t="shared" si="137"/>
        <v>0.419047619047619</v>
      </c>
      <c r="AF89" s="563">
        <f t="shared" si="184"/>
        <v>4454.545454545455</v>
      </c>
      <c r="AG89" s="546">
        <f t="shared" si="138"/>
        <v>3.2999999999999995E-2</v>
      </c>
      <c r="AI89" s="179">
        <f t="shared" si="139"/>
        <v>0.56407607481776612</v>
      </c>
      <c r="AJ89" s="179">
        <f t="shared" si="140"/>
        <v>0.56407607481776612</v>
      </c>
      <c r="AK89" s="179">
        <f t="shared" si="141"/>
        <v>1.5067230183835303</v>
      </c>
      <c r="AM89" s="563">
        <f t="shared" si="142"/>
        <v>420</v>
      </c>
      <c r="AN89" s="472">
        <f t="shared" si="143"/>
        <v>350</v>
      </c>
      <c r="AP89">
        <f t="shared" si="144"/>
        <v>420</v>
      </c>
      <c r="AQ89">
        <f t="shared" si="145"/>
        <v>350</v>
      </c>
      <c r="AS89" s="6">
        <f t="shared" si="174"/>
        <v>2.8571428571428572</v>
      </c>
      <c r="AT89" s="6">
        <f t="shared" si="146"/>
        <v>1.0341394704992379</v>
      </c>
      <c r="AU89" s="6">
        <f t="shared" si="175"/>
        <v>1.8230033866436193</v>
      </c>
      <c r="AV89" s="6">
        <f t="shared" si="147"/>
        <v>1.5758315740940767</v>
      </c>
      <c r="AW89" s="179">
        <f t="shared" si="176"/>
        <v>0.36194881467473328</v>
      </c>
      <c r="AX89" s="179">
        <f t="shared" si="148"/>
        <v>2.4499999999999988</v>
      </c>
      <c r="AY89" s="179">
        <f t="shared" si="149"/>
        <v>0.53986411222664921</v>
      </c>
      <c r="AZ89" s="179">
        <f t="shared" si="177"/>
        <v>4.5381790426762505</v>
      </c>
      <c r="BA89" s="472">
        <f t="shared" si="150"/>
        <v>24.124421502313997</v>
      </c>
      <c r="BB89" s="472">
        <f t="shared" si="151"/>
        <v>11.072380319148937</v>
      </c>
      <c r="BC89" s="6">
        <f t="shared" si="152"/>
        <v>0.14769703364010803</v>
      </c>
      <c r="BD89" s="563">
        <f t="shared" si="153"/>
        <v>45.29587165192406</v>
      </c>
      <c r="BE89" s="6"/>
      <c r="BF89" s="179">
        <f t="shared" si="178"/>
        <v>0.19592986155081155</v>
      </c>
      <c r="BG89" s="179">
        <f t="shared" si="154"/>
        <v>0.78041582423703604</v>
      </c>
      <c r="BH89" s="179"/>
      <c r="BI89" s="546">
        <f t="shared" si="155"/>
        <v>1.3435978726562062E-2</v>
      </c>
      <c r="BJ89" s="546">
        <f t="shared" si="156"/>
        <v>5.8857812931766285E-2</v>
      </c>
      <c r="BK89" s="546">
        <f t="shared" si="157"/>
        <v>4.3749999999999995E-3</v>
      </c>
      <c r="BL89" s="546">
        <f t="shared" si="158"/>
        <v>2.7651093750000001E-2</v>
      </c>
      <c r="BM89">
        <f t="shared" si="159"/>
        <v>6.96E-3</v>
      </c>
      <c r="BN89" s="546">
        <f t="shared" si="160"/>
        <v>0.11362272068309466</v>
      </c>
      <c r="BO89" s="472">
        <f t="shared" si="179"/>
        <v>113.62272068309466</v>
      </c>
      <c r="BP89" s="546">
        <f t="shared" si="161"/>
        <v>0.11466</v>
      </c>
      <c r="BQ89" s="546"/>
      <c r="BS89" s="472">
        <f t="shared" si="180"/>
        <v>114.66</v>
      </c>
      <c r="BT89" s="546">
        <f t="shared" si="162"/>
        <v>7.6777021294640356E-3</v>
      </c>
      <c r="BU89" s="546">
        <f t="shared" si="163"/>
        <v>2.4361954348782897E-2</v>
      </c>
      <c r="BV89" s="546">
        <f t="shared" si="164"/>
        <v>2.7383207301245639E-2</v>
      </c>
      <c r="BW89" s="546">
        <f t="shared" si="165"/>
        <v>6.3430205115461741E-2</v>
      </c>
      <c r="BX89" s="546">
        <f t="shared" si="166"/>
        <v>5.5681818181818166E-2</v>
      </c>
      <c r="BY89" s="472">
        <f t="shared" si="181"/>
        <v>119.1120232972799</v>
      </c>
      <c r="BZ89" s="179">
        <f t="shared" si="167"/>
        <v>0.34739474398037457</v>
      </c>
      <c r="CA89" s="6">
        <f t="shared" si="168"/>
        <v>2.1</v>
      </c>
      <c r="CB89" s="179">
        <f t="shared" si="182"/>
        <v>0.85805528722539404</v>
      </c>
      <c r="CC89" s="6">
        <f t="shared" si="183"/>
        <v>85.805528722539407</v>
      </c>
      <c r="CF89" s="581">
        <f t="shared" si="169"/>
        <v>-50</v>
      </c>
      <c r="CG89">
        <f t="shared" si="170"/>
        <v>-50</v>
      </c>
    </row>
    <row r="90" spans="5:85" x14ac:dyDescent="0.2">
      <c r="E90" s="176">
        <v>85</v>
      </c>
      <c r="F90" s="223">
        <f t="shared" si="171"/>
        <v>0.42499999999999999</v>
      </c>
      <c r="G90" s="223"/>
      <c r="H90" s="223">
        <f t="shared" si="119"/>
        <v>2.125</v>
      </c>
      <c r="I90" s="559">
        <f t="shared" si="120"/>
        <v>24</v>
      </c>
      <c r="J90" s="178">
        <f t="shared" si="121"/>
        <v>15.75</v>
      </c>
      <c r="K90" s="454">
        <f t="shared" si="122"/>
        <v>39.75</v>
      </c>
      <c r="L90" s="454"/>
      <c r="M90" s="223">
        <f t="shared" si="123"/>
        <v>0.39622641509433965</v>
      </c>
      <c r="N90" s="178">
        <f t="shared" si="124"/>
        <v>3.2094339622641508</v>
      </c>
      <c r="O90" s="178">
        <f t="shared" si="172"/>
        <v>2.125</v>
      </c>
      <c r="P90" s="223">
        <f t="shared" si="125"/>
        <v>0.6418867924528302</v>
      </c>
      <c r="Q90" s="223">
        <f t="shared" si="126"/>
        <v>5</v>
      </c>
      <c r="R90" s="223">
        <f t="shared" si="127"/>
        <v>0.71320754716981138</v>
      </c>
      <c r="S90" s="178">
        <f t="shared" si="128"/>
        <v>11.232994131357684</v>
      </c>
      <c r="T90" s="178">
        <f t="shared" si="129"/>
        <v>5</v>
      </c>
      <c r="U90" s="223">
        <f t="shared" si="130"/>
        <v>0.49658289241622572</v>
      </c>
      <c r="V90" s="223">
        <f t="shared" si="131"/>
        <v>0.91040196942974716</v>
      </c>
      <c r="W90" s="223">
        <f t="shared" si="132"/>
        <v>1.3872791915119957</v>
      </c>
      <c r="X90" s="203">
        <f t="shared" si="133"/>
        <v>350</v>
      </c>
      <c r="Y90" s="454">
        <f t="shared" si="173"/>
        <v>350</v>
      </c>
      <c r="AA90" s="223">
        <f t="shared" si="134"/>
        <v>0.61749571183533458</v>
      </c>
      <c r="AB90" s="179">
        <f t="shared" si="135"/>
        <v>1.7250673854447443</v>
      </c>
      <c r="AC90" s="179">
        <f t="shared" si="136"/>
        <v>0.55924139939803896</v>
      </c>
      <c r="AD90" s="179"/>
      <c r="AE90" s="179">
        <f t="shared" si="137"/>
        <v>0.419047619047619</v>
      </c>
      <c r="AF90" s="563">
        <f t="shared" si="184"/>
        <v>4507.5757575757589</v>
      </c>
      <c r="AG90" s="546">
        <f t="shared" si="138"/>
        <v>3.2999999999999995E-2</v>
      </c>
      <c r="AI90" s="179">
        <f t="shared" si="139"/>
        <v>0.56742373669921231</v>
      </c>
      <c r="AJ90" s="179">
        <f t="shared" si="140"/>
        <v>0.56742373669921231</v>
      </c>
      <c r="AK90" s="179">
        <f t="shared" si="141"/>
        <v>1.5092027679253424</v>
      </c>
      <c r="AM90" s="563">
        <f t="shared" si="142"/>
        <v>425</v>
      </c>
      <c r="AN90" s="472">
        <f t="shared" si="143"/>
        <v>350</v>
      </c>
      <c r="AP90">
        <f t="shared" si="144"/>
        <v>425</v>
      </c>
      <c r="AQ90">
        <f t="shared" si="145"/>
        <v>350</v>
      </c>
      <c r="AS90" s="6">
        <f t="shared" si="174"/>
        <v>2.8571428571428572</v>
      </c>
      <c r="AT90" s="6">
        <f t="shared" si="146"/>
        <v>1.0402768506152227</v>
      </c>
      <c r="AU90" s="6">
        <f t="shared" si="175"/>
        <v>1.8168660065276345</v>
      </c>
      <c r="AV90" s="6">
        <f t="shared" si="147"/>
        <v>1.5851837723660533</v>
      </c>
      <c r="AW90" s="179">
        <f t="shared" si="176"/>
        <v>0.36409689771532794</v>
      </c>
      <c r="AX90" s="179">
        <f t="shared" si="148"/>
        <v>2.479166666666667</v>
      </c>
      <c r="AY90" s="179">
        <f t="shared" si="149"/>
        <v>0.5412397717154851</v>
      </c>
      <c r="AZ90" s="179">
        <f t="shared" si="177"/>
        <v>4.5805330580360542</v>
      </c>
      <c r="BA90" s="472">
        <f t="shared" si="150"/>
        <v>24.124421502313997</v>
      </c>
      <c r="BB90" s="472">
        <f t="shared" si="151"/>
        <v>11.322399065455086</v>
      </c>
      <c r="BC90" s="6">
        <f t="shared" si="152"/>
        <v>0.14895217067404412</v>
      </c>
      <c r="BD90" s="563">
        <f t="shared" si="153"/>
        <v>45.784606050922243</v>
      </c>
      <c r="BE90" s="6"/>
      <c r="BF90" s="179">
        <f t="shared" si="178"/>
        <v>0.1976766449069548</v>
      </c>
      <c r="BG90" s="179">
        <f t="shared" si="154"/>
        <v>0.78372481614024336</v>
      </c>
      <c r="BH90" s="179"/>
      <c r="BI90" s="546">
        <f t="shared" si="155"/>
        <v>1.3676619579584605E-2</v>
      </c>
      <c r="BJ90" s="546">
        <f t="shared" si="156"/>
        <v>5.9207120526208426E-2</v>
      </c>
      <c r="BK90" s="546">
        <f t="shared" si="157"/>
        <v>4.3749999999999995E-3</v>
      </c>
      <c r="BL90" s="546">
        <f t="shared" si="158"/>
        <v>2.7651093750000001E-2</v>
      </c>
      <c r="BM90">
        <f t="shared" si="159"/>
        <v>6.96E-3</v>
      </c>
      <c r="BN90" s="546">
        <f t="shared" si="160"/>
        <v>0.11425763858508395</v>
      </c>
      <c r="BO90" s="472">
        <f t="shared" si="179"/>
        <v>114.25763858508395</v>
      </c>
      <c r="BP90" s="546">
        <f t="shared" si="161"/>
        <v>0.116025</v>
      </c>
      <c r="BQ90" s="546"/>
      <c r="BS90" s="472">
        <f t="shared" si="180"/>
        <v>116.02500000000001</v>
      </c>
      <c r="BT90" s="546">
        <f t="shared" si="162"/>
        <v>7.8152111883340609E-3</v>
      </c>
      <c r="BU90" s="546">
        <f t="shared" si="163"/>
        <v>2.4568983497362331E-2</v>
      </c>
      <c r="BV90" s="546">
        <f t="shared" si="164"/>
        <v>2.7791300091021327E-2</v>
      </c>
      <c r="BW90" s="546">
        <f t="shared" si="165"/>
        <v>6.4227995892862613E-2</v>
      </c>
      <c r="BX90" s="546">
        <f t="shared" si="166"/>
        <v>5.6344696969696982E-2</v>
      </c>
      <c r="BY90" s="472">
        <f t="shared" si="181"/>
        <v>120.57269286255959</v>
      </c>
      <c r="BZ90" s="179">
        <f t="shared" si="167"/>
        <v>0.35085533144764353</v>
      </c>
      <c r="CA90" s="6">
        <f t="shared" si="168"/>
        <v>2.125</v>
      </c>
      <c r="CB90" s="179">
        <f t="shared" si="182"/>
        <v>0.85828924372471427</v>
      </c>
      <c r="CC90" s="6">
        <f t="shared" si="183"/>
        <v>85.82892437247142</v>
      </c>
      <c r="CF90" s="581">
        <f t="shared" si="169"/>
        <v>-50</v>
      </c>
      <c r="CG90">
        <f t="shared" si="170"/>
        <v>-50</v>
      </c>
    </row>
    <row r="91" spans="5:85" x14ac:dyDescent="0.2">
      <c r="E91" s="176">
        <v>86</v>
      </c>
      <c r="F91" s="223">
        <f t="shared" si="171"/>
        <v>0.43</v>
      </c>
      <c r="G91" s="223"/>
      <c r="H91" s="223">
        <f t="shared" si="119"/>
        <v>2.15</v>
      </c>
      <c r="I91" s="559">
        <f t="shared" si="120"/>
        <v>24</v>
      </c>
      <c r="J91" s="178">
        <f t="shared" si="121"/>
        <v>15.75</v>
      </c>
      <c r="K91" s="454">
        <f t="shared" si="122"/>
        <v>39.75</v>
      </c>
      <c r="L91" s="454"/>
      <c r="M91" s="223">
        <f t="shared" si="123"/>
        <v>0.39622641509433965</v>
      </c>
      <c r="N91" s="178">
        <f t="shared" si="124"/>
        <v>3.2094339622641508</v>
      </c>
      <c r="O91" s="178">
        <f t="shared" si="172"/>
        <v>2.15</v>
      </c>
      <c r="P91" s="223">
        <f t="shared" si="125"/>
        <v>0.6418867924528302</v>
      </c>
      <c r="Q91" s="223">
        <f t="shared" si="126"/>
        <v>5</v>
      </c>
      <c r="R91" s="223">
        <f t="shared" si="127"/>
        <v>0.71320754716981138</v>
      </c>
      <c r="S91" s="178">
        <f t="shared" si="128"/>
        <v>11.01475423218178</v>
      </c>
      <c r="T91" s="178">
        <f t="shared" si="129"/>
        <v>5</v>
      </c>
      <c r="U91" s="223">
        <f t="shared" si="130"/>
        <v>0.50242504409171074</v>
      </c>
      <c r="V91" s="223">
        <f t="shared" si="131"/>
        <v>0.92111258083480296</v>
      </c>
      <c r="W91" s="223">
        <f t="shared" si="132"/>
        <v>1.4036001231768429</v>
      </c>
      <c r="X91" s="203">
        <f t="shared" si="133"/>
        <v>350</v>
      </c>
      <c r="Y91" s="454">
        <f t="shared" si="173"/>
        <v>350</v>
      </c>
      <c r="AA91" s="223">
        <f t="shared" si="134"/>
        <v>0.61749571183533458</v>
      </c>
      <c r="AB91" s="179">
        <f t="shared" si="135"/>
        <v>1.7250673854447443</v>
      </c>
      <c r="AC91" s="179">
        <f t="shared" si="136"/>
        <v>0.55924139939803896</v>
      </c>
      <c r="AD91" s="179"/>
      <c r="AE91" s="179">
        <f t="shared" si="137"/>
        <v>0.419047619047619</v>
      </c>
      <c r="AF91" s="563">
        <f t="shared" si="184"/>
        <v>4560.6060606060619</v>
      </c>
      <c r="AG91" s="546">
        <f t="shared" si="138"/>
        <v>3.2999999999999995E-2</v>
      </c>
      <c r="AI91" s="179">
        <f t="shared" si="139"/>
        <v>0.57075176369204128</v>
      </c>
      <c r="AJ91" s="179">
        <f t="shared" si="140"/>
        <v>0.57075176369204128</v>
      </c>
      <c r="AK91" s="179">
        <f t="shared" si="141"/>
        <v>1.5116679731052156</v>
      </c>
      <c r="AM91" s="563">
        <f t="shared" si="142"/>
        <v>430</v>
      </c>
      <c r="AN91" s="472">
        <f t="shared" si="143"/>
        <v>350</v>
      </c>
      <c r="AP91">
        <f t="shared" si="144"/>
        <v>430</v>
      </c>
      <c r="AQ91">
        <f t="shared" si="145"/>
        <v>350</v>
      </c>
      <c r="AS91" s="6">
        <f t="shared" si="174"/>
        <v>2.8571428571428572</v>
      </c>
      <c r="AT91" s="6">
        <f t="shared" si="146"/>
        <v>1.046378233435409</v>
      </c>
      <c r="AU91" s="6">
        <f t="shared" si="175"/>
        <v>1.8107646237074482</v>
      </c>
      <c r="AV91" s="6">
        <f t="shared" si="147"/>
        <v>1.5944811176158613</v>
      </c>
      <c r="AW91" s="179">
        <f t="shared" si="176"/>
        <v>0.36623238170239314</v>
      </c>
      <c r="AX91" s="179">
        <f t="shared" si="148"/>
        <v>2.5083333333333333</v>
      </c>
      <c r="AY91" s="179">
        <f t="shared" si="149"/>
        <v>0.54258597887139537</v>
      </c>
      <c r="AZ91" s="179">
        <f t="shared" si="177"/>
        <v>4.6229232435213046</v>
      </c>
      <c r="BA91" s="472">
        <f t="shared" si="150"/>
        <v>24.124421502313997</v>
      </c>
      <c r="BB91" s="472">
        <f t="shared" si="151"/>
        <v>11.575199098699766</v>
      </c>
      <c r="BC91" s="6">
        <f t="shared" si="152"/>
        <v>0.15019845451277056</v>
      </c>
      <c r="BD91" s="563">
        <f t="shared" si="153"/>
        <v>46.27239776992166</v>
      </c>
      <c r="BE91" s="6"/>
      <c r="BF91" s="179">
        <f t="shared" si="178"/>
        <v>0.19941829807993608</v>
      </c>
      <c r="BG91" s="179">
        <f t="shared" si="154"/>
        <v>0.78699670189324367</v>
      </c>
      <c r="BH91" s="179"/>
      <c r="BI91" s="546">
        <f t="shared" si="155"/>
        <v>1.3918680163184382E-2</v>
      </c>
      <c r="BJ91" s="546">
        <f t="shared" si="156"/>
        <v>5.9554379342741423E-2</v>
      </c>
      <c r="BK91" s="546">
        <f t="shared" si="157"/>
        <v>4.3749999999999995E-3</v>
      </c>
      <c r="BL91" s="546">
        <f t="shared" si="158"/>
        <v>2.7651093750000001E-2</v>
      </c>
      <c r="BM91">
        <f t="shared" si="159"/>
        <v>6.96E-3</v>
      </c>
      <c r="BN91" s="546">
        <f t="shared" si="160"/>
        <v>0.11489228017212962</v>
      </c>
      <c r="BO91" s="472">
        <f t="shared" si="179"/>
        <v>114.89228017212962</v>
      </c>
      <c r="BP91" s="546">
        <f t="shared" si="161"/>
        <v>0.11739000000000001</v>
      </c>
      <c r="BQ91" s="546"/>
      <c r="BS91" s="472">
        <f t="shared" si="180"/>
        <v>117.39000000000001</v>
      </c>
      <c r="BT91" s="546">
        <f t="shared" si="162"/>
        <v>7.9535315218196481E-3</v>
      </c>
      <c r="BU91" s="546">
        <f t="shared" si="163"/>
        <v>2.4774552351633724E-2</v>
      </c>
      <c r="BV91" s="546">
        <f t="shared" si="164"/>
        <v>2.8200594944846606E-2</v>
      </c>
      <c r="BW91" s="546">
        <f t="shared" si="165"/>
        <v>6.5026303789065529E-2</v>
      </c>
      <c r="BX91" s="546">
        <f t="shared" si="166"/>
        <v>5.7007575757575764E-2</v>
      </c>
      <c r="BY91" s="472">
        <f t="shared" si="181"/>
        <v>122.0338795466413</v>
      </c>
      <c r="BZ91" s="179">
        <f t="shared" si="167"/>
        <v>0.3543161597187709</v>
      </c>
      <c r="CA91" s="6">
        <f t="shared" si="168"/>
        <v>2.15</v>
      </c>
      <c r="CB91" s="179">
        <f t="shared" si="182"/>
        <v>0.85851780002147982</v>
      </c>
      <c r="CC91" s="6">
        <f t="shared" si="183"/>
        <v>85.851780002147976</v>
      </c>
      <c r="CF91" s="581">
        <f t="shared" si="169"/>
        <v>-50</v>
      </c>
      <c r="CG91">
        <f t="shared" si="170"/>
        <v>-50</v>
      </c>
    </row>
    <row r="92" spans="5:85" x14ac:dyDescent="0.2">
      <c r="E92" s="176">
        <v>87</v>
      </c>
      <c r="F92" s="223">
        <f t="shared" si="171"/>
        <v>0.435</v>
      </c>
      <c r="G92" s="223"/>
      <c r="H92" s="223">
        <f t="shared" si="119"/>
        <v>2.1749999999999998</v>
      </c>
      <c r="I92" s="559">
        <f t="shared" si="120"/>
        <v>24</v>
      </c>
      <c r="J92" s="178">
        <f t="shared" si="121"/>
        <v>15.75</v>
      </c>
      <c r="K92" s="454">
        <f t="shared" si="122"/>
        <v>39.75</v>
      </c>
      <c r="L92" s="454"/>
      <c r="M92" s="223">
        <f t="shared" si="123"/>
        <v>0.39622641509433965</v>
      </c>
      <c r="N92" s="178">
        <f t="shared" si="124"/>
        <v>3.2094339622641508</v>
      </c>
      <c r="O92" s="178">
        <f t="shared" si="172"/>
        <v>2.1749999999999998</v>
      </c>
      <c r="P92" s="223">
        <f t="shared" si="125"/>
        <v>0.6418867924528302</v>
      </c>
      <c r="Q92" s="223">
        <f t="shared" si="126"/>
        <v>5</v>
      </c>
      <c r="R92" s="223">
        <f t="shared" si="127"/>
        <v>0.71320754716981138</v>
      </c>
      <c r="S92" s="178">
        <f t="shared" si="128"/>
        <v>10.801657977221664</v>
      </c>
      <c r="T92" s="178">
        <f t="shared" si="129"/>
        <v>5</v>
      </c>
      <c r="U92" s="223">
        <f t="shared" si="130"/>
        <v>0.5082671957671957</v>
      </c>
      <c r="V92" s="223">
        <f t="shared" si="131"/>
        <v>0.93182319223985888</v>
      </c>
      <c r="W92" s="223">
        <f t="shared" si="132"/>
        <v>1.4199210548416896</v>
      </c>
      <c r="X92" s="203">
        <f t="shared" si="133"/>
        <v>350</v>
      </c>
      <c r="Y92" s="454">
        <f t="shared" si="173"/>
        <v>350</v>
      </c>
      <c r="AA92" s="223">
        <f t="shared" si="134"/>
        <v>0.61749571183533458</v>
      </c>
      <c r="AB92" s="179">
        <f t="shared" si="135"/>
        <v>1.7250673854447443</v>
      </c>
      <c r="AC92" s="179">
        <f t="shared" si="136"/>
        <v>0.55924139939803896</v>
      </c>
      <c r="AD92" s="179"/>
      <c r="AE92" s="179">
        <f t="shared" si="137"/>
        <v>0.419047619047619</v>
      </c>
      <c r="AF92" s="563">
        <f t="shared" si="184"/>
        <v>4613.636363636364</v>
      </c>
      <c r="AG92" s="546">
        <f t="shared" si="138"/>
        <v>3.2999999999999995E-2</v>
      </c>
      <c r="AI92" s="179">
        <f t="shared" si="139"/>
        <v>0.57406049728704944</v>
      </c>
      <c r="AJ92" s="179">
        <f t="shared" si="140"/>
        <v>0.57406049728704944</v>
      </c>
      <c r="AK92" s="179">
        <f t="shared" si="141"/>
        <v>1.5141188868792959</v>
      </c>
      <c r="AM92" s="563">
        <f t="shared" si="142"/>
        <v>435</v>
      </c>
      <c r="AN92" s="472">
        <f t="shared" si="143"/>
        <v>350</v>
      </c>
      <c r="AP92">
        <f t="shared" si="144"/>
        <v>435</v>
      </c>
      <c r="AQ92">
        <f t="shared" si="145"/>
        <v>350</v>
      </c>
      <c r="AS92" s="6">
        <f t="shared" si="174"/>
        <v>2.8571428571428572</v>
      </c>
      <c r="AT92" s="6">
        <f t="shared" si="146"/>
        <v>1.0524442450262574</v>
      </c>
      <c r="AU92" s="6">
        <f t="shared" si="175"/>
        <v>1.8046986121165998</v>
      </c>
      <c r="AV92" s="6">
        <f t="shared" si="147"/>
        <v>1.603724563849535</v>
      </c>
      <c r="AW92" s="179">
        <f t="shared" si="176"/>
        <v>0.36835548575919008</v>
      </c>
      <c r="AX92" s="179">
        <f t="shared" si="148"/>
        <v>2.5374999999999992</v>
      </c>
      <c r="AY92" s="179">
        <f t="shared" si="149"/>
        <v>0.54390324593057415</v>
      </c>
      <c r="AZ92" s="179">
        <f t="shared" si="177"/>
        <v>4.6653518231143174</v>
      </c>
      <c r="BA92" s="472">
        <f t="shared" si="150"/>
        <v>24.124421502313997</v>
      </c>
      <c r="BB92" s="472">
        <f t="shared" si="151"/>
        <v>11.830780418882981</v>
      </c>
      <c r="BC92" s="6">
        <f t="shared" si="152"/>
        <v>0.15143593678061743</v>
      </c>
      <c r="BD92" s="563">
        <f t="shared" si="153"/>
        <v>46.759251536555333</v>
      </c>
      <c r="BE92" s="6"/>
      <c r="BF92" s="179">
        <f t="shared" si="178"/>
        <v>0.20115489553146515</v>
      </c>
      <c r="BG92" s="179">
        <f t="shared" si="154"/>
        <v>0.79023207709500853</v>
      </c>
      <c r="BH92" s="179"/>
      <c r="BI92" s="546">
        <f t="shared" si="155"/>
        <v>1.416215219869613E-2</v>
      </c>
      <c r="BJ92" s="546">
        <f t="shared" si="156"/>
        <v>5.989962501379556E-2</v>
      </c>
      <c r="BK92" s="546">
        <f t="shared" si="157"/>
        <v>4.3749999999999995E-3</v>
      </c>
      <c r="BL92" s="546">
        <f t="shared" si="158"/>
        <v>2.7651093750000001E-2</v>
      </c>
      <c r="BM92">
        <f t="shared" si="159"/>
        <v>6.96E-3</v>
      </c>
      <c r="BN92" s="546">
        <f t="shared" si="160"/>
        <v>0.11552667234808774</v>
      </c>
      <c r="BO92" s="472">
        <f t="shared" si="179"/>
        <v>115.52667234808774</v>
      </c>
      <c r="BP92" s="546">
        <f t="shared" si="161"/>
        <v>0.11875500000000001</v>
      </c>
      <c r="BQ92" s="546"/>
      <c r="BS92" s="472">
        <f t="shared" si="180"/>
        <v>118.75500000000001</v>
      </c>
      <c r="BT92" s="546">
        <f t="shared" si="162"/>
        <v>8.092658399254932E-3</v>
      </c>
      <c r="BU92" s="546">
        <f t="shared" si="163"/>
        <v>2.4978669426795663E-2</v>
      </c>
      <c r="BV92" s="546">
        <f t="shared" si="164"/>
        <v>2.8611081363876308E-2</v>
      </c>
      <c r="BW92" s="546">
        <f t="shared" si="165"/>
        <v>6.5825122465392405E-2</v>
      </c>
      <c r="BX92" s="546">
        <f t="shared" si="166"/>
        <v>5.7670454545454546E-2</v>
      </c>
      <c r="BY92" s="472">
        <f t="shared" si="181"/>
        <v>123.49557701084696</v>
      </c>
      <c r="BZ92" s="179">
        <f t="shared" si="167"/>
        <v>0.35777724935893468</v>
      </c>
      <c r="CA92" s="6">
        <f t="shared" si="168"/>
        <v>2.1749999999999998</v>
      </c>
      <c r="CB92" s="179">
        <f t="shared" si="182"/>
        <v>0.85874113112414796</v>
      </c>
      <c r="CC92" s="6">
        <f t="shared" si="183"/>
        <v>85.87411311241479</v>
      </c>
      <c r="CF92" s="581">
        <f t="shared" si="169"/>
        <v>-50</v>
      </c>
      <c r="CG92">
        <f t="shared" si="170"/>
        <v>-50</v>
      </c>
    </row>
    <row r="93" spans="5:85" x14ac:dyDescent="0.2">
      <c r="E93" s="176">
        <v>88</v>
      </c>
      <c r="F93" s="223">
        <f t="shared" si="171"/>
        <v>0.44</v>
      </c>
      <c r="G93" s="223"/>
      <c r="H93" s="223">
        <f t="shared" si="119"/>
        <v>2.2000000000000002</v>
      </c>
      <c r="I93" s="559">
        <f t="shared" si="120"/>
        <v>24</v>
      </c>
      <c r="J93" s="178">
        <f t="shared" si="121"/>
        <v>15.75</v>
      </c>
      <c r="K93" s="454">
        <f t="shared" si="122"/>
        <v>39.75</v>
      </c>
      <c r="L93" s="454"/>
      <c r="M93" s="223">
        <f t="shared" si="123"/>
        <v>0.39622641509433965</v>
      </c>
      <c r="N93" s="178">
        <f t="shared" si="124"/>
        <v>3.2094339622641508</v>
      </c>
      <c r="O93" s="178">
        <f t="shared" si="172"/>
        <v>2.2000000000000002</v>
      </c>
      <c r="P93" s="223">
        <f t="shared" si="125"/>
        <v>0.6418867924528302</v>
      </c>
      <c r="Q93" s="223">
        <f t="shared" si="126"/>
        <v>5</v>
      </c>
      <c r="R93" s="223">
        <f t="shared" si="127"/>
        <v>0.71320754716981138</v>
      </c>
      <c r="S93" s="178">
        <f t="shared" si="128"/>
        <v>10.593532646411802</v>
      </c>
      <c r="T93" s="178">
        <f t="shared" si="129"/>
        <v>5</v>
      </c>
      <c r="U93" s="223">
        <f t="shared" si="130"/>
        <v>0.51410934744268078</v>
      </c>
      <c r="V93" s="223">
        <f t="shared" si="131"/>
        <v>0.94253380364491468</v>
      </c>
      <c r="W93" s="223">
        <f t="shared" si="132"/>
        <v>1.4362419865065366</v>
      </c>
      <c r="X93" s="203">
        <f t="shared" si="133"/>
        <v>350</v>
      </c>
      <c r="Y93" s="454">
        <f t="shared" si="173"/>
        <v>350</v>
      </c>
      <c r="AA93" s="223">
        <f t="shared" si="134"/>
        <v>0.61749571183533458</v>
      </c>
      <c r="AB93" s="179">
        <f t="shared" si="135"/>
        <v>1.7250673854447443</v>
      </c>
      <c r="AC93" s="179">
        <f t="shared" si="136"/>
        <v>0.55924139939803896</v>
      </c>
      <c r="AD93" s="179"/>
      <c r="AE93" s="179">
        <f t="shared" si="137"/>
        <v>0.419047619047619</v>
      </c>
      <c r="AF93" s="563">
        <f t="shared" si="184"/>
        <v>4666.6666666666679</v>
      </c>
      <c r="AG93" s="546">
        <f t="shared" si="138"/>
        <v>3.2999999999999995E-2</v>
      </c>
      <c r="AI93" s="179">
        <f t="shared" si="139"/>
        <v>0.57735026918962573</v>
      </c>
      <c r="AJ93" s="179">
        <f t="shared" si="140"/>
        <v>0.57735026918962573</v>
      </c>
      <c r="AK93" s="179">
        <f t="shared" si="141"/>
        <v>1.5165557549552782</v>
      </c>
      <c r="AM93" s="563">
        <f t="shared" si="142"/>
        <v>440</v>
      </c>
      <c r="AN93" s="472">
        <f t="shared" si="143"/>
        <v>350</v>
      </c>
      <c r="AP93">
        <f t="shared" si="144"/>
        <v>440</v>
      </c>
      <c r="AQ93">
        <f t="shared" si="145"/>
        <v>350</v>
      </c>
      <c r="AS93" s="6">
        <f t="shared" si="174"/>
        <v>2.8571428571428572</v>
      </c>
      <c r="AT93" s="6">
        <f t="shared" si="146"/>
        <v>1.0584754935143137</v>
      </c>
      <c r="AU93" s="6">
        <f t="shared" si="175"/>
        <v>1.7986673636285435</v>
      </c>
      <c r="AV93" s="6">
        <f t="shared" si="147"/>
        <v>1.612915037736097</v>
      </c>
      <c r="AW93" s="179">
        <f t="shared" si="176"/>
        <v>0.37046642273000979</v>
      </c>
      <c r="AX93" s="179">
        <f t="shared" si="148"/>
        <v>2.5666666666666669</v>
      </c>
      <c r="AY93" s="179">
        <f t="shared" si="149"/>
        <v>0.54519207045110529</v>
      </c>
      <c r="AZ93" s="179">
        <f t="shared" si="177"/>
        <v>4.7078209786560983</v>
      </c>
      <c r="BA93" s="472">
        <f t="shared" si="150"/>
        <v>24.124421502313997</v>
      </c>
      <c r="BB93" s="472">
        <f t="shared" si="151"/>
        <v>12.089143026004733</v>
      </c>
      <c r="BC93" s="6">
        <f t="shared" si="152"/>
        <v>0.15266466820921279</v>
      </c>
      <c r="BD93" s="563">
        <f t="shared" si="153"/>
        <v>47.245172003354917</v>
      </c>
      <c r="BE93" s="6"/>
      <c r="BF93" s="179">
        <f t="shared" si="178"/>
        <v>0.20288650980015888</v>
      </c>
      <c r="BG93" s="179">
        <f t="shared" si="154"/>
        <v>0.79343152021456143</v>
      </c>
      <c r="BH93" s="179"/>
      <c r="BI93" s="546">
        <f t="shared" si="155"/>
        <v>1.4407027550611486E-2</v>
      </c>
      <c r="BJ93" s="546">
        <f t="shared" si="156"/>
        <v>6.0242892150755012E-2</v>
      </c>
      <c r="BK93" s="546">
        <f t="shared" si="157"/>
        <v>4.3749999999999995E-3</v>
      </c>
      <c r="BL93" s="546">
        <f t="shared" si="158"/>
        <v>2.7651093750000001E-2</v>
      </c>
      <c r="BM93">
        <f t="shared" si="159"/>
        <v>6.96E-3</v>
      </c>
      <c r="BN93" s="546">
        <f t="shared" si="160"/>
        <v>0.11616084116077982</v>
      </c>
      <c r="BO93" s="472">
        <f t="shared" si="179"/>
        <v>116.16084116077982</v>
      </c>
      <c r="BP93" s="546">
        <f t="shared" si="161"/>
        <v>0.12012</v>
      </c>
      <c r="BQ93" s="546"/>
      <c r="BS93" s="472">
        <f t="shared" si="180"/>
        <v>120.12</v>
      </c>
      <c r="BT93" s="546">
        <f t="shared" si="162"/>
        <v>8.2325871717779924E-3</v>
      </c>
      <c r="BU93" s="546">
        <f t="shared" si="163"/>
        <v>2.5181343090799602E-2</v>
      </c>
      <c r="BV93" s="546">
        <f t="shared" si="164"/>
        <v>2.902274906076734E-2</v>
      </c>
      <c r="BW93" s="546">
        <f t="shared" si="165"/>
        <v>6.6624445721503958E-2</v>
      </c>
      <c r="BX93" s="546">
        <f t="shared" si="166"/>
        <v>5.8333333333333341E-2</v>
      </c>
      <c r="BY93" s="472">
        <f t="shared" si="181"/>
        <v>124.95777905483729</v>
      </c>
      <c r="BZ93" s="179">
        <f t="shared" si="167"/>
        <v>0.36123862021561715</v>
      </c>
      <c r="CA93" s="6">
        <f t="shared" si="168"/>
        <v>2.2000000000000002</v>
      </c>
      <c r="CB93" s="179">
        <f t="shared" si="182"/>
        <v>0.85895940449890351</v>
      </c>
      <c r="CC93" s="6">
        <f t="shared" si="183"/>
        <v>85.895940449890347</v>
      </c>
      <c r="CF93" s="581">
        <f t="shared" si="169"/>
        <v>-50</v>
      </c>
      <c r="CG93">
        <f t="shared" si="170"/>
        <v>-50</v>
      </c>
    </row>
    <row r="94" spans="5:85" x14ac:dyDescent="0.2">
      <c r="E94" s="176">
        <v>89</v>
      </c>
      <c r="F94" s="223">
        <f t="shared" si="171"/>
        <v>0.44500000000000001</v>
      </c>
      <c r="G94" s="223"/>
      <c r="H94" s="223">
        <f t="shared" si="119"/>
        <v>2.2250000000000001</v>
      </c>
      <c r="I94" s="559">
        <f t="shared" si="120"/>
        <v>24</v>
      </c>
      <c r="J94" s="178">
        <f t="shared" si="121"/>
        <v>15.75</v>
      </c>
      <c r="K94" s="454">
        <f t="shared" si="122"/>
        <v>39.75</v>
      </c>
      <c r="L94" s="454"/>
      <c r="M94" s="223">
        <f t="shared" si="123"/>
        <v>0.39622641509433965</v>
      </c>
      <c r="N94" s="178">
        <f t="shared" si="124"/>
        <v>3.2094339622641508</v>
      </c>
      <c r="O94" s="178">
        <f t="shared" si="172"/>
        <v>2.2250000000000001</v>
      </c>
      <c r="P94" s="223">
        <f t="shared" si="125"/>
        <v>0.6418867924528302</v>
      </c>
      <c r="Q94" s="223">
        <f t="shared" si="126"/>
        <v>5</v>
      </c>
      <c r="R94" s="223">
        <f t="shared" si="127"/>
        <v>0.71320754716981138</v>
      </c>
      <c r="S94" s="178">
        <f t="shared" si="128"/>
        <v>10.390213346839683</v>
      </c>
      <c r="T94" s="178">
        <f t="shared" si="129"/>
        <v>5</v>
      </c>
      <c r="U94" s="223">
        <f t="shared" si="130"/>
        <v>0.51995149911816574</v>
      </c>
      <c r="V94" s="223">
        <f t="shared" si="131"/>
        <v>0.95324441504997048</v>
      </c>
      <c r="W94" s="223">
        <f t="shared" si="132"/>
        <v>1.4525629181713835</v>
      </c>
      <c r="X94" s="203">
        <f t="shared" si="133"/>
        <v>350</v>
      </c>
      <c r="Y94" s="454">
        <f t="shared" si="173"/>
        <v>350</v>
      </c>
      <c r="AA94" s="223">
        <f t="shared" si="134"/>
        <v>0.61749571183533458</v>
      </c>
      <c r="AB94" s="179">
        <f t="shared" si="135"/>
        <v>1.7250673854447443</v>
      </c>
      <c r="AC94" s="179">
        <f t="shared" si="136"/>
        <v>0.55924139939803896</v>
      </c>
      <c r="AD94" s="179"/>
      <c r="AE94" s="179">
        <f t="shared" si="137"/>
        <v>0.419047619047619</v>
      </c>
      <c r="AF94" s="563">
        <f t="shared" si="184"/>
        <v>4719.6969696969709</v>
      </c>
      <c r="AG94" s="546">
        <f t="shared" si="138"/>
        <v>3.2999999999999995E-2</v>
      </c>
      <c r="AI94" s="179">
        <f t="shared" si="139"/>
        <v>0.58062140170787035</v>
      </c>
      <c r="AJ94" s="179">
        <f t="shared" si="140"/>
        <v>0.58062140170787035</v>
      </c>
      <c r="AK94" s="179">
        <f t="shared" si="141"/>
        <v>1.5189788160799038</v>
      </c>
      <c r="AM94" s="563">
        <f t="shared" si="142"/>
        <v>445</v>
      </c>
      <c r="AN94" s="472">
        <f t="shared" si="143"/>
        <v>350</v>
      </c>
      <c r="AP94">
        <f t="shared" si="144"/>
        <v>445</v>
      </c>
      <c r="AQ94">
        <f t="shared" si="145"/>
        <v>350</v>
      </c>
      <c r="AS94" s="6">
        <f t="shared" si="174"/>
        <v>2.8571428571428572</v>
      </c>
      <c r="AT94" s="6">
        <f t="shared" si="146"/>
        <v>1.0644725697977622</v>
      </c>
      <c r="AU94" s="6">
        <f t="shared" si="175"/>
        <v>1.792670287345095</v>
      </c>
      <c r="AV94" s="6">
        <f t="shared" si="147"/>
        <v>1.6220534396918282</v>
      </c>
      <c r="AW94" s="179">
        <f t="shared" si="176"/>
        <v>0.37256539942921674</v>
      </c>
      <c r="AX94" s="179">
        <f t="shared" si="148"/>
        <v>2.5958333333333337</v>
      </c>
      <c r="AY94" s="179">
        <f t="shared" si="149"/>
        <v>0.54645293589513888</v>
      </c>
      <c r="AZ94" s="179">
        <f t="shared" si="177"/>
        <v>4.7503328517782162</v>
      </c>
      <c r="BA94" s="472">
        <f t="shared" si="150"/>
        <v>24.124421502313997</v>
      </c>
      <c r="BB94" s="472">
        <f t="shared" si="151"/>
        <v>12.350286920065013</v>
      </c>
      <c r="BC94" s="6">
        <f t="shared" si="152"/>
        <v>0.15388469866291804</v>
      </c>
      <c r="BD94" s="563">
        <f t="shared" si="153"/>
        <v>47.730163749754183</v>
      </c>
      <c r="BE94" s="6"/>
      <c r="BF94" s="179">
        <f t="shared" si="178"/>
        <v>0.20461321157246998</v>
      </c>
      <c r="BG94" s="179">
        <f t="shared" si="154"/>
        <v>0.79659559326777163</v>
      </c>
      <c r="BH94" s="179"/>
      <c r="BI94" s="546">
        <f t="shared" si="155"/>
        <v>1.4653298222500126E-2</v>
      </c>
      <c r="BJ94" s="546">
        <f t="shared" si="156"/>
        <v>6.0584214384455583E-2</v>
      </c>
      <c r="BK94" s="546">
        <f t="shared" si="157"/>
        <v>4.3749999999999995E-3</v>
      </c>
      <c r="BL94" s="546">
        <f t="shared" si="158"/>
        <v>2.7651093750000001E-2</v>
      </c>
      <c r="BM94">
        <f t="shared" si="159"/>
        <v>6.96E-3</v>
      </c>
      <c r="BN94" s="546">
        <f t="shared" si="160"/>
        <v>0.11679481183780784</v>
      </c>
      <c r="BO94" s="472">
        <f t="shared" si="179"/>
        <v>116.79481183780784</v>
      </c>
      <c r="BP94" s="546">
        <f t="shared" si="161"/>
        <v>0.12148500000000001</v>
      </c>
      <c r="BQ94" s="546"/>
      <c r="BS94" s="472">
        <f t="shared" si="180"/>
        <v>121.48500000000001</v>
      </c>
      <c r="BT94" s="546">
        <f t="shared" si="162"/>
        <v>8.3733132700000729E-3</v>
      </c>
      <c r="BU94" s="546">
        <f t="shared" si="163"/>
        <v>2.5382581568545323E-2</v>
      </c>
      <c r="BV94" s="546">
        <f t="shared" si="164"/>
        <v>2.9435587953059329E-2</v>
      </c>
      <c r="BW94" s="546">
        <f t="shared" si="165"/>
        <v>6.7424267490869189E-2</v>
      </c>
      <c r="BX94" s="546">
        <f t="shared" si="166"/>
        <v>5.8996212121212137E-2</v>
      </c>
      <c r="BY94" s="472">
        <f t="shared" si="181"/>
        <v>126.42047961208134</v>
      </c>
      <c r="BZ94" s="179">
        <f t="shared" si="167"/>
        <v>0.36470029144988919</v>
      </c>
      <c r="CA94" s="6">
        <f t="shared" si="168"/>
        <v>2.2250000000000001</v>
      </c>
      <c r="CB94" s="179">
        <f t="shared" si="182"/>
        <v>0.85917278047425893</v>
      </c>
      <c r="CC94" s="6">
        <f t="shared" si="183"/>
        <v>85.917278047425896</v>
      </c>
      <c r="CF94" s="581">
        <f t="shared" si="169"/>
        <v>-50</v>
      </c>
      <c r="CG94">
        <f t="shared" si="170"/>
        <v>-50</v>
      </c>
    </row>
    <row r="95" spans="5:85" x14ac:dyDescent="0.2">
      <c r="E95" s="176">
        <v>90</v>
      </c>
      <c r="F95" s="223">
        <f t="shared" si="171"/>
        <v>0.45</v>
      </c>
      <c r="G95" s="223"/>
      <c r="H95" s="223">
        <f t="shared" si="119"/>
        <v>2.25</v>
      </c>
      <c r="I95" s="559">
        <f t="shared" si="120"/>
        <v>24</v>
      </c>
      <c r="J95" s="178">
        <f t="shared" si="121"/>
        <v>15.75</v>
      </c>
      <c r="K95" s="454">
        <f t="shared" si="122"/>
        <v>39.75</v>
      </c>
      <c r="L95" s="454"/>
      <c r="M95" s="223">
        <f t="shared" si="123"/>
        <v>0.39622641509433965</v>
      </c>
      <c r="N95" s="178">
        <f t="shared" si="124"/>
        <v>3.2094339622641508</v>
      </c>
      <c r="O95" s="178">
        <f t="shared" si="172"/>
        <v>2.25</v>
      </c>
      <c r="P95" s="223">
        <f t="shared" si="125"/>
        <v>0.6418867924528302</v>
      </c>
      <c r="Q95" s="223">
        <f t="shared" si="126"/>
        <v>5</v>
      </c>
      <c r="R95" s="223">
        <f t="shared" si="127"/>
        <v>0.71320754716981138</v>
      </c>
      <c r="S95" s="178">
        <f t="shared" si="128"/>
        <v>10.191542579534184</v>
      </c>
      <c r="T95" s="178">
        <f t="shared" si="129"/>
        <v>5</v>
      </c>
      <c r="U95" s="223">
        <f t="shared" si="130"/>
        <v>0.5257936507936507</v>
      </c>
      <c r="V95" s="223">
        <f t="shared" si="131"/>
        <v>0.96395502645502618</v>
      </c>
      <c r="W95" s="223">
        <f t="shared" si="132"/>
        <v>1.4688838498362304</v>
      </c>
      <c r="X95" s="203">
        <f t="shared" si="133"/>
        <v>350</v>
      </c>
      <c r="Y95" s="454">
        <f t="shared" si="173"/>
        <v>350</v>
      </c>
      <c r="AA95" s="223">
        <f t="shared" si="134"/>
        <v>0.61749571183533458</v>
      </c>
      <c r="AB95" s="179">
        <f t="shared" si="135"/>
        <v>1.7250673854447443</v>
      </c>
      <c r="AC95" s="179">
        <f t="shared" si="136"/>
        <v>0.55924139939803896</v>
      </c>
      <c r="AD95" s="179"/>
      <c r="AE95" s="179">
        <f t="shared" si="137"/>
        <v>0.419047619047619</v>
      </c>
      <c r="AF95" s="563">
        <f t="shared" si="184"/>
        <v>4772.727272727273</v>
      </c>
      <c r="AG95" s="546">
        <f t="shared" si="138"/>
        <v>3.2999999999999995E-2</v>
      </c>
      <c r="AI95" s="179">
        <f t="shared" si="139"/>
        <v>0.58387420812114221</v>
      </c>
      <c r="AJ95" s="179">
        <f t="shared" si="140"/>
        <v>0.58387420812114221</v>
      </c>
      <c r="AK95" s="179">
        <f t="shared" si="141"/>
        <v>1.5213883023119572</v>
      </c>
      <c r="AM95" s="563">
        <f t="shared" si="142"/>
        <v>450</v>
      </c>
      <c r="AN95" s="472">
        <f t="shared" si="143"/>
        <v>350</v>
      </c>
      <c r="AP95">
        <f t="shared" si="144"/>
        <v>450</v>
      </c>
      <c r="AQ95">
        <f t="shared" si="145"/>
        <v>350</v>
      </c>
      <c r="AS95" s="6">
        <f t="shared" si="174"/>
        <v>2.8571428571428572</v>
      </c>
      <c r="AT95" s="6">
        <f t="shared" si="146"/>
        <v>1.070436048222094</v>
      </c>
      <c r="AU95" s="6">
        <f t="shared" si="175"/>
        <v>1.7867068089207632</v>
      </c>
      <c r="AV95" s="6">
        <f t="shared" si="147"/>
        <v>1.6311406449098576</v>
      </c>
      <c r="AW95" s="179">
        <f t="shared" si="176"/>
        <v>0.37465261687773288</v>
      </c>
      <c r="AX95" s="179">
        <f t="shared" si="148"/>
        <v>2.6249999999999996</v>
      </c>
      <c r="AY95" s="179">
        <f t="shared" si="149"/>
        <v>0.54768631218171338</v>
      </c>
      <c r="AZ95" s="179">
        <f t="shared" si="177"/>
        <v>4.7928895457388521</v>
      </c>
      <c r="BA95" s="472">
        <f t="shared" si="150"/>
        <v>24.124421502313997</v>
      </c>
      <c r="BB95" s="472">
        <f t="shared" si="151"/>
        <v>12.614212101063835</v>
      </c>
      <c r="BC95" s="6">
        <f t="shared" si="152"/>
        <v>0.15509607716326068</v>
      </c>
      <c r="BD95" s="563">
        <f t="shared" si="153"/>
        <v>48.21423128401787</v>
      </c>
      <c r="BE95" s="6"/>
      <c r="BF95" s="179">
        <f t="shared" si="178"/>
        <v>0.20633506975023244</v>
      </c>
      <c r="BG95" s="179">
        <f t="shared" si="154"/>
        <v>0.79972484246006337</v>
      </c>
      <c r="BH95" s="179"/>
      <c r="BI95" s="546">
        <f t="shared" si="155"/>
        <v>1.490095635309165E-2</v>
      </c>
      <c r="BJ95" s="546">
        <f t="shared" si="156"/>
        <v>6.0923624403640422E-2</v>
      </c>
      <c r="BK95" s="546">
        <f t="shared" si="157"/>
        <v>4.3749999999999995E-3</v>
      </c>
      <c r="BL95" s="546">
        <f t="shared" si="158"/>
        <v>2.7651093750000001E-2</v>
      </c>
      <c r="BM95">
        <f t="shared" si="159"/>
        <v>6.96E-3</v>
      </c>
      <c r="BN95" s="546">
        <f t="shared" si="160"/>
        <v>0.11742860882051176</v>
      </c>
      <c r="BO95" s="472">
        <f t="shared" si="179"/>
        <v>117.42860882051176</v>
      </c>
      <c r="BP95" s="546">
        <f t="shared" si="161"/>
        <v>0.12285000000000001</v>
      </c>
      <c r="BQ95" s="546"/>
      <c r="BS95" s="472">
        <f t="shared" si="180"/>
        <v>122.85000000000001</v>
      </c>
      <c r="BT95" s="546">
        <f t="shared" si="162"/>
        <v>8.5148322017666572E-3</v>
      </c>
      <c r="BU95" s="546">
        <f t="shared" si="163"/>
        <v>2.5582392945910928E-2</v>
      </c>
      <c r="BV95" s="546">
        <f t="shared" si="164"/>
        <v>2.9849588156834382E-2</v>
      </c>
      <c r="BW95" s="546">
        <f t="shared" si="165"/>
        <v>6.8224581836431916E-2</v>
      </c>
      <c r="BX95" s="546">
        <f t="shared" si="166"/>
        <v>5.9659090909090919E-2</v>
      </c>
      <c r="BY95" s="472">
        <f t="shared" si="181"/>
        <v>127.88367274552284</v>
      </c>
      <c r="BZ95" s="179">
        <f t="shared" si="167"/>
        <v>0.36816228156603464</v>
      </c>
      <c r="CA95" s="6">
        <f t="shared" si="168"/>
        <v>2.25</v>
      </c>
      <c r="CB95" s="179">
        <f t="shared" si="182"/>
        <v>0.85938141261976275</v>
      </c>
      <c r="CC95" s="6">
        <f t="shared" si="183"/>
        <v>85.93814126197627</v>
      </c>
      <c r="CF95" s="581">
        <f t="shared" si="169"/>
        <v>-50</v>
      </c>
      <c r="CG95">
        <f t="shared" si="170"/>
        <v>-50</v>
      </c>
    </row>
    <row r="96" spans="5:85" x14ac:dyDescent="0.2">
      <c r="E96" s="176">
        <v>91</v>
      </c>
      <c r="F96" s="223">
        <f t="shared" si="171"/>
        <v>0.45500000000000002</v>
      </c>
      <c r="G96" s="223"/>
      <c r="H96" s="223">
        <f t="shared" si="119"/>
        <v>2.2749999999999999</v>
      </c>
      <c r="I96" s="559">
        <f t="shared" si="120"/>
        <v>24</v>
      </c>
      <c r="J96" s="178">
        <f t="shared" si="121"/>
        <v>15.75</v>
      </c>
      <c r="K96" s="454">
        <f t="shared" si="122"/>
        <v>39.75</v>
      </c>
      <c r="L96" s="454"/>
      <c r="M96" s="223">
        <f t="shared" si="123"/>
        <v>0.39622641509433965</v>
      </c>
      <c r="N96" s="178">
        <f t="shared" si="124"/>
        <v>3.2094339622641508</v>
      </c>
      <c r="O96" s="178">
        <f t="shared" si="172"/>
        <v>2.2749999999999999</v>
      </c>
      <c r="P96" s="223">
        <f t="shared" si="125"/>
        <v>0.6418867924528302</v>
      </c>
      <c r="Q96" s="223">
        <f t="shared" si="126"/>
        <v>5</v>
      </c>
      <c r="R96" s="223">
        <f t="shared" si="127"/>
        <v>0.71320754716981138</v>
      </c>
      <c r="S96" s="178">
        <f t="shared" si="128"/>
        <v>9.997369834849378</v>
      </c>
      <c r="T96" s="223">
        <f t="shared" si="129"/>
        <v>5</v>
      </c>
      <c r="U96" s="223">
        <f t="shared" si="130"/>
        <v>0.53163580246913578</v>
      </c>
      <c r="V96" s="223">
        <f t="shared" si="131"/>
        <v>0.97466563786008231</v>
      </c>
      <c r="W96" s="223">
        <f t="shared" si="132"/>
        <v>1.4852047815010776</v>
      </c>
      <c r="X96" s="203">
        <f t="shared" si="133"/>
        <v>350</v>
      </c>
      <c r="Y96" s="454">
        <f t="shared" si="173"/>
        <v>350</v>
      </c>
      <c r="AA96" s="223">
        <f t="shared" si="134"/>
        <v>0.61749571183533458</v>
      </c>
      <c r="AB96" s="179">
        <f t="shared" si="135"/>
        <v>1.7250673854447443</v>
      </c>
      <c r="AC96" s="179">
        <f t="shared" si="136"/>
        <v>0.55924139939803896</v>
      </c>
      <c r="AD96" s="179"/>
      <c r="AE96" s="179">
        <f t="shared" si="137"/>
        <v>0.419047619047619</v>
      </c>
      <c r="AF96" s="563">
        <f t="shared" si="184"/>
        <v>4825.7575757575769</v>
      </c>
      <c r="AG96" s="546">
        <f t="shared" si="138"/>
        <v>3.2999999999999995E-2</v>
      </c>
      <c r="AI96" s="179">
        <f t="shared" si="139"/>
        <v>0.58710899303022912</v>
      </c>
      <c r="AJ96" s="179">
        <f t="shared" si="140"/>
        <v>0.58710899303022912</v>
      </c>
      <c r="AK96" s="179">
        <f t="shared" si="141"/>
        <v>1.5237844392816511</v>
      </c>
      <c r="AM96" s="563">
        <f t="shared" si="142"/>
        <v>455</v>
      </c>
      <c r="AN96" s="472">
        <f t="shared" si="143"/>
        <v>350</v>
      </c>
      <c r="AP96">
        <f t="shared" si="144"/>
        <v>455</v>
      </c>
      <c r="AQ96">
        <f t="shared" si="145"/>
        <v>350</v>
      </c>
      <c r="AS96" s="6">
        <f t="shared" si="174"/>
        <v>2.8571428571428572</v>
      </c>
      <c r="AT96" s="6">
        <f t="shared" si="146"/>
        <v>1.0763664872220868</v>
      </c>
      <c r="AU96" s="6">
        <f t="shared" si="175"/>
        <v>1.7807763699207704</v>
      </c>
      <c r="AV96" s="6">
        <f t="shared" si="147"/>
        <v>1.6401775043384179</v>
      </c>
      <c r="AW96" s="179">
        <f t="shared" si="176"/>
        <v>0.37672827052773039</v>
      </c>
      <c r="AX96" s="179">
        <f t="shared" si="148"/>
        <v>2.6541666666666663</v>
      </c>
      <c r="AY96" s="179">
        <f t="shared" si="149"/>
        <v>0.54889265621201033</v>
      </c>
      <c r="AZ96" s="179">
        <f t="shared" si="177"/>
        <v>4.8354931271689159</v>
      </c>
      <c r="BA96" s="472">
        <f t="shared" si="150"/>
        <v>24.124421502313997</v>
      </c>
      <c r="BB96" s="472">
        <f t="shared" si="151"/>
        <v>12.880918569001187</v>
      </c>
      <c r="BC96" s="6">
        <f t="shared" si="152"/>
        <v>0.15629885191241327</v>
      </c>
      <c r="BD96" s="563">
        <f t="shared" si="153"/>
        <v>48.697379045099133</v>
      </c>
      <c r="BE96" s="6"/>
      <c r="BF96" s="179">
        <f t="shared" si="178"/>
        <v>0.20805215151502188</v>
      </c>
      <c r="BG96" s="179">
        <f t="shared" si="154"/>
        <v>0.80281979879711629</v>
      </c>
      <c r="BH96" s="179"/>
      <c r="BI96" s="546">
        <f t="shared" si="155"/>
        <v>1.5149994212510365E-2</v>
      </c>
      <c r="BJ96" s="546">
        <f t="shared" si="156"/>
        <v>6.1261153991497959E-2</v>
      </c>
      <c r="BK96" s="546">
        <f t="shared" si="157"/>
        <v>4.3749999999999995E-3</v>
      </c>
      <c r="BL96" s="546">
        <f t="shared" si="158"/>
        <v>2.7651093750000001E-2</v>
      </c>
      <c r="BM96">
        <f t="shared" si="159"/>
        <v>6.96E-3</v>
      </c>
      <c r="BN96" s="546">
        <f t="shared" si="160"/>
        <v>0.11806225579618497</v>
      </c>
      <c r="BO96" s="472">
        <f t="shared" si="179"/>
        <v>118.06225579618497</v>
      </c>
      <c r="BP96" s="546">
        <f t="shared" si="161"/>
        <v>0.12421500000000002</v>
      </c>
      <c r="BQ96" s="546"/>
      <c r="BS96" s="472">
        <f t="shared" si="180"/>
        <v>124.21500000000002</v>
      </c>
      <c r="BT96" s="546">
        <f t="shared" si="162"/>
        <v>8.6571395500059239E-3</v>
      </c>
      <c r="BU96" s="546">
        <f t="shared" si="163"/>
        <v>2.5780785173625694E-2</v>
      </c>
      <c r="BV96" s="546">
        <f t="shared" si="164"/>
        <v>3.0264739980641681E-2</v>
      </c>
      <c r="BW96" s="546">
        <f t="shared" si="165"/>
        <v>6.9025382946463515E-2</v>
      </c>
      <c r="BX96" s="546">
        <f t="shared" si="166"/>
        <v>6.0321969696969686E-2</v>
      </c>
      <c r="BY96" s="472">
        <f t="shared" si="181"/>
        <v>129.3473526434332</v>
      </c>
      <c r="BZ96" s="179">
        <f t="shared" si="167"/>
        <v>0.3716246084396182</v>
      </c>
      <c r="CA96" s="6">
        <f t="shared" si="168"/>
        <v>2.2749999999999999</v>
      </c>
      <c r="CB96" s="179">
        <f t="shared" si="182"/>
        <v>0.85958544810073445</v>
      </c>
      <c r="CC96" s="6">
        <f t="shared" si="183"/>
        <v>85.958544810073448</v>
      </c>
      <c r="CF96" s="581">
        <f t="shared" si="169"/>
        <v>-50</v>
      </c>
      <c r="CG96">
        <f t="shared" si="170"/>
        <v>-50</v>
      </c>
    </row>
    <row r="97" spans="5:85" x14ac:dyDescent="0.2">
      <c r="E97" s="176">
        <v>92</v>
      </c>
      <c r="F97" s="223">
        <f t="shared" si="171"/>
        <v>0.46</v>
      </c>
      <c r="G97" s="223"/>
      <c r="H97" s="223">
        <f t="shared" si="119"/>
        <v>2.3000000000000003</v>
      </c>
      <c r="I97" s="559">
        <f t="shared" si="120"/>
        <v>24</v>
      </c>
      <c r="J97" s="178">
        <f t="shared" si="121"/>
        <v>15.75</v>
      </c>
      <c r="K97" s="454">
        <f t="shared" si="122"/>
        <v>39.75</v>
      </c>
      <c r="L97" s="454"/>
      <c r="M97" s="223">
        <f t="shared" si="123"/>
        <v>0.39622641509433965</v>
      </c>
      <c r="N97" s="178">
        <f t="shared" si="124"/>
        <v>3.2094339622641508</v>
      </c>
      <c r="O97" s="178">
        <f t="shared" si="172"/>
        <v>2.3000000000000003</v>
      </c>
      <c r="P97" s="223">
        <f t="shared" si="125"/>
        <v>0.6418867924528302</v>
      </c>
      <c r="Q97" s="223">
        <f t="shared" si="126"/>
        <v>5</v>
      </c>
      <c r="R97" s="223">
        <f t="shared" si="127"/>
        <v>0.71320754716981138</v>
      </c>
      <c r="S97" s="178">
        <f t="shared" si="128"/>
        <v>9.8075512142676757</v>
      </c>
      <c r="T97" s="550">
        <f t="shared" si="129"/>
        <v>5</v>
      </c>
      <c r="U97" s="550">
        <f t="shared" si="130"/>
        <v>0.53747795414462085</v>
      </c>
      <c r="V97" s="223">
        <f t="shared" si="131"/>
        <v>0.98537624926513812</v>
      </c>
      <c r="W97" s="223">
        <f t="shared" si="132"/>
        <v>1.5015257131659248</v>
      </c>
      <c r="X97" s="203">
        <f t="shared" si="133"/>
        <v>350</v>
      </c>
      <c r="Y97" s="454">
        <f t="shared" si="173"/>
        <v>350</v>
      </c>
      <c r="AA97" s="223">
        <f t="shared" si="134"/>
        <v>0.61749571183533458</v>
      </c>
      <c r="AB97" s="179">
        <f t="shared" si="135"/>
        <v>1.7250673854447443</v>
      </c>
      <c r="AC97" s="179">
        <f t="shared" si="136"/>
        <v>0.55924139939803896</v>
      </c>
      <c r="AD97" s="179"/>
      <c r="AE97" s="179">
        <f t="shared" si="137"/>
        <v>0.419047619047619</v>
      </c>
      <c r="AF97" s="563">
        <f t="shared" si="184"/>
        <v>4878.7878787878799</v>
      </c>
      <c r="AG97" s="546">
        <f t="shared" si="138"/>
        <v>3.2999999999999995E-2</v>
      </c>
      <c r="AI97" s="179">
        <f t="shared" si="139"/>
        <v>0.59032605269024718</v>
      </c>
      <c r="AJ97" s="179">
        <f t="shared" si="140"/>
        <v>0.59032605269024718</v>
      </c>
      <c r="AK97" s="179">
        <f t="shared" si="141"/>
        <v>1.5261674464372201</v>
      </c>
      <c r="AM97" s="563">
        <f t="shared" si="142"/>
        <v>460</v>
      </c>
      <c r="AN97" s="472">
        <f t="shared" si="143"/>
        <v>350</v>
      </c>
      <c r="AP97">
        <f t="shared" si="144"/>
        <v>460</v>
      </c>
      <c r="AQ97">
        <f t="shared" si="145"/>
        <v>350</v>
      </c>
      <c r="AS97" s="6">
        <f t="shared" si="174"/>
        <v>2.8571428571428572</v>
      </c>
      <c r="AT97" s="6">
        <f t="shared" si="146"/>
        <v>1.0822644299321198</v>
      </c>
      <c r="AU97" s="6">
        <f t="shared" si="175"/>
        <v>1.7748784272107374</v>
      </c>
      <c r="AV97" s="6">
        <f t="shared" si="147"/>
        <v>1.6491648456108492</v>
      </c>
      <c r="AW97" s="179">
        <f t="shared" si="176"/>
        <v>0.37879255047624194</v>
      </c>
      <c r="AX97" s="179">
        <f t="shared" si="148"/>
        <v>2.6833333333333336</v>
      </c>
      <c r="AY97" s="179">
        <f t="shared" si="149"/>
        <v>0.55007241236870408</v>
      </c>
      <c r="AZ97" s="179">
        <f t="shared" si="177"/>
        <v>4.8781456277337201</v>
      </c>
      <c r="BA97" s="472">
        <f t="shared" si="150"/>
        <v>24.124421502313997</v>
      </c>
      <c r="BB97" s="472">
        <f t="shared" si="151"/>
        <v>13.150406323877073</v>
      </c>
      <c r="BC97" s="6">
        <f t="shared" si="152"/>
        <v>0.15749307031576759</v>
      </c>
      <c r="BD97" s="563">
        <f t="shared" si="153"/>
        <v>49.179611404429252</v>
      </c>
      <c r="BE97" s="6"/>
      <c r="BF97" s="179">
        <f t="shared" si="178"/>
        <v>0.20976452238951382</v>
      </c>
      <c r="BG97" s="179">
        <f t="shared" si="154"/>
        <v>0.8058809786654838</v>
      </c>
      <c r="BH97" s="179"/>
      <c r="BI97" s="546">
        <f t="shared" si="155"/>
        <v>1.5400404198655295E-2</v>
      </c>
      <c r="BJ97" s="546">
        <f t="shared" si="156"/>
        <v>6.1596834060397967E-2</v>
      </c>
      <c r="BK97" s="546">
        <f t="shared" si="157"/>
        <v>4.3749999999999995E-3</v>
      </c>
      <c r="BL97" s="546">
        <f t="shared" si="158"/>
        <v>2.7651093750000001E-2</v>
      </c>
      <c r="BM97">
        <f t="shared" si="159"/>
        <v>6.96E-3</v>
      </c>
      <c r="BN97" s="546">
        <f t="shared" si="160"/>
        <v>0.11869577572865456</v>
      </c>
      <c r="BO97" s="472">
        <f t="shared" si="179"/>
        <v>118.69577572865455</v>
      </c>
      <c r="BP97" s="546">
        <f t="shared" si="161"/>
        <v>0.12558000000000002</v>
      </c>
      <c r="BQ97" s="546"/>
      <c r="BS97" s="472">
        <f t="shared" si="180"/>
        <v>125.58000000000003</v>
      </c>
      <c r="BT97" s="546">
        <f t="shared" si="162"/>
        <v>8.8002309706601695E-3</v>
      </c>
      <c r="BU97" s="546">
        <f t="shared" si="163"/>
        <v>2.5977766070993519E-2</v>
      </c>
      <c r="BV97" s="546">
        <f t="shared" si="164"/>
        <v>3.068103391967255E-2</v>
      </c>
      <c r="BW97" s="546">
        <f t="shared" si="165"/>
        <v>6.9826665130591895E-2</v>
      </c>
      <c r="BX97" s="546">
        <f t="shared" si="166"/>
        <v>6.0984848484848503E-2</v>
      </c>
      <c r="BY97" s="472">
        <f t="shared" si="181"/>
        <v>130.81151361544042</v>
      </c>
      <c r="BZ97" s="179">
        <f t="shared" si="167"/>
        <v>0.37508728934409497</v>
      </c>
      <c r="CA97" s="6">
        <f t="shared" si="168"/>
        <v>2.3000000000000003</v>
      </c>
      <c r="CB97" s="179">
        <f t="shared" si="182"/>
        <v>0.85978502801078216</v>
      </c>
      <c r="CC97" s="6">
        <f t="shared" si="183"/>
        <v>85.978502801078221</v>
      </c>
      <c r="CF97" s="581">
        <f t="shared" si="169"/>
        <v>-50</v>
      </c>
      <c r="CG97">
        <f t="shared" si="170"/>
        <v>-50</v>
      </c>
    </row>
    <row r="98" spans="5:85" x14ac:dyDescent="0.2">
      <c r="E98" s="176">
        <v>93</v>
      </c>
      <c r="F98" s="223">
        <f t="shared" si="171"/>
        <v>0.46500000000000002</v>
      </c>
      <c r="G98" s="223"/>
      <c r="H98" s="223">
        <f t="shared" si="119"/>
        <v>2.3250000000000002</v>
      </c>
      <c r="I98" s="559">
        <f t="shared" si="120"/>
        <v>24</v>
      </c>
      <c r="J98" s="178">
        <f t="shared" si="121"/>
        <v>15.75</v>
      </c>
      <c r="K98" s="454">
        <f t="shared" si="122"/>
        <v>39.75</v>
      </c>
      <c r="L98" s="454"/>
      <c r="M98" s="223">
        <f t="shared" si="123"/>
        <v>0.39622641509433965</v>
      </c>
      <c r="N98" s="178">
        <f t="shared" si="124"/>
        <v>3.2094339622641508</v>
      </c>
      <c r="O98" s="178">
        <f t="shared" si="172"/>
        <v>2.3250000000000002</v>
      </c>
      <c r="P98" s="223">
        <f t="shared" si="125"/>
        <v>0.6418867924528302</v>
      </c>
      <c r="Q98" s="223">
        <f t="shared" si="126"/>
        <v>5</v>
      </c>
      <c r="R98" s="223">
        <f t="shared" si="127"/>
        <v>0.71320754716981138</v>
      </c>
      <c r="S98" s="178">
        <f t="shared" si="128"/>
        <v>9.6219490766331646</v>
      </c>
      <c r="T98" s="550">
        <f t="shared" si="129"/>
        <v>5</v>
      </c>
      <c r="U98" s="550">
        <f t="shared" si="130"/>
        <v>0.54332010582010581</v>
      </c>
      <c r="V98" s="223">
        <f t="shared" si="131"/>
        <v>0.99608686067019392</v>
      </c>
      <c r="W98" s="223">
        <f t="shared" si="132"/>
        <v>1.5178466448307717</v>
      </c>
      <c r="X98" s="203">
        <f t="shared" si="133"/>
        <v>350</v>
      </c>
      <c r="Y98" s="454">
        <f t="shared" si="173"/>
        <v>350</v>
      </c>
      <c r="AA98" s="223">
        <f t="shared" si="134"/>
        <v>0.61749571183533458</v>
      </c>
      <c r="AB98" s="179">
        <f t="shared" si="135"/>
        <v>1.7250673854447443</v>
      </c>
      <c r="AC98" s="179">
        <f t="shared" si="136"/>
        <v>0.55924139939803896</v>
      </c>
      <c r="AD98" s="179"/>
      <c r="AE98" s="179">
        <f t="shared" si="137"/>
        <v>0.419047619047619</v>
      </c>
      <c r="AF98" s="563">
        <f t="shared" si="184"/>
        <v>4931.8181818181829</v>
      </c>
      <c r="AG98" s="546">
        <f t="shared" si="138"/>
        <v>3.2999999999999995E-2</v>
      </c>
      <c r="AI98" s="179">
        <f t="shared" si="139"/>
        <v>0.59352567532729983</v>
      </c>
      <c r="AJ98" s="179">
        <f t="shared" si="140"/>
        <v>0.59352567532729983</v>
      </c>
      <c r="AK98" s="179">
        <f t="shared" si="141"/>
        <v>1.5285375372794814</v>
      </c>
      <c r="AM98" s="563">
        <f t="shared" si="142"/>
        <v>465</v>
      </c>
      <c r="AN98" s="472">
        <f t="shared" si="143"/>
        <v>350</v>
      </c>
      <c r="AP98">
        <f t="shared" si="144"/>
        <v>465</v>
      </c>
      <c r="AQ98">
        <f t="shared" si="145"/>
        <v>350</v>
      </c>
      <c r="AS98" s="6">
        <f t="shared" si="174"/>
        <v>2.8571428571428572</v>
      </c>
      <c r="AT98" s="6">
        <f t="shared" si="146"/>
        <v>1.0881304047667162</v>
      </c>
      <c r="AU98" s="6">
        <f t="shared" si="175"/>
        <v>1.769012452376141</v>
      </c>
      <c r="AV98" s="6">
        <f t="shared" si="147"/>
        <v>1.6581034739302343</v>
      </c>
      <c r="AW98" s="179">
        <f t="shared" si="176"/>
        <v>0.38084564166835067</v>
      </c>
      <c r="AX98" s="179">
        <f t="shared" si="148"/>
        <v>2.7125000000000004</v>
      </c>
      <c r="AY98" s="179">
        <f t="shared" si="149"/>
        <v>0.55122601299094975</v>
      </c>
      <c r="AZ98" s="179">
        <f t="shared" si="177"/>
        <v>4.9208490457153644</v>
      </c>
      <c r="BA98" s="472">
        <f t="shared" si="150"/>
        <v>24.124421502313997</v>
      </c>
      <c r="BB98" s="472">
        <f t="shared" si="151"/>
        <v>13.422675365691493</v>
      </c>
      <c r="BC98" s="6">
        <f t="shared" si="152"/>
        <v>0.15867877900364691</v>
      </c>
      <c r="BD98" s="563">
        <f t="shared" si="153"/>
        <v>49.660932667642477</v>
      </c>
      <c r="BE98" s="6"/>
      <c r="BF98" s="179">
        <f t="shared" si="178"/>
        <v>0.21147224629601064</v>
      </c>
      <c r="BG98" s="179">
        <f t="shared" si="154"/>
        <v>0.80890888438492059</v>
      </c>
      <c r="BH98" s="179"/>
      <c r="BI98" s="546">
        <f t="shared" si="155"/>
        <v>1.5652178833718205E-2</v>
      </c>
      <c r="BJ98" s="546">
        <f t="shared" si="156"/>
        <v>6.1930694684932945E-2</v>
      </c>
      <c r="BK98" s="546">
        <f t="shared" si="157"/>
        <v>4.3749999999999995E-3</v>
      </c>
      <c r="BL98" s="546">
        <f t="shared" si="158"/>
        <v>2.7651093750000001E-2</v>
      </c>
      <c r="BM98">
        <f t="shared" si="159"/>
        <v>6.96E-3</v>
      </c>
      <c r="BN98" s="546">
        <f t="shared" si="160"/>
        <v>0.11932919088732556</v>
      </c>
      <c r="BO98" s="472">
        <f t="shared" si="179"/>
        <v>119.32919088732557</v>
      </c>
      <c r="BP98" s="546">
        <f t="shared" si="161"/>
        <v>0.126945</v>
      </c>
      <c r="BQ98" s="546"/>
      <c r="BS98" s="472">
        <f t="shared" si="180"/>
        <v>126.94500000000001</v>
      </c>
      <c r="BT98" s="546">
        <f t="shared" si="162"/>
        <v>8.9441021906961175E-3</v>
      </c>
      <c r="BU98" s="546">
        <f t="shared" si="163"/>
        <v>2.6173343329474276E-2</v>
      </c>
      <c r="BV98" s="546">
        <f t="shared" si="164"/>
        <v>3.1098460650173451E-2</v>
      </c>
      <c r="BW98" s="546">
        <f t="shared" si="165"/>
        <v>7.0628422815997599E-2</v>
      </c>
      <c r="BX98" s="546">
        <f t="shared" si="166"/>
        <v>6.1647727272727298E-2</v>
      </c>
      <c r="BY98" s="472">
        <f t="shared" si="181"/>
        <v>132.2761500887249</v>
      </c>
      <c r="BZ98" s="179">
        <f t="shared" si="167"/>
        <v>0.37855034097605045</v>
      </c>
      <c r="CA98" s="6">
        <f t="shared" si="168"/>
        <v>2.3250000000000002</v>
      </c>
      <c r="CB98" s="179">
        <f t="shared" si="182"/>
        <v>0.85998028768371881</v>
      </c>
      <c r="CC98" s="6">
        <f t="shared" si="183"/>
        <v>85.998028768371881</v>
      </c>
      <c r="CF98" s="581">
        <f t="shared" si="169"/>
        <v>-50</v>
      </c>
      <c r="CG98">
        <f t="shared" si="170"/>
        <v>-50</v>
      </c>
    </row>
    <row r="99" spans="5:85" x14ac:dyDescent="0.2">
      <c r="E99" s="176">
        <v>94</v>
      </c>
      <c r="F99" s="223">
        <f t="shared" si="171"/>
        <v>0.47</v>
      </c>
      <c r="G99" s="223"/>
      <c r="H99" s="223">
        <f t="shared" si="119"/>
        <v>2.3499999999999996</v>
      </c>
      <c r="I99" s="559">
        <f t="shared" si="120"/>
        <v>24</v>
      </c>
      <c r="J99" s="178">
        <f t="shared" si="121"/>
        <v>15.75</v>
      </c>
      <c r="K99" s="454">
        <f t="shared" si="122"/>
        <v>39.75</v>
      </c>
      <c r="L99" s="454"/>
      <c r="M99" s="223">
        <f t="shared" si="123"/>
        <v>0.39622641509433965</v>
      </c>
      <c r="N99" s="178">
        <f t="shared" si="124"/>
        <v>3.2094339622641508</v>
      </c>
      <c r="O99" s="178">
        <f t="shared" si="172"/>
        <v>2.3499999999999996</v>
      </c>
      <c r="P99" s="223">
        <f t="shared" si="125"/>
        <v>0.6418867924528302</v>
      </c>
      <c r="Q99" s="223">
        <f t="shared" si="126"/>
        <v>5</v>
      </c>
      <c r="R99" s="223">
        <f t="shared" si="127"/>
        <v>0.71320754716981138</v>
      </c>
      <c r="S99" s="178">
        <f t="shared" si="128"/>
        <v>9.4404317069952661</v>
      </c>
      <c r="T99" s="550">
        <f t="shared" si="129"/>
        <v>5</v>
      </c>
      <c r="U99" s="550">
        <f t="shared" si="130"/>
        <v>0.54916225749559067</v>
      </c>
      <c r="V99" s="223">
        <f t="shared" si="131"/>
        <v>1.0067974720752495</v>
      </c>
      <c r="W99" s="223">
        <f t="shared" si="132"/>
        <v>1.5341675764956184</v>
      </c>
      <c r="X99" s="203">
        <f t="shared" si="133"/>
        <v>350</v>
      </c>
      <c r="Y99" s="454">
        <f t="shared" si="173"/>
        <v>350</v>
      </c>
      <c r="AA99" s="223">
        <f t="shared" si="134"/>
        <v>0.61749571183533458</v>
      </c>
      <c r="AB99" s="179">
        <f t="shared" si="135"/>
        <v>1.7250673854447443</v>
      </c>
      <c r="AC99" s="179">
        <f t="shared" si="136"/>
        <v>0.55924139939803896</v>
      </c>
      <c r="AD99" s="179"/>
      <c r="AE99" s="179">
        <f t="shared" si="137"/>
        <v>0.419047619047619</v>
      </c>
      <c r="AF99" s="563">
        <f t="shared" si="184"/>
        <v>4984.848484848485</v>
      </c>
      <c r="AG99" s="546">
        <f t="shared" si="138"/>
        <v>3.2999999999999995E-2</v>
      </c>
      <c r="AI99" s="179">
        <f t="shared" si="139"/>
        <v>0.59670814143985496</v>
      </c>
      <c r="AJ99" s="179">
        <f t="shared" si="140"/>
        <v>0.59670814143985496</v>
      </c>
      <c r="AK99" s="179">
        <f t="shared" si="141"/>
        <v>1.5308949195850776</v>
      </c>
      <c r="AM99" s="563">
        <f t="shared" si="142"/>
        <v>470</v>
      </c>
      <c r="AN99" s="472">
        <f t="shared" si="143"/>
        <v>350</v>
      </c>
      <c r="AP99">
        <f t="shared" si="144"/>
        <v>470</v>
      </c>
      <c r="AQ99">
        <f t="shared" si="145"/>
        <v>350</v>
      </c>
      <c r="AS99" s="6">
        <f t="shared" si="174"/>
        <v>2.8571428571428572</v>
      </c>
      <c r="AT99" s="6">
        <f t="shared" si="146"/>
        <v>1.0939649259730675</v>
      </c>
      <c r="AU99" s="6">
        <f t="shared" si="175"/>
        <v>1.7631779311697897</v>
      </c>
      <c r="AV99" s="6">
        <f t="shared" si="147"/>
        <v>1.6669941729113409</v>
      </c>
      <c r="AW99" s="179">
        <f t="shared" si="176"/>
        <v>0.38288772409057359</v>
      </c>
      <c r="AX99" s="179">
        <f t="shared" si="148"/>
        <v>2.7416666666666663</v>
      </c>
      <c r="AY99" s="179">
        <f t="shared" si="149"/>
        <v>0.55235387882644926</v>
      </c>
      <c r="AZ99" s="179">
        <f t="shared" si="177"/>
        <v>4.9636053475205228</v>
      </c>
      <c r="BA99" s="472">
        <f t="shared" si="150"/>
        <v>24.124421502313997</v>
      </c>
      <c r="BB99" s="472">
        <f t="shared" si="151"/>
        <v>13.697725694444449</v>
      </c>
      <c r="BC99" s="6">
        <f t="shared" si="152"/>
        <v>0.15985602385219924</v>
      </c>
      <c r="BD99" s="563">
        <f t="shared" si="153"/>
        <v>50.141347076239391</v>
      </c>
      <c r="BE99" s="6"/>
      <c r="BF99" s="179">
        <f t="shared" si="178"/>
        <v>0.21317538561229787</v>
      </c>
      <c r="BG99" s="179">
        <f t="shared" si="154"/>
        <v>0.81190400473408852</v>
      </c>
      <c r="BH99" s="179"/>
      <c r="BI99" s="546">
        <f t="shared" si="155"/>
        <v>1.5905310760833163E-2</v>
      </c>
      <c r="BJ99" s="546">
        <f t="shared" si="156"/>
        <v>6.2262765133364865E-2</v>
      </c>
      <c r="BK99" s="546">
        <f t="shared" si="157"/>
        <v>4.3749999999999995E-3</v>
      </c>
      <c r="BL99" s="546">
        <f t="shared" si="158"/>
        <v>2.7651093750000001E-2</v>
      </c>
      <c r="BM99">
        <f t="shared" si="159"/>
        <v>6.96E-3</v>
      </c>
      <c r="BN99" s="546">
        <f t="shared" si="160"/>
        <v>0.1199625228747815</v>
      </c>
      <c r="BO99" s="472">
        <f t="shared" si="179"/>
        <v>119.9625228747815</v>
      </c>
      <c r="BP99" s="546">
        <f t="shared" si="161"/>
        <v>0.12830999999999998</v>
      </c>
      <c r="BQ99" s="546"/>
      <c r="BS99" s="472">
        <f t="shared" si="180"/>
        <v>128.30999999999997</v>
      </c>
      <c r="BT99" s="546">
        <f t="shared" si="162"/>
        <v>9.0887490061903799E-3</v>
      </c>
      <c r="BU99" s="546">
        <f t="shared" si="163"/>
        <v>2.6367524516130034E-2</v>
      </c>
      <c r="BV99" s="546">
        <f t="shared" si="164"/>
        <v>3.1517011024084544E-2</v>
      </c>
      <c r="BW99" s="546">
        <f t="shared" si="165"/>
        <v>7.1430650543767987E-2</v>
      </c>
      <c r="BX99" s="546">
        <f t="shared" si="166"/>
        <v>6.2310606060606059E-2</v>
      </c>
      <c r="BY99" s="472">
        <f t="shared" si="181"/>
        <v>133.74125660437406</v>
      </c>
      <c r="BZ99" s="179">
        <f t="shared" si="167"/>
        <v>0.38201377947915555</v>
      </c>
      <c r="CA99" s="6">
        <f t="shared" si="168"/>
        <v>2.3499999999999996</v>
      </c>
      <c r="CB99" s="179">
        <f t="shared" si="182"/>
        <v>0.86017135698635294</v>
      </c>
      <c r="CC99" s="6">
        <f t="shared" si="183"/>
        <v>86.0171356986353</v>
      </c>
      <c r="CF99" s="581">
        <f t="shared" si="169"/>
        <v>-50</v>
      </c>
      <c r="CG99">
        <f t="shared" si="170"/>
        <v>-50</v>
      </c>
    </row>
    <row r="100" spans="5:85" x14ac:dyDescent="0.2">
      <c r="E100" s="176">
        <v>95</v>
      </c>
      <c r="F100" s="223">
        <f t="shared" si="171"/>
        <v>0.47499999999999998</v>
      </c>
      <c r="G100" s="223"/>
      <c r="H100" s="223">
        <f t="shared" si="119"/>
        <v>2.375</v>
      </c>
      <c r="I100" s="559">
        <f t="shared" si="120"/>
        <v>24</v>
      </c>
      <c r="J100" s="178">
        <f t="shared" si="121"/>
        <v>15.75</v>
      </c>
      <c r="K100" s="454">
        <f t="shared" si="122"/>
        <v>39.75</v>
      </c>
      <c r="L100" s="454"/>
      <c r="M100" s="223">
        <f t="shared" si="123"/>
        <v>0.39622641509433965</v>
      </c>
      <c r="N100" s="178">
        <f t="shared" si="124"/>
        <v>3.2094339622641508</v>
      </c>
      <c r="O100" s="178">
        <f t="shared" si="172"/>
        <v>2.375</v>
      </c>
      <c r="P100" s="223">
        <f t="shared" si="125"/>
        <v>0.6418867924528302</v>
      </c>
      <c r="Q100" s="223">
        <f t="shared" si="126"/>
        <v>5</v>
      </c>
      <c r="R100" s="223">
        <f t="shared" si="127"/>
        <v>0.71320754716981138</v>
      </c>
      <c r="S100" s="178">
        <f t="shared" si="128"/>
        <v>9.2628730063957683</v>
      </c>
      <c r="T100" s="550">
        <f t="shared" si="129"/>
        <v>5</v>
      </c>
      <c r="U100" s="550">
        <f t="shared" si="130"/>
        <v>0.55500440917107574</v>
      </c>
      <c r="V100" s="223">
        <f t="shared" si="131"/>
        <v>1.0175080834803054</v>
      </c>
      <c r="W100" s="223">
        <f t="shared" si="132"/>
        <v>1.5504885081604654</v>
      </c>
      <c r="X100" s="203">
        <f t="shared" si="133"/>
        <v>350</v>
      </c>
      <c r="Y100" s="454">
        <f t="shared" si="173"/>
        <v>350</v>
      </c>
      <c r="AA100" s="223">
        <f t="shared" si="134"/>
        <v>0.61749571183533458</v>
      </c>
      <c r="AB100" s="179">
        <f t="shared" si="135"/>
        <v>1.7250673854447443</v>
      </c>
      <c r="AC100" s="179">
        <f t="shared" si="136"/>
        <v>0.55924139939803896</v>
      </c>
      <c r="AD100" s="179"/>
      <c r="AE100" s="179">
        <f t="shared" si="137"/>
        <v>0.419047619047619</v>
      </c>
      <c r="AF100" s="563">
        <f t="shared" si="184"/>
        <v>5037.8787878787889</v>
      </c>
      <c r="AG100" s="546">
        <f t="shared" si="138"/>
        <v>3.2999999999999995E-2</v>
      </c>
      <c r="AI100" s="179">
        <f t="shared" si="139"/>
        <v>0.59987372408573192</v>
      </c>
      <c r="AJ100" s="179">
        <f t="shared" si="140"/>
        <v>0.59987372408573192</v>
      </c>
      <c r="AK100" s="179">
        <f t="shared" si="141"/>
        <v>1.5332397956190607</v>
      </c>
      <c r="AM100" s="563">
        <f t="shared" si="142"/>
        <v>475</v>
      </c>
      <c r="AN100" s="472">
        <f t="shared" si="143"/>
        <v>350</v>
      </c>
      <c r="AP100">
        <f t="shared" si="144"/>
        <v>475</v>
      </c>
      <c r="AQ100">
        <f t="shared" si="145"/>
        <v>350</v>
      </c>
      <c r="AS100" s="6">
        <f t="shared" si="174"/>
        <v>2.8571428571428572</v>
      </c>
      <c r="AT100" s="6">
        <f t="shared" si="146"/>
        <v>1.099768494157175</v>
      </c>
      <c r="AU100" s="6">
        <f t="shared" si="175"/>
        <v>1.7573743629856822</v>
      </c>
      <c r="AV100" s="6">
        <f t="shared" si="147"/>
        <v>1.6758377053823621</v>
      </c>
      <c r="AW100" s="179">
        <f t="shared" si="176"/>
        <v>0.38491897295501126</v>
      </c>
      <c r="AX100" s="179">
        <f t="shared" si="148"/>
        <v>2.7708333333333326</v>
      </c>
      <c r="AY100" s="179">
        <f t="shared" si="149"/>
        <v>0.55345641946193125</v>
      </c>
      <c r="AZ100" s="179">
        <f t="shared" si="177"/>
        <v>5.0064164691180721</v>
      </c>
      <c r="BA100" s="472">
        <f t="shared" si="150"/>
        <v>24.124421502313997</v>
      </c>
      <c r="BB100" s="472">
        <f t="shared" si="151"/>
        <v>13.975557310135937</v>
      </c>
      <c r="BC100" s="6">
        <f t="shared" si="152"/>
        <v>0.16102485000351058</v>
      </c>
      <c r="BD100" s="563">
        <f t="shared" si="153"/>
        <v>50.620858809191354</v>
      </c>
      <c r="BE100" s="6"/>
      <c r="BF100" s="179">
        <f t="shared" si="178"/>
        <v>0.21487400122497813</v>
      </c>
      <c r="BG100" s="179">
        <f t="shared" si="154"/>
        <v>0.81486681545119222</v>
      </c>
      <c r="BH100" s="179"/>
      <c r="BI100" s="546">
        <f t="shared" si="155"/>
        <v>1.6159792740851164E-2</v>
      </c>
      <c r="BJ100" s="546">
        <f t="shared" si="156"/>
        <v>6.2593073897570586E-2</v>
      </c>
      <c r="BK100" s="546">
        <f t="shared" si="157"/>
        <v>4.3749999999999995E-3</v>
      </c>
      <c r="BL100" s="546">
        <f t="shared" si="158"/>
        <v>2.7651093750000001E-2</v>
      </c>
      <c r="BM100">
        <f t="shared" si="159"/>
        <v>6.96E-3</v>
      </c>
      <c r="BN100" s="546">
        <f t="shared" si="160"/>
        <v>0.12059579265302728</v>
      </c>
      <c r="BO100" s="472">
        <f t="shared" si="179"/>
        <v>120.59579265302727</v>
      </c>
      <c r="BP100" s="546">
        <f t="shared" si="161"/>
        <v>0.12967499999999998</v>
      </c>
      <c r="BQ100" s="546"/>
      <c r="BS100" s="472">
        <f t="shared" si="180"/>
        <v>129.67499999999998</v>
      </c>
      <c r="BT100" s="546">
        <f t="shared" si="162"/>
        <v>9.2341672804863804E-3</v>
      </c>
      <c r="BU100" s="546">
        <f t="shared" si="163"/>
        <v>2.6560317076942695E-2</v>
      </c>
      <c r="BV100" s="546">
        <f t="shared" si="164"/>
        <v>3.1936676063892562E-2</v>
      </c>
      <c r="BW100" s="546">
        <f t="shared" si="165"/>
        <v>7.2233342965401917E-2</v>
      </c>
      <c r="BX100" s="546">
        <f t="shared" si="166"/>
        <v>6.2973484848484862E-2</v>
      </c>
      <c r="BY100" s="472">
        <f t="shared" si="181"/>
        <v>135.20682781388678</v>
      </c>
      <c r="BZ100" s="179">
        <f t="shared" si="167"/>
        <v>0.38547762046691403</v>
      </c>
      <c r="CA100" s="6">
        <f t="shared" si="168"/>
        <v>2.375</v>
      </c>
      <c r="CB100" s="179">
        <f t="shared" si="182"/>
        <v>0.86035836059351445</v>
      </c>
      <c r="CC100" s="6">
        <f t="shared" si="183"/>
        <v>86.035836059351439</v>
      </c>
      <c r="CF100" s="581">
        <f t="shared" si="169"/>
        <v>-50</v>
      </c>
      <c r="CG100">
        <f t="shared" si="170"/>
        <v>-50</v>
      </c>
    </row>
    <row r="101" spans="5:85" x14ac:dyDescent="0.2">
      <c r="E101" s="176">
        <v>96</v>
      </c>
      <c r="F101" s="223">
        <f t="shared" si="171"/>
        <v>0.48</v>
      </c>
      <c r="G101" s="223"/>
      <c r="H101" s="223">
        <f t="shared" ref="H101:H105" si="185">F101*Vout</f>
        <v>2.4</v>
      </c>
      <c r="I101" s="559">
        <f t="shared" si="120"/>
        <v>24</v>
      </c>
      <c r="J101" s="178">
        <f t="shared" si="121"/>
        <v>15.75</v>
      </c>
      <c r="K101" s="454">
        <f t="shared" si="122"/>
        <v>39.75</v>
      </c>
      <c r="L101" s="454"/>
      <c r="M101" s="223">
        <f t="shared" si="123"/>
        <v>0.39622641509433965</v>
      </c>
      <c r="N101" s="178">
        <f t="shared" si="124"/>
        <v>3.2094339622641508</v>
      </c>
      <c r="O101" s="178">
        <f t="shared" si="172"/>
        <v>2.4</v>
      </c>
      <c r="P101" s="223">
        <f t="shared" ref="P101:P105" si="186">N101/Vout</f>
        <v>0.6418867924528302</v>
      </c>
      <c r="Q101" s="223">
        <f t="shared" si="126"/>
        <v>5</v>
      </c>
      <c r="R101" s="223">
        <f t="shared" ref="R101:R105" si="187">Isw_max/2*I101*Nps*(Q101+Vfwd1)/Q101/(I101+Nps*(Q101+Vfwd1))</f>
        <v>0.71320754716981138</v>
      </c>
      <c r="S101" s="178">
        <f t="shared" si="128"/>
        <v>9.0891522010713732</v>
      </c>
      <c r="T101" s="550">
        <f t="shared" ref="T101:T105" si="188">MIN(Vout, S101)</f>
        <v>5</v>
      </c>
      <c r="U101" s="550">
        <f t="shared" si="130"/>
        <v>0.56084656084656082</v>
      </c>
      <c r="V101" s="223">
        <f t="shared" ref="V101:V105" si="189">L*U101/I101*1000000</f>
        <v>1.0282186948853613</v>
      </c>
      <c r="W101" s="223">
        <f t="shared" si="132"/>
        <v>1.5668094398253127</v>
      </c>
      <c r="X101" s="203">
        <f t="shared" si="133"/>
        <v>350</v>
      </c>
      <c r="Y101" s="454">
        <f t="shared" si="173"/>
        <v>350</v>
      </c>
      <c r="AA101" s="223">
        <f t="shared" si="134"/>
        <v>0.61749571183533458</v>
      </c>
      <c r="AB101" s="179">
        <f t="shared" ref="AB101:AB105" si="190">L*AA101/J101*1000000</f>
        <v>1.7250673854447443</v>
      </c>
      <c r="AC101" s="179">
        <f t="shared" ref="AC101:AC105" si="191">0.5*AB101*AA101*Nps*X101/1000</f>
        <v>0.55924139939803896</v>
      </c>
      <c r="AD101" s="179"/>
      <c r="AE101" s="179">
        <f t="shared" si="137"/>
        <v>0.419047619047619</v>
      </c>
      <c r="AF101" s="563">
        <f t="shared" si="184"/>
        <v>5090.9090909090919</v>
      </c>
      <c r="AG101" s="546">
        <f t="shared" si="138"/>
        <v>3.2999999999999995E-2</v>
      </c>
      <c r="AI101" s="179">
        <f t="shared" si="139"/>
        <v>0.60302268915552726</v>
      </c>
      <c r="AJ101" s="179">
        <f t="shared" ref="AJ101:AJ105" si="192">MAX(IF(F101&gt;AC101,U101,AI101),Isw_min)</f>
        <v>0.60302268915552726</v>
      </c>
      <c r="AK101" s="179">
        <f t="shared" ref="AK101:AK105" si="193">IF(F101&gt;AG101, (AJ101-Isw_min)/1.08*0.8+1.2, AF101*0.2/350+1)</f>
        <v>1.5355723623374276</v>
      </c>
      <c r="AM101" s="563">
        <f t="shared" si="142"/>
        <v>480</v>
      </c>
      <c r="AN101" s="472">
        <f t="shared" si="143"/>
        <v>350</v>
      </c>
      <c r="AP101">
        <f t="shared" si="144"/>
        <v>480</v>
      </c>
      <c r="AQ101">
        <f t="shared" si="145"/>
        <v>350</v>
      </c>
      <c r="AS101" s="6">
        <f t="shared" si="174"/>
        <v>2.8571428571428572</v>
      </c>
      <c r="AT101" s="6">
        <f t="shared" si="146"/>
        <v>1.1055415967851332</v>
      </c>
      <c r="AU101" s="6">
        <f t="shared" si="175"/>
        <v>1.751601260357724</v>
      </c>
      <c r="AV101" s="6">
        <f t="shared" si="147"/>
        <v>1.6846348141487746</v>
      </c>
      <c r="AW101" s="179">
        <f t="shared" si="176"/>
        <v>0.38693955887479659</v>
      </c>
      <c r="AX101" s="179">
        <f t="shared" si="148"/>
        <v>2.8</v>
      </c>
      <c r="AY101" s="179">
        <f t="shared" si="149"/>
        <v>0.55453403373329091</v>
      </c>
      <c r="AZ101" s="179">
        <f t="shared" si="177"/>
        <v>5.0492843174106961</v>
      </c>
      <c r="BA101" s="472">
        <f t="shared" si="150"/>
        <v>24.124421502313997</v>
      </c>
      <c r="BB101" s="472">
        <f t="shared" si="151"/>
        <v>14.25617021276596</v>
      </c>
      <c r="BC101" s="6">
        <f t="shared" si="152"/>
        <v>0.1621853018849744</v>
      </c>
      <c r="BD101" s="563">
        <f t="shared" si="153"/>
        <v>51.099471984488567</v>
      </c>
      <c r="BE101" s="6"/>
      <c r="BF101" s="179">
        <f t="shared" si="178"/>
        <v>0.21656815258042111</v>
      </c>
      <c r="BG101" s="179">
        <f t="shared" si="154"/>
        <v>0.81779777971098822</v>
      </c>
      <c r="BH101" s="179"/>
      <c r="BI101" s="546">
        <f t="shared" si="155"/>
        <v>1.6415617649233796E-2</v>
      </c>
      <c r="BJ101" s="546">
        <f t="shared" si="156"/>
        <v>6.2921648721572035E-2</v>
      </c>
      <c r="BK101" s="546">
        <f t="shared" si="157"/>
        <v>4.3749999999999995E-3</v>
      </c>
      <c r="BL101" s="546">
        <f t="shared" si="158"/>
        <v>2.7651093750000001E-2</v>
      </c>
      <c r="BM101">
        <f t="shared" si="159"/>
        <v>6.96E-3</v>
      </c>
      <c r="BN101" s="546">
        <f t="shared" ref="BN101:BN105" si="194">(BJ101+BK101+BL101+BM101+BI101*(1+RdsonTC*(Ta-25)))/(1-BI101*RdsonTC*ThetaJA)</f>
        <v>0.12122902056845362</v>
      </c>
      <c r="BO101" s="472">
        <f t="shared" si="179"/>
        <v>121.22902056845362</v>
      </c>
      <c r="BP101" s="546">
        <f t="shared" si="161"/>
        <v>0.13103999999999999</v>
      </c>
      <c r="BQ101" s="546"/>
      <c r="BS101" s="472">
        <f t="shared" si="180"/>
        <v>131.04</v>
      </c>
      <c r="BT101" s="546">
        <f t="shared" si="162"/>
        <v>9.3803529424193125E-3</v>
      </c>
      <c r="BU101" s="546">
        <f t="shared" si="163"/>
        <v>2.6751728340008885E-2</v>
      </c>
      <c r="BV101" s="546">
        <f t="shared" si="164"/>
        <v>3.2357446957686824E-2</v>
      </c>
      <c r="BW101" s="546">
        <f t="shared" ref="BW101:BW105" si="195">(BV101+(BT101+BU101)*(1+Ltc*(Ta-25)))/(1-(BT101+BU101)*Ltc*ThetaCa)</f>
        <v>7.3036494839456234E-2</v>
      </c>
      <c r="BX101" s="546">
        <f t="shared" si="166"/>
        <v>6.3636363636363658E-2</v>
      </c>
      <c r="BY101" s="472">
        <f t="shared" si="181"/>
        <v>136.67285847581988</v>
      </c>
      <c r="BZ101" s="179">
        <f t="shared" si="167"/>
        <v>0.38894187904427352</v>
      </c>
      <c r="CA101" s="6">
        <f t="shared" si="168"/>
        <v>2.4</v>
      </c>
      <c r="CB101" s="179">
        <f t="shared" si="182"/>
        <v>0.86054141824656538</v>
      </c>
      <c r="CC101" s="6">
        <f t="shared" si="183"/>
        <v>86.05414182465654</v>
      </c>
      <c r="CF101" s="581">
        <f t="shared" si="169"/>
        <v>-50</v>
      </c>
      <c r="CG101">
        <f t="shared" si="170"/>
        <v>-50</v>
      </c>
    </row>
    <row r="102" spans="5:85" x14ac:dyDescent="0.2">
      <c r="E102" s="176">
        <v>97</v>
      </c>
      <c r="F102" s="223">
        <f t="shared" ref="F102:F105" si="196">IF(PLOT_TYPE=1, E102/100*Iout_max, min_I*EXP(N102*rr/100))</f>
        <v>0.48499999999999999</v>
      </c>
      <c r="G102" s="223"/>
      <c r="H102" s="223">
        <f t="shared" si="185"/>
        <v>2.4249999999999998</v>
      </c>
      <c r="I102" s="559">
        <f t="shared" si="120"/>
        <v>24</v>
      </c>
      <c r="J102" s="178">
        <f t="shared" si="121"/>
        <v>15.75</v>
      </c>
      <c r="K102" s="454">
        <f t="shared" si="122"/>
        <v>39.75</v>
      </c>
      <c r="L102" s="454"/>
      <c r="M102" s="223">
        <f t="shared" si="123"/>
        <v>0.39622641509433965</v>
      </c>
      <c r="N102" s="178">
        <f t="shared" si="124"/>
        <v>3.2094339622641508</v>
      </c>
      <c r="O102" s="178">
        <f t="shared" si="172"/>
        <v>2.4249999999999998</v>
      </c>
      <c r="P102" s="223">
        <f t="shared" si="186"/>
        <v>0.6418867924528302</v>
      </c>
      <c r="Q102" s="223">
        <f t="shared" si="126"/>
        <v>5</v>
      </c>
      <c r="R102" s="223">
        <f t="shared" si="187"/>
        <v>0.71320754716981138</v>
      </c>
      <c r="S102" s="178">
        <f t="shared" si="128"/>
        <v>8.9191535696692785</v>
      </c>
      <c r="T102" s="550">
        <f t="shared" si="188"/>
        <v>5</v>
      </c>
      <c r="U102" s="550">
        <f t="shared" si="130"/>
        <v>0.56668871252204578</v>
      </c>
      <c r="V102" s="223">
        <f t="shared" si="189"/>
        <v>1.0389293062904172</v>
      </c>
      <c r="W102" s="223">
        <f t="shared" si="132"/>
        <v>1.5831303714901597</v>
      </c>
      <c r="X102" s="203">
        <f t="shared" si="133"/>
        <v>350</v>
      </c>
      <c r="Y102" s="454">
        <f t="shared" si="173"/>
        <v>350</v>
      </c>
      <c r="AA102" s="223">
        <f t="shared" si="134"/>
        <v>0.61749571183533458</v>
      </c>
      <c r="AB102" s="179">
        <f t="shared" si="190"/>
        <v>1.7250673854447443</v>
      </c>
      <c r="AC102" s="179">
        <f t="shared" si="191"/>
        <v>0.55924139939803896</v>
      </c>
      <c r="AD102" s="179"/>
      <c r="AE102" s="179">
        <f t="shared" si="137"/>
        <v>0.419047619047619</v>
      </c>
      <c r="AF102" s="563">
        <f t="shared" si="184"/>
        <v>5143.9393939393949</v>
      </c>
      <c r="AG102" s="546">
        <f t="shared" si="138"/>
        <v>3.2999999999999995E-2</v>
      </c>
      <c r="AI102" s="179">
        <f t="shared" si="139"/>
        <v>0.60615529563325798</v>
      </c>
      <c r="AJ102" s="179">
        <f t="shared" si="192"/>
        <v>0.60615529563325798</v>
      </c>
      <c r="AK102" s="179">
        <f t="shared" si="193"/>
        <v>1.5378928115801911</v>
      </c>
      <c r="AM102" s="563">
        <f t="shared" si="142"/>
        <v>485</v>
      </c>
      <c r="AN102" s="472">
        <f t="shared" si="143"/>
        <v>350</v>
      </c>
      <c r="AP102">
        <f t="shared" si="144"/>
        <v>485</v>
      </c>
      <c r="AQ102">
        <f t="shared" si="145"/>
        <v>350</v>
      </c>
      <c r="AS102" s="6">
        <f t="shared" si="174"/>
        <v>2.8571428571428572</v>
      </c>
      <c r="AT102" s="6">
        <f t="shared" si="146"/>
        <v>1.111284708660973</v>
      </c>
      <c r="AU102" s="6">
        <f t="shared" si="175"/>
        <v>1.7458581484818843</v>
      </c>
      <c r="AV102" s="6">
        <f t="shared" si="147"/>
        <v>1.6933862227214826</v>
      </c>
      <c r="AW102" s="179">
        <f t="shared" si="176"/>
        <v>0.38894964803134052</v>
      </c>
      <c r="AX102" s="179">
        <f t="shared" si="148"/>
        <v>2.8291666666666666</v>
      </c>
      <c r="AY102" s="179">
        <f t="shared" si="149"/>
        <v>0.5555871101165536</v>
      </c>
      <c r="AZ102" s="179">
        <f t="shared" si="177"/>
        <v>5.0922107715442699</v>
      </c>
      <c r="BA102" s="472">
        <f t="shared" si="150"/>
        <v>24.124421502313997</v>
      </c>
      <c r="BB102" s="472">
        <f t="shared" si="151"/>
        <v>14.53956440233452</v>
      </c>
      <c r="BC102" s="6">
        <f t="shared" si="152"/>
        <v>0.16333742322795403</v>
      </c>
      <c r="BD102" s="563">
        <f t="shared" si="153"/>
        <v>51.577190660634656</v>
      </c>
      <c r="BE102" s="6"/>
      <c r="BF102" s="179">
        <f t="shared" si="178"/>
        <v>0.21825789773346194</v>
      </c>
      <c r="BG102" s="179">
        <f t="shared" si="154"/>
        <v>0.82069734857951993</v>
      </c>
      <c r="BH102" s="179"/>
      <c r="BI102" s="546">
        <f t="shared" si="155"/>
        <v>1.6672778473060614E-2</v>
      </c>
      <c r="BJ102" s="546">
        <f t="shared" si="156"/>
        <v>6.3248516628732751E-2</v>
      </c>
      <c r="BK102" s="546">
        <f t="shared" si="157"/>
        <v>4.3749999999999995E-3</v>
      </c>
      <c r="BL102" s="546">
        <f t="shared" si="158"/>
        <v>2.7651093750000001E-2</v>
      </c>
      <c r="BM102">
        <f t="shared" si="159"/>
        <v>6.96E-3</v>
      </c>
      <c r="BN102" s="546">
        <f t="shared" si="194"/>
        <v>0.12186222637559847</v>
      </c>
      <c r="BO102" s="472">
        <f t="shared" si="179"/>
        <v>121.86222637559847</v>
      </c>
      <c r="BP102" s="546">
        <f t="shared" si="161"/>
        <v>0.13240499999999999</v>
      </c>
      <c r="BQ102" s="546"/>
      <c r="BS102" s="472">
        <f t="shared" si="180"/>
        <v>132.405</v>
      </c>
      <c r="BT102" s="546">
        <f t="shared" si="162"/>
        <v>9.5273019846060653E-3</v>
      </c>
      <c r="BU102" s="546">
        <f t="shared" si="163"/>
        <v>2.6941765518618158E-2</v>
      </c>
      <c r="BV102" s="546">
        <f t="shared" si="164"/>
        <v>3.2779315054409008E-2</v>
      </c>
      <c r="BW102" s="546">
        <f t="shared" si="195"/>
        <v>7.3840101028327901E-2</v>
      </c>
      <c r="BX102" s="546">
        <f t="shared" si="166"/>
        <v>6.4299242424242425E-2</v>
      </c>
      <c r="BY102" s="472">
        <f t="shared" si="181"/>
        <v>138.13934345257033</v>
      </c>
      <c r="BZ102" s="179">
        <f t="shared" si="167"/>
        <v>0.39240656982816879</v>
      </c>
      <c r="CA102" s="6">
        <f t="shared" si="168"/>
        <v>2.4249999999999998</v>
      </c>
      <c r="CB102" s="179">
        <f t="shared" si="182"/>
        <v>0.86072064499654322</v>
      </c>
      <c r="CC102" s="6">
        <f t="shared" si="183"/>
        <v>86.072064499654317</v>
      </c>
      <c r="CF102" s="581">
        <f t="shared" si="169"/>
        <v>-50</v>
      </c>
      <c r="CG102">
        <f t="shared" si="170"/>
        <v>-50</v>
      </c>
    </row>
    <row r="103" spans="5:85" x14ac:dyDescent="0.2">
      <c r="E103" s="176">
        <v>98</v>
      </c>
      <c r="F103" s="223">
        <f t="shared" si="196"/>
        <v>0.49</v>
      </c>
      <c r="G103" s="223"/>
      <c r="H103" s="223">
        <f t="shared" si="185"/>
        <v>2.4500000000000002</v>
      </c>
      <c r="I103" s="559">
        <f t="shared" si="120"/>
        <v>24</v>
      </c>
      <c r="J103" s="178">
        <f t="shared" si="121"/>
        <v>15.75</v>
      </c>
      <c r="K103" s="454">
        <f t="shared" si="122"/>
        <v>39.75</v>
      </c>
      <c r="L103" s="454"/>
      <c r="M103" s="223">
        <f t="shared" si="123"/>
        <v>0.39622641509433965</v>
      </c>
      <c r="N103" s="178">
        <f t="shared" si="124"/>
        <v>3.2094339622641508</v>
      </c>
      <c r="O103" s="178">
        <f t="shared" si="172"/>
        <v>2.4500000000000002</v>
      </c>
      <c r="P103" s="223">
        <f t="shared" si="186"/>
        <v>0.6418867924528302</v>
      </c>
      <c r="Q103" s="223">
        <f t="shared" si="126"/>
        <v>5</v>
      </c>
      <c r="R103" s="223">
        <f t="shared" si="187"/>
        <v>0.71320754716981138</v>
      </c>
      <c r="S103" s="178">
        <f t="shared" si="128"/>
        <v>8.7527661871880778</v>
      </c>
      <c r="T103" s="550">
        <f t="shared" si="188"/>
        <v>5</v>
      </c>
      <c r="U103" s="550">
        <f t="shared" si="130"/>
        <v>0.57253086419753085</v>
      </c>
      <c r="V103" s="223">
        <f t="shared" si="189"/>
        <v>1.0496399176954734</v>
      </c>
      <c r="W103" s="223">
        <f t="shared" si="132"/>
        <v>1.5994513031550071</v>
      </c>
      <c r="X103" s="203">
        <f t="shared" si="133"/>
        <v>350</v>
      </c>
      <c r="Y103" s="454">
        <f t="shared" si="173"/>
        <v>350</v>
      </c>
      <c r="AA103" s="223">
        <f t="shared" si="134"/>
        <v>0.61749571183533458</v>
      </c>
      <c r="AB103" s="179">
        <f t="shared" si="190"/>
        <v>1.7250673854447443</v>
      </c>
      <c r="AC103" s="179">
        <f t="shared" si="191"/>
        <v>0.55924139939803896</v>
      </c>
      <c r="AD103" s="179"/>
      <c r="AE103" s="179">
        <f t="shared" si="137"/>
        <v>0.419047619047619</v>
      </c>
      <c r="AF103" s="563">
        <f t="shared" si="184"/>
        <v>5196.9696969696979</v>
      </c>
      <c r="AG103" s="546">
        <f t="shared" si="138"/>
        <v>3.2999999999999995E-2</v>
      </c>
      <c r="AI103" s="179">
        <f t="shared" si="139"/>
        <v>0.6092717958449424</v>
      </c>
      <c r="AJ103" s="179">
        <f t="shared" si="192"/>
        <v>0.6092717958449424</v>
      </c>
      <c r="AK103" s="179">
        <f t="shared" si="193"/>
        <v>1.5402013302555129</v>
      </c>
      <c r="AM103" s="563">
        <f t="shared" si="142"/>
        <v>490</v>
      </c>
      <c r="AN103" s="472">
        <f t="shared" si="143"/>
        <v>350</v>
      </c>
      <c r="AP103">
        <f t="shared" si="144"/>
        <v>490</v>
      </c>
      <c r="AQ103">
        <f t="shared" si="145"/>
        <v>350</v>
      </c>
      <c r="AS103" s="6">
        <f t="shared" si="174"/>
        <v>2.8571428571428572</v>
      </c>
      <c r="AT103" s="6">
        <f t="shared" si="146"/>
        <v>1.1169982923823942</v>
      </c>
      <c r="AU103" s="6">
        <f t="shared" si="175"/>
        <v>1.740144564760463</v>
      </c>
      <c r="AV103" s="6">
        <f t="shared" si="147"/>
        <v>1.7020926360112676</v>
      </c>
      <c r="AW103" s="179">
        <f t="shared" si="176"/>
        <v>0.39094940233383796</v>
      </c>
      <c r="AX103" s="179">
        <f t="shared" si="148"/>
        <v>2.8583333333333329</v>
      </c>
      <c r="AY103" s="179">
        <f t="shared" si="149"/>
        <v>0.55661602710074698</v>
      </c>
      <c r="AZ103" s="179">
        <f t="shared" si="177"/>
        <v>5.13519768415863</v>
      </c>
      <c r="BA103" s="472">
        <f t="shared" si="150"/>
        <v>24.124421502313997</v>
      </c>
      <c r="BB103" s="472">
        <f t="shared" si="151"/>
        <v>14.825739878841611</v>
      </c>
      <c r="BC103" s="6">
        <f t="shared" si="152"/>
        <v>0.16448125708576905</v>
      </c>
      <c r="BD103" s="563">
        <f t="shared" si="153"/>
        <v>52.054018838089931</v>
      </c>
      <c r="BE103" s="6"/>
      <c r="BF103" s="179">
        <f t="shared" si="178"/>
        <v>0.21994329339396779</v>
      </c>
      <c r="BG103" s="179">
        <f t="shared" si="154"/>
        <v>0.823565961447836</v>
      </c>
      <c r="BH103" s="179"/>
      <c r="BI103" s="546">
        <f t="shared" si="155"/>
        <v>1.6931268308144745E-2</v>
      </c>
      <c r="BJ103" s="546">
        <f t="shared" si="156"/>
        <v>6.3573703947695695E-2</v>
      </c>
      <c r="BK103" s="546">
        <f t="shared" si="157"/>
        <v>4.3749999999999995E-3</v>
      </c>
      <c r="BL103" s="546">
        <f t="shared" si="158"/>
        <v>2.7651093750000001E-2</v>
      </c>
      <c r="BM103">
        <f t="shared" si="159"/>
        <v>6.96E-3</v>
      </c>
      <c r="BN103" s="546">
        <f t="shared" si="194"/>
        <v>0.12249542925977387</v>
      </c>
      <c r="BO103" s="472">
        <f t="shared" si="179"/>
        <v>122.49542925977387</v>
      </c>
      <c r="BP103" s="546">
        <f t="shared" si="161"/>
        <v>0.13377</v>
      </c>
      <c r="BQ103" s="546"/>
      <c r="BS103" s="472">
        <f t="shared" si="180"/>
        <v>133.77000000000001</v>
      </c>
      <c r="BT103" s="546">
        <f t="shared" si="162"/>
        <v>9.6750104617969995E-3</v>
      </c>
      <c r="BU103" s="546">
        <f t="shared" si="163"/>
        <v>2.7130435714219941E-2</v>
      </c>
      <c r="BV103" s="546">
        <f t="shared" si="164"/>
        <v>3.3202271859286675E-2</v>
      </c>
      <c r="BW103" s="546">
        <f t="shared" si="195"/>
        <v>7.4644156495164607E-2</v>
      </c>
      <c r="BX103" s="546">
        <f t="shared" si="166"/>
        <v>6.4962121212121207E-2</v>
      </c>
      <c r="BY103" s="472">
        <f t="shared" si="181"/>
        <v>139.60627770728581</v>
      </c>
      <c r="BZ103" s="179">
        <f t="shared" si="167"/>
        <v>0.39587170696705964</v>
      </c>
      <c r="CA103" s="6">
        <f t="shared" si="168"/>
        <v>2.4500000000000002</v>
      </c>
      <c r="CB103" s="179">
        <f t="shared" si="182"/>
        <v>0.86089615143299858</v>
      </c>
      <c r="CC103" s="6">
        <f t="shared" si="183"/>
        <v>86.089615143299852</v>
      </c>
      <c r="CF103" s="581">
        <f t="shared" si="169"/>
        <v>-50</v>
      </c>
      <c r="CG103">
        <f t="shared" si="170"/>
        <v>-50</v>
      </c>
    </row>
    <row r="104" spans="5:85" x14ac:dyDescent="0.2">
      <c r="E104" s="176">
        <v>99</v>
      </c>
      <c r="F104" s="223">
        <f t="shared" si="196"/>
        <v>0.495</v>
      </c>
      <c r="G104" s="223"/>
      <c r="H104" s="223">
        <f t="shared" si="185"/>
        <v>2.4750000000000001</v>
      </c>
      <c r="I104" s="559">
        <f t="shared" si="120"/>
        <v>24</v>
      </c>
      <c r="J104" s="178">
        <f t="shared" si="121"/>
        <v>15.75</v>
      </c>
      <c r="K104" s="454">
        <f t="shared" si="122"/>
        <v>39.75</v>
      </c>
      <c r="L104" s="454"/>
      <c r="M104" s="223">
        <f t="shared" si="123"/>
        <v>0.39622641509433965</v>
      </c>
      <c r="N104" s="178">
        <f t="shared" si="124"/>
        <v>3.2094339622641508</v>
      </c>
      <c r="O104" s="178">
        <f t="shared" si="172"/>
        <v>2.4750000000000001</v>
      </c>
      <c r="P104" s="223">
        <f t="shared" si="186"/>
        <v>0.6418867924528302</v>
      </c>
      <c r="Q104" s="223">
        <f t="shared" si="126"/>
        <v>5</v>
      </c>
      <c r="R104" s="223">
        <f t="shared" si="187"/>
        <v>0.71320754716981138</v>
      </c>
      <c r="S104" s="178">
        <f t="shared" si="128"/>
        <v>8.589883684459819</v>
      </c>
      <c r="T104" s="550">
        <f t="shared" si="188"/>
        <v>5</v>
      </c>
      <c r="U104" s="550">
        <f t="shared" si="130"/>
        <v>0.57837301587301582</v>
      </c>
      <c r="V104" s="223">
        <f t="shared" si="189"/>
        <v>1.0603505291005291</v>
      </c>
      <c r="W104" s="223">
        <f t="shared" si="132"/>
        <v>1.6157722348198538</v>
      </c>
      <c r="X104" s="203">
        <f t="shared" si="133"/>
        <v>350</v>
      </c>
      <c r="Y104" s="454">
        <f t="shared" si="173"/>
        <v>350</v>
      </c>
      <c r="AA104" s="223">
        <f t="shared" si="134"/>
        <v>0.61749571183533458</v>
      </c>
      <c r="AB104" s="179">
        <f t="shared" si="190"/>
        <v>1.7250673854447443</v>
      </c>
      <c r="AC104" s="179">
        <f t="shared" si="191"/>
        <v>0.55924139939803896</v>
      </c>
      <c r="AD104" s="179"/>
      <c r="AE104" s="179">
        <f t="shared" si="137"/>
        <v>0.419047619047619</v>
      </c>
      <c r="AF104" s="563">
        <f t="shared" ref="AF104:AF105" si="197">MAX(10000,F104/(0.5*AE104/1000000*Isw_min*Nps))/1000</f>
        <v>5250.0000000000009</v>
      </c>
      <c r="AG104" s="546">
        <f t="shared" si="138"/>
        <v>3.2999999999999995E-2</v>
      </c>
      <c r="AI104" s="179">
        <f t="shared" si="139"/>
        <v>0.61237243569579447</v>
      </c>
      <c r="AJ104" s="179">
        <f t="shared" si="192"/>
        <v>0.61237243569579447</v>
      </c>
      <c r="AK104" s="179">
        <f t="shared" si="193"/>
        <v>1.5424981005154033</v>
      </c>
      <c r="AM104" s="563">
        <f t="shared" si="142"/>
        <v>495</v>
      </c>
      <c r="AN104" s="472">
        <f t="shared" si="143"/>
        <v>350</v>
      </c>
      <c r="AP104">
        <f t="shared" si="144"/>
        <v>495</v>
      </c>
      <c r="AQ104">
        <f t="shared" si="145"/>
        <v>350</v>
      </c>
      <c r="AS104" s="6">
        <f t="shared" si="174"/>
        <v>2.8571428571428572</v>
      </c>
      <c r="AT104" s="6">
        <f t="shared" si="146"/>
        <v>1.1226827987756232</v>
      </c>
      <c r="AU104" s="6">
        <f t="shared" si="175"/>
        <v>1.734460058367234</v>
      </c>
      <c r="AV104" s="6">
        <f t="shared" si="147"/>
        <v>1.7107547409914257</v>
      </c>
      <c r="AW104" s="179">
        <f t="shared" si="176"/>
        <v>0.39293897957146812</v>
      </c>
      <c r="AX104" s="179">
        <f t="shared" si="148"/>
        <v>2.8874999999999993</v>
      </c>
      <c r="AY104" s="179">
        <f t="shared" si="149"/>
        <v>0.55762115354369168</v>
      </c>
      <c r="AZ104" s="179">
        <f t="shared" si="177"/>
        <v>5.1782468825830748</v>
      </c>
      <c r="BA104" s="472">
        <f t="shared" si="150"/>
        <v>24.124421502313997</v>
      </c>
      <c r="BB104" s="472">
        <f t="shared" si="151"/>
        <v>15.114696642287239</v>
      </c>
      <c r="BC104" s="6">
        <f t="shared" si="152"/>
        <v>0.16561684585103795</v>
      </c>
      <c r="BD104" s="563">
        <f t="shared" si="153"/>
        <v>52.529960460665535</v>
      </c>
      <c r="BE104" s="6"/>
      <c r="BF104" s="179">
        <f t="shared" si="178"/>
        <v>0.22162439497138736</v>
      </c>
      <c r="BG104" s="179">
        <f t="shared" si="154"/>
        <v>0.82640404644586418</v>
      </c>
      <c r="BH104" s="179"/>
      <c r="BI104" s="546">
        <f t="shared" si="155"/>
        <v>1.7191080356251727E-2</v>
      </c>
      <c r="BJ104" s="546">
        <f t="shared" si="156"/>
        <v>6.3897236337133054E-2</v>
      </c>
      <c r="BK104" s="546">
        <f t="shared" si="157"/>
        <v>4.3749999999999995E-3</v>
      </c>
      <c r="BL104" s="546">
        <f t="shared" si="158"/>
        <v>2.7651093750000001E-2</v>
      </c>
      <c r="BM104">
        <f t="shared" si="159"/>
        <v>6.96E-3</v>
      </c>
      <c r="BN104" s="546">
        <f t="shared" si="194"/>
        <v>0.1231286478586235</v>
      </c>
      <c r="BO104" s="472">
        <f t="shared" si="179"/>
        <v>123.12864785862349</v>
      </c>
      <c r="BP104" s="546">
        <f t="shared" si="161"/>
        <v>0.13513500000000001</v>
      </c>
      <c r="BQ104" s="546"/>
      <c r="BS104" s="472">
        <f t="shared" si="180"/>
        <v>135.13499999999999</v>
      </c>
      <c r="BT104" s="546">
        <f t="shared" si="162"/>
        <v>9.8234744892867019E-3</v>
      </c>
      <c r="BU104" s="546">
        <f t="shared" si="163"/>
        <v>2.7317745919283924E-2</v>
      </c>
      <c r="BV104" s="546">
        <f t="shared" si="164"/>
        <v>3.362630902944172E-2</v>
      </c>
      <c r="BW104" s="546">
        <f t="shared" si="195"/>
        <v>7.5448656300896991E-2</v>
      </c>
      <c r="BX104" s="546">
        <f t="shared" si="166"/>
        <v>6.5625000000000003E-2</v>
      </c>
      <c r="BY104" s="472">
        <f t="shared" si="181"/>
        <v>141.073656300897</v>
      </c>
      <c r="BZ104" s="179">
        <f t="shared" si="167"/>
        <v>0.39933730415952046</v>
      </c>
      <c r="CA104" s="6">
        <f t="shared" si="168"/>
        <v>2.4750000000000001</v>
      </c>
      <c r="CB104" s="179">
        <f t="shared" si="182"/>
        <v>0.86106804389949987</v>
      </c>
      <c r="CC104" s="6">
        <f t="shared" si="183"/>
        <v>86.106804389949986</v>
      </c>
      <c r="CF104" s="581">
        <f t="shared" si="169"/>
        <v>-50</v>
      </c>
      <c r="CG104">
        <f t="shared" si="170"/>
        <v>-50</v>
      </c>
    </row>
    <row r="105" spans="5:85" x14ac:dyDescent="0.2">
      <c r="E105" s="176">
        <v>100</v>
      </c>
      <c r="F105" s="223">
        <f t="shared" si="196"/>
        <v>0.5</v>
      </c>
      <c r="G105" s="223"/>
      <c r="H105" s="223">
        <f t="shared" si="185"/>
        <v>2.5</v>
      </c>
      <c r="I105" s="559">
        <f t="shared" si="120"/>
        <v>24</v>
      </c>
      <c r="J105" s="178">
        <f t="shared" si="121"/>
        <v>15.75</v>
      </c>
      <c r="K105" s="454">
        <f t="shared" si="122"/>
        <v>39.75</v>
      </c>
      <c r="L105" s="454"/>
      <c r="M105" s="223">
        <f t="shared" si="123"/>
        <v>0.39622641509433965</v>
      </c>
      <c r="N105" s="178">
        <f t="shared" si="124"/>
        <v>3.2094339622641508</v>
      </c>
      <c r="O105" s="178">
        <f t="shared" si="172"/>
        <v>2.5</v>
      </c>
      <c r="P105" s="223">
        <f t="shared" si="186"/>
        <v>0.6418867924528302</v>
      </c>
      <c r="Q105" s="223">
        <f t="shared" si="126"/>
        <v>5</v>
      </c>
      <c r="R105" s="223">
        <f t="shared" si="187"/>
        <v>0.71320754716981138</v>
      </c>
      <c r="S105" s="178">
        <f t="shared" si="128"/>
        <v>8.430404022083744</v>
      </c>
      <c r="T105" s="550">
        <f t="shared" si="188"/>
        <v>5</v>
      </c>
      <c r="U105" s="550">
        <f t="shared" si="130"/>
        <v>0.58421516754850078</v>
      </c>
      <c r="V105" s="223">
        <f t="shared" si="189"/>
        <v>1.0710611405055848</v>
      </c>
      <c r="W105" s="223">
        <f t="shared" si="132"/>
        <v>1.6320931664847007</v>
      </c>
      <c r="X105" s="203">
        <f t="shared" si="133"/>
        <v>350</v>
      </c>
      <c r="Y105" s="454">
        <f t="shared" si="173"/>
        <v>350</v>
      </c>
      <c r="AA105" s="223">
        <f t="shared" si="134"/>
        <v>0.61749571183533458</v>
      </c>
      <c r="AB105" s="179">
        <f t="shared" si="190"/>
        <v>1.7250673854447443</v>
      </c>
      <c r="AC105" s="179">
        <f t="shared" si="191"/>
        <v>0.55924139939803896</v>
      </c>
      <c r="AD105" s="179"/>
      <c r="AE105" s="179">
        <f t="shared" si="137"/>
        <v>0.419047619047619</v>
      </c>
      <c r="AF105" s="563">
        <f t="shared" si="197"/>
        <v>5303.0303030303039</v>
      </c>
      <c r="AG105" s="546">
        <f t="shared" si="138"/>
        <v>3.2999999999999995E-2</v>
      </c>
      <c r="AI105" s="179">
        <f t="shared" si="139"/>
        <v>0.6154574548966637</v>
      </c>
      <c r="AJ105" s="179">
        <f t="shared" si="192"/>
        <v>0.6154574548966637</v>
      </c>
      <c r="AK105" s="179">
        <f t="shared" si="193"/>
        <v>1.5447832999234545</v>
      </c>
      <c r="AM105" s="563">
        <f t="shared" si="142"/>
        <v>500</v>
      </c>
      <c r="AN105" s="472">
        <f t="shared" si="143"/>
        <v>350</v>
      </c>
      <c r="AP105">
        <f t="shared" si="144"/>
        <v>500</v>
      </c>
      <c r="AQ105" s="4">
        <f t="shared" si="145"/>
        <v>350</v>
      </c>
      <c r="AS105" s="6">
        <f t="shared" si="174"/>
        <v>2.8571428571428572</v>
      </c>
      <c r="AT105" s="6">
        <f t="shared" si="146"/>
        <v>1.12833866731055</v>
      </c>
      <c r="AU105" s="6">
        <f t="shared" si="175"/>
        <v>1.7288041898323072</v>
      </c>
      <c r="AV105" s="6">
        <f t="shared" si="147"/>
        <v>1.719373207330362</v>
      </c>
      <c r="AW105" s="179">
        <f t="shared" si="176"/>
        <v>0.3949185335586925</v>
      </c>
      <c r="AX105" s="179">
        <f t="shared" si="148"/>
        <v>2.916666666666667</v>
      </c>
      <c r="AY105" s="179">
        <f t="shared" si="149"/>
        <v>0.55860284901166235</v>
      </c>
      <c r="AZ105" s="179">
        <f t="shared" si="177"/>
        <v>5.2213601699796799</v>
      </c>
      <c r="BA105" s="472">
        <f t="shared" si="150"/>
        <v>24.124421502313997</v>
      </c>
      <c r="BB105" s="472">
        <f t="shared" si="151"/>
        <v>15.4064346926714</v>
      </c>
      <c r="BC105" s="6">
        <f t="shared" si="152"/>
        <v>0.16674423127240615</v>
      </c>
      <c r="BD105" s="563">
        <f t="shared" si="153"/>
        <v>53.005019416870738</v>
      </c>
      <c r="BE105" s="6"/>
      <c r="BF105" s="179">
        <f t="shared" si="178"/>
        <v>0.22330125661739036</v>
      </c>
      <c r="BG105" s="179">
        <f t="shared" si="154"/>
        <v>0.82921202083754553</v>
      </c>
      <c r="BH105" s="179"/>
      <c r="BI105" s="546">
        <f t="shared" si="155"/>
        <v>1.7452207922416967E-2</v>
      </c>
      <c r="BJ105" s="546">
        <f t="shared" si="156"/>
        <v>6.4219138809373758E-2</v>
      </c>
      <c r="BK105" s="546">
        <f t="shared" si="157"/>
        <v>4.3749999999999995E-3</v>
      </c>
      <c r="BL105" s="546">
        <f t="shared" si="158"/>
        <v>2.7651093750000001E-2</v>
      </c>
      <c r="BM105">
        <f t="shared" si="159"/>
        <v>6.96E-3</v>
      </c>
      <c r="BN105" s="546">
        <f t="shared" si="194"/>
        <v>0.1237619002826712</v>
      </c>
      <c r="BO105" s="472">
        <f t="shared" si="179"/>
        <v>123.76190028267121</v>
      </c>
      <c r="BP105" s="546">
        <f t="shared" si="161"/>
        <v>0.13650000000000001</v>
      </c>
      <c r="BQ105" s="546"/>
      <c r="BS105" s="472">
        <f t="shared" si="180"/>
        <v>136.5</v>
      </c>
      <c r="BT105" s="546">
        <f t="shared" si="162"/>
        <v>9.9726902413811245E-3</v>
      </c>
      <c r="BU105" s="546">
        <f t="shared" si="163"/>
        <v>2.7503703020059441E-2</v>
      </c>
      <c r="BV105" s="546">
        <f t="shared" si="164"/>
        <v>3.4051418369665458E-2</v>
      </c>
      <c r="BW105" s="546">
        <f t="shared" si="195"/>
        <v>7.6253595601387406E-2</v>
      </c>
      <c r="BX105" s="546">
        <f t="shared" si="166"/>
        <v>6.6287878787878812E-2</v>
      </c>
      <c r="BY105" s="472">
        <f t="shared" si="181"/>
        <v>142.54147438926623</v>
      </c>
      <c r="BZ105" s="179">
        <f t="shared" si="167"/>
        <v>0.40280337467193739</v>
      </c>
      <c r="CA105" s="6">
        <f t="shared" si="168"/>
        <v>2.5</v>
      </c>
      <c r="CB105" s="179">
        <f t="shared" si="182"/>
        <v>0.86123642469670869</v>
      </c>
      <c r="CC105" s="6">
        <f t="shared" si="183"/>
        <v>86.12364246967087</v>
      </c>
      <c r="CF105" s="581">
        <f t="shared" si="169"/>
        <v>-50</v>
      </c>
      <c r="CG105">
        <f t="shared" si="170"/>
        <v>-50</v>
      </c>
    </row>
    <row r="106" spans="5:85" x14ac:dyDescent="0.2">
      <c r="E106" s="176"/>
      <c r="F106" s="223"/>
      <c r="G106" s="223"/>
      <c r="H106" s="223"/>
      <c r="I106" s="559"/>
      <c r="J106" s="454"/>
      <c r="K106" s="454"/>
      <c r="L106" s="454"/>
      <c r="M106" s="223"/>
      <c r="N106" s="178"/>
      <c r="O106" s="178"/>
      <c r="P106" s="223"/>
      <c r="Q106" s="223"/>
      <c r="R106" s="223"/>
      <c r="S106" s="178"/>
      <c r="T106" s="178"/>
      <c r="U106" s="223"/>
      <c r="V106" s="223"/>
      <c r="W106" s="223"/>
      <c r="X106" s="203"/>
      <c r="Y106" s="454"/>
      <c r="AA106" s="223"/>
      <c r="AB106" s="179"/>
      <c r="AC106" s="179"/>
      <c r="AD106" s="179"/>
      <c r="AE106" s="179"/>
      <c r="AF106" s="563"/>
      <c r="AI106" s="179"/>
      <c r="AJ106" s="179"/>
      <c r="AK106" s="179"/>
      <c r="AM106" s="563"/>
      <c r="AN106" s="472"/>
      <c r="AQ106" s="4"/>
      <c r="AS106" s="6"/>
      <c r="AT106" s="6"/>
      <c r="AU106" s="6"/>
      <c r="AV106" s="6"/>
      <c r="AW106" s="179"/>
      <c r="AX106" s="179"/>
      <c r="AY106" s="179"/>
      <c r="AZ106" s="179"/>
      <c r="BA106" s="472"/>
      <c r="BB106" s="472"/>
      <c r="BC106" s="6"/>
      <c r="BD106" s="563"/>
      <c r="BE106" s="6"/>
      <c r="BF106" s="179"/>
      <c r="BG106" s="179"/>
      <c r="BH106" s="179"/>
      <c r="BI106" s="546"/>
      <c r="BJ106" s="546"/>
      <c r="BK106" s="546"/>
      <c r="BL106" s="546"/>
      <c r="BO106" s="472"/>
      <c r="BP106" s="546"/>
      <c r="BQ106" s="546"/>
      <c r="BS106" s="472"/>
      <c r="BT106" s="546"/>
      <c r="BU106" s="546"/>
      <c r="BV106" s="546"/>
      <c r="BW106" s="546"/>
      <c r="BX106" s="546"/>
      <c r="BY106" s="472"/>
      <c r="BZ106" s="179"/>
      <c r="CA106" s="6"/>
      <c r="CB106" s="179"/>
      <c r="CC106" s="6"/>
      <c r="CF106" s="581"/>
    </row>
    <row r="107" spans="5:85" x14ac:dyDescent="0.2">
      <c r="H107" s="223"/>
      <c r="I107" s="559"/>
      <c r="J107" s="454"/>
      <c r="K107" s="454"/>
      <c r="L107" s="454"/>
      <c r="M107" s="223"/>
      <c r="N107" s="178"/>
      <c r="O107" s="178"/>
      <c r="P107" s="223"/>
      <c r="Q107" s="223"/>
      <c r="R107" s="223"/>
      <c r="S107" s="178"/>
      <c r="T107" s="178"/>
      <c r="U107" s="223"/>
      <c r="V107" s="223"/>
      <c r="W107" s="223"/>
      <c r="X107" s="203"/>
      <c r="Y107" s="454"/>
      <c r="AA107" s="223"/>
      <c r="AB107" s="179"/>
      <c r="AC107" s="179"/>
      <c r="AD107" s="179"/>
      <c r="AE107" s="179"/>
      <c r="AF107" s="563"/>
      <c r="AI107" s="179"/>
      <c r="AJ107" s="179"/>
      <c r="AK107" s="179"/>
      <c r="AM107" s="563"/>
      <c r="AN107" s="472"/>
      <c r="AS107" s="6"/>
      <c r="AT107" s="6"/>
      <c r="AU107" s="6"/>
      <c r="AV107" s="6"/>
      <c r="AW107" s="179"/>
      <c r="AX107" s="179"/>
      <c r="AY107" s="179"/>
      <c r="AZ107" s="179"/>
      <c r="BA107" s="472"/>
      <c r="BB107" s="472"/>
      <c r="BC107" s="6"/>
      <c r="BD107" s="563"/>
      <c r="BF107" s="179"/>
      <c r="BG107" s="179"/>
      <c r="BI107" s="546"/>
      <c r="BJ107" s="546"/>
      <c r="BK107" s="546"/>
      <c r="BL107" s="546"/>
      <c r="BO107" s="472"/>
      <c r="BP107" s="546"/>
      <c r="BS107" s="472"/>
      <c r="BT107" s="546"/>
      <c r="BU107" s="546"/>
      <c r="BV107" s="546"/>
      <c r="BW107" s="546"/>
      <c r="BX107" s="546"/>
      <c r="BY107" s="472"/>
      <c r="BZ107" s="179"/>
      <c r="CA107" s="6"/>
      <c r="CB107" s="179"/>
      <c r="CC107" s="6"/>
      <c r="CF107" s="581"/>
    </row>
    <row r="108" spans="5:85" x14ac:dyDescent="0.2">
      <c r="E108" s="456" t="s">
        <v>446</v>
      </c>
      <c r="H108" s="223"/>
      <c r="I108" s="559"/>
      <c r="J108" s="454"/>
      <c r="K108" s="454"/>
      <c r="L108" s="454"/>
      <c r="M108" s="223"/>
      <c r="N108" s="178"/>
      <c r="O108" s="178"/>
      <c r="P108" s="223"/>
      <c r="Q108" s="223"/>
      <c r="R108" s="223"/>
      <c r="S108" s="178"/>
      <c r="T108" s="178"/>
      <c r="U108" s="223"/>
      <c r="V108" s="223"/>
      <c r="W108" s="223"/>
      <c r="X108" s="203"/>
      <c r="Y108" s="454"/>
      <c r="AA108" s="223"/>
      <c r="AB108" s="179"/>
      <c r="AC108" s="179"/>
      <c r="AD108" s="179"/>
      <c r="AE108" s="179"/>
      <c r="AF108" s="563"/>
      <c r="AI108" s="179"/>
      <c r="AJ108" s="179"/>
      <c r="AK108" s="179"/>
      <c r="AM108" s="563"/>
      <c r="AN108" s="472"/>
      <c r="AS108" s="6"/>
      <c r="AT108" s="6"/>
      <c r="AU108" s="6"/>
      <c r="AV108" s="6"/>
      <c r="AW108" s="179"/>
      <c r="AX108" s="179"/>
      <c r="AY108" s="179"/>
      <c r="AZ108" s="179"/>
      <c r="BA108" s="472"/>
      <c r="BB108" s="472"/>
      <c r="BC108" s="6"/>
      <c r="BD108" s="563"/>
      <c r="BF108" s="179"/>
      <c r="BG108" s="179"/>
      <c r="BI108" s="546"/>
      <c r="BJ108" s="546"/>
      <c r="BK108" s="546"/>
      <c r="BL108" s="546"/>
      <c r="BO108" s="472"/>
      <c r="BP108" s="546"/>
      <c r="BS108" s="472"/>
      <c r="BT108" s="546"/>
      <c r="BU108" s="546"/>
      <c r="BV108" s="546"/>
      <c r="BW108" s="546"/>
      <c r="BX108" s="546"/>
      <c r="BY108" s="472"/>
      <c r="BZ108" s="179"/>
      <c r="CA108" s="6"/>
      <c r="CB108" s="179"/>
      <c r="CC108" s="6"/>
      <c r="CF108" s="581"/>
    </row>
    <row r="109" spans="5:85" ht="45" customHeight="1" thickBot="1" x14ac:dyDescent="0.25">
      <c r="E109" s="247" t="s">
        <v>25</v>
      </c>
      <c r="F109" s="455" t="s">
        <v>195</v>
      </c>
      <c r="G109" s="266"/>
      <c r="H109" s="545" t="s">
        <v>224</v>
      </c>
      <c r="I109" s="248" t="s">
        <v>424</v>
      </c>
      <c r="J109" s="249" t="s">
        <v>430</v>
      </c>
      <c r="K109" s="545" t="s">
        <v>425</v>
      </c>
      <c r="L109" s="545"/>
      <c r="M109" s="250" t="s">
        <v>48</v>
      </c>
      <c r="N109" s="545" t="s">
        <v>414</v>
      </c>
      <c r="O109" s="545" t="s">
        <v>682</v>
      </c>
      <c r="P109" s="545" t="s">
        <v>415</v>
      </c>
      <c r="Q109" s="545" t="s">
        <v>445</v>
      </c>
      <c r="R109" s="545" t="s">
        <v>680</v>
      </c>
      <c r="S109" s="545" t="s">
        <v>683</v>
      </c>
      <c r="T109" s="545" t="s">
        <v>681</v>
      </c>
      <c r="U109" s="545" t="s">
        <v>426</v>
      </c>
      <c r="V109" s="545" t="s">
        <v>478</v>
      </c>
      <c r="W109" s="545" t="s">
        <v>477</v>
      </c>
      <c r="X109" s="565" t="s">
        <v>432</v>
      </c>
      <c r="Y109" s="560" t="s">
        <v>437</v>
      </c>
      <c r="AA109" s="251" t="s">
        <v>429</v>
      </c>
      <c r="AB109" s="251" t="s">
        <v>476</v>
      </c>
      <c r="AC109" s="251" t="s">
        <v>435</v>
      </c>
      <c r="AD109" s="562"/>
      <c r="AE109" s="251" t="s">
        <v>475</v>
      </c>
      <c r="AF109" s="251" t="s">
        <v>438</v>
      </c>
      <c r="AG109" s="251" t="s">
        <v>439</v>
      </c>
      <c r="AH109" s="562"/>
      <c r="AI109" s="251" t="s">
        <v>441</v>
      </c>
      <c r="AJ109" s="566" t="s">
        <v>442</v>
      </c>
      <c r="AK109" s="566" t="s">
        <v>443</v>
      </c>
      <c r="AM109" s="561" t="s">
        <v>276</v>
      </c>
      <c r="AN109" s="561" t="s">
        <v>444</v>
      </c>
      <c r="AP109" s="251" t="s">
        <v>276</v>
      </c>
      <c r="AQ109" s="251" t="s">
        <v>444</v>
      </c>
      <c r="AR109" s="567"/>
      <c r="AS109" s="251" t="s">
        <v>479</v>
      </c>
      <c r="AT109" s="251" t="s">
        <v>473</v>
      </c>
      <c r="AU109" s="251" t="s">
        <v>474</v>
      </c>
      <c r="AV109" s="251" t="s">
        <v>679</v>
      </c>
      <c r="AW109" s="251" t="s">
        <v>48</v>
      </c>
      <c r="AX109" s="567" t="s">
        <v>677</v>
      </c>
      <c r="AY109" s="562" t="s">
        <v>676</v>
      </c>
      <c r="AZ109" s="562" t="s">
        <v>678</v>
      </c>
      <c r="BA109" s="251" t="s">
        <v>494</v>
      </c>
      <c r="BB109" s="251" t="s">
        <v>709</v>
      </c>
      <c r="BC109" s="251" t="s">
        <v>529</v>
      </c>
      <c r="BD109" s="251" t="s">
        <v>710</v>
      </c>
      <c r="BE109" s="562"/>
      <c r="BF109" s="576" t="s">
        <v>468</v>
      </c>
      <c r="BG109" s="251" t="s">
        <v>469</v>
      </c>
      <c r="BH109" s="562"/>
      <c r="BI109" s="576" t="s">
        <v>486</v>
      </c>
      <c r="BJ109" s="251" t="s">
        <v>487</v>
      </c>
      <c r="BK109" s="251" t="s">
        <v>485</v>
      </c>
      <c r="BL109" s="251" t="s">
        <v>481</v>
      </c>
      <c r="BM109" s="251" t="s">
        <v>490</v>
      </c>
      <c r="BN109" s="251"/>
      <c r="BO109" s="251" t="s">
        <v>504</v>
      </c>
      <c r="BP109" s="576" t="s">
        <v>488</v>
      </c>
      <c r="BQ109" s="251" t="s">
        <v>489</v>
      </c>
      <c r="BR109" s="251" t="s">
        <v>496</v>
      </c>
      <c r="BS109" s="251" t="s">
        <v>500</v>
      </c>
      <c r="BT109" s="576" t="s">
        <v>470</v>
      </c>
      <c r="BU109" s="251" t="s">
        <v>471</v>
      </c>
      <c r="BV109" s="251" t="s">
        <v>480</v>
      </c>
      <c r="BW109" s="251"/>
      <c r="BX109" s="251" t="s">
        <v>497</v>
      </c>
      <c r="BY109" s="251" t="s">
        <v>499</v>
      </c>
      <c r="BZ109" s="576" t="s">
        <v>495</v>
      </c>
      <c r="CA109" s="251" t="s">
        <v>224</v>
      </c>
      <c r="CB109" s="251" t="s">
        <v>47</v>
      </c>
      <c r="CC109" s="251" t="s">
        <v>498</v>
      </c>
      <c r="CD109" s="251"/>
      <c r="CF109" s="581"/>
    </row>
    <row r="110" spans="5:85" x14ac:dyDescent="0.2">
      <c r="E110" s="176">
        <v>0.1</v>
      </c>
      <c r="F110" s="223">
        <v>1.0000000000000001E-9</v>
      </c>
      <c r="G110" s="223"/>
      <c r="H110" s="223">
        <f t="shared" ref="H110:H141" si="198">F110*Vout</f>
        <v>5.0000000000000001E-9</v>
      </c>
      <c r="I110" s="559">
        <f t="shared" ref="I110:I141" si="199">VIN_min</f>
        <v>15</v>
      </c>
      <c r="J110" s="454">
        <f t="shared" ref="J110:J141" si="200">(T110+Vfwd1)*Nps</f>
        <v>15.75</v>
      </c>
      <c r="K110" s="454">
        <f t="shared" ref="K110:K141" si="201">(Vout+Vfwd1)*Nps+I110</f>
        <v>30.75</v>
      </c>
      <c r="L110" s="454"/>
      <c r="M110" s="223">
        <f t="shared" ref="M110:M141" si="202">(Vout+Vfwd1)*Nps/((Vout+Vfwd1)*Nps+I110)</f>
        <v>0.51219512195121952</v>
      </c>
      <c r="N110" s="178">
        <f>M110*I110*Isw_max*0.5*Efficiency</f>
        <v>2.592987804878049</v>
      </c>
      <c r="O110" s="178">
        <f t="shared" si="172"/>
        <v>5.0000000000000001E-9</v>
      </c>
      <c r="P110" s="223">
        <f t="shared" ref="P110:P141" si="203">N110/Vout</f>
        <v>0.51859756097560983</v>
      </c>
      <c r="Q110" s="223">
        <f t="shared" ref="Q110:Q141" si="204">MIN(Vout,N110/F110)</f>
        <v>5</v>
      </c>
      <c r="R110" s="223"/>
      <c r="S110" s="178">
        <f t="shared" ref="S110:S141" si="205">(SQRT(Isw_max^2*Nps^2*I110^2+4*Isw_max*F110/Efficiency*(Nps^2*Vfwd1*I110-Nps*I110^2)+4*(F110/Efficiency)^2*Nps^2*Vfwd1^2+8*(F110/Efficiency)^2*Nps*Vfwd1*I110+4*(F110/Efficiency)^2*I110^2)-2*F110/Efficiency*I110-2*F110/Efficiency*Nps*Vfwd1+Isw_max*Nps*I110)/(4*F110/Efficiency*Nps)</f>
        <v>5062499994.999999</v>
      </c>
      <c r="T110" s="178">
        <f t="shared" ref="T110:T141" si="206">MIN(Vout, S110)</f>
        <v>5</v>
      </c>
      <c r="U110" s="223">
        <f t="shared" ref="U110:U141" si="207">MIN(2*Vout*F110/(Efficiency*I110*M110), Isw_max)</f>
        <v>1.4462081128747795E-9</v>
      </c>
      <c r="V110" s="223">
        <f t="shared" ref="V110:V141" si="208">L*U110/I110*1000000</f>
        <v>4.2422104644326863E-9</v>
      </c>
      <c r="W110" s="223">
        <f t="shared" ref="W110:W141" si="209">L*U110/J110*1000000</f>
        <v>4.040200442316844E-9</v>
      </c>
      <c r="X110" s="203">
        <f t="shared" ref="X110:X141" si="210">IF(1/((350000*L)*(1/I110+1/J110))&gt;Isw_min, 350, 0.001/((Isw_min*L)*(1/I110+1/J110)))</f>
        <v>350</v>
      </c>
      <c r="Y110" s="454">
        <f t="shared" ref="Y110:Y169" si="211">MIN(1/(V110+W110)*1000, 350)</f>
        <v>350</v>
      </c>
      <c r="AA110" s="223">
        <f t="shared" ref="AA110:AA141" si="212">1/((X110*1000*L)*(1/I110+1/J110))</f>
        <v>0.4988913525498892</v>
      </c>
      <c r="AB110" s="179">
        <f t="shared" ref="AB110:AB141" si="213">L*AA110/J110*1000000</f>
        <v>1.3937282229965158</v>
      </c>
      <c r="AC110" s="179">
        <f t="shared" ref="AC110:AC141" si="214">0.5*AB110*AA110*Nps*X110/1000</f>
        <v>0.36504245308528482</v>
      </c>
      <c r="AD110" s="179"/>
      <c r="AE110" s="179">
        <f t="shared" ref="AE110:AE141" si="215">L*Isw_min/J110*1000000</f>
        <v>0.419047619047619</v>
      </c>
      <c r="AF110" s="563">
        <f t="shared" ref="AF110:AF141" si="216">MAX(10000,F110/(0.5*AE110/1000000*Isw_min*Nps))/1000</f>
        <v>10</v>
      </c>
      <c r="AG110" s="546">
        <f t="shared" ref="AG110:AG141" si="217">0.5*AE110/1000000*Isw_min*Nps*X110*1000</f>
        <v>3.2999999999999995E-2</v>
      </c>
      <c r="AI110" s="179">
        <f t="shared" ref="AI110:AI141" si="218">SQRT(F110/(0.5*L/J110*Fsw_DCM*Nps))</f>
        <v>2.6111648393354678E-5</v>
      </c>
      <c r="AJ110" s="179">
        <f t="shared" ref="AJ110:AJ141" si="219">MAX(IF(F110&gt;AC110,U110,AI110),Isw_min)</f>
        <v>0.15</v>
      </c>
      <c r="AK110" s="179">
        <f t="shared" ref="AK110:AK141" si="220">IF(F110&gt;AG110, (AJ110-Isw_min)/1.08*0.8+1.2, AF110*0.2/350+1)</f>
        <v>1.0057142857142858</v>
      </c>
      <c r="AM110" s="563">
        <f t="shared" ref="AM110:AM141" si="221">F110*1000</f>
        <v>1.0000000000000002E-6</v>
      </c>
      <c r="AN110" s="472">
        <f t="shared" ref="AN110:AN141" si="222">IF(F110&gt;AG110, Y110, AF110)</f>
        <v>10</v>
      </c>
      <c r="AP110" s="472">
        <f t="shared" ref="AP110:AP141" si="223">IF(H110&gt;N110, "",AM110)</f>
        <v>1.0000000000000002E-6</v>
      </c>
      <c r="AQ110" s="472">
        <f t="shared" ref="AQ110:AQ141" si="224">IF(H110&gt;N110, "",AN110)</f>
        <v>10</v>
      </c>
      <c r="AS110" s="6">
        <f t="shared" si="174"/>
        <v>100</v>
      </c>
      <c r="AT110" s="6">
        <f t="shared" ref="AT110:AT141" si="225">L*AJ110/I110*1000000</f>
        <v>0.43999999999999995</v>
      </c>
      <c r="AU110" s="6">
        <f t="shared" ref="AU110:AU169" si="226">AS110-AT110</f>
        <v>99.56</v>
      </c>
      <c r="AV110" s="6"/>
      <c r="AW110" s="179">
        <f t="shared" ref="AW110:AW169" si="227">AT110/AS110</f>
        <v>4.3999999999999994E-3</v>
      </c>
      <c r="AX110" s="179">
        <f t="shared" si="148"/>
        <v>4.9499999999999995E-3</v>
      </c>
      <c r="AY110" s="179">
        <f t="shared" si="149"/>
        <v>0.22400999999999999</v>
      </c>
      <c r="AZ110" s="179">
        <f t="shared" si="177"/>
        <v>2.2097227802330251E-2</v>
      </c>
      <c r="BA110" s="472">
        <f t="shared" ref="BA110:BA141" si="228">L*Isw_max^2/(2*Vout_ripple*Vout)*1000000000*((1+M110)/2)^2</f>
        <v>28.298334324806667</v>
      </c>
      <c r="BB110" s="472">
        <f t="shared" ref="BB110:BB141" si="229">L*F110^2/(2*Cout*Vout*Nps^2)*1000000000*((1+M110)/(1-M110))^2+F110*RCoutEsr</f>
        <v>3.0000000999621755E-9</v>
      </c>
      <c r="BC110" s="6">
        <f t="shared" ref="BC110:BC116" si="230">H110/Efficiency/I110*AU110/Vinripple1</f>
        <v>3.0728395061728392E-8</v>
      </c>
      <c r="BD110" s="563">
        <f t="shared" ref="BD110:BD141" si="231">((CA110/I110/Efficiency)*AU110/Cin+(BY110/I110/Efficiency)*RCinEsr)*1000</f>
        <v>1.0397658295548264</v>
      </c>
      <c r="BF110" s="179">
        <f t="shared" si="178"/>
        <v>5.7445626465380279E-3</v>
      </c>
      <c r="BG110" s="179">
        <f t="shared" si="154"/>
        <v>0.25923541424735935</v>
      </c>
      <c r="BI110" s="546">
        <f t="shared" ref="BI110:BI169" si="232">Rdson*BF110^2</f>
        <v>1.1549999999999996E-5</v>
      </c>
      <c r="BJ110" s="546">
        <f t="shared" ref="BJ110:BJ169" si="233">0.5*K110*AJ110*AN110*1000*Trise</f>
        <v>3.4593749999999995E-4</v>
      </c>
      <c r="BK110" s="546">
        <f t="shared" ref="BK110:BK169" si="234">Qg*Vdd*AN110*1000</f>
        <v>1.25E-4</v>
      </c>
      <c r="BL110" s="546">
        <f t="shared" ref="BL110:BL169" si="235">0.5*(Coss+Csw)*K110^2*AN110*1000</f>
        <v>4.7278125000000006E-4</v>
      </c>
      <c r="BM110">
        <f t="shared" ref="BM110:BM169" si="236">I110*IQ</f>
        <v>4.3499999999999997E-3</v>
      </c>
      <c r="BO110" s="472">
        <f t="shared" ref="BO110:BO169" si="237">SUM(BI110:BM110)*1000</f>
        <v>5.3052687499999998</v>
      </c>
      <c r="BP110" s="546">
        <f t="shared" ref="BP110:BP141" si="238">Vfwd2*F110</f>
        <v>3E-10</v>
      </c>
      <c r="BS110" s="472">
        <f t="shared" ref="BS110:BS169" si="239">SUM(BP110:BR110)*1000</f>
        <v>2.9999999999999999E-7</v>
      </c>
      <c r="BT110" s="546">
        <f t="shared" ref="BT110:BT141" si="240">Rdcr_pri*BF110^2</f>
        <v>6.5999999999999978E-6</v>
      </c>
      <c r="BU110" s="546">
        <f t="shared" ref="BU110:BU141" si="241">Rdcr_sec*BG110^2</f>
        <v>2.68812E-3</v>
      </c>
      <c r="BV110" s="546">
        <f t="shared" ref="BV110:BV141" si="242">AJ110^2.5*AN110^2.5*k_core</f>
        <v>1.377837980315539E-7</v>
      </c>
      <c r="BW110" s="546"/>
      <c r="BX110" s="546">
        <f t="shared" ref="BX110:BX141" si="243">0.5*Lleak*0.000000001*AJ110^2*AN110*1000</f>
        <v>1.1250000000000001E-4</v>
      </c>
      <c r="BY110" s="472">
        <f t="shared" ref="BY110:BY169" si="244">SUM(BT110:BX110)*1000</f>
        <v>2.8073577837980315</v>
      </c>
      <c r="BZ110" s="179">
        <f t="shared" ref="BZ110:BZ141" si="245">SUM(BI110:BM110,BP110:BR110,BT110:BX110)</f>
        <v>8.1126268337980301E-3</v>
      </c>
      <c r="CA110" s="6">
        <f t="shared" ref="CA110:CA141" si="246">MIN(H110,O110)</f>
        <v>5.0000000000000001E-9</v>
      </c>
      <c r="CB110" s="179">
        <f t="shared" ref="CB110:CB169" si="247">CA110/(CA110+BZ110)</f>
        <v>6.1632280404609305E-7</v>
      </c>
      <c r="CC110" s="6">
        <f t="shared" ref="CC110:CC169" si="248">CB110*100</f>
        <v>6.1632280404609304E-5</v>
      </c>
      <c r="CF110" s="581">
        <f t="shared" ref="CF110:CF141" si="249">IF(ABS(F110-Ioutmax_Vinmin)&lt;Iout/200, AN110, -50)</f>
        <v>-50</v>
      </c>
      <c r="CG110">
        <f t="shared" ref="CG110:CG141" si="250">IF(ABS(F110-Ioutmax_Vinmin)&lt;Iout/200, N110*CB110, -50)</f>
        <v>-50</v>
      </c>
    </row>
    <row r="111" spans="5:85" x14ac:dyDescent="0.2">
      <c r="E111" s="176">
        <v>1</v>
      </c>
      <c r="F111" s="223">
        <f t="shared" ref="F111:F142" si="251">IF(PLOT_TYPE=1, E111/100*Iout_max, min_I*EXP(N111*rr/100))</f>
        <v>5.0000000000000001E-3</v>
      </c>
      <c r="G111" s="223"/>
      <c r="H111" s="223">
        <f t="shared" si="198"/>
        <v>2.5000000000000001E-2</v>
      </c>
      <c r="I111" s="559">
        <f t="shared" si="199"/>
        <v>15</v>
      </c>
      <c r="J111" s="454">
        <f t="shared" si="200"/>
        <v>15.75</v>
      </c>
      <c r="K111" s="454">
        <f t="shared" si="201"/>
        <v>30.75</v>
      </c>
      <c r="L111" s="454"/>
      <c r="M111" s="223">
        <f t="shared" si="202"/>
        <v>0.51219512195121952</v>
      </c>
      <c r="N111" s="178">
        <f t="shared" ref="N111:N141" si="252">M111*I111*Isw_max*0.5*Efficiency</f>
        <v>2.592987804878049</v>
      </c>
      <c r="O111" s="178">
        <f t="shared" si="172"/>
        <v>2.5000000000000001E-2</v>
      </c>
      <c r="P111" s="223">
        <f t="shared" si="203"/>
        <v>0.51859756097560983</v>
      </c>
      <c r="Q111" s="223">
        <f t="shared" si="204"/>
        <v>5</v>
      </c>
      <c r="R111" s="223"/>
      <c r="S111" s="178">
        <f t="shared" si="205"/>
        <v>1007.501240385474</v>
      </c>
      <c r="T111" s="178">
        <f t="shared" si="206"/>
        <v>5</v>
      </c>
      <c r="U111" s="223">
        <f t="shared" si="207"/>
        <v>7.2310405643738977E-3</v>
      </c>
      <c r="V111" s="223">
        <f t="shared" si="208"/>
        <v>2.1211052322163432E-2</v>
      </c>
      <c r="W111" s="223">
        <f t="shared" si="209"/>
        <v>2.0201002211584222E-2</v>
      </c>
      <c r="X111" s="203">
        <f t="shared" si="210"/>
        <v>350</v>
      </c>
      <c r="Y111" s="454">
        <f t="shared" si="211"/>
        <v>350</v>
      </c>
      <c r="AA111" s="223">
        <f t="shared" si="212"/>
        <v>0.4988913525498892</v>
      </c>
      <c r="AB111" s="179">
        <f t="shared" si="213"/>
        <v>1.3937282229965158</v>
      </c>
      <c r="AC111" s="179">
        <f t="shared" si="214"/>
        <v>0.36504245308528482</v>
      </c>
      <c r="AD111" s="179"/>
      <c r="AE111" s="179">
        <f t="shared" si="215"/>
        <v>0.419047619047619</v>
      </c>
      <c r="AF111" s="563">
        <f t="shared" si="216"/>
        <v>53.030303030303038</v>
      </c>
      <c r="AG111" s="546">
        <f t="shared" si="217"/>
        <v>3.2999999999999995E-2</v>
      </c>
      <c r="AI111" s="179">
        <f t="shared" si="218"/>
        <v>5.8387420812114219E-2</v>
      </c>
      <c r="AJ111" s="179">
        <f t="shared" si="219"/>
        <v>0.15</v>
      </c>
      <c r="AK111" s="179">
        <f t="shared" si="220"/>
        <v>1.0303030303030303</v>
      </c>
      <c r="AM111" s="563">
        <f t="shared" si="221"/>
        <v>5</v>
      </c>
      <c r="AN111" s="472">
        <f t="shared" si="222"/>
        <v>53.030303030303038</v>
      </c>
      <c r="AP111" s="472">
        <f t="shared" si="223"/>
        <v>5</v>
      </c>
      <c r="AQ111" s="472">
        <f t="shared" si="224"/>
        <v>53.030303030303038</v>
      </c>
      <c r="AS111" s="6">
        <f t="shared" si="174"/>
        <v>18.857142857142854</v>
      </c>
      <c r="AT111" s="6">
        <f t="shared" si="225"/>
        <v>0.43999999999999995</v>
      </c>
      <c r="AU111" s="6">
        <f t="shared" si="226"/>
        <v>18.417142857142853</v>
      </c>
      <c r="AV111" s="6"/>
      <c r="AW111" s="179">
        <f t="shared" si="227"/>
        <v>2.3333333333333334E-2</v>
      </c>
      <c r="AX111" s="179">
        <f t="shared" si="148"/>
        <v>2.6250000000000002E-2</v>
      </c>
      <c r="AY111" s="179">
        <f t="shared" si="149"/>
        <v>0.21974999999999997</v>
      </c>
      <c r="AZ111" s="179">
        <f t="shared" si="177"/>
        <v>0.1194539249146758</v>
      </c>
      <c r="BA111" s="472">
        <f t="shared" si="228"/>
        <v>28.298334324806667</v>
      </c>
      <c r="BB111" s="472">
        <f t="shared" si="229"/>
        <v>1.7499054373522456E-2</v>
      </c>
      <c r="BC111" s="6">
        <f t="shared" si="230"/>
        <v>2.8421516754850076E-2</v>
      </c>
      <c r="BD111" s="563">
        <f t="shared" si="231"/>
        <v>4.6244760321980367</v>
      </c>
      <c r="BF111" s="179">
        <f t="shared" si="178"/>
        <v>1.3228756555322954E-2</v>
      </c>
      <c r="BG111" s="179">
        <f t="shared" si="154"/>
        <v>0.25675864152935535</v>
      </c>
      <c r="BI111" s="546">
        <f t="shared" si="232"/>
        <v>6.1250000000000012E-5</v>
      </c>
      <c r="BJ111" s="546">
        <f t="shared" si="233"/>
        <v>1.8345170454545454E-3</v>
      </c>
      <c r="BK111" s="546">
        <f t="shared" si="234"/>
        <v>6.6287878787878792E-4</v>
      </c>
      <c r="BL111" s="546">
        <f t="shared" si="235"/>
        <v>2.5071732954545459E-3</v>
      </c>
      <c r="BM111">
        <f t="shared" si="236"/>
        <v>4.3499999999999997E-3</v>
      </c>
      <c r="BO111" s="472">
        <f t="shared" si="237"/>
        <v>9.415819128787879</v>
      </c>
      <c r="BP111" s="546">
        <f t="shared" si="238"/>
        <v>1.5E-3</v>
      </c>
      <c r="BS111" s="472">
        <f t="shared" si="239"/>
        <v>1.5</v>
      </c>
      <c r="BT111" s="546">
        <f t="shared" si="240"/>
        <v>3.5000000000000004E-5</v>
      </c>
      <c r="BU111" s="546">
        <f t="shared" si="241"/>
        <v>2.637E-3</v>
      </c>
      <c r="BV111" s="546">
        <f t="shared" si="242"/>
        <v>8.9229492723626459E-6</v>
      </c>
      <c r="BW111" s="546"/>
      <c r="BX111" s="546">
        <f t="shared" si="243"/>
        <v>5.9659090909090925E-4</v>
      </c>
      <c r="BY111" s="472">
        <f t="shared" si="244"/>
        <v>3.2775138583632719</v>
      </c>
      <c r="BZ111" s="179">
        <f t="shared" si="245"/>
        <v>1.419333298715115E-2</v>
      </c>
      <c r="CA111" s="6">
        <f t="shared" si="246"/>
        <v>2.5000000000000001E-2</v>
      </c>
      <c r="CB111" s="179">
        <f t="shared" si="247"/>
        <v>0.63786358787592301</v>
      </c>
      <c r="CC111" s="6">
        <f t="shared" si="248"/>
        <v>63.786358787592299</v>
      </c>
      <c r="CF111" s="581">
        <f t="shared" si="249"/>
        <v>-50</v>
      </c>
      <c r="CG111">
        <f t="shared" si="250"/>
        <v>-50</v>
      </c>
    </row>
    <row r="112" spans="5:85" x14ac:dyDescent="0.2">
      <c r="E112" s="176">
        <v>2</v>
      </c>
      <c r="F112" s="223">
        <f t="shared" si="251"/>
        <v>0.01</v>
      </c>
      <c r="G112" s="223"/>
      <c r="H112" s="223">
        <f t="shared" si="198"/>
        <v>0.05</v>
      </c>
      <c r="I112" s="559">
        <f t="shared" si="199"/>
        <v>15</v>
      </c>
      <c r="J112" s="454">
        <f t="shared" si="200"/>
        <v>15.75</v>
      </c>
      <c r="K112" s="454">
        <f t="shared" si="201"/>
        <v>30.75</v>
      </c>
      <c r="L112" s="454"/>
      <c r="M112" s="223">
        <f t="shared" si="202"/>
        <v>0.51219512195121952</v>
      </c>
      <c r="N112" s="178">
        <f t="shared" si="252"/>
        <v>2.592987804878049</v>
      </c>
      <c r="O112" s="178">
        <f t="shared" si="172"/>
        <v>0.05</v>
      </c>
      <c r="P112" s="223">
        <f t="shared" si="203"/>
        <v>0.51859756097560983</v>
      </c>
      <c r="Q112" s="223">
        <f t="shared" si="204"/>
        <v>5</v>
      </c>
      <c r="R112" s="223"/>
      <c r="S112" s="178">
        <f t="shared" si="205"/>
        <v>501.25249251004465</v>
      </c>
      <c r="T112" s="178">
        <f t="shared" si="206"/>
        <v>5</v>
      </c>
      <c r="U112" s="223">
        <f t="shared" si="207"/>
        <v>1.4462081128747795E-2</v>
      </c>
      <c r="V112" s="223">
        <f t="shared" si="208"/>
        <v>4.2422104644326865E-2</v>
      </c>
      <c r="W112" s="223">
        <f t="shared" si="209"/>
        <v>4.0402004423168443E-2</v>
      </c>
      <c r="X112" s="203">
        <f t="shared" si="210"/>
        <v>350</v>
      </c>
      <c r="Y112" s="454">
        <f t="shared" si="211"/>
        <v>350</v>
      </c>
      <c r="AA112" s="223">
        <f t="shared" si="212"/>
        <v>0.4988913525498892</v>
      </c>
      <c r="AB112" s="179">
        <f t="shared" si="213"/>
        <v>1.3937282229965158</v>
      </c>
      <c r="AC112" s="179">
        <f t="shared" si="214"/>
        <v>0.36504245308528482</v>
      </c>
      <c r="AD112" s="179"/>
      <c r="AE112" s="179">
        <f t="shared" si="215"/>
        <v>0.419047619047619</v>
      </c>
      <c r="AF112" s="563">
        <f t="shared" si="216"/>
        <v>106.06060606060608</v>
      </c>
      <c r="AG112" s="546">
        <f t="shared" si="217"/>
        <v>3.2999999999999995E-2</v>
      </c>
      <c r="AI112" s="179">
        <f t="shared" si="218"/>
        <v>8.2572282384477044E-2</v>
      </c>
      <c r="AJ112" s="179">
        <f t="shared" si="219"/>
        <v>0.15</v>
      </c>
      <c r="AK112" s="179">
        <f t="shared" si="220"/>
        <v>1.0606060606060606</v>
      </c>
      <c r="AM112" s="563">
        <f t="shared" si="221"/>
        <v>10</v>
      </c>
      <c r="AN112" s="472">
        <f t="shared" si="222"/>
        <v>106.06060606060608</v>
      </c>
      <c r="AP112" s="472">
        <f t="shared" si="223"/>
        <v>10</v>
      </c>
      <c r="AQ112" s="472">
        <f t="shared" si="224"/>
        <v>106.06060606060608</v>
      </c>
      <c r="AS112" s="6">
        <f t="shared" si="174"/>
        <v>9.428571428571427</v>
      </c>
      <c r="AT112" s="6">
        <f t="shared" si="225"/>
        <v>0.43999999999999995</v>
      </c>
      <c r="AU112" s="6">
        <f t="shared" si="226"/>
        <v>8.9885714285714275</v>
      </c>
      <c r="AV112" s="6"/>
      <c r="AW112" s="179">
        <f t="shared" si="227"/>
        <v>4.6666666666666669E-2</v>
      </c>
      <c r="AX112" s="179">
        <f t="shared" si="148"/>
        <v>5.2500000000000005E-2</v>
      </c>
      <c r="AY112" s="179">
        <f t="shared" si="149"/>
        <v>0.2145</v>
      </c>
      <c r="AZ112" s="179">
        <f t="shared" si="177"/>
        <v>0.24475524475524479</v>
      </c>
      <c r="BA112" s="472">
        <f t="shared" si="228"/>
        <v>28.298334324806667</v>
      </c>
      <c r="BB112" s="472">
        <f t="shared" si="229"/>
        <v>3.9996217494089832E-2</v>
      </c>
      <c r="BC112" s="6">
        <f t="shared" si="230"/>
        <v>2.774250440917107E-2</v>
      </c>
      <c r="BD112" s="563">
        <f t="shared" si="231"/>
        <v>4.7689737297268948</v>
      </c>
      <c r="BF112" s="179">
        <f t="shared" si="178"/>
        <v>1.8708286933869708E-2</v>
      </c>
      <c r="BG112" s="179">
        <f t="shared" si="154"/>
        <v>0.2536730178793164</v>
      </c>
      <c r="BI112" s="546">
        <f t="shared" si="232"/>
        <v>1.2250000000000002E-4</v>
      </c>
      <c r="BJ112" s="546">
        <f t="shared" si="233"/>
        <v>3.6690340909090909E-3</v>
      </c>
      <c r="BK112" s="546">
        <f t="shared" si="234"/>
        <v>1.3257575757575758E-3</v>
      </c>
      <c r="BL112" s="546">
        <f t="shared" si="235"/>
        <v>5.0143465909090919E-3</v>
      </c>
      <c r="BM112">
        <f t="shared" si="236"/>
        <v>4.3499999999999997E-3</v>
      </c>
      <c r="BO112" s="472">
        <f t="shared" si="237"/>
        <v>14.481638257575757</v>
      </c>
      <c r="BP112" s="546">
        <f t="shared" si="238"/>
        <v>3.0000000000000001E-3</v>
      </c>
      <c r="BS112" s="472">
        <f t="shared" si="239"/>
        <v>3</v>
      </c>
      <c r="BT112" s="546">
        <f t="shared" si="240"/>
        <v>7.0000000000000007E-5</v>
      </c>
      <c r="BU112" s="546">
        <f t="shared" si="241"/>
        <v>2.573999999999999E-3</v>
      </c>
      <c r="BV112" s="546">
        <f t="shared" si="242"/>
        <v>5.0475823509369631E-5</v>
      </c>
      <c r="BW112" s="546"/>
      <c r="BX112" s="546">
        <f t="shared" si="243"/>
        <v>1.1931818181818185E-3</v>
      </c>
      <c r="BY112" s="472">
        <f t="shared" si="244"/>
        <v>3.8876576416911872</v>
      </c>
      <c r="BZ112" s="179">
        <f t="shared" si="245"/>
        <v>2.1369295899266946E-2</v>
      </c>
      <c r="CA112" s="6">
        <f t="shared" si="246"/>
        <v>0.05</v>
      </c>
      <c r="CB112" s="179">
        <f t="shared" si="247"/>
        <v>0.70058138265188574</v>
      </c>
      <c r="CC112" s="6">
        <f t="shared" si="248"/>
        <v>70.058138265188575</v>
      </c>
      <c r="CF112" s="581">
        <f t="shared" si="249"/>
        <v>-50</v>
      </c>
      <c r="CG112">
        <f t="shared" si="250"/>
        <v>-50</v>
      </c>
    </row>
    <row r="113" spans="5:85" x14ac:dyDescent="0.2">
      <c r="E113" s="176">
        <v>3</v>
      </c>
      <c r="F113" s="223">
        <f t="shared" si="251"/>
        <v>1.4999999999999999E-2</v>
      </c>
      <c r="G113" s="223"/>
      <c r="H113" s="223">
        <f t="shared" si="198"/>
        <v>7.4999999999999997E-2</v>
      </c>
      <c r="I113" s="559">
        <f t="shared" si="199"/>
        <v>15</v>
      </c>
      <c r="J113" s="454">
        <f t="shared" si="200"/>
        <v>15.75</v>
      </c>
      <c r="K113" s="454">
        <f t="shared" si="201"/>
        <v>30.75</v>
      </c>
      <c r="L113" s="454"/>
      <c r="M113" s="223">
        <f t="shared" si="202"/>
        <v>0.51219512195121952</v>
      </c>
      <c r="N113" s="178">
        <f t="shared" si="252"/>
        <v>2.592987804878049</v>
      </c>
      <c r="O113" s="178">
        <f t="shared" si="172"/>
        <v>7.4999999999999997E-2</v>
      </c>
      <c r="P113" s="223">
        <f t="shared" si="203"/>
        <v>0.51859756097560983</v>
      </c>
      <c r="Q113" s="223">
        <f t="shared" si="204"/>
        <v>5</v>
      </c>
      <c r="R113" s="223"/>
      <c r="S113" s="178">
        <f t="shared" si="205"/>
        <v>332.50375653159568</v>
      </c>
      <c r="T113" s="178">
        <f t="shared" si="206"/>
        <v>5</v>
      </c>
      <c r="U113" s="223">
        <f t="shared" si="207"/>
        <v>2.1693121693121691E-2</v>
      </c>
      <c r="V113" s="223">
        <f t="shared" si="208"/>
        <v>6.3633156966490287E-2</v>
      </c>
      <c r="W113" s="223">
        <f t="shared" si="209"/>
        <v>6.0603006634752661E-2</v>
      </c>
      <c r="X113" s="203">
        <f t="shared" si="210"/>
        <v>350</v>
      </c>
      <c r="Y113" s="454">
        <f t="shared" si="211"/>
        <v>350</v>
      </c>
      <c r="AA113" s="223">
        <f t="shared" si="212"/>
        <v>0.4988913525498892</v>
      </c>
      <c r="AB113" s="179">
        <f t="shared" si="213"/>
        <v>1.3937282229965158</v>
      </c>
      <c r="AC113" s="179">
        <f t="shared" si="214"/>
        <v>0.36504245308528482</v>
      </c>
      <c r="AD113" s="179"/>
      <c r="AE113" s="179">
        <f t="shared" si="215"/>
        <v>0.419047619047619</v>
      </c>
      <c r="AF113" s="563">
        <f t="shared" si="216"/>
        <v>159.09090909090912</v>
      </c>
      <c r="AG113" s="546">
        <f t="shared" si="217"/>
        <v>3.2999999999999995E-2</v>
      </c>
      <c r="AI113" s="179">
        <f t="shared" si="218"/>
        <v>0.1011299793694863</v>
      </c>
      <c r="AJ113" s="179">
        <f t="shared" si="219"/>
        <v>0.15</v>
      </c>
      <c r="AK113" s="179">
        <f t="shared" si="220"/>
        <v>1.0909090909090908</v>
      </c>
      <c r="AM113" s="563">
        <f t="shared" si="221"/>
        <v>15</v>
      </c>
      <c r="AN113" s="472">
        <f t="shared" si="222"/>
        <v>159.09090909090912</v>
      </c>
      <c r="AP113" s="472">
        <f t="shared" si="223"/>
        <v>15</v>
      </c>
      <c r="AQ113" s="472">
        <f t="shared" si="224"/>
        <v>159.09090909090912</v>
      </c>
      <c r="AS113" s="6">
        <f t="shared" si="174"/>
        <v>6.2857142857142838</v>
      </c>
      <c r="AT113" s="6">
        <f t="shared" si="225"/>
        <v>0.43999999999999995</v>
      </c>
      <c r="AU113" s="6">
        <f t="shared" si="226"/>
        <v>5.8457142857142834</v>
      </c>
      <c r="AV113" s="6"/>
      <c r="AW113" s="179">
        <f t="shared" si="227"/>
        <v>7.0000000000000007E-2</v>
      </c>
      <c r="AX113" s="179">
        <f t="shared" si="148"/>
        <v>7.8750000000000001E-2</v>
      </c>
      <c r="AY113" s="179">
        <f t="shared" si="149"/>
        <v>0.20924999999999996</v>
      </c>
      <c r="AZ113" s="179">
        <f t="shared" si="177"/>
        <v>0.37634408602150543</v>
      </c>
      <c r="BA113" s="472">
        <f t="shared" si="228"/>
        <v>28.298334324806667</v>
      </c>
      <c r="BB113" s="472">
        <f t="shared" si="229"/>
        <v>6.7491489361702128E-2</v>
      </c>
      <c r="BC113" s="6">
        <f t="shared" si="230"/>
        <v>2.7063492063492043E-2</v>
      </c>
      <c r="BD113" s="563">
        <f t="shared" si="231"/>
        <v>4.930903396030363</v>
      </c>
      <c r="BF113" s="179">
        <f t="shared" si="178"/>
        <v>2.29128784747792E-2</v>
      </c>
      <c r="BG113" s="179">
        <f t="shared" si="154"/>
        <v>0.25054939632735096</v>
      </c>
      <c r="BI113" s="546">
        <f t="shared" si="232"/>
        <v>1.8374999999999997E-4</v>
      </c>
      <c r="BJ113" s="546">
        <f t="shared" si="233"/>
        <v>5.5035511363636363E-3</v>
      </c>
      <c r="BK113" s="546">
        <f t="shared" si="234"/>
        <v>1.9886363636363639E-3</v>
      </c>
      <c r="BL113" s="546">
        <f t="shared" si="235"/>
        <v>7.5215198863636387E-3</v>
      </c>
      <c r="BM113">
        <f t="shared" si="236"/>
        <v>4.3499999999999997E-3</v>
      </c>
      <c r="BO113" s="472">
        <f t="shared" si="237"/>
        <v>19.547457386363639</v>
      </c>
      <c r="BP113" s="546">
        <f t="shared" si="238"/>
        <v>4.4999999999999997E-3</v>
      </c>
      <c r="BS113" s="472">
        <f t="shared" si="239"/>
        <v>4.5</v>
      </c>
      <c r="BT113" s="546">
        <f t="shared" si="240"/>
        <v>1.05E-4</v>
      </c>
      <c r="BU113" s="546">
        <f t="shared" si="241"/>
        <v>2.5109999999999993E-3</v>
      </c>
      <c r="BV113" s="546">
        <f t="shared" si="242"/>
        <v>1.390950134378268E-4</v>
      </c>
      <c r="BW113" s="546"/>
      <c r="BX113" s="546">
        <f t="shared" si="243"/>
        <v>1.789772727272728E-3</v>
      </c>
      <c r="BY113" s="472">
        <f t="shared" si="244"/>
        <v>4.5448677407105551</v>
      </c>
      <c r="BZ113" s="179">
        <f t="shared" si="245"/>
        <v>2.8592325127074193E-2</v>
      </c>
      <c r="CA113" s="6">
        <f t="shared" si="246"/>
        <v>7.4999999999999997E-2</v>
      </c>
      <c r="CB113" s="179">
        <f t="shared" si="247"/>
        <v>0.7239918585474292</v>
      </c>
      <c r="CC113" s="6">
        <f t="shared" si="248"/>
        <v>72.399185854742925</v>
      </c>
      <c r="CF113" s="581">
        <f t="shared" si="249"/>
        <v>-50</v>
      </c>
      <c r="CG113">
        <f t="shared" si="250"/>
        <v>-50</v>
      </c>
    </row>
    <row r="114" spans="5:85" x14ac:dyDescent="0.2">
      <c r="E114" s="176">
        <v>4</v>
      </c>
      <c r="F114" s="223">
        <f t="shared" si="251"/>
        <v>0.02</v>
      </c>
      <c r="G114" s="223"/>
      <c r="H114" s="223">
        <f t="shared" si="198"/>
        <v>0.1</v>
      </c>
      <c r="I114" s="559">
        <f t="shared" si="199"/>
        <v>15</v>
      </c>
      <c r="J114" s="454">
        <f t="shared" si="200"/>
        <v>15.75</v>
      </c>
      <c r="K114" s="454">
        <f t="shared" si="201"/>
        <v>30.75</v>
      </c>
      <c r="L114" s="454"/>
      <c r="M114" s="223">
        <f t="shared" si="202"/>
        <v>0.51219512195121952</v>
      </c>
      <c r="N114" s="178">
        <f t="shared" si="252"/>
        <v>2.592987804878049</v>
      </c>
      <c r="O114" s="178">
        <f t="shared" si="172"/>
        <v>0.1</v>
      </c>
      <c r="P114" s="223">
        <f t="shared" si="203"/>
        <v>0.51859756097560983</v>
      </c>
      <c r="Q114" s="223">
        <f t="shared" si="204"/>
        <v>5</v>
      </c>
      <c r="R114" s="223"/>
      <c r="S114" s="178">
        <f t="shared" si="205"/>
        <v>248.13003261066066</v>
      </c>
      <c r="T114" s="178">
        <f t="shared" si="206"/>
        <v>5</v>
      </c>
      <c r="U114" s="223">
        <f t="shared" si="207"/>
        <v>2.8924162257495591E-2</v>
      </c>
      <c r="V114" s="223">
        <f t="shared" si="208"/>
        <v>8.484420928865373E-2</v>
      </c>
      <c r="W114" s="223">
        <f t="shared" si="209"/>
        <v>8.0804008846336886E-2</v>
      </c>
      <c r="X114" s="203">
        <f t="shared" si="210"/>
        <v>350</v>
      </c>
      <c r="Y114" s="454">
        <f t="shared" si="211"/>
        <v>350</v>
      </c>
      <c r="AA114" s="223">
        <f t="shared" si="212"/>
        <v>0.4988913525498892</v>
      </c>
      <c r="AB114" s="179">
        <f t="shared" si="213"/>
        <v>1.3937282229965158</v>
      </c>
      <c r="AC114" s="179">
        <f t="shared" si="214"/>
        <v>0.36504245308528482</v>
      </c>
      <c r="AD114" s="179"/>
      <c r="AE114" s="179">
        <f t="shared" si="215"/>
        <v>0.419047619047619</v>
      </c>
      <c r="AF114" s="563">
        <f t="shared" si="216"/>
        <v>212.12121212121215</v>
      </c>
      <c r="AG114" s="546">
        <f t="shared" si="217"/>
        <v>3.2999999999999995E-2</v>
      </c>
      <c r="AI114" s="179">
        <f t="shared" si="218"/>
        <v>0.11677484162422844</v>
      </c>
      <c r="AJ114" s="179">
        <f t="shared" si="219"/>
        <v>0.15</v>
      </c>
      <c r="AK114" s="179">
        <f t="shared" si="220"/>
        <v>1.1212121212121213</v>
      </c>
      <c r="AM114" s="563">
        <f t="shared" si="221"/>
        <v>20</v>
      </c>
      <c r="AN114" s="472">
        <f t="shared" si="222"/>
        <v>212.12121212121215</v>
      </c>
      <c r="AP114" s="472">
        <f t="shared" si="223"/>
        <v>20</v>
      </c>
      <c r="AQ114" s="472">
        <f t="shared" si="224"/>
        <v>212.12121212121215</v>
      </c>
      <c r="AS114" s="6">
        <f t="shared" si="174"/>
        <v>4.7142857142857135</v>
      </c>
      <c r="AT114" s="6">
        <f t="shared" si="225"/>
        <v>0.43999999999999995</v>
      </c>
      <c r="AU114" s="6">
        <f t="shared" si="226"/>
        <v>4.274285714285714</v>
      </c>
      <c r="AV114" s="6"/>
      <c r="AW114" s="179">
        <f t="shared" si="227"/>
        <v>9.3333333333333338E-2</v>
      </c>
      <c r="AX114" s="179">
        <f t="shared" si="148"/>
        <v>0.10500000000000001</v>
      </c>
      <c r="AY114" s="179">
        <f t="shared" si="149"/>
        <v>0.20399999999999996</v>
      </c>
      <c r="AZ114" s="179">
        <f t="shared" si="177"/>
        <v>0.51470588235294135</v>
      </c>
      <c r="BA114" s="472">
        <f t="shared" si="228"/>
        <v>28.298334324806667</v>
      </c>
      <c r="BB114" s="472">
        <f t="shared" si="229"/>
        <v>9.9984869976359331E-2</v>
      </c>
      <c r="BC114" s="6">
        <f t="shared" si="230"/>
        <v>2.6384479717813047E-2</v>
      </c>
      <c r="BD114" s="563">
        <f t="shared" si="231"/>
        <v>5.1142479413521</v>
      </c>
      <c r="BF114" s="179">
        <f t="shared" si="178"/>
        <v>2.6457513110645908E-2</v>
      </c>
      <c r="BG114" s="179">
        <f t="shared" si="154"/>
        <v>0.2473863375370596</v>
      </c>
      <c r="BI114" s="546">
        <f t="shared" si="232"/>
        <v>2.4500000000000005E-4</v>
      </c>
      <c r="BJ114" s="546">
        <f t="shared" si="233"/>
        <v>7.3380681818181817E-3</v>
      </c>
      <c r="BK114" s="546">
        <f t="shared" si="234"/>
        <v>2.6515151515151517E-3</v>
      </c>
      <c r="BL114" s="546">
        <f t="shared" si="235"/>
        <v>1.0028693181818184E-2</v>
      </c>
      <c r="BM114">
        <f t="shared" si="236"/>
        <v>4.3499999999999997E-3</v>
      </c>
      <c r="BO114" s="472">
        <f t="shared" si="237"/>
        <v>24.613276515151515</v>
      </c>
      <c r="BP114" s="546">
        <f t="shared" si="238"/>
        <v>6.0000000000000001E-3</v>
      </c>
      <c r="BS114" s="472">
        <f t="shared" si="239"/>
        <v>6</v>
      </c>
      <c r="BT114" s="546">
        <f t="shared" si="240"/>
        <v>1.4000000000000001E-4</v>
      </c>
      <c r="BU114" s="546">
        <f t="shared" si="241"/>
        <v>2.4479999999999992E-3</v>
      </c>
      <c r="BV114" s="546">
        <f t="shared" si="242"/>
        <v>2.8553437671560537E-4</v>
      </c>
      <c r="BW114" s="546"/>
      <c r="BX114" s="546">
        <f t="shared" si="243"/>
        <v>2.386363636363637E-3</v>
      </c>
      <c r="BY114" s="472">
        <f t="shared" si="244"/>
        <v>5.2598980130792414</v>
      </c>
      <c r="BZ114" s="179">
        <f t="shared" si="245"/>
        <v>3.5873174528230758E-2</v>
      </c>
      <c r="CA114" s="6">
        <f t="shared" si="246"/>
        <v>0.1</v>
      </c>
      <c r="CB114" s="179">
        <f t="shared" si="247"/>
        <v>0.73598044902691739</v>
      </c>
      <c r="CC114" s="6">
        <f t="shared" si="248"/>
        <v>73.59804490269174</v>
      </c>
      <c r="CF114" s="581">
        <f t="shared" si="249"/>
        <v>-50</v>
      </c>
      <c r="CG114">
        <f t="shared" si="250"/>
        <v>-50</v>
      </c>
    </row>
    <row r="115" spans="5:85" x14ac:dyDescent="0.2">
      <c r="E115" s="176">
        <v>5</v>
      </c>
      <c r="F115" s="223">
        <f t="shared" si="251"/>
        <v>2.5000000000000001E-2</v>
      </c>
      <c r="G115" s="223"/>
      <c r="H115" s="223">
        <f t="shared" si="198"/>
        <v>0.125</v>
      </c>
      <c r="I115" s="559">
        <f t="shared" si="199"/>
        <v>15</v>
      </c>
      <c r="J115" s="454">
        <f t="shared" si="200"/>
        <v>15.75</v>
      </c>
      <c r="K115" s="454">
        <f t="shared" si="201"/>
        <v>30.75</v>
      </c>
      <c r="L115" s="454"/>
      <c r="M115" s="223">
        <f t="shared" si="202"/>
        <v>0.51219512195121952</v>
      </c>
      <c r="N115" s="178">
        <f t="shared" si="252"/>
        <v>2.592987804878049</v>
      </c>
      <c r="O115" s="178">
        <f t="shared" si="172"/>
        <v>0.125</v>
      </c>
      <c r="P115" s="223">
        <f t="shared" si="203"/>
        <v>0.51859756097560983</v>
      </c>
      <c r="Q115" s="223">
        <f t="shared" si="204"/>
        <v>5</v>
      </c>
      <c r="R115" s="223"/>
      <c r="S115" s="178">
        <f t="shared" si="205"/>
        <v>197.50632091047322</v>
      </c>
      <c r="T115" s="178">
        <f t="shared" si="206"/>
        <v>5</v>
      </c>
      <c r="U115" s="223">
        <f t="shared" si="207"/>
        <v>3.6155202821869487E-2</v>
      </c>
      <c r="V115" s="223">
        <f t="shared" si="208"/>
        <v>0.10605526161081716</v>
      </c>
      <c r="W115" s="223">
        <f t="shared" si="209"/>
        <v>0.1010050110579211</v>
      </c>
      <c r="X115" s="203">
        <f t="shared" si="210"/>
        <v>350</v>
      </c>
      <c r="Y115" s="454">
        <f t="shared" si="211"/>
        <v>350</v>
      </c>
      <c r="AA115" s="223">
        <f t="shared" si="212"/>
        <v>0.4988913525498892</v>
      </c>
      <c r="AB115" s="179">
        <f t="shared" si="213"/>
        <v>1.3937282229965158</v>
      </c>
      <c r="AC115" s="179">
        <f t="shared" si="214"/>
        <v>0.36504245308528482</v>
      </c>
      <c r="AD115" s="179"/>
      <c r="AE115" s="179">
        <f t="shared" si="215"/>
        <v>0.419047619047619</v>
      </c>
      <c r="AF115" s="563">
        <f t="shared" si="216"/>
        <v>265.15151515151518</v>
      </c>
      <c r="AG115" s="546">
        <f t="shared" si="217"/>
        <v>3.2999999999999995E-2</v>
      </c>
      <c r="AI115" s="179">
        <f t="shared" si="218"/>
        <v>0.13055824196677338</v>
      </c>
      <c r="AJ115" s="179">
        <f t="shared" si="219"/>
        <v>0.15</v>
      </c>
      <c r="AK115" s="179">
        <f t="shared" si="220"/>
        <v>1.1515151515151516</v>
      </c>
      <c r="AM115" s="563">
        <f t="shared" si="221"/>
        <v>25</v>
      </c>
      <c r="AN115" s="472">
        <f t="shared" si="222"/>
        <v>265.15151515151518</v>
      </c>
      <c r="AP115" s="472">
        <f t="shared" si="223"/>
        <v>25</v>
      </c>
      <c r="AQ115" s="472">
        <f t="shared" si="224"/>
        <v>265.15151515151518</v>
      </c>
      <c r="AS115" s="6">
        <f t="shared" si="174"/>
        <v>3.7714285714285709</v>
      </c>
      <c r="AT115" s="6">
        <f t="shared" si="225"/>
        <v>0.43999999999999995</v>
      </c>
      <c r="AU115" s="6">
        <f t="shared" si="226"/>
        <v>3.331428571428571</v>
      </c>
      <c r="AV115" s="6"/>
      <c r="AW115" s="179">
        <f t="shared" si="227"/>
        <v>0.11666666666666667</v>
      </c>
      <c r="AX115" s="179">
        <f t="shared" si="148"/>
        <v>0.13125000000000001</v>
      </c>
      <c r="AY115" s="179">
        <f t="shared" si="149"/>
        <v>0.19874999999999998</v>
      </c>
      <c r="AZ115" s="179">
        <f t="shared" si="177"/>
        <v>0.66037735849056611</v>
      </c>
      <c r="BA115" s="472">
        <f t="shared" si="228"/>
        <v>28.298334324806667</v>
      </c>
      <c r="BB115" s="472">
        <f t="shared" si="229"/>
        <v>0.13747635933806149</v>
      </c>
      <c r="BC115" s="6">
        <f t="shared" si="230"/>
        <v>2.5705467372134035E-2</v>
      </c>
      <c r="BD115" s="563">
        <f t="shared" si="231"/>
        <v>5.322345926794668</v>
      </c>
      <c r="BF115" s="179">
        <f t="shared" si="178"/>
        <v>2.9580398915498081E-2</v>
      </c>
      <c r="BG115" s="179">
        <f t="shared" si="154"/>
        <v>0.24418230894149559</v>
      </c>
      <c r="BI115" s="546">
        <f t="shared" si="232"/>
        <v>3.0624999999999999E-4</v>
      </c>
      <c r="BJ115" s="546">
        <f t="shared" si="233"/>
        <v>9.1725852272727271E-3</v>
      </c>
      <c r="BK115" s="546">
        <f t="shared" si="234"/>
        <v>3.3143939393939395E-3</v>
      </c>
      <c r="BL115" s="546">
        <f t="shared" si="235"/>
        <v>1.253586647727273E-2</v>
      </c>
      <c r="BM115">
        <f t="shared" si="236"/>
        <v>4.3499999999999997E-3</v>
      </c>
      <c r="BO115" s="472">
        <f t="shared" si="237"/>
        <v>29.679095643939398</v>
      </c>
      <c r="BP115" s="546">
        <f t="shared" si="238"/>
        <v>7.4999999999999997E-3</v>
      </c>
      <c r="BS115" s="472">
        <f t="shared" si="239"/>
        <v>7.5</v>
      </c>
      <c r="BT115" s="546">
        <f t="shared" si="240"/>
        <v>1.7500000000000003E-4</v>
      </c>
      <c r="BU115" s="546">
        <f t="shared" si="241"/>
        <v>2.385E-3</v>
      </c>
      <c r="BV115" s="546">
        <f t="shared" si="242"/>
        <v>4.9880802831962995E-4</v>
      </c>
      <c r="BW115" s="546"/>
      <c r="BX115" s="546">
        <f t="shared" si="243"/>
        <v>2.982954545454546E-3</v>
      </c>
      <c r="BY115" s="472">
        <f t="shared" si="244"/>
        <v>6.041762573774176</v>
      </c>
      <c r="BZ115" s="179">
        <f t="shared" si="245"/>
        <v>4.322085821771357E-2</v>
      </c>
      <c r="CA115" s="6">
        <f t="shared" si="246"/>
        <v>0.125</v>
      </c>
      <c r="CB115" s="179">
        <f t="shared" si="247"/>
        <v>0.7430707542712891</v>
      </c>
      <c r="CC115" s="6">
        <f t="shared" si="248"/>
        <v>74.307075427128908</v>
      </c>
      <c r="CF115" s="581">
        <f t="shared" si="249"/>
        <v>-50</v>
      </c>
      <c r="CG115">
        <f t="shared" si="250"/>
        <v>-50</v>
      </c>
    </row>
    <row r="116" spans="5:85" x14ac:dyDescent="0.2">
      <c r="E116" s="176">
        <v>6</v>
      </c>
      <c r="F116" s="223">
        <f t="shared" si="251"/>
        <v>0.03</v>
      </c>
      <c r="G116" s="223"/>
      <c r="H116" s="223">
        <f t="shared" si="198"/>
        <v>0.15</v>
      </c>
      <c r="I116" s="559">
        <f t="shared" si="199"/>
        <v>15</v>
      </c>
      <c r="J116" s="454">
        <f t="shared" si="200"/>
        <v>15.75</v>
      </c>
      <c r="K116" s="454">
        <f t="shared" si="201"/>
        <v>30.75</v>
      </c>
      <c r="L116" s="454"/>
      <c r="M116" s="223">
        <f t="shared" si="202"/>
        <v>0.51219512195121952</v>
      </c>
      <c r="N116" s="178">
        <f t="shared" si="252"/>
        <v>2.592987804878049</v>
      </c>
      <c r="O116" s="178">
        <f t="shared" si="172"/>
        <v>0.15</v>
      </c>
      <c r="P116" s="223">
        <f t="shared" si="203"/>
        <v>0.51859756097560983</v>
      </c>
      <c r="Q116" s="223">
        <f t="shared" si="204"/>
        <v>5</v>
      </c>
      <c r="R116" s="223"/>
      <c r="S116" s="178">
        <f t="shared" si="205"/>
        <v>163.75762159701986</v>
      </c>
      <c r="T116" s="178">
        <f t="shared" si="206"/>
        <v>5</v>
      </c>
      <c r="U116" s="223">
        <f t="shared" si="207"/>
        <v>4.3386243386243382E-2</v>
      </c>
      <c r="V116" s="223">
        <f t="shared" si="208"/>
        <v>0.12726631393298057</v>
      </c>
      <c r="W116" s="223">
        <f t="shared" si="209"/>
        <v>0.12120601326950532</v>
      </c>
      <c r="X116" s="203">
        <f t="shared" si="210"/>
        <v>350</v>
      </c>
      <c r="Y116" s="454">
        <f t="shared" si="211"/>
        <v>350</v>
      </c>
      <c r="AA116" s="223">
        <f t="shared" si="212"/>
        <v>0.4988913525498892</v>
      </c>
      <c r="AB116" s="179">
        <f t="shared" si="213"/>
        <v>1.3937282229965158</v>
      </c>
      <c r="AC116" s="179">
        <f t="shared" si="214"/>
        <v>0.36504245308528482</v>
      </c>
      <c r="AD116" s="179"/>
      <c r="AE116" s="179">
        <f t="shared" si="215"/>
        <v>0.419047619047619</v>
      </c>
      <c r="AF116" s="563">
        <f t="shared" si="216"/>
        <v>318.18181818181824</v>
      </c>
      <c r="AG116" s="546">
        <f t="shared" si="217"/>
        <v>3.2999999999999995E-2</v>
      </c>
      <c r="AI116" s="179">
        <f t="shared" si="218"/>
        <v>0.14301938838683884</v>
      </c>
      <c r="AJ116" s="179">
        <f t="shared" si="219"/>
        <v>0.15</v>
      </c>
      <c r="AK116" s="179">
        <f t="shared" si="220"/>
        <v>1.1818181818181819</v>
      </c>
      <c r="AM116" s="563">
        <f t="shared" si="221"/>
        <v>30</v>
      </c>
      <c r="AN116" s="472">
        <f t="shared" si="222"/>
        <v>318.18181818181824</v>
      </c>
      <c r="AP116" s="472">
        <f t="shared" si="223"/>
        <v>30</v>
      </c>
      <c r="AQ116" s="472">
        <f t="shared" si="224"/>
        <v>318.18181818181824</v>
      </c>
      <c r="AS116" s="6">
        <f t="shared" si="174"/>
        <v>3.1428571428571419</v>
      </c>
      <c r="AT116" s="6">
        <f t="shared" si="225"/>
        <v>0.43999999999999995</v>
      </c>
      <c r="AU116" s="6">
        <f t="shared" si="226"/>
        <v>2.702857142857142</v>
      </c>
      <c r="AV116" s="6"/>
      <c r="AW116" s="179">
        <f t="shared" si="227"/>
        <v>0.14000000000000001</v>
      </c>
      <c r="AX116" s="179">
        <f t="shared" si="148"/>
        <v>0.1575</v>
      </c>
      <c r="AY116" s="179">
        <f t="shared" si="149"/>
        <v>0.19349999999999998</v>
      </c>
      <c r="AZ116" s="179">
        <f t="shared" si="177"/>
        <v>0.81395348837209314</v>
      </c>
      <c r="BA116" s="472">
        <f t="shared" si="228"/>
        <v>28.298334324806667</v>
      </c>
      <c r="BB116" s="472">
        <f t="shared" si="229"/>
        <v>0.17996595744680849</v>
      </c>
      <c r="BC116" s="6">
        <f t="shared" si="230"/>
        <v>2.5026455026455011E-2</v>
      </c>
      <c r="BD116" s="563">
        <f t="shared" si="231"/>
        <v>5.5581322596169818</v>
      </c>
      <c r="BF116" s="179">
        <f t="shared" si="178"/>
        <v>3.2403703492039297E-2</v>
      </c>
      <c r="BG116" s="179">
        <f t="shared" si="154"/>
        <v>0.24093567606313512</v>
      </c>
      <c r="BI116" s="546">
        <f t="shared" si="232"/>
        <v>3.6749999999999988E-4</v>
      </c>
      <c r="BJ116" s="546">
        <f t="shared" si="233"/>
        <v>1.1007102272727273E-2</v>
      </c>
      <c r="BK116" s="546">
        <f t="shared" si="234"/>
        <v>3.9772727272727277E-3</v>
      </c>
      <c r="BL116" s="546">
        <f t="shared" si="235"/>
        <v>1.5043039772727277E-2</v>
      </c>
      <c r="BM116">
        <f t="shared" si="236"/>
        <v>4.3499999999999997E-3</v>
      </c>
      <c r="BO116" s="472">
        <f t="shared" si="237"/>
        <v>34.744914772727277</v>
      </c>
      <c r="BP116" s="546">
        <f t="shared" si="238"/>
        <v>8.9999999999999993E-3</v>
      </c>
      <c r="BS116" s="472">
        <f t="shared" si="239"/>
        <v>9</v>
      </c>
      <c r="BT116" s="546">
        <f t="shared" si="240"/>
        <v>2.0999999999999995E-4</v>
      </c>
      <c r="BU116" s="546">
        <f t="shared" si="241"/>
        <v>2.3219999999999994E-3</v>
      </c>
      <c r="BV116" s="546">
        <f t="shared" si="242"/>
        <v>7.868402178489712E-4</v>
      </c>
      <c r="BW116" s="546"/>
      <c r="BX116" s="546">
        <f t="shared" si="243"/>
        <v>3.5795454545454559E-3</v>
      </c>
      <c r="BY116" s="472">
        <f t="shared" si="244"/>
        <v>6.8983856723944266</v>
      </c>
      <c r="BZ116" s="179">
        <f t="shared" si="245"/>
        <v>5.0643300445121706E-2</v>
      </c>
      <c r="CA116" s="6">
        <f t="shared" si="246"/>
        <v>0.15</v>
      </c>
      <c r="CB116" s="179">
        <f t="shared" si="247"/>
        <v>0.74759535786756437</v>
      </c>
      <c r="CC116" s="6">
        <f t="shared" si="248"/>
        <v>74.75953578675643</v>
      </c>
      <c r="CF116" s="581">
        <f t="shared" si="249"/>
        <v>-50</v>
      </c>
      <c r="CG116">
        <f t="shared" si="250"/>
        <v>-50</v>
      </c>
    </row>
    <row r="117" spans="5:85" x14ac:dyDescent="0.2">
      <c r="E117" s="176">
        <v>7</v>
      </c>
      <c r="F117" s="223">
        <f t="shared" si="251"/>
        <v>3.5000000000000003E-2</v>
      </c>
      <c r="G117" s="223"/>
      <c r="H117" s="223">
        <f t="shared" si="198"/>
        <v>0.17500000000000002</v>
      </c>
      <c r="I117" s="559">
        <f t="shared" si="199"/>
        <v>15</v>
      </c>
      <c r="J117" s="454">
        <f t="shared" si="200"/>
        <v>15.75</v>
      </c>
      <c r="K117" s="454">
        <f t="shared" si="201"/>
        <v>30.75</v>
      </c>
      <c r="L117" s="454"/>
      <c r="M117" s="223">
        <f t="shared" si="202"/>
        <v>0.51219512195121952</v>
      </c>
      <c r="N117" s="178">
        <f t="shared" si="252"/>
        <v>2.592987804878049</v>
      </c>
      <c r="O117" s="178">
        <f t="shared" si="172"/>
        <v>0.17500000000000002</v>
      </c>
      <c r="P117" s="223">
        <f t="shared" si="203"/>
        <v>0.51859756097560983</v>
      </c>
      <c r="Q117" s="223">
        <f t="shared" si="204"/>
        <v>5</v>
      </c>
      <c r="R117" s="223"/>
      <c r="S117" s="178">
        <f t="shared" si="205"/>
        <v>139.65179198194883</v>
      </c>
      <c r="T117" s="178">
        <f t="shared" si="206"/>
        <v>5</v>
      </c>
      <c r="U117" s="223">
        <f t="shared" si="207"/>
        <v>5.0617283950617285E-2</v>
      </c>
      <c r="V117" s="223">
        <f t="shared" si="208"/>
        <v>0.14847736625514402</v>
      </c>
      <c r="W117" s="223">
        <f t="shared" si="209"/>
        <v>0.14140701548108955</v>
      </c>
      <c r="X117" s="203">
        <f t="shared" si="210"/>
        <v>350</v>
      </c>
      <c r="Y117" s="454">
        <f t="shared" si="211"/>
        <v>350</v>
      </c>
      <c r="AA117" s="223">
        <f t="shared" si="212"/>
        <v>0.4988913525498892</v>
      </c>
      <c r="AB117" s="179">
        <f t="shared" si="213"/>
        <v>1.3937282229965158</v>
      </c>
      <c r="AC117" s="179">
        <f t="shared" si="214"/>
        <v>0.36504245308528482</v>
      </c>
      <c r="AD117" s="179"/>
      <c r="AE117" s="179">
        <f t="shared" si="215"/>
        <v>0.419047619047619</v>
      </c>
      <c r="AF117" s="563">
        <f t="shared" si="216"/>
        <v>371.21212121212136</v>
      </c>
      <c r="AG117" s="546">
        <f t="shared" si="217"/>
        <v>3.2999999999999995E-2</v>
      </c>
      <c r="AI117" s="179">
        <f t="shared" si="218"/>
        <v>0.15447859516333118</v>
      </c>
      <c r="AJ117" s="179">
        <f t="shared" si="219"/>
        <v>0.15447859516333118</v>
      </c>
      <c r="AK117" s="179">
        <f t="shared" si="220"/>
        <v>1.2033174778987639</v>
      </c>
      <c r="AM117" s="563">
        <f t="shared" si="221"/>
        <v>35</v>
      </c>
      <c r="AN117" s="472">
        <f t="shared" si="222"/>
        <v>350</v>
      </c>
      <c r="AP117" s="472">
        <f t="shared" si="223"/>
        <v>35</v>
      </c>
      <c r="AQ117" s="472">
        <f t="shared" si="224"/>
        <v>350</v>
      </c>
      <c r="AS117" s="6">
        <f t="shared" si="174"/>
        <v>2.8571428571428572</v>
      </c>
      <c r="AT117" s="6">
        <f t="shared" si="225"/>
        <v>0.45313721247910477</v>
      </c>
      <c r="AU117" s="6">
        <f t="shared" si="226"/>
        <v>2.4040056446637523</v>
      </c>
      <c r="AV117" s="6"/>
      <c r="AW117" s="179">
        <f t="shared" si="227"/>
        <v>0.15859802436768666</v>
      </c>
      <c r="AX117" s="179">
        <f t="shared" si="148"/>
        <v>0.18375000000000002</v>
      </c>
      <c r="AY117" s="179">
        <f t="shared" si="149"/>
        <v>0.19496789274499676</v>
      </c>
      <c r="AZ117" s="179">
        <f t="shared" si="177"/>
        <v>0.94246287126019823</v>
      </c>
      <c r="BA117" s="472">
        <f t="shared" si="228"/>
        <v>28.298334324806667</v>
      </c>
      <c r="BB117" s="472">
        <f t="shared" si="229"/>
        <v>0.2274536643026005</v>
      </c>
      <c r="BC117" s="6">
        <f t="shared" ref="BC117:BC180" si="253">H117/Efficiency/I117*AU117/Vinripple1</f>
        <v>2.5969196778775096E-2</v>
      </c>
      <c r="BD117" s="563">
        <f t="shared" si="231"/>
        <v>6.0469255424945461</v>
      </c>
      <c r="BF117" s="179">
        <f t="shared" si="178"/>
        <v>3.5518659797828402E-2</v>
      </c>
      <c r="BG117" s="179">
        <f t="shared" si="154"/>
        <v>0.24543172644628539</v>
      </c>
      <c r="BI117" s="546">
        <f t="shared" si="232"/>
        <v>4.4155131784185498E-4</v>
      </c>
      <c r="BJ117" s="546">
        <f t="shared" si="233"/>
        <v>1.2469319103340136E-2</v>
      </c>
      <c r="BK117" s="546">
        <f t="shared" si="234"/>
        <v>4.3749999999999995E-3</v>
      </c>
      <c r="BL117" s="546">
        <f t="shared" si="235"/>
        <v>1.6547343750000002E-2</v>
      </c>
      <c r="BM117">
        <f t="shared" si="236"/>
        <v>4.3499999999999997E-3</v>
      </c>
      <c r="BO117" s="472">
        <f t="shared" si="237"/>
        <v>38.183214171181994</v>
      </c>
      <c r="BP117" s="546">
        <f t="shared" si="238"/>
        <v>1.0500000000000001E-2</v>
      </c>
      <c r="BS117" s="472">
        <f t="shared" si="239"/>
        <v>10.5</v>
      </c>
      <c r="BT117" s="546">
        <f t="shared" si="240"/>
        <v>2.5231503876677432E-4</v>
      </c>
      <c r="BU117" s="546">
        <f t="shared" si="241"/>
        <v>2.4094692938561703E-3</v>
      </c>
      <c r="BV117" s="546">
        <f t="shared" si="242"/>
        <v>1.0747585121528313E-3</v>
      </c>
      <c r="BW117" s="546"/>
      <c r="BX117" s="546">
        <f t="shared" si="243"/>
        <v>4.1761363636363654E-3</v>
      </c>
      <c r="BY117" s="472">
        <f t="shared" si="244"/>
        <v>7.9126792084121407</v>
      </c>
      <c r="BZ117" s="179">
        <f t="shared" si="245"/>
        <v>5.6595893379594142E-2</v>
      </c>
      <c r="CA117" s="6">
        <f t="shared" si="246"/>
        <v>0.17500000000000002</v>
      </c>
      <c r="CB117" s="179">
        <f t="shared" si="247"/>
        <v>0.75562652448749856</v>
      </c>
      <c r="CC117" s="6">
        <f t="shared" si="248"/>
        <v>75.562652448749859</v>
      </c>
      <c r="CF117" s="581">
        <f t="shared" si="249"/>
        <v>-50</v>
      </c>
      <c r="CG117">
        <f t="shared" si="250"/>
        <v>-50</v>
      </c>
    </row>
    <row r="118" spans="5:85" x14ac:dyDescent="0.2">
      <c r="E118" s="176">
        <v>8</v>
      </c>
      <c r="F118" s="223">
        <f t="shared" si="251"/>
        <v>0.04</v>
      </c>
      <c r="G118" s="223"/>
      <c r="H118" s="223">
        <f t="shared" si="198"/>
        <v>0.2</v>
      </c>
      <c r="I118" s="559">
        <f t="shared" si="199"/>
        <v>15</v>
      </c>
      <c r="J118" s="454">
        <f t="shared" si="200"/>
        <v>15.75</v>
      </c>
      <c r="K118" s="454">
        <f t="shared" si="201"/>
        <v>30.75</v>
      </c>
      <c r="L118" s="454"/>
      <c r="M118" s="223">
        <f t="shared" si="202"/>
        <v>0.51219512195121952</v>
      </c>
      <c r="N118" s="178">
        <f t="shared" si="252"/>
        <v>2.592987804878049</v>
      </c>
      <c r="O118" s="178">
        <f t="shared" si="172"/>
        <v>0.2</v>
      </c>
      <c r="P118" s="223">
        <f t="shared" si="203"/>
        <v>0.51859756097560983</v>
      </c>
      <c r="Q118" s="223">
        <f t="shared" si="204"/>
        <v>5</v>
      </c>
      <c r="R118" s="223"/>
      <c r="S118" s="178">
        <f t="shared" si="205"/>
        <v>121.57276080833917</v>
      </c>
      <c r="T118" s="178">
        <f t="shared" si="206"/>
        <v>5</v>
      </c>
      <c r="U118" s="223">
        <f t="shared" si="207"/>
        <v>5.7848324514991181E-2</v>
      </c>
      <c r="V118" s="223">
        <f t="shared" si="208"/>
        <v>0.16968841857730746</v>
      </c>
      <c r="W118" s="223">
        <f t="shared" si="209"/>
        <v>0.16160801769267377</v>
      </c>
      <c r="X118" s="203">
        <f t="shared" si="210"/>
        <v>350</v>
      </c>
      <c r="Y118" s="454">
        <f t="shared" si="211"/>
        <v>350</v>
      </c>
      <c r="AA118" s="223">
        <f t="shared" si="212"/>
        <v>0.4988913525498892</v>
      </c>
      <c r="AB118" s="179">
        <f t="shared" si="213"/>
        <v>1.3937282229965158</v>
      </c>
      <c r="AC118" s="179">
        <f t="shared" si="214"/>
        <v>0.36504245308528482</v>
      </c>
      <c r="AD118" s="179"/>
      <c r="AE118" s="179">
        <f t="shared" si="215"/>
        <v>0.419047619047619</v>
      </c>
      <c r="AF118" s="563">
        <f t="shared" si="216"/>
        <v>424.24242424242431</v>
      </c>
      <c r="AG118" s="546">
        <f t="shared" si="217"/>
        <v>3.2999999999999995E-2</v>
      </c>
      <c r="AI118" s="179">
        <f t="shared" si="218"/>
        <v>0.16514456476895409</v>
      </c>
      <c r="AJ118" s="179">
        <f t="shared" si="219"/>
        <v>0.16514456476895409</v>
      </c>
      <c r="AK118" s="179">
        <f t="shared" si="220"/>
        <v>1.2112181961251511</v>
      </c>
      <c r="AM118" s="563">
        <f t="shared" si="221"/>
        <v>40</v>
      </c>
      <c r="AN118" s="472">
        <f t="shared" si="222"/>
        <v>350</v>
      </c>
      <c r="AP118" s="472">
        <f t="shared" si="223"/>
        <v>40</v>
      </c>
      <c r="AQ118" s="472">
        <f t="shared" si="224"/>
        <v>350</v>
      </c>
      <c r="AS118" s="6">
        <f t="shared" si="174"/>
        <v>2.8571428571428572</v>
      </c>
      <c r="AT118" s="6">
        <f t="shared" si="225"/>
        <v>0.48442405665559862</v>
      </c>
      <c r="AU118" s="6">
        <f t="shared" si="226"/>
        <v>2.3727188004872586</v>
      </c>
      <c r="AV118" s="6"/>
      <c r="AW118" s="179">
        <f t="shared" si="227"/>
        <v>0.16954841982945951</v>
      </c>
      <c r="AX118" s="179">
        <f t="shared" si="148"/>
        <v>0.21</v>
      </c>
      <c r="AY118" s="179">
        <f t="shared" si="149"/>
        <v>0.20571684715343114</v>
      </c>
      <c r="AZ118" s="179">
        <f t="shared" si="177"/>
        <v>1.0208206226463035</v>
      </c>
      <c r="BA118" s="472">
        <f t="shared" si="228"/>
        <v>28.298334324806667</v>
      </c>
      <c r="BB118" s="472">
        <f t="shared" si="229"/>
        <v>0.27993947990543733</v>
      </c>
      <c r="BC118" s="6">
        <f t="shared" si="253"/>
        <v>2.9292824697373557E-2</v>
      </c>
      <c r="BD118" s="563">
        <f t="shared" si="231"/>
        <v>6.873964963620443</v>
      </c>
      <c r="BF118" s="179">
        <f t="shared" si="178"/>
        <v>3.9260021283449457E-2</v>
      </c>
      <c r="BG118" s="179">
        <f t="shared" si="154"/>
        <v>0.26066460898554999</v>
      </c>
      <c r="BI118" s="546">
        <f t="shared" si="232"/>
        <v>5.3947224491191642E-4</v>
      </c>
      <c r="BJ118" s="546">
        <f t="shared" si="233"/>
        <v>1.3330262837444012E-2</v>
      </c>
      <c r="BK118" s="546">
        <f t="shared" si="234"/>
        <v>4.3749999999999995E-3</v>
      </c>
      <c r="BL118" s="546">
        <f t="shared" si="235"/>
        <v>1.6547343750000002E-2</v>
      </c>
      <c r="BM118">
        <f t="shared" si="236"/>
        <v>4.3499999999999997E-3</v>
      </c>
      <c r="BO118" s="472">
        <f t="shared" si="237"/>
        <v>39.142078832355928</v>
      </c>
      <c r="BP118" s="546">
        <f t="shared" si="238"/>
        <v>1.2E-2</v>
      </c>
      <c r="BS118" s="472">
        <f t="shared" si="239"/>
        <v>12</v>
      </c>
      <c r="BT118" s="546">
        <f t="shared" si="240"/>
        <v>3.082698542353809E-4</v>
      </c>
      <c r="BU118" s="546">
        <f t="shared" si="241"/>
        <v>2.7178415351035868E-3</v>
      </c>
      <c r="BV118" s="546">
        <f t="shared" si="242"/>
        <v>1.2699915377599195E-3</v>
      </c>
      <c r="BW118" s="546"/>
      <c r="BX118" s="546">
        <f t="shared" si="243"/>
        <v>4.7727272727272731E-3</v>
      </c>
      <c r="BY118" s="472">
        <f t="shared" si="244"/>
        <v>9.0688301998261611</v>
      </c>
      <c r="BZ118" s="179">
        <f t="shared" si="245"/>
        <v>6.021090903218209E-2</v>
      </c>
      <c r="CA118" s="6">
        <f t="shared" si="246"/>
        <v>0.2</v>
      </c>
      <c r="CB118" s="179">
        <f t="shared" si="247"/>
        <v>0.76860728377558007</v>
      </c>
      <c r="CC118" s="6">
        <f t="shared" si="248"/>
        <v>76.860728377558004</v>
      </c>
      <c r="CF118" s="581">
        <f t="shared" si="249"/>
        <v>-50</v>
      </c>
      <c r="CG118">
        <f t="shared" si="250"/>
        <v>-50</v>
      </c>
    </row>
    <row r="119" spans="5:85" x14ac:dyDescent="0.2">
      <c r="E119" s="176">
        <v>9</v>
      </c>
      <c r="F119" s="223">
        <f t="shared" si="251"/>
        <v>4.4999999999999998E-2</v>
      </c>
      <c r="G119" s="223"/>
      <c r="H119" s="223">
        <f t="shared" si="198"/>
        <v>0.22499999999999998</v>
      </c>
      <c r="I119" s="559">
        <f t="shared" si="199"/>
        <v>15</v>
      </c>
      <c r="J119" s="454">
        <f t="shared" si="200"/>
        <v>15.75</v>
      </c>
      <c r="K119" s="454">
        <f t="shared" si="201"/>
        <v>30.75</v>
      </c>
      <c r="L119" s="454"/>
      <c r="M119" s="223">
        <f t="shared" si="202"/>
        <v>0.51219512195121952</v>
      </c>
      <c r="N119" s="178">
        <f t="shared" si="252"/>
        <v>2.592987804878049</v>
      </c>
      <c r="O119" s="178">
        <f t="shared" si="172"/>
        <v>0.22499999999999998</v>
      </c>
      <c r="P119" s="223">
        <f t="shared" si="203"/>
        <v>0.51859756097560983</v>
      </c>
      <c r="Q119" s="223">
        <f t="shared" si="204"/>
        <v>5</v>
      </c>
      <c r="R119" s="223"/>
      <c r="S119" s="178">
        <f t="shared" si="205"/>
        <v>107.51159967932658</v>
      </c>
      <c r="T119" s="178">
        <f t="shared" si="206"/>
        <v>5</v>
      </c>
      <c r="U119" s="223">
        <f t="shared" si="207"/>
        <v>6.507936507936507E-2</v>
      </c>
      <c r="V119" s="223">
        <f t="shared" si="208"/>
        <v>0.19089947089947085</v>
      </c>
      <c r="W119" s="223">
        <f t="shared" si="209"/>
        <v>0.18180901990425796</v>
      </c>
      <c r="X119" s="203">
        <f t="shared" si="210"/>
        <v>350</v>
      </c>
      <c r="Y119" s="454">
        <f t="shared" si="211"/>
        <v>350</v>
      </c>
      <c r="AA119" s="223">
        <f t="shared" si="212"/>
        <v>0.4988913525498892</v>
      </c>
      <c r="AB119" s="179">
        <f t="shared" si="213"/>
        <v>1.3937282229965158</v>
      </c>
      <c r="AC119" s="179">
        <f t="shared" si="214"/>
        <v>0.36504245308528482</v>
      </c>
      <c r="AD119" s="179"/>
      <c r="AE119" s="179">
        <f t="shared" si="215"/>
        <v>0.419047619047619</v>
      </c>
      <c r="AF119" s="563">
        <f t="shared" si="216"/>
        <v>477.27272727272737</v>
      </c>
      <c r="AG119" s="546">
        <f t="shared" si="217"/>
        <v>3.2999999999999995E-2</v>
      </c>
      <c r="AI119" s="179">
        <f t="shared" si="218"/>
        <v>0.17516226243634267</v>
      </c>
      <c r="AJ119" s="179">
        <f t="shared" si="219"/>
        <v>0.17516226243634267</v>
      </c>
      <c r="AK119" s="179">
        <f t="shared" si="220"/>
        <v>1.2186387129158094</v>
      </c>
      <c r="AM119" s="563">
        <f t="shared" si="221"/>
        <v>45</v>
      </c>
      <c r="AN119" s="472">
        <f t="shared" si="222"/>
        <v>350</v>
      </c>
      <c r="AP119" s="472">
        <f t="shared" si="223"/>
        <v>45</v>
      </c>
      <c r="AQ119" s="472">
        <f t="shared" si="224"/>
        <v>350</v>
      </c>
      <c r="AS119" s="6">
        <f t="shared" si="174"/>
        <v>2.8571428571428572</v>
      </c>
      <c r="AT119" s="6">
        <f t="shared" si="225"/>
        <v>0.51380930314660511</v>
      </c>
      <c r="AU119" s="6">
        <f t="shared" si="226"/>
        <v>2.3433335539962519</v>
      </c>
      <c r="AV119" s="6"/>
      <c r="AW119" s="179">
        <f t="shared" si="227"/>
        <v>0.17983325610131179</v>
      </c>
      <c r="AX119" s="179">
        <f t="shared" si="148"/>
        <v>0.23624999999999999</v>
      </c>
      <c r="AY119" s="179">
        <f t="shared" si="149"/>
        <v>0.21549339365451398</v>
      </c>
      <c r="AZ119" s="179">
        <f t="shared" si="177"/>
        <v>1.0963213117278374</v>
      </c>
      <c r="BA119" s="472">
        <f t="shared" si="228"/>
        <v>28.298334324806667</v>
      </c>
      <c r="BB119" s="472">
        <f t="shared" si="229"/>
        <v>0.33742340425531914</v>
      </c>
      <c r="BC119" s="6">
        <f t="shared" si="253"/>
        <v>3.2546299361059051E-2</v>
      </c>
      <c r="BD119" s="563">
        <f t="shared" si="231"/>
        <v>7.6938152239417743</v>
      </c>
      <c r="BF119" s="179">
        <f t="shared" si="178"/>
        <v>4.2885938902880484E-2</v>
      </c>
      <c r="BG119" s="179">
        <f t="shared" si="154"/>
        <v>0.27475920502363549</v>
      </c>
      <c r="BI119" s="546">
        <f t="shared" si="232"/>
        <v>6.4372131445355921E-4</v>
      </c>
      <c r="BJ119" s="546">
        <f t="shared" si="233"/>
        <v>1.4138878871033532E-2</v>
      </c>
      <c r="BK119" s="546">
        <f t="shared" si="234"/>
        <v>4.3749999999999995E-3</v>
      </c>
      <c r="BL119" s="546">
        <f t="shared" si="235"/>
        <v>1.6547343750000002E-2</v>
      </c>
      <c r="BM119">
        <f t="shared" si="236"/>
        <v>4.3499999999999997E-3</v>
      </c>
      <c r="BO119" s="472">
        <f t="shared" si="237"/>
        <v>40.054943935487096</v>
      </c>
      <c r="BP119" s="546">
        <f t="shared" si="238"/>
        <v>1.35E-2</v>
      </c>
      <c r="BS119" s="472">
        <f t="shared" si="239"/>
        <v>13.5</v>
      </c>
      <c r="BT119" s="546">
        <f t="shared" si="240"/>
        <v>3.6784075111631956E-4</v>
      </c>
      <c r="BU119" s="546">
        <f t="shared" si="241"/>
        <v>3.0197048298088065E-3</v>
      </c>
      <c r="BV119" s="546">
        <f t="shared" si="242"/>
        <v>1.471436348916352E-3</v>
      </c>
      <c r="BW119" s="546"/>
      <c r="BX119" s="546">
        <f t="shared" si="243"/>
        <v>5.3693181818181834E-3</v>
      </c>
      <c r="BY119" s="472">
        <f t="shared" si="244"/>
        <v>10.228300111659662</v>
      </c>
      <c r="BZ119" s="179">
        <f t="shared" si="245"/>
        <v>6.3783244047146748E-2</v>
      </c>
      <c r="CA119" s="6">
        <f t="shared" si="246"/>
        <v>0.22499999999999998</v>
      </c>
      <c r="CB119" s="179">
        <f t="shared" si="247"/>
        <v>0.77913107715926377</v>
      </c>
      <c r="CC119" s="6">
        <f t="shared" si="248"/>
        <v>77.913107715926373</v>
      </c>
      <c r="CF119" s="581">
        <f t="shared" si="249"/>
        <v>-50</v>
      </c>
      <c r="CG119">
        <f t="shared" si="250"/>
        <v>-50</v>
      </c>
    </row>
    <row r="120" spans="5:85" x14ac:dyDescent="0.2">
      <c r="E120" s="176">
        <v>10</v>
      </c>
      <c r="F120" s="223">
        <f t="shared" si="251"/>
        <v>0.05</v>
      </c>
      <c r="G120" s="223"/>
      <c r="H120" s="223">
        <f t="shared" si="198"/>
        <v>0.25</v>
      </c>
      <c r="I120" s="559">
        <f t="shared" si="199"/>
        <v>15</v>
      </c>
      <c r="J120" s="454">
        <f t="shared" si="200"/>
        <v>15.75</v>
      </c>
      <c r="K120" s="454">
        <f t="shared" si="201"/>
        <v>30.75</v>
      </c>
      <c r="L120" s="454"/>
      <c r="M120" s="223">
        <f t="shared" si="202"/>
        <v>0.51219512195121952</v>
      </c>
      <c r="N120" s="178">
        <f t="shared" si="252"/>
        <v>2.592987804878049</v>
      </c>
      <c r="O120" s="178">
        <f t="shared" si="172"/>
        <v>0.25</v>
      </c>
      <c r="P120" s="223">
        <f t="shared" si="203"/>
        <v>0.51859756097560983</v>
      </c>
      <c r="Q120" s="223">
        <f t="shared" si="204"/>
        <v>5</v>
      </c>
      <c r="R120" s="223"/>
      <c r="S120" s="178">
        <f t="shared" si="205"/>
        <v>96.2629516295885</v>
      </c>
      <c r="T120" s="178">
        <f t="shared" si="206"/>
        <v>5</v>
      </c>
      <c r="U120" s="223">
        <f t="shared" si="207"/>
        <v>7.2310405643738973E-2</v>
      </c>
      <c r="V120" s="223">
        <f t="shared" si="208"/>
        <v>0.21211052322163432</v>
      </c>
      <c r="W120" s="223">
        <f t="shared" si="209"/>
        <v>0.20201002211584221</v>
      </c>
      <c r="X120" s="203">
        <f t="shared" si="210"/>
        <v>350</v>
      </c>
      <c r="Y120" s="454">
        <f t="shared" si="211"/>
        <v>350</v>
      </c>
      <c r="AA120" s="223">
        <f t="shared" si="212"/>
        <v>0.4988913525498892</v>
      </c>
      <c r="AB120" s="179">
        <f t="shared" si="213"/>
        <v>1.3937282229965158</v>
      </c>
      <c r="AC120" s="179">
        <f t="shared" si="214"/>
        <v>0.36504245308528482</v>
      </c>
      <c r="AD120" s="179"/>
      <c r="AE120" s="179">
        <f t="shared" si="215"/>
        <v>0.419047619047619</v>
      </c>
      <c r="AF120" s="563">
        <f t="shared" si="216"/>
        <v>530.30303030303037</v>
      </c>
      <c r="AG120" s="546">
        <f t="shared" si="217"/>
        <v>3.2999999999999995E-2</v>
      </c>
      <c r="AI120" s="179">
        <f t="shared" si="218"/>
        <v>0.1846372364689991</v>
      </c>
      <c r="AJ120" s="179">
        <f t="shared" si="219"/>
        <v>0.1846372364689991</v>
      </c>
      <c r="AK120" s="179">
        <f t="shared" si="220"/>
        <v>1.2256572121992586</v>
      </c>
      <c r="AM120" s="563">
        <f t="shared" si="221"/>
        <v>50</v>
      </c>
      <c r="AN120" s="472">
        <f t="shared" si="222"/>
        <v>350</v>
      </c>
      <c r="AP120" s="472">
        <f t="shared" si="223"/>
        <v>50</v>
      </c>
      <c r="AQ120" s="472">
        <f t="shared" si="224"/>
        <v>350</v>
      </c>
      <c r="AS120" s="6">
        <f t="shared" si="174"/>
        <v>2.8571428571428572</v>
      </c>
      <c r="AT120" s="6">
        <f t="shared" si="225"/>
        <v>0.54160256030906395</v>
      </c>
      <c r="AU120" s="6">
        <f t="shared" si="226"/>
        <v>2.3155402968337935</v>
      </c>
      <c r="AV120" s="6"/>
      <c r="AW120" s="179">
        <f t="shared" si="227"/>
        <v>0.18956089610817237</v>
      </c>
      <c r="AX120" s="179">
        <f t="shared" si="148"/>
        <v>0.26250000000000001</v>
      </c>
      <c r="AY120" s="179">
        <f t="shared" si="149"/>
        <v>0.22445585470349866</v>
      </c>
      <c r="AZ120" s="179">
        <f t="shared" si="177"/>
        <v>1.169495000906779</v>
      </c>
      <c r="BA120" s="472">
        <f t="shared" si="228"/>
        <v>28.298334324806667</v>
      </c>
      <c r="BB120" s="472">
        <f t="shared" si="229"/>
        <v>0.39990543735224593</v>
      </c>
      <c r="BC120" s="6">
        <f t="shared" si="253"/>
        <v>3.573364655607706E-2</v>
      </c>
      <c r="BD120" s="563">
        <f t="shared" si="231"/>
        <v>8.5068256249240957</v>
      </c>
      <c r="BF120" s="179">
        <f t="shared" si="178"/>
        <v>4.6412294622635526E-2</v>
      </c>
      <c r="BG120" s="179">
        <f t="shared" si="154"/>
        <v>0.28789897089687966</v>
      </c>
      <c r="BI120" s="546">
        <f t="shared" si="232"/>
        <v>7.5393538224841278E-4</v>
      </c>
      <c r="BJ120" s="546">
        <f t="shared" si="233"/>
        <v>1.490368693123202E-2</v>
      </c>
      <c r="BK120" s="546">
        <f t="shared" si="234"/>
        <v>4.3749999999999995E-3</v>
      </c>
      <c r="BL120" s="546">
        <f t="shared" si="235"/>
        <v>1.6547343750000002E-2</v>
      </c>
      <c r="BM120">
        <f t="shared" si="236"/>
        <v>4.3499999999999997E-3</v>
      </c>
      <c r="BO120" s="472">
        <f t="shared" si="237"/>
        <v>40.929966063480435</v>
      </c>
      <c r="BP120" s="546">
        <f t="shared" si="238"/>
        <v>1.4999999999999999E-2</v>
      </c>
      <c r="BS120" s="472">
        <f t="shared" si="239"/>
        <v>15</v>
      </c>
      <c r="BT120" s="546">
        <f t="shared" si="240"/>
        <v>4.3082021842766452E-4</v>
      </c>
      <c r="BU120" s="546">
        <f t="shared" si="241"/>
        <v>3.3154326977392944E-3</v>
      </c>
      <c r="BV120" s="546">
        <f t="shared" si="242"/>
        <v>1.67856569605004E-3</v>
      </c>
      <c r="BW120" s="546"/>
      <c r="BX120" s="546">
        <f t="shared" si="243"/>
        <v>5.9659090909090912E-3</v>
      </c>
      <c r="BY120" s="472">
        <f t="shared" si="244"/>
        <v>11.390727703126091</v>
      </c>
      <c r="BZ120" s="179">
        <f t="shared" si="245"/>
        <v>6.7320693766606515E-2</v>
      </c>
      <c r="CA120" s="6">
        <f t="shared" si="246"/>
        <v>0.25</v>
      </c>
      <c r="CB120" s="179">
        <f t="shared" si="247"/>
        <v>0.78784650642380805</v>
      </c>
      <c r="CC120" s="6">
        <f t="shared" si="248"/>
        <v>78.784650642380811</v>
      </c>
      <c r="CF120" s="581">
        <f t="shared" si="249"/>
        <v>-50</v>
      </c>
      <c r="CG120">
        <f t="shared" si="250"/>
        <v>-50</v>
      </c>
    </row>
    <row r="121" spans="5:85" x14ac:dyDescent="0.2">
      <c r="E121" s="176">
        <v>11</v>
      </c>
      <c r="F121" s="223">
        <f t="shared" si="251"/>
        <v>5.5E-2</v>
      </c>
      <c r="G121" s="223"/>
      <c r="H121" s="223">
        <f t="shared" si="198"/>
        <v>0.27500000000000002</v>
      </c>
      <c r="I121" s="559">
        <f t="shared" si="199"/>
        <v>15</v>
      </c>
      <c r="J121" s="454">
        <f t="shared" si="200"/>
        <v>15.75</v>
      </c>
      <c r="K121" s="454">
        <f t="shared" si="201"/>
        <v>30.75</v>
      </c>
      <c r="L121" s="454"/>
      <c r="M121" s="223">
        <f t="shared" si="202"/>
        <v>0.51219512195121952</v>
      </c>
      <c r="N121" s="178">
        <f t="shared" si="252"/>
        <v>2.592987804878049</v>
      </c>
      <c r="O121" s="178">
        <f t="shared" si="172"/>
        <v>0.27500000000000002</v>
      </c>
      <c r="P121" s="223">
        <f t="shared" si="203"/>
        <v>0.51859756097560983</v>
      </c>
      <c r="Q121" s="223">
        <f t="shared" si="204"/>
        <v>5</v>
      </c>
      <c r="R121" s="223"/>
      <c r="S121" s="178">
        <f t="shared" si="205"/>
        <v>87.059771385141218</v>
      </c>
      <c r="T121" s="178">
        <f t="shared" si="206"/>
        <v>5</v>
      </c>
      <c r="U121" s="223">
        <f t="shared" si="207"/>
        <v>7.9541446208112876E-2</v>
      </c>
      <c r="V121" s="223">
        <f t="shared" si="208"/>
        <v>0.23332157554379776</v>
      </c>
      <c r="W121" s="223">
        <f t="shared" si="209"/>
        <v>0.22221102432742645</v>
      </c>
      <c r="X121" s="203">
        <f t="shared" si="210"/>
        <v>350</v>
      </c>
      <c r="Y121" s="454">
        <f t="shared" si="211"/>
        <v>350</v>
      </c>
      <c r="AA121" s="223">
        <f t="shared" si="212"/>
        <v>0.4988913525498892</v>
      </c>
      <c r="AB121" s="179">
        <f t="shared" si="213"/>
        <v>1.3937282229965158</v>
      </c>
      <c r="AC121" s="179">
        <f t="shared" si="214"/>
        <v>0.36504245308528482</v>
      </c>
      <c r="AD121" s="179"/>
      <c r="AE121" s="179">
        <f t="shared" si="215"/>
        <v>0.419047619047619</v>
      </c>
      <c r="AF121" s="563">
        <f t="shared" si="216"/>
        <v>583.33333333333348</v>
      </c>
      <c r="AG121" s="546">
        <f t="shared" si="217"/>
        <v>3.2999999999999995E-2</v>
      </c>
      <c r="AI121" s="179">
        <f t="shared" si="218"/>
        <v>0.19364916731037085</v>
      </c>
      <c r="AJ121" s="179">
        <f t="shared" si="219"/>
        <v>0.19364916731037085</v>
      </c>
      <c r="AK121" s="179">
        <f t="shared" si="220"/>
        <v>1.2323327165262006</v>
      </c>
      <c r="AM121" s="563">
        <f t="shared" si="221"/>
        <v>55</v>
      </c>
      <c r="AN121" s="472">
        <f t="shared" si="222"/>
        <v>350</v>
      </c>
      <c r="AP121" s="472">
        <f t="shared" si="223"/>
        <v>55</v>
      </c>
      <c r="AQ121" s="472">
        <f t="shared" si="224"/>
        <v>350</v>
      </c>
      <c r="AS121" s="6">
        <f t="shared" si="174"/>
        <v>2.8571428571428572</v>
      </c>
      <c r="AT121" s="6">
        <f t="shared" si="225"/>
        <v>0.5680375574437545</v>
      </c>
      <c r="AU121" s="6">
        <f t="shared" si="226"/>
        <v>2.2891052996991026</v>
      </c>
      <c r="AV121" s="6"/>
      <c r="AW121" s="179">
        <f t="shared" si="227"/>
        <v>0.19881314510531406</v>
      </c>
      <c r="AX121" s="179">
        <f t="shared" si="148"/>
        <v>0.28875000000000006</v>
      </c>
      <c r="AY121" s="179">
        <f t="shared" si="149"/>
        <v>0.23272375096555625</v>
      </c>
      <c r="AZ121" s="179">
        <f t="shared" si="177"/>
        <v>1.2407414318564152</v>
      </c>
      <c r="BA121" s="472">
        <f t="shared" si="228"/>
        <v>28.298334324806667</v>
      </c>
      <c r="BB121" s="472">
        <f t="shared" si="229"/>
        <v>0.46738557919621748</v>
      </c>
      <c r="BC121" s="6">
        <f t="shared" si="253"/>
        <v>3.885826897637365E-2</v>
      </c>
      <c r="BD121" s="563">
        <f t="shared" si="231"/>
        <v>9.3132959911933639</v>
      </c>
      <c r="BF121" s="179">
        <f t="shared" si="178"/>
        <v>4.9851422385087732E-2</v>
      </c>
      <c r="BG121" s="179">
        <f t="shared" si="154"/>
        <v>0.30022245281732707</v>
      </c>
      <c r="BI121" s="546">
        <f t="shared" si="232"/>
        <v>8.6980750983574914E-4</v>
      </c>
      <c r="BJ121" s="546">
        <f t="shared" si="233"/>
        <v>1.5631118723833996E-2</v>
      </c>
      <c r="BK121" s="546">
        <f t="shared" si="234"/>
        <v>4.3749999999999995E-3</v>
      </c>
      <c r="BL121" s="546">
        <f t="shared" si="235"/>
        <v>1.6547343750000002E-2</v>
      </c>
      <c r="BM121">
        <f t="shared" si="236"/>
        <v>4.3499999999999997E-3</v>
      </c>
      <c r="BO121" s="472">
        <f t="shared" si="237"/>
        <v>41.773269983669749</v>
      </c>
      <c r="BP121" s="546">
        <f t="shared" si="238"/>
        <v>1.6500000000000001E-2</v>
      </c>
      <c r="BS121" s="472">
        <f t="shared" si="239"/>
        <v>16.5</v>
      </c>
      <c r="BT121" s="546">
        <f t="shared" si="240"/>
        <v>4.970328627632853E-4</v>
      </c>
      <c r="BU121" s="546">
        <f t="shared" si="241"/>
        <v>3.6053408470260871E-3</v>
      </c>
      <c r="BV121" s="546">
        <f t="shared" si="242"/>
        <v>1.8909463180876466E-3</v>
      </c>
      <c r="BW121" s="546"/>
      <c r="BX121" s="546">
        <f t="shared" si="243"/>
        <v>6.5625000000000024E-3</v>
      </c>
      <c r="BY121" s="472">
        <f t="shared" si="244"/>
        <v>12.555820027877022</v>
      </c>
      <c r="BZ121" s="179">
        <f t="shared" si="245"/>
        <v>7.0829090011546775E-2</v>
      </c>
      <c r="CA121" s="6">
        <f t="shared" si="246"/>
        <v>0.27500000000000002</v>
      </c>
      <c r="CB121" s="179">
        <f t="shared" si="247"/>
        <v>0.79519047975639667</v>
      </c>
      <c r="CC121" s="6">
        <f t="shared" si="248"/>
        <v>79.519047975639666</v>
      </c>
      <c r="CF121" s="581">
        <f t="shared" si="249"/>
        <v>-50</v>
      </c>
      <c r="CG121">
        <f t="shared" si="250"/>
        <v>-50</v>
      </c>
    </row>
    <row r="122" spans="5:85" x14ac:dyDescent="0.2">
      <c r="E122" s="176">
        <v>12</v>
      </c>
      <c r="F122" s="223">
        <f t="shared" si="251"/>
        <v>0.06</v>
      </c>
      <c r="G122" s="223"/>
      <c r="H122" s="223">
        <f t="shared" si="198"/>
        <v>0.3</v>
      </c>
      <c r="I122" s="559">
        <f t="shared" si="199"/>
        <v>15</v>
      </c>
      <c r="J122" s="454">
        <f t="shared" si="200"/>
        <v>15.75</v>
      </c>
      <c r="K122" s="454">
        <f t="shared" si="201"/>
        <v>30.75</v>
      </c>
      <c r="L122" s="454"/>
      <c r="M122" s="223">
        <f t="shared" si="202"/>
        <v>0.51219512195121952</v>
      </c>
      <c r="N122" s="178">
        <f t="shared" si="252"/>
        <v>2.592987804878049</v>
      </c>
      <c r="O122" s="178">
        <f t="shared" si="172"/>
        <v>0.3</v>
      </c>
      <c r="P122" s="223">
        <f t="shared" si="203"/>
        <v>0.51859756097560983</v>
      </c>
      <c r="Q122" s="223">
        <f t="shared" si="204"/>
        <v>5</v>
      </c>
      <c r="R122" s="223"/>
      <c r="S122" s="178">
        <f t="shared" si="205"/>
        <v>79.390695493268325</v>
      </c>
      <c r="T122" s="178">
        <f t="shared" si="206"/>
        <v>5</v>
      </c>
      <c r="U122" s="223">
        <f t="shared" si="207"/>
        <v>8.6772486772486765E-2</v>
      </c>
      <c r="V122" s="223">
        <f t="shared" si="208"/>
        <v>0.25453262786596115</v>
      </c>
      <c r="W122" s="223">
        <f t="shared" si="209"/>
        <v>0.24241202653901064</v>
      </c>
      <c r="X122" s="203">
        <f t="shared" si="210"/>
        <v>350</v>
      </c>
      <c r="Y122" s="454">
        <f t="shared" si="211"/>
        <v>350</v>
      </c>
      <c r="AA122" s="223">
        <f t="shared" si="212"/>
        <v>0.4988913525498892</v>
      </c>
      <c r="AB122" s="179">
        <f t="shared" si="213"/>
        <v>1.3937282229965158</v>
      </c>
      <c r="AC122" s="179">
        <f t="shared" si="214"/>
        <v>0.36504245308528482</v>
      </c>
      <c r="AD122" s="179"/>
      <c r="AE122" s="179">
        <f t="shared" si="215"/>
        <v>0.419047619047619</v>
      </c>
      <c r="AF122" s="563">
        <f t="shared" si="216"/>
        <v>636.36363636363649</v>
      </c>
      <c r="AG122" s="546">
        <f t="shared" si="217"/>
        <v>3.2999999999999995E-2</v>
      </c>
      <c r="AI122" s="179">
        <f t="shared" si="218"/>
        <v>0.2022599587389726</v>
      </c>
      <c r="AJ122" s="179">
        <f t="shared" si="219"/>
        <v>0.2022599587389726</v>
      </c>
      <c r="AK122" s="179">
        <f t="shared" si="220"/>
        <v>1.2387110805473871</v>
      </c>
      <c r="AM122" s="563">
        <f t="shared" si="221"/>
        <v>60</v>
      </c>
      <c r="AN122" s="472">
        <f t="shared" si="222"/>
        <v>350</v>
      </c>
      <c r="AP122" s="472">
        <f t="shared" si="223"/>
        <v>60</v>
      </c>
      <c r="AQ122" s="472">
        <f t="shared" si="224"/>
        <v>350</v>
      </c>
      <c r="AS122" s="6">
        <f t="shared" si="174"/>
        <v>2.8571428571428572</v>
      </c>
      <c r="AT122" s="6">
        <f t="shared" si="225"/>
        <v>0.5932958789676529</v>
      </c>
      <c r="AU122" s="6">
        <f t="shared" si="226"/>
        <v>2.2638469781752044</v>
      </c>
      <c r="AV122" s="6"/>
      <c r="AW122" s="179">
        <f t="shared" si="227"/>
        <v>0.20765355763867852</v>
      </c>
      <c r="AX122" s="179">
        <f t="shared" si="148"/>
        <v>0.31499999999999984</v>
      </c>
      <c r="AY122" s="179">
        <f t="shared" si="149"/>
        <v>0.24038993810845891</v>
      </c>
      <c r="AZ122" s="179">
        <f t="shared" si="177"/>
        <v>1.3103709850695933</v>
      </c>
      <c r="BA122" s="472">
        <f t="shared" si="228"/>
        <v>28.298334324806667</v>
      </c>
      <c r="BB122" s="472">
        <f t="shared" si="229"/>
        <v>0.53986382978723402</v>
      </c>
      <c r="BC122" s="6">
        <f t="shared" si="253"/>
        <v>4.1923092188429704E-2</v>
      </c>
      <c r="BD122" s="563">
        <f t="shared" si="231"/>
        <v>10.113487551546191</v>
      </c>
      <c r="BF122" s="179">
        <f t="shared" si="178"/>
        <v>5.3213150840235111E-2</v>
      </c>
      <c r="BG122" s="179">
        <f t="shared" si="154"/>
        <v>0.31183732606306475</v>
      </c>
      <c r="BI122" s="546">
        <f t="shared" si="232"/>
        <v>9.9107379782096498E-4</v>
      </c>
      <c r="BJ122" s="546">
        <f t="shared" si="233"/>
        <v>1.6326171044461442E-2</v>
      </c>
      <c r="BK122" s="546">
        <f t="shared" si="234"/>
        <v>4.3749999999999995E-3</v>
      </c>
      <c r="BL122" s="546">
        <f t="shared" si="235"/>
        <v>1.6547343750000002E-2</v>
      </c>
      <c r="BM122">
        <f t="shared" si="236"/>
        <v>4.3499999999999997E-3</v>
      </c>
      <c r="BO122" s="472">
        <f t="shared" si="237"/>
        <v>42.589588592282411</v>
      </c>
      <c r="BP122" s="546">
        <f t="shared" si="238"/>
        <v>1.7999999999999999E-2</v>
      </c>
      <c r="BS122" s="472">
        <f t="shared" si="239"/>
        <v>18</v>
      </c>
      <c r="BT122" s="546">
        <f t="shared" si="240"/>
        <v>5.6632788446912298E-4</v>
      </c>
      <c r="BU122" s="546">
        <f t="shared" si="241"/>
        <v>3.8897007170464867E-3</v>
      </c>
      <c r="BV122" s="546">
        <f t="shared" si="242"/>
        <v>2.1082150095169667E-3</v>
      </c>
      <c r="BW122" s="546"/>
      <c r="BX122" s="546">
        <f t="shared" si="243"/>
        <v>7.1590909090909084E-3</v>
      </c>
      <c r="BY122" s="472">
        <f t="shared" si="244"/>
        <v>13.723334520123485</v>
      </c>
      <c r="BZ122" s="179">
        <f t="shared" si="245"/>
        <v>7.4312923112405879E-2</v>
      </c>
      <c r="CA122" s="6">
        <f t="shared" si="246"/>
        <v>0.3</v>
      </c>
      <c r="CB122" s="179">
        <f t="shared" si="247"/>
        <v>0.80146845453666105</v>
      </c>
      <c r="CC122" s="6">
        <f t="shared" si="248"/>
        <v>80.146845453666103</v>
      </c>
      <c r="CF122" s="581">
        <f t="shared" si="249"/>
        <v>-50</v>
      </c>
      <c r="CG122">
        <f t="shared" si="250"/>
        <v>-50</v>
      </c>
    </row>
    <row r="123" spans="5:85" x14ac:dyDescent="0.2">
      <c r="E123" s="176">
        <v>13</v>
      </c>
      <c r="F123" s="223">
        <f t="shared" si="251"/>
        <v>6.5000000000000002E-2</v>
      </c>
      <c r="G123" s="223"/>
      <c r="H123" s="223">
        <f t="shared" si="198"/>
        <v>0.32500000000000001</v>
      </c>
      <c r="I123" s="559">
        <f t="shared" si="199"/>
        <v>15</v>
      </c>
      <c r="J123" s="454">
        <f t="shared" si="200"/>
        <v>15.75</v>
      </c>
      <c r="K123" s="454">
        <f t="shared" si="201"/>
        <v>30.75</v>
      </c>
      <c r="L123" s="454"/>
      <c r="M123" s="223">
        <f t="shared" si="202"/>
        <v>0.51219512195121952</v>
      </c>
      <c r="N123" s="178">
        <f t="shared" si="252"/>
        <v>2.592987804878049</v>
      </c>
      <c r="O123" s="178">
        <f t="shared" si="172"/>
        <v>0.32500000000000001</v>
      </c>
      <c r="P123" s="223">
        <f t="shared" si="203"/>
        <v>0.51859756097560983</v>
      </c>
      <c r="Q123" s="223">
        <f t="shared" si="204"/>
        <v>5</v>
      </c>
      <c r="R123" s="223"/>
      <c r="S123" s="178">
        <f t="shared" si="205"/>
        <v>72.901703161741167</v>
      </c>
      <c r="T123" s="178">
        <f t="shared" si="206"/>
        <v>5</v>
      </c>
      <c r="U123" s="223">
        <f t="shared" si="207"/>
        <v>9.4003527336860668E-2</v>
      </c>
      <c r="V123" s="223">
        <f t="shared" si="208"/>
        <v>0.27574368018812467</v>
      </c>
      <c r="W123" s="223">
        <f t="shared" si="209"/>
        <v>0.26261302875059489</v>
      </c>
      <c r="X123" s="203">
        <f t="shared" si="210"/>
        <v>350</v>
      </c>
      <c r="Y123" s="454">
        <f t="shared" si="211"/>
        <v>350</v>
      </c>
      <c r="AA123" s="223">
        <f t="shared" si="212"/>
        <v>0.4988913525498892</v>
      </c>
      <c r="AB123" s="179">
        <f t="shared" si="213"/>
        <v>1.3937282229965158</v>
      </c>
      <c r="AC123" s="179">
        <f t="shared" si="214"/>
        <v>0.36504245308528482</v>
      </c>
      <c r="AD123" s="179"/>
      <c r="AE123" s="179">
        <f t="shared" si="215"/>
        <v>0.419047619047619</v>
      </c>
      <c r="AF123" s="563">
        <f t="shared" si="216"/>
        <v>689.3939393939396</v>
      </c>
      <c r="AG123" s="546">
        <f t="shared" si="217"/>
        <v>3.2999999999999995E-2</v>
      </c>
      <c r="AI123" s="179">
        <f t="shared" si="218"/>
        <v>0.21051883958017112</v>
      </c>
      <c r="AJ123" s="179">
        <f t="shared" si="219"/>
        <v>0.21051883958017112</v>
      </c>
      <c r="AK123" s="179">
        <f t="shared" si="220"/>
        <v>1.2448287700593861</v>
      </c>
      <c r="AM123" s="563">
        <f t="shared" si="221"/>
        <v>65</v>
      </c>
      <c r="AN123" s="472">
        <f t="shared" si="222"/>
        <v>350</v>
      </c>
      <c r="AP123" s="472">
        <f t="shared" si="223"/>
        <v>65</v>
      </c>
      <c r="AQ123" s="472">
        <f t="shared" si="224"/>
        <v>350</v>
      </c>
      <c r="AS123" s="6">
        <f t="shared" si="174"/>
        <v>2.8571428571428572</v>
      </c>
      <c r="AT123" s="6">
        <f t="shared" si="225"/>
        <v>0.61752192943516848</v>
      </c>
      <c r="AU123" s="6">
        <f t="shared" si="226"/>
        <v>2.2396209277076888</v>
      </c>
      <c r="AV123" s="6"/>
      <c r="AW123" s="179">
        <f t="shared" si="227"/>
        <v>0.21613267530230895</v>
      </c>
      <c r="AX123" s="179">
        <f t="shared" si="148"/>
        <v>0.34125</v>
      </c>
      <c r="AY123" s="179">
        <f t="shared" si="149"/>
        <v>0.24752825937025669</v>
      </c>
      <c r="AZ123" s="179">
        <f t="shared" si="177"/>
        <v>1.3786304677622803</v>
      </c>
      <c r="BA123" s="472">
        <f t="shared" si="228"/>
        <v>28.298334324806667</v>
      </c>
      <c r="BB123" s="472">
        <f t="shared" si="229"/>
        <v>0.61734018912529565</v>
      </c>
      <c r="BC123" s="6">
        <f t="shared" si="253"/>
        <v>4.4930666759567826E-2</v>
      </c>
      <c r="BD123" s="563">
        <f t="shared" si="231"/>
        <v>10.907630710897349</v>
      </c>
      <c r="BF123" s="179">
        <f t="shared" si="178"/>
        <v>5.6505478203143528E-2</v>
      </c>
      <c r="BG123" s="179">
        <f t="shared" si="154"/>
        <v>0.32282924875520819</v>
      </c>
      <c r="BI123" s="546">
        <f t="shared" si="232"/>
        <v>1.1175041734380747E-3</v>
      </c>
      <c r="BJ123" s="546">
        <f t="shared" si="233"/>
        <v>1.6992817582361937E-2</v>
      </c>
      <c r="BK123" s="546">
        <f t="shared" si="234"/>
        <v>4.3749999999999995E-3</v>
      </c>
      <c r="BL123" s="546">
        <f t="shared" si="235"/>
        <v>1.6547343750000002E-2</v>
      </c>
      <c r="BM123">
        <f t="shared" si="236"/>
        <v>4.3499999999999997E-3</v>
      </c>
      <c r="BO123" s="472">
        <f t="shared" si="237"/>
        <v>43.382665505800013</v>
      </c>
      <c r="BP123" s="546">
        <f t="shared" si="238"/>
        <v>1.95E-2</v>
      </c>
      <c r="BS123" s="472">
        <f t="shared" si="239"/>
        <v>19.5</v>
      </c>
      <c r="BT123" s="546">
        <f t="shared" si="240"/>
        <v>6.3857381339318562E-4</v>
      </c>
      <c r="BU123" s="546">
        <f t="shared" si="241"/>
        <v>4.1687489540740835E-3</v>
      </c>
      <c r="BV123" s="546">
        <f t="shared" si="242"/>
        <v>2.3300623036737783E-3</v>
      </c>
      <c r="BW123" s="546"/>
      <c r="BX123" s="546">
        <f t="shared" si="243"/>
        <v>7.7556818181818196E-3</v>
      </c>
      <c r="BY123" s="472">
        <f t="shared" si="244"/>
        <v>14.893066889322867</v>
      </c>
      <c r="BZ123" s="179">
        <f t="shared" si="245"/>
        <v>7.7775732395122879E-2</v>
      </c>
      <c r="CA123" s="6">
        <f t="shared" si="246"/>
        <v>0.32500000000000001</v>
      </c>
      <c r="CB123" s="179">
        <f t="shared" si="247"/>
        <v>0.80690064932009142</v>
      </c>
      <c r="CC123" s="6">
        <f t="shared" si="248"/>
        <v>80.690064932009136</v>
      </c>
      <c r="CF123" s="581">
        <f t="shared" si="249"/>
        <v>-50</v>
      </c>
      <c r="CG123">
        <f t="shared" si="250"/>
        <v>-50</v>
      </c>
    </row>
    <row r="124" spans="5:85" x14ac:dyDescent="0.2">
      <c r="E124" s="176">
        <v>14</v>
      </c>
      <c r="F124" s="223">
        <f t="shared" si="251"/>
        <v>7.0000000000000007E-2</v>
      </c>
      <c r="G124" s="223"/>
      <c r="H124" s="223">
        <f t="shared" si="198"/>
        <v>0.35000000000000003</v>
      </c>
      <c r="I124" s="559">
        <f t="shared" si="199"/>
        <v>15</v>
      </c>
      <c r="J124" s="454">
        <f t="shared" si="200"/>
        <v>15.75</v>
      </c>
      <c r="K124" s="454">
        <f t="shared" si="201"/>
        <v>30.75</v>
      </c>
      <c r="L124" s="454"/>
      <c r="M124" s="223">
        <f t="shared" si="202"/>
        <v>0.51219512195121952</v>
      </c>
      <c r="N124" s="178">
        <f t="shared" si="252"/>
        <v>2.592987804878049</v>
      </c>
      <c r="O124" s="178">
        <f t="shared" si="172"/>
        <v>0.35000000000000003</v>
      </c>
      <c r="P124" s="223">
        <f t="shared" si="203"/>
        <v>0.51859756097560983</v>
      </c>
      <c r="Q124" s="223">
        <f t="shared" si="204"/>
        <v>5</v>
      </c>
      <c r="R124" s="223"/>
      <c r="S124" s="178">
        <f t="shared" si="205"/>
        <v>67.339922452685428</v>
      </c>
      <c r="T124" s="178">
        <f t="shared" si="206"/>
        <v>5</v>
      </c>
      <c r="U124" s="223">
        <f t="shared" si="207"/>
        <v>0.10123456790123457</v>
      </c>
      <c r="V124" s="223">
        <f t="shared" si="208"/>
        <v>0.29695473251028803</v>
      </c>
      <c r="W124" s="223">
        <f t="shared" si="209"/>
        <v>0.28281403096217911</v>
      </c>
      <c r="X124" s="203">
        <f t="shared" si="210"/>
        <v>350</v>
      </c>
      <c r="Y124" s="454">
        <f t="shared" si="211"/>
        <v>350</v>
      </c>
      <c r="AA124" s="223">
        <f t="shared" si="212"/>
        <v>0.4988913525498892</v>
      </c>
      <c r="AB124" s="179">
        <f t="shared" si="213"/>
        <v>1.3937282229965158</v>
      </c>
      <c r="AC124" s="179">
        <f t="shared" si="214"/>
        <v>0.36504245308528482</v>
      </c>
      <c r="AD124" s="179"/>
      <c r="AE124" s="179">
        <f t="shared" si="215"/>
        <v>0.419047619047619</v>
      </c>
      <c r="AF124" s="563">
        <f t="shared" si="216"/>
        <v>742.42424242424272</v>
      </c>
      <c r="AG124" s="546">
        <f t="shared" si="217"/>
        <v>3.2999999999999995E-2</v>
      </c>
      <c r="AI124" s="179">
        <f t="shared" si="218"/>
        <v>0.21846572437632575</v>
      </c>
      <c r="AJ124" s="179">
        <f t="shared" si="219"/>
        <v>0.21846572437632575</v>
      </c>
      <c r="AK124" s="179">
        <f t="shared" si="220"/>
        <v>1.2507153513898708</v>
      </c>
      <c r="AM124" s="563">
        <f t="shared" si="221"/>
        <v>70</v>
      </c>
      <c r="AN124" s="472">
        <f t="shared" si="222"/>
        <v>350</v>
      </c>
      <c r="AP124" s="472">
        <f t="shared" si="223"/>
        <v>70</v>
      </c>
      <c r="AQ124" s="472">
        <f t="shared" si="224"/>
        <v>350</v>
      </c>
      <c r="AS124" s="6">
        <f t="shared" si="174"/>
        <v>2.8571428571428572</v>
      </c>
      <c r="AT124" s="6">
        <f t="shared" si="225"/>
        <v>0.64083279150388894</v>
      </c>
      <c r="AU124" s="6">
        <f t="shared" si="226"/>
        <v>2.216310065638968</v>
      </c>
      <c r="AV124" s="6"/>
      <c r="AW124" s="179">
        <f t="shared" si="227"/>
        <v>0.22429147702636112</v>
      </c>
      <c r="AX124" s="179">
        <f t="shared" si="148"/>
        <v>0.36750000000000005</v>
      </c>
      <c r="AY124" s="179">
        <f t="shared" si="149"/>
        <v>0.25419858656448863</v>
      </c>
      <c r="AZ124" s="179">
        <f t="shared" si="177"/>
        <v>1.4457200764441211</v>
      </c>
      <c r="BA124" s="472">
        <f t="shared" si="228"/>
        <v>28.298334324806667</v>
      </c>
      <c r="BB124" s="472">
        <f t="shared" si="229"/>
        <v>0.69981465721040204</v>
      </c>
      <c r="BC124" s="6">
        <f t="shared" si="253"/>
        <v>4.7883242158866586E-2</v>
      </c>
      <c r="BD124" s="563">
        <f t="shared" si="231"/>
        <v>11.695930775347607</v>
      </c>
      <c r="BF124" s="179">
        <f t="shared" si="178"/>
        <v>5.9735027397220253E-2</v>
      </c>
      <c r="BG124" s="179">
        <f t="shared" si="154"/>
        <v>0.33326769525187755</v>
      </c>
      <c r="BI124" s="546">
        <f t="shared" si="232"/>
        <v>1.248895724351329E-3</v>
      </c>
      <c r="BJ124" s="546">
        <f t="shared" si="233"/>
        <v>1.7634280189501542E-2</v>
      </c>
      <c r="BK124" s="546">
        <f t="shared" si="234"/>
        <v>4.3749999999999995E-3</v>
      </c>
      <c r="BL124" s="546">
        <f t="shared" si="235"/>
        <v>1.6547343750000002E-2</v>
      </c>
      <c r="BM124">
        <f t="shared" si="236"/>
        <v>4.3499999999999997E-3</v>
      </c>
      <c r="BO124" s="472">
        <f t="shared" si="237"/>
        <v>44.155519663852871</v>
      </c>
      <c r="BP124" s="546">
        <f t="shared" si="238"/>
        <v>2.1000000000000001E-2</v>
      </c>
      <c r="BS124" s="472">
        <f t="shared" si="239"/>
        <v>21</v>
      </c>
      <c r="BT124" s="546">
        <f t="shared" si="240"/>
        <v>7.136546996293309E-4</v>
      </c>
      <c r="BU124" s="546">
        <f t="shared" si="241"/>
        <v>4.4426942679399329E-3</v>
      </c>
      <c r="BV124" s="546">
        <f t="shared" si="242"/>
        <v>2.5562209391237702E-3</v>
      </c>
      <c r="BW124" s="546"/>
      <c r="BX124" s="546">
        <f t="shared" si="243"/>
        <v>8.352272727272729E-3</v>
      </c>
      <c r="BY124" s="472">
        <f t="shared" si="244"/>
        <v>16.064842633965764</v>
      </c>
      <c r="BZ124" s="179">
        <f t="shared" si="245"/>
        <v>8.1220362297818649E-2</v>
      </c>
      <c r="CA124" s="6">
        <f t="shared" si="246"/>
        <v>0.35000000000000003</v>
      </c>
      <c r="CB124" s="179">
        <f t="shared" si="247"/>
        <v>0.81164998363012253</v>
      </c>
      <c r="CC124" s="6">
        <f t="shared" si="248"/>
        <v>81.164998363012259</v>
      </c>
      <c r="CF124" s="581">
        <f t="shared" si="249"/>
        <v>-50</v>
      </c>
      <c r="CG124">
        <f t="shared" si="250"/>
        <v>-50</v>
      </c>
    </row>
    <row r="125" spans="5:85" x14ac:dyDescent="0.2">
      <c r="E125" s="176">
        <v>15</v>
      </c>
      <c r="F125" s="223">
        <f t="shared" si="251"/>
        <v>7.4999999999999997E-2</v>
      </c>
      <c r="G125" s="223"/>
      <c r="H125" s="223">
        <f t="shared" si="198"/>
        <v>0.375</v>
      </c>
      <c r="I125" s="559">
        <f t="shared" si="199"/>
        <v>15</v>
      </c>
      <c r="J125" s="454">
        <f t="shared" si="200"/>
        <v>15.75</v>
      </c>
      <c r="K125" s="454">
        <f t="shared" si="201"/>
        <v>30.75</v>
      </c>
      <c r="L125" s="454"/>
      <c r="M125" s="223">
        <f t="shared" si="202"/>
        <v>0.51219512195121952</v>
      </c>
      <c r="N125" s="178">
        <f t="shared" si="252"/>
        <v>2.592987804878049</v>
      </c>
      <c r="O125" s="178">
        <f t="shared" si="172"/>
        <v>0.375</v>
      </c>
      <c r="P125" s="223">
        <f t="shared" si="203"/>
        <v>0.51859756097560983</v>
      </c>
      <c r="Q125" s="223">
        <f t="shared" si="204"/>
        <v>5</v>
      </c>
      <c r="R125" s="223"/>
      <c r="S125" s="178">
        <f t="shared" si="205"/>
        <v>62.51991399892664</v>
      </c>
      <c r="T125" s="178">
        <f t="shared" si="206"/>
        <v>5</v>
      </c>
      <c r="U125" s="223">
        <f t="shared" si="207"/>
        <v>0.10846560846560846</v>
      </c>
      <c r="V125" s="223">
        <f t="shared" si="208"/>
        <v>0.3181657848324515</v>
      </c>
      <c r="W125" s="223">
        <f t="shared" si="209"/>
        <v>0.30301503317376333</v>
      </c>
      <c r="X125" s="203">
        <f t="shared" si="210"/>
        <v>350</v>
      </c>
      <c r="Y125" s="454">
        <f t="shared" si="211"/>
        <v>350</v>
      </c>
      <c r="AA125" s="223">
        <f t="shared" si="212"/>
        <v>0.4988913525498892</v>
      </c>
      <c r="AB125" s="179">
        <f t="shared" si="213"/>
        <v>1.3937282229965158</v>
      </c>
      <c r="AC125" s="179">
        <f t="shared" si="214"/>
        <v>0.36504245308528482</v>
      </c>
      <c r="AD125" s="179"/>
      <c r="AE125" s="179">
        <f t="shared" si="215"/>
        <v>0.419047619047619</v>
      </c>
      <c r="AF125" s="563">
        <f t="shared" si="216"/>
        <v>795.4545454545455</v>
      </c>
      <c r="AG125" s="546">
        <f t="shared" si="217"/>
        <v>3.2999999999999995E-2</v>
      </c>
      <c r="AI125" s="179">
        <f t="shared" si="218"/>
        <v>0.22613350843332272</v>
      </c>
      <c r="AJ125" s="179">
        <f t="shared" si="219"/>
        <v>0.22613350843332272</v>
      </c>
      <c r="AK125" s="179">
        <f t="shared" si="220"/>
        <v>1.2563951914320908</v>
      </c>
      <c r="AM125" s="563">
        <f t="shared" si="221"/>
        <v>75</v>
      </c>
      <c r="AN125" s="472">
        <f t="shared" si="222"/>
        <v>350</v>
      </c>
      <c r="AP125" s="472">
        <f t="shared" si="223"/>
        <v>75</v>
      </c>
      <c r="AQ125" s="472">
        <f t="shared" si="224"/>
        <v>350</v>
      </c>
      <c r="AS125" s="6">
        <f t="shared" si="174"/>
        <v>2.8571428571428572</v>
      </c>
      <c r="AT125" s="6">
        <f t="shared" si="225"/>
        <v>0.66332495807108005</v>
      </c>
      <c r="AU125" s="6">
        <f t="shared" si="226"/>
        <v>2.1938178990717772</v>
      </c>
      <c r="AV125" s="6"/>
      <c r="AW125" s="179">
        <f t="shared" si="227"/>
        <v>0.23216373532487802</v>
      </c>
      <c r="AX125" s="179">
        <f t="shared" si="148"/>
        <v>0.39374999999999999</v>
      </c>
      <c r="AY125" s="179">
        <f t="shared" si="149"/>
        <v>0.26045026264998411</v>
      </c>
      <c r="AZ125" s="179">
        <f t="shared" si="177"/>
        <v>1.5118049641944717</v>
      </c>
      <c r="BA125" s="472">
        <f t="shared" si="228"/>
        <v>28.298334324806667</v>
      </c>
      <c r="BB125" s="472">
        <f t="shared" si="229"/>
        <v>0.78728723404255319</v>
      </c>
      <c r="BC125" s="6">
        <f t="shared" si="253"/>
        <v>5.0782821737772606E-2</v>
      </c>
      <c r="BD125" s="563">
        <f t="shared" si="231"/>
        <v>12.478572278675538</v>
      </c>
      <c r="BF125" s="179">
        <f t="shared" si="178"/>
        <v>6.2907363619715842E-2</v>
      </c>
      <c r="BG125" s="179">
        <f t="shared" si="154"/>
        <v>0.34320994060609983</v>
      </c>
      <c r="BI125" s="546">
        <f t="shared" si="232"/>
        <v>1.3850677391541019E-3</v>
      </c>
      <c r="BJ125" s="546">
        <f t="shared" si="233"/>
        <v>1.8253214133852266E-2</v>
      </c>
      <c r="BK125" s="546">
        <f t="shared" si="234"/>
        <v>4.3749999999999995E-3</v>
      </c>
      <c r="BL125" s="546">
        <f t="shared" si="235"/>
        <v>1.6547343750000002E-2</v>
      </c>
      <c r="BM125">
        <f t="shared" si="236"/>
        <v>4.3499999999999997E-3</v>
      </c>
      <c r="BO125" s="472">
        <f t="shared" si="237"/>
        <v>44.910625623006368</v>
      </c>
      <c r="BP125" s="546">
        <f t="shared" si="238"/>
        <v>2.2499999999999999E-2</v>
      </c>
      <c r="BS125" s="472">
        <f t="shared" si="239"/>
        <v>22.5</v>
      </c>
      <c r="BT125" s="546">
        <f t="shared" si="240"/>
        <v>7.9146727951662969E-4</v>
      </c>
      <c r="BU125" s="546">
        <f t="shared" si="241"/>
        <v>4.7117225332337026E-3</v>
      </c>
      <c r="BV125" s="546">
        <f t="shared" si="242"/>
        <v>2.7864574602716472E-3</v>
      </c>
      <c r="BW125" s="546"/>
      <c r="BX125" s="546">
        <f t="shared" si="243"/>
        <v>8.9488636363636385E-3</v>
      </c>
      <c r="BY125" s="472">
        <f t="shared" si="244"/>
        <v>17.238510909385621</v>
      </c>
      <c r="BZ125" s="179">
        <f t="shared" si="245"/>
        <v>8.4649136532392005E-2</v>
      </c>
      <c r="CA125" s="6">
        <f t="shared" si="246"/>
        <v>0.375</v>
      </c>
      <c r="CB125" s="179">
        <f t="shared" si="247"/>
        <v>0.81583967029506932</v>
      </c>
      <c r="CC125" s="6">
        <f t="shared" si="248"/>
        <v>81.583967029506937</v>
      </c>
      <c r="CF125" s="581">
        <f t="shared" si="249"/>
        <v>-50</v>
      </c>
      <c r="CG125">
        <f t="shared" si="250"/>
        <v>-50</v>
      </c>
    </row>
    <row r="126" spans="5:85" x14ac:dyDescent="0.2">
      <c r="E126" s="176">
        <v>16</v>
      </c>
      <c r="F126" s="223">
        <f t="shared" si="251"/>
        <v>0.08</v>
      </c>
      <c r="G126" s="223"/>
      <c r="H126" s="223">
        <f t="shared" si="198"/>
        <v>0.4</v>
      </c>
      <c r="I126" s="559">
        <f t="shared" si="199"/>
        <v>15</v>
      </c>
      <c r="J126" s="454">
        <f t="shared" si="200"/>
        <v>15.75</v>
      </c>
      <c r="K126" s="454">
        <f t="shared" si="201"/>
        <v>30.75</v>
      </c>
      <c r="L126" s="454"/>
      <c r="M126" s="223">
        <f t="shared" si="202"/>
        <v>0.51219512195121952</v>
      </c>
      <c r="N126" s="178">
        <f t="shared" si="252"/>
        <v>2.592987804878049</v>
      </c>
      <c r="O126" s="178">
        <f t="shared" si="172"/>
        <v>0.4</v>
      </c>
      <c r="P126" s="223">
        <f t="shared" si="203"/>
        <v>0.51859756097560983</v>
      </c>
      <c r="Q126" s="223">
        <f t="shared" si="204"/>
        <v>5</v>
      </c>
      <c r="R126" s="223"/>
      <c r="S126" s="178">
        <f t="shared" si="205"/>
        <v>58.302598326730525</v>
      </c>
      <c r="T126" s="178">
        <f t="shared" si="206"/>
        <v>5</v>
      </c>
      <c r="U126" s="223">
        <f t="shared" si="207"/>
        <v>0.11569664902998236</v>
      </c>
      <c r="V126" s="223">
        <f t="shared" si="208"/>
        <v>0.33937683715461492</v>
      </c>
      <c r="W126" s="223">
        <f t="shared" si="209"/>
        <v>0.32321603538534754</v>
      </c>
      <c r="X126" s="203">
        <f t="shared" si="210"/>
        <v>350</v>
      </c>
      <c r="Y126" s="454">
        <f t="shared" si="211"/>
        <v>350</v>
      </c>
      <c r="AA126" s="223">
        <f t="shared" si="212"/>
        <v>0.4988913525498892</v>
      </c>
      <c r="AB126" s="179">
        <f t="shared" si="213"/>
        <v>1.3937282229965158</v>
      </c>
      <c r="AC126" s="179">
        <f t="shared" si="214"/>
        <v>0.36504245308528482</v>
      </c>
      <c r="AD126" s="179"/>
      <c r="AE126" s="179">
        <f t="shared" si="215"/>
        <v>0.419047619047619</v>
      </c>
      <c r="AF126" s="563">
        <f t="shared" si="216"/>
        <v>848.48484848484861</v>
      </c>
      <c r="AG126" s="546">
        <f t="shared" si="217"/>
        <v>3.2999999999999995E-2</v>
      </c>
      <c r="AI126" s="179">
        <f t="shared" si="218"/>
        <v>0.23354968324845687</v>
      </c>
      <c r="AJ126" s="179">
        <f t="shared" si="219"/>
        <v>0.23354968324845687</v>
      </c>
      <c r="AK126" s="179">
        <f t="shared" si="220"/>
        <v>1.2618886542581162</v>
      </c>
      <c r="AM126" s="563">
        <f t="shared" si="221"/>
        <v>80</v>
      </c>
      <c r="AN126" s="472">
        <f t="shared" si="222"/>
        <v>350</v>
      </c>
      <c r="AP126" s="472">
        <f t="shared" si="223"/>
        <v>80</v>
      </c>
      <c r="AQ126" s="472">
        <f t="shared" si="224"/>
        <v>350</v>
      </c>
      <c r="AS126" s="6">
        <f t="shared" si="174"/>
        <v>2.8571428571428572</v>
      </c>
      <c r="AT126" s="6">
        <f t="shared" si="225"/>
        <v>0.68507907086214015</v>
      </c>
      <c r="AU126" s="6">
        <f t="shared" si="226"/>
        <v>2.1720637862807171</v>
      </c>
      <c r="AV126" s="6"/>
      <c r="AW126" s="179">
        <f t="shared" si="227"/>
        <v>0.23977767480174905</v>
      </c>
      <c r="AX126" s="179">
        <f t="shared" si="148"/>
        <v>0.41999999999999993</v>
      </c>
      <c r="AY126" s="179">
        <f t="shared" si="149"/>
        <v>0.26632452487268532</v>
      </c>
      <c r="AZ126" s="179">
        <f t="shared" si="177"/>
        <v>1.5770233710199171</v>
      </c>
      <c r="BA126" s="472">
        <f t="shared" si="228"/>
        <v>28.298334324806667</v>
      </c>
      <c r="BB126" s="472">
        <f t="shared" si="229"/>
        <v>0.87975791962174932</v>
      </c>
      <c r="BC126" s="6">
        <f t="shared" si="253"/>
        <v>5.363120459952387E-2</v>
      </c>
      <c r="BD126" s="563">
        <f t="shared" si="231"/>
        <v>13.25572232317807</v>
      </c>
      <c r="BF126" s="179">
        <f t="shared" si="178"/>
        <v>6.6027222320074366E-2</v>
      </c>
      <c r="BG126" s="179">
        <f t="shared" si="154"/>
        <v>0.35270386565874612</v>
      </c>
      <c r="BI126" s="546">
        <f t="shared" si="232"/>
        <v>1.5258579305565843E-3</v>
      </c>
      <c r="BJ126" s="546">
        <f t="shared" si="233"/>
        <v>1.8851838494711379E-2</v>
      </c>
      <c r="BK126" s="546">
        <f t="shared" si="234"/>
        <v>4.3749999999999995E-3</v>
      </c>
      <c r="BL126" s="546">
        <f t="shared" si="235"/>
        <v>1.6547343750000002E-2</v>
      </c>
      <c r="BM126">
        <f t="shared" si="236"/>
        <v>4.3499999999999997E-3</v>
      </c>
      <c r="BO126" s="472">
        <f t="shared" si="237"/>
        <v>45.650040175267961</v>
      </c>
      <c r="BP126" s="546">
        <f t="shared" si="238"/>
        <v>2.4E-2</v>
      </c>
      <c r="BS126" s="472">
        <f t="shared" si="239"/>
        <v>24</v>
      </c>
      <c r="BT126" s="546">
        <f t="shared" si="240"/>
        <v>8.7191881746090545E-4</v>
      </c>
      <c r="BU126" s="546">
        <f t="shared" si="241"/>
        <v>4.9760006740249127E-3</v>
      </c>
      <c r="BV126" s="546">
        <f t="shared" si="242"/>
        <v>3.0205659453946881E-3</v>
      </c>
      <c r="BW126" s="546"/>
      <c r="BX126" s="546">
        <f t="shared" si="243"/>
        <v>9.5454545454545445E-3</v>
      </c>
      <c r="BY126" s="472">
        <f t="shared" si="244"/>
        <v>18.413939982335052</v>
      </c>
      <c r="BZ126" s="179">
        <f t="shared" si="245"/>
        <v>8.8063980157603E-2</v>
      </c>
      <c r="CA126" s="6">
        <f t="shared" si="246"/>
        <v>0.4</v>
      </c>
      <c r="CB126" s="179">
        <f t="shared" si="247"/>
        <v>0.81956468057903842</v>
      </c>
      <c r="CC126" s="6">
        <f t="shared" si="248"/>
        <v>81.956468057903848</v>
      </c>
      <c r="CF126" s="581">
        <f t="shared" si="249"/>
        <v>-50</v>
      </c>
      <c r="CG126">
        <f t="shared" si="250"/>
        <v>-50</v>
      </c>
    </row>
    <row r="127" spans="5:85" x14ac:dyDescent="0.2">
      <c r="E127" s="176">
        <v>17</v>
      </c>
      <c r="F127" s="223">
        <f t="shared" si="251"/>
        <v>8.5000000000000006E-2</v>
      </c>
      <c r="G127" s="223"/>
      <c r="H127" s="223">
        <f t="shared" si="198"/>
        <v>0.42500000000000004</v>
      </c>
      <c r="I127" s="559">
        <f t="shared" si="199"/>
        <v>15</v>
      </c>
      <c r="J127" s="454">
        <f t="shared" si="200"/>
        <v>15.75</v>
      </c>
      <c r="K127" s="454">
        <f t="shared" si="201"/>
        <v>30.75</v>
      </c>
      <c r="L127" s="454"/>
      <c r="M127" s="223">
        <f t="shared" si="202"/>
        <v>0.51219512195121952</v>
      </c>
      <c r="N127" s="178">
        <f t="shared" si="252"/>
        <v>2.592987804878049</v>
      </c>
      <c r="O127" s="178">
        <f t="shared" si="172"/>
        <v>0.42500000000000004</v>
      </c>
      <c r="P127" s="223">
        <f t="shared" si="203"/>
        <v>0.51859756097560983</v>
      </c>
      <c r="Q127" s="223">
        <f t="shared" si="204"/>
        <v>5</v>
      </c>
      <c r="R127" s="223"/>
      <c r="S127" s="178">
        <f t="shared" si="205"/>
        <v>54.581620594070024</v>
      </c>
      <c r="T127" s="178">
        <f t="shared" si="206"/>
        <v>5</v>
      </c>
      <c r="U127" s="223">
        <f t="shared" si="207"/>
        <v>0.12292768959435627</v>
      </c>
      <c r="V127" s="223">
        <f t="shared" si="208"/>
        <v>0.36058788947677839</v>
      </c>
      <c r="W127" s="223">
        <f t="shared" si="209"/>
        <v>0.34341703759693176</v>
      </c>
      <c r="X127" s="203">
        <f t="shared" si="210"/>
        <v>350</v>
      </c>
      <c r="Y127" s="454">
        <f t="shared" si="211"/>
        <v>350</v>
      </c>
      <c r="AA127" s="223">
        <f t="shared" si="212"/>
        <v>0.4988913525498892</v>
      </c>
      <c r="AB127" s="179">
        <f t="shared" si="213"/>
        <v>1.3937282229965158</v>
      </c>
      <c r="AC127" s="179">
        <f t="shared" si="214"/>
        <v>0.36504245308528482</v>
      </c>
      <c r="AD127" s="179"/>
      <c r="AE127" s="179">
        <f t="shared" si="215"/>
        <v>0.419047619047619</v>
      </c>
      <c r="AF127" s="563">
        <f t="shared" si="216"/>
        <v>901.51515151515173</v>
      </c>
      <c r="AG127" s="546">
        <f t="shared" si="217"/>
        <v>3.2999999999999995E-2</v>
      </c>
      <c r="AI127" s="179">
        <f t="shared" si="218"/>
        <v>0.24073750321573381</v>
      </c>
      <c r="AJ127" s="179">
        <f t="shared" si="219"/>
        <v>0.24073750321573381</v>
      </c>
      <c r="AK127" s="179">
        <f t="shared" si="220"/>
        <v>1.267212965344988</v>
      </c>
      <c r="AM127" s="563">
        <f t="shared" si="221"/>
        <v>85</v>
      </c>
      <c r="AN127" s="472">
        <f t="shared" si="222"/>
        <v>350</v>
      </c>
      <c r="AP127" s="472">
        <f t="shared" si="223"/>
        <v>85</v>
      </c>
      <c r="AQ127" s="472">
        <f t="shared" si="224"/>
        <v>350</v>
      </c>
      <c r="AS127" s="6">
        <f t="shared" si="174"/>
        <v>2.8571428571428572</v>
      </c>
      <c r="AT127" s="6">
        <f t="shared" si="225"/>
        <v>0.70616334276615245</v>
      </c>
      <c r="AU127" s="6">
        <f t="shared" si="226"/>
        <v>2.1509795143767048</v>
      </c>
      <c r="AV127" s="6"/>
      <c r="AW127" s="179">
        <f t="shared" si="227"/>
        <v>0.24715716996815335</v>
      </c>
      <c r="AX127" s="179">
        <f t="shared" si="148"/>
        <v>0.44624999999999998</v>
      </c>
      <c r="AY127" s="179">
        <f t="shared" si="149"/>
        <v>0.27185625482360071</v>
      </c>
      <c r="AZ127" s="179">
        <f t="shared" si="177"/>
        <v>1.6414924875999564</v>
      </c>
      <c r="BA127" s="472">
        <f t="shared" si="228"/>
        <v>28.298334324806667</v>
      </c>
      <c r="BB127" s="472">
        <f t="shared" si="229"/>
        <v>0.97722671394799088</v>
      </c>
      <c r="BC127" s="6">
        <f t="shared" si="253"/>
        <v>5.643001812408021E-2</v>
      </c>
      <c r="BD127" s="563">
        <f t="shared" si="231"/>
        <v>14.02753320741807</v>
      </c>
      <c r="BF127" s="179">
        <f t="shared" si="178"/>
        <v>6.9098676883946566E-2</v>
      </c>
      <c r="BG127" s="179">
        <f t="shared" si="154"/>
        <v>0.36178998333235796</v>
      </c>
      <c r="BI127" s="546">
        <f t="shared" si="232"/>
        <v>1.671119501489218E-3</v>
      </c>
      <c r="BJ127" s="546">
        <f t="shared" si="233"/>
        <v>1.943203033769501E-2</v>
      </c>
      <c r="BK127" s="546">
        <f t="shared" si="234"/>
        <v>4.3749999999999995E-3</v>
      </c>
      <c r="BL127" s="546">
        <f t="shared" si="235"/>
        <v>1.6547343750000002E-2</v>
      </c>
      <c r="BM127">
        <f t="shared" si="236"/>
        <v>4.3499999999999997E-3</v>
      </c>
      <c r="BO127" s="472">
        <f t="shared" si="237"/>
        <v>46.375493589184224</v>
      </c>
      <c r="BP127" s="546">
        <f t="shared" si="238"/>
        <v>2.5500000000000002E-2</v>
      </c>
      <c r="BS127" s="472">
        <f t="shared" si="239"/>
        <v>25.500000000000004</v>
      </c>
      <c r="BT127" s="546">
        <f t="shared" si="240"/>
        <v>9.5492542942241041E-4</v>
      </c>
      <c r="BU127" s="546">
        <f t="shared" si="241"/>
        <v>5.2356796815851139E-3</v>
      </c>
      <c r="BV127" s="546">
        <f t="shared" si="242"/>
        <v>3.2583632222738159E-3</v>
      </c>
      <c r="BW127" s="546"/>
      <c r="BX127" s="546">
        <f t="shared" si="243"/>
        <v>1.0142045454545456E-2</v>
      </c>
      <c r="BY127" s="472">
        <f t="shared" si="244"/>
        <v>19.591013787826796</v>
      </c>
      <c r="BZ127" s="179">
        <f t="shared" si="245"/>
        <v>9.1466507377011022E-2</v>
      </c>
      <c r="CA127" s="6">
        <f t="shared" si="246"/>
        <v>0.42500000000000004</v>
      </c>
      <c r="CB127" s="179">
        <f t="shared" si="247"/>
        <v>0.82289944058222897</v>
      </c>
      <c r="CC127" s="6">
        <f t="shared" si="248"/>
        <v>82.2899440582229</v>
      </c>
      <c r="CF127" s="581">
        <f t="shared" si="249"/>
        <v>-50</v>
      </c>
      <c r="CG127">
        <f t="shared" si="250"/>
        <v>-50</v>
      </c>
    </row>
    <row r="128" spans="5:85" x14ac:dyDescent="0.2">
      <c r="E128" s="176">
        <v>18</v>
      </c>
      <c r="F128" s="223">
        <f t="shared" si="251"/>
        <v>0.09</v>
      </c>
      <c r="G128" s="223"/>
      <c r="H128" s="223">
        <f t="shared" si="198"/>
        <v>0.44999999999999996</v>
      </c>
      <c r="I128" s="559">
        <f t="shared" si="199"/>
        <v>15</v>
      </c>
      <c r="J128" s="454">
        <f t="shared" si="200"/>
        <v>15.75</v>
      </c>
      <c r="K128" s="454">
        <f t="shared" si="201"/>
        <v>30.75</v>
      </c>
      <c r="L128" s="454"/>
      <c r="M128" s="223">
        <f t="shared" si="202"/>
        <v>0.51219512195121952</v>
      </c>
      <c r="N128" s="178">
        <f t="shared" si="252"/>
        <v>2.592987804878049</v>
      </c>
      <c r="O128" s="178">
        <f t="shared" si="172"/>
        <v>0.44999999999999996</v>
      </c>
      <c r="P128" s="223">
        <f t="shared" si="203"/>
        <v>0.51859756097560983</v>
      </c>
      <c r="Q128" s="223">
        <f t="shared" si="204"/>
        <v>5</v>
      </c>
      <c r="R128" s="223"/>
      <c r="S128" s="178">
        <f t="shared" si="205"/>
        <v>51.274260416159372</v>
      </c>
      <c r="T128" s="178">
        <f t="shared" si="206"/>
        <v>5</v>
      </c>
      <c r="U128" s="223">
        <f t="shared" si="207"/>
        <v>0.13015873015873014</v>
      </c>
      <c r="V128" s="223">
        <f t="shared" si="208"/>
        <v>0.38179894179894169</v>
      </c>
      <c r="W128" s="223">
        <f t="shared" si="209"/>
        <v>0.36361803980851592</v>
      </c>
      <c r="X128" s="203">
        <f t="shared" si="210"/>
        <v>350</v>
      </c>
      <c r="Y128" s="454">
        <f t="shared" si="211"/>
        <v>350</v>
      </c>
      <c r="AA128" s="223">
        <f t="shared" si="212"/>
        <v>0.4988913525498892</v>
      </c>
      <c r="AB128" s="179">
        <f t="shared" si="213"/>
        <v>1.3937282229965158</v>
      </c>
      <c r="AC128" s="179">
        <f t="shared" si="214"/>
        <v>0.36504245308528482</v>
      </c>
      <c r="AD128" s="179"/>
      <c r="AE128" s="179">
        <f t="shared" si="215"/>
        <v>0.419047619047619</v>
      </c>
      <c r="AF128" s="563">
        <f t="shared" si="216"/>
        <v>954.54545454545473</v>
      </c>
      <c r="AG128" s="546">
        <f t="shared" si="217"/>
        <v>3.2999999999999995E-2</v>
      </c>
      <c r="AI128" s="179">
        <f t="shared" si="218"/>
        <v>0.24771684715343112</v>
      </c>
      <c r="AJ128" s="179">
        <f t="shared" si="219"/>
        <v>0.24771684715343112</v>
      </c>
      <c r="AK128" s="179">
        <f t="shared" si="220"/>
        <v>1.2723828497432823</v>
      </c>
      <c r="AM128" s="563">
        <f t="shared" si="221"/>
        <v>90</v>
      </c>
      <c r="AN128" s="472">
        <f t="shared" si="222"/>
        <v>350</v>
      </c>
      <c r="AP128" s="472">
        <f t="shared" si="223"/>
        <v>90</v>
      </c>
      <c r="AQ128" s="472">
        <f t="shared" si="224"/>
        <v>350</v>
      </c>
      <c r="AS128" s="6">
        <f t="shared" si="174"/>
        <v>2.8571428571428572</v>
      </c>
      <c r="AT128" s="6">
        <f t="shared" si="225"/>
        <v>0.72663608498339793</v>
      </c>
      <c r="AU128" s="6">
        <f t="shared" si="226"/>
        <v>2.1305067721594595</v>
      </c>
      <c r="AV128" s="6"/>
      <c r="AW128" s="179">
        <f t="shared" si="227"/>
        <v>0.25432262974418929</v>
      </c>
      <c r="AX128" s="179">
        <f t="shared" si="148"/>
        <v>0.47249999999999992</v>
      </c>
      <c r="AY128" s="179">
        <f t="shared" si="149"/>
        <v>0.27707527073014671</v>
      </c>
      <c r="AZ128" s="179">
        <f t="shared" si="177"/>
        <v>1.705312779285107</v>
      </c>
      <c r="BA128" s="472">
        <f t="shared" si="228"/>
        <v>28.298334324806667</v>
      </c>
      <c r="BB128" s="472">
        <f t="shared" si="229"/>
        <v>1.0796936170212765</v>
      </c>
      <c r="BC128" s="6">
        <f t="shared" si="253"/>
        <v>5.9180743671096089E-2</v>
      </c>
      <c r="BD128" s="563">
        <f t="shared" si="231"/>
        <v>14.794144526326754</v>
      </c>
      <c r="BF128" s="179">
        <f t="shared" si="178"/>
        <v>7.212526457644404E-2</v>
      </c>
      <c r="BG128" s="179">
        <f t="shared" si="154"/>
        <v>0.3705029351825847</v>
      </c>
      <c r="BI128" s="546">
        <f t="shared" si="232"/>
        <v>1.8207188265777186E-3</v>
      </c>
      <c r="BJ128" s="546">
        <f t="shared" si="233"/>
        <v>1.9995394256166015E-2</v>
      </c>
      <c r="BK128" s="546">
        <f t="shared" si="234"/>
        <v>4.3749999999999995E-3</v>
      </c>
      <c r="BL128" s="546">
        <f t="shared" si="235"/>
        <v>1.6547343750000002E-2</v>
      </c>
      <c r="BM128">
        <f t="shared" si="236"/>
        <v>4.3499999999999997E-3</v>
      </c>
      <c r="BO128" s="472">
        <f t="shared" si="237"/>
        <v>47.088456832743738</v>
      </c>
      <c r="BP128" s="546">
        <f t="shared" si="238"/>
        <v>2.7E-2</v>
      </c>
      <c r="BS128" s="472">
        <f t="shared" si="239"/>
        <v>27</v>
      </c>
      <c r="BT128" s="546">
        <f t="shared" si="240"/>
        <v>1.0404107580444107E-3</v>
      </c>
      <c r="BU128" s="546">
        <f t="shared" si="241"/>
        <v>5.4908969991564228E-3</v>
      </c>
      <c r="BV128" s="546">
        <f t="shared" si="242"/>
        <v>3.4996851508099051E-3</v>
      </c>
      <c r="BW128" s="546"/>
      <c r="BX128" s="546">
        <f t="shared" si="243"/>
        <v>1.0738636363636363E-2</v>
      </c>
      <c r="BY128" s="472">
        <f t="shared" si="244"/>
        <v>20.769629271647101</v>
      </c>
      <c r="BZ128" s="179">
        <f t="shared" si="245"/>
        <v>9.4858086104390837E-2</v>
      </c>
      <c r="CA128" s="6">
        <f t="shared" si="246"/>
        <v>0.44999999999999996</v>
      </c>
      <c r="CB128" s="179">
        <f t="shared" si="247"/>
        <v>0.82590313235028923</v>
      </c>
      <c r="CC128" s="6">
        <f t="shared" si="248"/>
        <v>82.59031323502893</v>
      </c>
      <c r="CF128" s="581">
        <f t="shared" si="249"/>
        <v>-50</v>
      </c>
      <c r="CG128">
        <f t="shared" si="250"/>
        <v>-50</v>
      </c>
    </row>
    <row r="129" spans="5:85" x14ac:dyDescent="0.2">
      <c r="E129" s="176">
        <v>19</v>
      </c>
      <c r="F129" s="223">
        <f t="shared" si="251"/>
        <v>9.5000000000000001E-2</v>
      </c>
      <c r="G129" s="223"/>
      <c r="H129" s="223">
        <f t="shared" si="198"/>
        <v>0.47499999999999998</v>
      </c>
      <c r="I129" s="559">
        <f t="shared" si="199"/>
        <v>15</v>
      </c>
      <c r="J129" s="454">
        <f t="shared" si="200"/>
        <v>15.75</v>
      </c>
      <c r="K129" s="454">
        <f t="shared" si="201"/>
        <v>30.75</v>
      </c>
      <c r="L129" s="454"/>
      <c r="M129" s="223">
        <f t="shared" si="202"/>
        <v>0.51219512195121952</v>
      </c>
      <c r="N129" s="178">
        <f t="shared" si="252"/>
        <v>2.592987804878049</v>
      </c>
      <c r="O129" s="178">
        <f t="shared" si="172"/>
        <v>0.47499999999999998</v>
      </c>
      <c r="P129" s="223">
        <f t="shared" si="203"/>
        <v>0.51859756097560983</v>
      </c>
      <c r="Q129" s="223">
        <f t="shared" si="204"/>
        <v>5</v>
      </c>
      <c r="R129" s="223"/>
      <c r="S129" s="178">
        <f t="shared" si="205"/>
        <v>48.315212272420297</v>
      </c>
      <c r="T129" s="178">
        <f t="shared" si="206"/>
        <v>5</v>
      </c>
      <c r="U129" s="223">
        <f t="shared" si="207"/>
        <v>0.13738977072310404</v>
      </c>
      <c r="V129" s="223">
        <f t="shared" si="208"/>
        <v>0.40300999412110522</v>
      </c>
      <c r="W129" s="223">
        <f t="shared" si="209"/>
        <v>0.3838190420201002</v>
      </c>
      <c r="X129" s="203">
        <f t="shared" si="210"/>
        <v>350</v>
      </c>
      <c r="Y129" s="454">
        <f t="shared" si="211"/>
        <v>350</v>
      </c>
      <c r="AA129" s="223">
        <f t="shared" si="212"/>
        <v>0.4988913525498892</v>
      </c>
      <c r="AB129" s="179">
        <f t="shared" si="213"/>
        <v>1.3937282229965158</v>
      </c>
      <c r="AC129" s="179">
        <f t="shared" si="214"/>
        <v>0.36504245308528482</v>
      </c>
      <c r="AD129" s="179"/>
      <c r="AE129" s="179">
        <f t="shared" si="215"/>
        <v>0.419047619047619</v>
      </c>
      <c r="AF129" s="563">
        <f t="shared" si="216"/>
        <v>1007.5757575757578</v>
      </c>
      <c r="AG129" s="546">
        <f t="shared" si="217"/>
        <v>3.2999999999999995E-2</v>
      </c>
      <c r="AI129" s="179">
        <f t="shared" si="218"/>
        <v>0.25450486689398943</v>
      </c>
      <c r="AJ129" s="179">
        <f t="shared" si="219"/>
        <v>0.25450486689398943</v>
      </c>
      <c r="AK129" s="179">
        <f t="shared" si="220"/>
        <v>1.2774110125140663</v>
      </c>
      <c r="AM129" s="563">
        <f t="shared" si="221"/>
        <v>95</v>
      </c>
      <c r="AN129" s="472">
        <f t="shared" si="222"/>
        <v>350</v>
      </c>
      <c r="AP129" s="472">
        <f t="shared" si="223"/>
        <v>95</v>
      </c>
      <c r="AQ129" s="472">
        <f t="shared" si="224"/>
        <v>350</v>
      </c>
      <c r="AS129" s="6">
        <f t="shared" si="174"/>
        <v>2.8571428571428572</v>
      </c>
      <c r="AT129" s="6">
        <f t="shared" si="225"/>
        <v>0.74654760955570232</v>
      </c>
      <c r="AU129" s="6">
        <f t="shared" si="226"/>
        <v>2.1105952475871548</v>
      </c>
      <c r="AV129" s="6"/>
      <c r="AW129" s="179">
        <f t="shared" si="227"/>
        <v>0.26129166334449583</v>
      </c>
      <c r="AX129" s="179">
        <f t="shared" si="148"/>
        <v>0.49874999999999997</v>
      </c>
      <c r="AY129" s="179">
        <f t="shared" si="149"/>
        <v>0.28200730034098415</v>
      </c>
      <c r="AZ129" s="179">
        <f t="shared" si="177"/>
        <v>1.7685712369748769</v>
      </c>
      <c r="BA129" s="472">
        <f t="shared" si="228"/>
        <v>28.298334324806667</v>
      </c>
      <c r="BB129" s="472">
        <f t="shared" si="229"/>
        <v>1.1871586288416076</v>
      </c>
      <c r="BC129" s="6">
        <f t="shared" si="253"/>
        <v>6.188473719777151E-2</v>
      </c>
      <c r="BD129" s="563">
        <f t="shared" si="231"/>
        <v>15.555684873179167</v>
      </c>
      <c r="BF129" s="179">
        <f t="shared" si="178"/>
        <v>7.5110082874960488E-2</v>
      </c>
      <c r="BG129" s="179">
        <f t="shared" si="154"/>
        <v>0.37887261826744745</v>
      </c>
      <c r="BI129" s="546">
        <f t="shared" si="232"/>
        <v>1.9745335923192016E-3</v>
      </c>
      <c r="BJ129" s="546">
        <f t="shared" si="233"/>
        <v>2.0543314724599211E-2</v>
      </c>
      <c r="BK129" s="546">
        <f t="shared" si="234"/>
        <v>4.3749999999999995E-3</v>
      </c>
      <c r="BL129" s="546">
        <f t="shared" si="235"/>
        <v>1.6547343750000002E-2</v>
      </c>
      <c r="BM129">
        <f t="shared" si="236"/>
        <v>4.3499999999999997E-3</v>
      </c>
      <c r="BO129" s="472">
        <f t="shared" si="237"/>
        <v>47.790192066918415</v>
      </c>
      <c r="BP129" s="546">
        <f t="shared" si="238"/>
        <v>2.8499999999999998E-2</v>
      </c>
      <c r="BS129" s="472">
        <f t="shared" si="239"/>
        <v>28.499999999999996</v>
      </c>
      <c r="BT129" s="546">
        <f t="shared" si="240"/>
        <v>1.1283049098966865E-3</v>
      </c>
      <c r="BU129" s="546">
        <f t="shared" si="241"/>
        <v>5.7417784349132386E-3</v>
      </c>
      <c r="BV129" s="546">
        <f t="shared" si="242"/>
        <v>3.7443836879685853E-3</v>
      </c>
      <c r="BW129" s="546"/>
      <c r="BX129" s="546">
        <f t="shared" si="243"/>
        <v>1.1335227272727273E-2</v>
      </c>
      <c r="BY129" s="472">
        <f t="shared" si="244"/>
        <v>21.949694305505787</v>
      </c>
      <c r="BZ129" s="179">
        <f t="shared" si="245"/>
        <v>9.8239886372424201E-2</v>
      </c>
      <c r="CA129" s="6">
        <f t="shared" si="246"/>
        <v>0.47499999999999998</v>
      </c>
      <c r="CB129" s="179">
        <f t="shared" si="247"/>
        <v>0.82862342850197379</v>
      </c>
      <c r="CC129" s="6">
        <f t="shared" si="248"/>
        <v>82.862342850197379</v>
      </c>
      <c r="CF129" s="581">
        <f t="shared" si="249"/>
        <v>-50</v>
      </c>
      <c r="CG129">
        <f t="shared" si="250"/>
        <v>-50</v>
      </c>
    </row>
    <row r="130" spans="5:85" x14ac:dyDescent="0.2">
      <c r="E130" s="176">
        <v>20</v>
      </c>
      <c r="F130" s="223">
        <f t="shared" si="251"/>
        <v>0.1</v>
      </c>
      <c r="G130" s="223"/>
      <c r="H130" s="223">
        <f t="shared" si="198"/>
        <v>0.5</v>
      </c>
      <c r="I130" s="559">
        <f t="shared" si="199"/>
        <v>15</v>
      </c>
      <c r="J130" s="454">
        <f t="shared" si="200"/>
        <v>15.75</v>
      </c>
      <c r="K130" s="454">
        <f t="shared" si="201"/>
        <v>30.75</v>
      </c>
      <c r="L130" s="454"/>
      <c r="M130" s="223">
        <f t="shared" si="202"/>
        <v>0.51219512195121952</v>
      </c>
      <c r="N130" s="178">
        <f t="shared" si="252"/>
        <v>2.592987804878049</v>
      </c>
      <c r="O130" s="178">
        <f t="shared" si="172"/>
        <v>0.5</v>
      </c>
      <c r="P130" s="223">
        <f t="shared" si="203"/>
        <v>0.51859756097560983</v>
      </c>
      <c r="Q130" s="223">
        <f t="shared" si="204"/>
        <v>5</v>
      </c>
      <c r="R130" s="223"/>
      <c r="S130" s="178">
        <f t="shared" si="205"/>
        <v>45.652231791379577</v>
      </c>
      <c r="T130" s="178">
        <f t="shared" si="206"/>
        <v>5</v>
      </c>
      <c r="U130" s="223">
        <f t="shared" si="207"/>
        <v>0.14462081128747795</v>
      </c>
      <c r="V130" s="223">
        <f t="shared" si="208"/>
        <v>0.42422104644326863</v>
      </c>
      <c r="W130" s="223">
        <f t="shared" si="209"/>
        <v>0.40402004423168442</v>
      </c>
      <c r="X130" s="203">
        <f t="shared" si="210"/>
        <v>350</v>
      </c>
      <c r="Y130" s="454">
        <f t="shared" si="211"/>
        <v>350</v>
      </c>
      <c r="AA130" s="223">
        <f t="shared" si="212"/>
        <v>0.4988913525498892</v>
      </c>
      <c r="AB130" s="179">
        <f t="shared" si="213"/>
        <v>1.3937282229965158</v>
      </c>
      <c r="AC130" s="179">
        <f t="shared" si="214"/>
        <v>0.36504245308528482</v>
      </c>
      <c r="AD130" s="179"/>
      <c r="AE130" s="179">
        <f t="shared" si="215"/>
        <v>0.419047619047619</v>
      </c>
      <c r="AF130" s="563">
        <f t="shared" si="216"/>
        <v>1060.6060606060607</v>
      </c>
      <c r="AG130" s="546">
        <f t="shared" si="217"/>
        <v>3.2999999999999995E-2</v>
      </c>
      <c r="AI130" s="179">
        <f t="shared" si="218"/>
        <v>0.26111648393354675</v>
      </c>
      <c r="AJ130" s="179">
        <f t="shared" si="219"/>
        <v>0.26111648393354675</v>
      </c>
      <c r="AK130" s="179">
        <f t="shared" si="220"/>
        <v>1.282308506617442</v>
      </c>
      <c r="AM130" s="563">
        <f t="shared" si="221"/>
        <v>100</v>
      </c>
      <c r="AN130" s="472">
        <f t="shared" si="222"/>
        <v>350</v>
      </c>
      <c r="AP130" s="472">
        <f t="shared" si="223"/>
        <v>100</v>
      </c>
      <c r="AQ130" s="472">
        <f t="shared" si="224"/>
        <v>350</v>
      </c>
      <c r="AS130" s="6">
        <f t="shared" si="174"/>
        <v>2.8571428571428572</v>
      </c>
      <c r="AT130" s="6">
        <f t="shared" si="225"/>
        <v>0.7659416862050703</v>
      </c>
      <c r="AU130" s="6">
        <f t="shared" si="226"/>
        <v>2.0912011709377869</v>
      </c>
      <c r="AV130" s="6"/>
      <c r="AW130" s="179">
        <f t="shared" si="227"/>
        <v>0.26807959017177457</v>
      </c>
      <c r="AX130" s="179">
        <f t="shared" si="148"/>
        <v>0.52500000000000002</v>
      </c>
      <c r="AY130" s="179">
        <f t="shared" si="149"/>
        <v>0.28667472590032023</v>
      </c>
      <c r="AZ130" s="179">
        <f t="shared" si="177"/>
        <v>1.8313438631578145</v>
      </c>
      <c r="BA130" s="472">
        <f t="shared" si="228"/>
        <v>28.298334324806667</v>
      </c>
      <c r="BB130" s="472">
        <f t="shared" si="229"/>
        <v>1.2996217494089839</v>
      </c>
      <c r="BC130" s="6">
        <f t="shared" si="253"/>
        <v>6.454324601659836E-2</v>
      </c>
      <c r="BD130" s="563">
        <f t="shared" si="231"/>
        <v>16.312273235980271</v>
      </c>
      <c r="BF130" s="179">
        <f t="shared" si="178"/>
        <v>7.8055864343746922E-2</v>
      </c>
      <c r="BG130" s="179">
        <f t="shared" si="154"/>
        <v>0.38692504819332874</v>
      </c>
      <c r="BI130" s="546">
        <f t="shared" si="232"/>
        <v>2.1324512854572976E-3</v>
      </c>
      <c r="BJ130" s="546">
        <f t="shared" si="233"/>
        <v>2.1076996187510973E-2</v>
      </c>
      <c r="BK130" s="546">
        <f t="shared" si="234"/>
        <v>4.3749999999999995E-3</v>
      </c>
      <c r="BL130" s="546">
        <f t="shared" si="235"/>
        <v>1.6547343750000002E-2</v>
      </c>
      <c r="BM130">
        <f t="shared" si="236"/>
        <v>4.3499999999999997E-3</v>
      </c>
      <c r="BO130" s="472">
        <f t="shared" si="237"/>
        <v>48.481791222968269</v>
      </c>
      <c r="BP130" s="546">
        <f t="shared" si="238"/>
        <v>0.03</v>
      </c>
      <c r="BS130" s="472">
        <f t="shared" si="239"/>
        <v>30</v>
      </c>
      <c r="BT130" s="546">
        <f t="shared" si="240"/>
        <v>1.2185435916898845E-3</v>
      </c>
      <c r="BU130" s="546">
        <f t="shared" si="241"/>
        <v>5.9884397167763908E-3</v>
      </c>
      <c r="BV130" s="546">
        <f t="shared" si="242"/>
        <v>3.9923245374844036E-3</v>
      </c>
      <c r="BW130" s="546"/>
      <c r="BX130" s="546">
        <f t="shared" si="243"/>
        <v>1.1931818181818182E-2</v>
      </c>
      <c r="BY130" s="472">
        <f t="shared" si="244"/>
        <v>23.131126027768861</v>
      </c>
      <c r="BZ130" s="179">
        <f t="shared" si="245"/>
        <v>0.10161291725073714</v>
      </c>
      <c r="CA130" s="6">
        <f t="shared" si="246"/>
        <v>0.5</v>
      </c>
      <c r="CB130" s="179">
        <f t="shared" si="247"/>
        <v>0.83109917633569119</v>
      </c>
      <c r="CC130" s="6">
        <f t="shared" si="248"/>
        <v>83.109917633569125</v>
      </c>
      <c r="CF130" s="581">
        <f t="shared" si="249"/>
        <v>-50</v>
      </c>
      <c r="CG130">
        <f t="shared" si="250"/>
        <v>-50</v>
      </c>
    </row>
    <row r="131" spans="5:85" x14ac:dyDescent="0.2">
      <c r="E131" s="176">
        <v>21</v>
      </c>
      <c r="F131" s="223">
        <f t="shared" si="251"/>
        <v>0.105</v>
      </c>
      <c r="G131" s="223"/>
      <c r="H131" s="223">
        <f t="shared" si="198"/>
        <v>0.52500000000000002</v>
      </c>
      <c r="I131" s="559">
        <f t="shared" si="199"/>
        <v>15</v>
      </c>
      <c r="J131" s="454">
        <f t="shared" si="200"/>
        <v>15.75</v>
      </c>
      <c r="K131" s="454">
        <f t="shared" si="201"/>
        <v>30.75</v>
      </c>
      <c r="L131" s="454"/>
      <c r="M131" s="223">
        <f t="shared" si="202"/>
        <v>0.51219512195121952</v>
      </c>
      <c r="N131" s="178">
        <f t="shared" si="252"/>
        <v>2.592987804878049</v>
      </c>
      <c r="O131" s="178">
        <f t="shared" si="172"/>
        <v>0.52500000000000002</v>
      </c>
      <c r="P131" s="223">
        <f t="shared" si="203"/>
        <v>0.51859756097560983</v>
      </c>
      <c r="Q131" s="223">
        <f t="shared" si="204"/>
        <v>5</v>
      </c>
      <c r="R131" s="223"/>
      <c r="S131" s="178">
        <f t="shared" si="205"/>
        <v>43.243025954188013</v>
      </c>
      <c r="T131" s="178">
        <f t="shared" si="206"/>
        <v>5</v>
      </c>
      <c r="U131" s="223">
        <f t="shared" si="207"/>
        <v>0.15185185185185185</v>
      </c>
      <c r="V131" s="223">
        <f t="shared" si="208"/>
        <v>0.44543209876543205</v>
      </c>
      <c r="W131" s="223">
        <f t="shared" si="209"/>
        <v>0.42422104644326863</v>
      </c>
      <c r="X131" s="203">
        <f t="shared" si="210"/>
        <v>350</v>
      </c>
      <c r="Y131" s="454">
        <f t="shared" si="211"/>
        <v>350</v>
      </c>
      <c r="AA131" s="223">
        <f t="shared" si="212"/>
        <v>0.4988913525498892</v>
      </c>
      <c r="AB131" s="179">
        <f t="shared" si="213"/>
        <v>1.3937282229965158</v>
      </c>
      <c r="AC131" s="179">
        <f t="shared" si="214"/>
        <v>0.36504245308528482</v>
      </c>
      <c r="AD131" s="179"/>
      <c r="AE131" s="179">
        <f t="shared" si="215"/>
        <v>0.419047619047619</v>
      </c>
      <c r="AF131" s="563">
        <f t="shared" si="216"/>
        <v>1113.6363636363637</v>
      </c>
      <c r="AG131" s="546">
        <f t="shared" si="217"/>
        <v>3.2999999999999995E-2</v>
      </c>
      <c r="AI131" s="179">
        <f t="shared" si="218"/>
        <v>0.26756477550475338</v>
      </c>
      <c r="AJ131" s="179">
        <f t="shared" si="219"/>
        <v>0.26756477550475338</v>
      </c>
      <c r="AK131" s="179">
        <f t="shared" si="220"/>
        <v>1.2870850188924099</v>
      </c>
      <c r="AM131" s="563">
        <f t="shared" si="221"/>
        <v>105</v>
      </c>
      <c r="AN131" s="472">
        <f t="shared" si="222"/>
        <v>350</v>
      </c>
      <c r="AP131" s="472">
        <f t="shared" si="223"/>
        <v>105</v>
      </c>
      <c r="AQ131" s="472">
        <f t="shared" si="224"/>
        <v>350</v>
      </c>
      <c r="AS131" s="6">
        <f t="shared" si="174"/>
        <v>2.8571428571428572</v>
      </c>
      <c r="AT131" s="6">
        <f t="shared" si="225"/>
        <v>0.78485667481394328</v>
      </c>
      <c r="AU131" s="6">
        <f t="shared" si="226"/>
        <v>2.0722861823289138</v>
      </c>
      <c r="AV131" s="6"/>
      <c r="AW131" s="179">
        <f t="shared" si="227"/>
        <v>0.27469983618488014</v>
      </c>
      <c r="AX131" s="179">
        <f t="shared" si="148"/>
        <v>0.55124999999999991</v>
      </c>
      <c r="AY131" s="179">
        <f t="shared" si="149"/>
        <v>0.29109716325713009</v>
      </c>
      <c r="AZ131" s="179">
        <f t="shared" si="177"/>
        <v>1.89369760196898</v>
      </c>
      <c r="BA131" s="472">
        <f t="shared" si="228"/>
        <v>28.298334324806667</v>
      </c>
      <c r="BB131" s="472">
        <f t="shared" si="229"/>
        <v>1.4170829787234043</v>
      </c>
      <c r="BC131" s="6">
        <f t="shared" si="253"/>
        <v>6.7157422575474052E-2</v>
      </c>
      <c r="BD131" s="563">
        <f t="shared" si="231"/>
        <v>17.064020155712825</v>
      </c>
      <c r="BF131" s="179">
        <f t="shared" si="178"/>
        <v>8.0965035662725768E-2</v>
      </c>
      <c r="BG131" s="179">
        <f t="shared" si="154"/>
        <v>0.39468303013168571</v>
      </c>
      <c r="BI131" s="546">
        <f t="shared" si="232"/>
        <v>2.2943679499532591E-3</v>
      </c>
      <c r="BJ131" s="546">
        <f t="shared" si="233"/>
        <v>2.1597494222774311E-2</v>
      </c>
      <c r="BK131" s="546">
        <f t="shared" si="234"/>
        <v>4.3749999999999995E-3</v>
      </c>
      <c r="BL131" s="546">
        <f t="shared" si="235"/>
        <v>1.6547343750000002E-2</v>
      </c>
      <c r="BM131">
        <f t="shared" si="236"/>
        <v>4.3499999999999997E-3</v>
      </c>
      <c r="BO131" s="472">
        <f t="shared" si="237"/>
        <v>49.164205922727568</v>
      </c>
      <c r="BP131" s="546">
        <f t="shared" si="238"/>
        <v>3.15E-2</v>
      </c>
      <c r="BS131" s="472">
        <f t="shared" si="239"/>
        <v>31.5</v>
      </c>
      <c r="BT131" s="546">
        <f t="shared" si="240"/>
        <v>1.3110673999732912E-3</v>
      </c>
      <c r="BU131" s="546">
        <f t="shared" si="241"/>
        <v>6.2309877709571648E-3</v>
      </c>
      <c r="BV131" s="546">
        <f t="shared" si="242"/>
        <v>4.2433852441314777E-3</v>
      </c>
      <c r="BW131" s="546"/>
      <c r="BX131" s="546">
        <f t="shared" si="243"/>
        <v>1.2528409090909092E-2</v>
      </c>
      <c r="BY131" s="472">
        <f t="shared" si="244"/>
        <v>24.313849505971028</v>
      </c>
      <c r="BZ131" s="179">
        <f t="shared" si="245"/>
        <v>0.10497805542869861</v>
      </c>
      <c r="CA131" s="6">
        <f t="shared" si="246"/>
        <v>0.52500000000000002</v>
      </c>
      <c r="CB131" s="179">
        <f t="shared" si="247"/>
        <v>0.8333623615551794</v>
      </c>
      <c r="CC131" s="6">
        <f t="shared" si="248"/>
        <v>83.336236155517938</v>
      </c>
      <c r="CF131" s="581">
        <f t="shared" si="249"/>
        <v>-50</v>
      </c>
      <c r="CG131">
        <f t="shared" si="250"/>
        <v>-50</v>
      </c>
    </row>
    <row r="132" spans="5:85" x14ac:dyDescent="0.2">
      <c r="E132" s="176">
        <v>22</v>
      </c>
      <c r="F132" s="223">
        <f t="shared" si="251"/>
        <v>0.11</v>
      </c>
      <c r="G132" s="223"/>
      <c r="H132" s="223">
        <f t="shared" si="198"/>
        <v>0.55000000000000004</v>
      </c>
      <c r="I132" s="559">
        <f t="shared" si="199"/>
        <v>15</v>
      </c>
      <c r="J132" s="454">
        <f t="shared" si="200"/>
        <v>15.75</v>
      </c>
      <c r="K132" s="454">
        <f t="shared" si="201"/>
        <v>30.75</v>
      </c>
      <c r="L132" s="454"/>
      <c r="M132" s="223">
        <f t="shared" si="202"/>
        <v>0.51219512195121952</v>
      </c>
      <c r="N132" s="178">
        <f t="shared" si="252"/>
        <v>2.592987804878049</v>
      </c>
      <c r="O132" s="178">
        <f t="shared" si="172"/>
        <v>0.55000000000000004</v>
      </c>
      <c r="P132" s="223">
        <f t="shared" si="203"/>
        <v>0.51859756097560983</v>
      </c>
      <c r="Q132" s="223">
        <f t="shared" si="204"/>
        <v>5</v>
      </c>
      <c r="R132" s="223"/>
      <c r="S132" s="178">
        <f t="shared" si="205"/>
        <v>41.052991424472452</v>
      </c>
      <c r="T132" s="178">
        <f t="shared" si="206"/>
        <v>5</v>
      </c>
      <c r="U132" s="223">
        <f t="shared" si="207"/>
        <v>0.15908289241622575</v>
      </c>
      <c r="V132" s="223">
        <f t="shared" si="208"/>
        <v>0.46664315108759552</v>
      </c>
      <c r="W132" s="223">
        <f t="shared" si="209"/>
        <v>0.44442204865485291</v>
      </c>
      <c r="X132" s="203">
        <f t="shared" si="210"/>
        <v>350</v>
      </c>
      <c r="Y132" s="454">
        <f t="shared" si="211"/>
        <v>350</v>
      </c>
      <c r="AA132" s="223">
        <f t="shared" si="212"/>
        <v>0.4988913525498892</v>
      </c>
      <c r="AB132" s="179">
        <f t="shared" si="213"/>
        <v>1.3937282229965158</v>
      </c>
      <c r="AC132" s="179">
        <f t="shared" si="214"/>
        <v>0.36504245308528482</v>
      </c>
      <c r="AD132" s="179"/>
      <c r="AE132" s="179">
        <f t="shared" si="215"/>
        <v>0.419047619047619</v>
      </c>
      <c r="AF132" s="563">
        <f t="shared" si="216"/>
        <v>1166.666666666667</v>
      </c>
      <c r="AG132" s="546">
        <f t="shared" si="217"/>
        <v>3.2999999999999995E-2</v>
      </c>
      <c r="AI132" s="179">
        <f t="shared" si="218"/>
        <v>0.27386127875258304</v>
      </c>
      <c r="AJ132" s="179">
        <f t="shared" si="219"/>
        <v>0.27386127875258304</v>
      </c>
      <c r="AK132" s="179">
        <f t="shared" si="220"/>
        <v>1.2917490953722837</v>
      </c>
      <c r="AM132" s="563">
        <f t="shared" si="221"/>
        <v>110</v>
      </c>
      <c r="AN132" s="472">
        <f t="shared" si="222"/>
        <v>350</v>
      </c>
      <c r="AP132" s="472">
        <f t="shared" si="223"/>
        <v>110</v>
      </c>
      <c r="AQ132" s="472">
        <f t="shared" si="224"/>
        <v>350</v>
      </c>
      <c r="AS132" s="6">
        <f t="shared" si="174"/>
        <v>2.8571428571428572</v>
      </c>
      <c r="AT132" s="6">
        <f t="shared" si="225"/>
        <v>0.80332641767424362</v>
      </c>
      <c r="AU132" s="6">
        <f t="shared" si="226"/>
        <v>2.0538164394686138</v>
      </c>
      <c r="AV132" s="6"/>
      <c r="AW132" s="179">
        <f t="shared" si="227"/>
        <v>0.28116424618598523</v>
      </c>
      <c r="AX132" s="179">
        <f t="shared" si="148"/>
        <v>0.5774999999999999</v>
      </c>
      <c r="AY132" s="179">
        <f t="shared" si="149"/>
        <v>0.29529191812887456</v>
      </c>
      <c r="AZ132" s="179">
        <f t="shared" si="177"/>
        <v>1.9556918579395761</v>
      </c>
      <c r="BA132" s="472">
        <f t="shared" si="228"/>
        <v>28.298334324806667</v>
      </c>
      <c r="BB132" s="472">
        <f t="shared" si="229"/>
        <v>1.5395423167848701</v>
      </c>
      <c r="BC132" s="6">
        <f t="shared" si="253"/>
        <v>6.9728335907885033E-2</v>
      </c>
      <c r="BD132" s="563">
        <f t="shared" si="231"/>
        <v>17.811028696491427</v>
      </c>
      <c r="BF132" s="179">
        <f t="shared" si="178"/>
        <v>8.3839764757838095E-2</v>
      </c>
      <c r="BG132" s="179">
        <f t="shared" si="154"/>
        <v>0.40216668759129376</v>
      </c>
      <c r="BI132" s="546">
        <f t="shared" si="232"/>
        <v>2.4601871541273706E-3</v>
      </c>
      <c r="BJ132" s="546">
        <f t="shared" si="233"/>
        <v>2.2105740094310065E-2</v>
      </c>
      <c r="BK132" s="546">
        <f t="shared" si="234"/>
        <v>4.3749999999999995E-3</v>
      </c>
      <c r="BL132" s="546">
        <f t="shared" si="235"/>
        <v>1.6547343750000002E-2</v>
      </c>
      <c r="BM132">
        <f t="shared" si="236"/>
        <v>4.3499999999999997E-3</v>
      </c>
      <c r="BO132" s="472">
        <f t="shared" si="237"/>
        <v>49.838270998437444</v>
      </c>
      <c r="BP132" s="546">
        <f t="shared" si="238"/>
        <v>3.3000000000000002E-2</v>
      </c>
      <c r="BS132" s="472">
        <f t="shared" si="239"/>
        <v>33</v>
      </c>
      <c r="BT132" s="546">
        <f t="shared" si="240"/>
        <v>1.4058212309299262E-3</v>
      </c>
      <c r="BU132" s="546">
        <f t="shared" si="241"/>
        <v>6.4695217843261307E-3</v>
      </c>
      <c r="BV132" s="546">
        <f t="shared" si="242"/>
        <v>4.4974536311160546E-3</v>
      </c>
      <c r="BW132" s="546"/>
      <c r="BX132" s="546">
        <f t="shared" si="243"/>
        <v>1.3125E-2</v>
      </c>
      <c r="BY132" s="472">
        <f t="shared" si="244"/>
        <v>25.497796646372112</v>
      </c>
      <c r="BZ132" s="179">
        <f t="shared" si="245"/>
        <v>0.10833606764480955</v>
      </c>
      <c r="CA132" s="6">
        <f t="shared" si="246"/>
        <v>0.55000000000000004</v>
      </c>
      <c r="CB132" s="179">
        <f t="shared" si="247"/>
        <v>0.83543956807291342</v>
      </c>
      <c r="CC132" s="6">
        <f t="shared" si="248"/>
        <v>83.543956807291337</v>
      </c>
      <c r="CF132" s="581">
        <f t="shared" si="249"/>
        <v>-50</v>
      </c>
      <c r="CG132">
        <f t="shared" si="250"/>
        <v>-50</v>
      </c>
    </row>
    <row r="133" spans="5:85" x14ac:dyDescent="0.2">
      <c r="E133" s="176">
        <v>23</v>
      </c>
      <c r="F133" s="223">
        <f t="shared" si="251"/>
        <v>0.115</v>
      </c>
      <c r="G133" s="223"/>
      <c r="H133" s="223">
        <f t="shared" si="198"/>
        <v>0.57500000000000007</v>
      </c>
      <c r="I133" s="559">
        <f t="shared" si="199"/>
        <v>15</v>
      </c>
      <c r="J133" s="454">
        <f t="shared" si="200"/>
        <v>15.75</v>
      </c>
      <c r="K133" s="454">
        <f t="shared" si="201"/>
        <v>30.75</v>
      </c>
      <c r="L133" s="454"/>
      <c r="M133" s="223">
        <f t="shared" si="202"/>
        <v>0.51219512195121952</v>
      </c>
      <c r="N133" s="178">
        <f t="shared" si="252"/>
        <v>2.592987804878049</v>
      </c>
      <c r="O133" s="178">
        <f t="shared" si="172"/>
        <v>0.57500000000000007</v>
      </c>
      <c r="P133" s="223">
        <f t="shared" si="203"/>
        <v>0.51859756097560983</v>
      </c>
      <c r="Q133" s="223">
        <f t="shared" si="204"/>
        <v>5</v>
      </c>
      <c r="R133" s="223"/>
      <c r="S133" s="178">
        <f t="shared" si="205"/>
        <v>39.053542879115781</v>
      </c>
      <c r="T133" s="178">
        <f t="shared" si="206"/>
        <v>5</v>
      </c>
      <c r="U133" s="223">
        <f t="shared" si="207"/>
        <v>0.16631393298059965</v>
      </c>
      <c r="V133" s="223">
        <f t="shared" si="208"/>
        <v>0.48785420340975899</v>
      </c>
      <c r="W133" s="223">
        <f t="shared" si="209"/>
        <v>0.46462305086643713</v>
      </c>
      <c r="X133" s="203">
        <f t="shared" si="210"/>
        <v>350</v>
      </c>
      <c r="Y133" s="454">
        <f t="shared" si="211"/>
        <v>350</v>
      </c>
      <c r="AA133" s="223">
        <f t="shared" si="212"/>
        <v>0.4988913525498892</v>
      </c>
      <c r="AB133" s="179">
        <f t="shared" si="213"/>
        <v>1.3937282229965158</v>
      </c>
      <c r="AC133" s="179">
        <f t="shared" si="214"/>
        <v>0.36504245308528482</v>
      </c>
      <c r="AD133" s="179"/>
      <c r="AE133" s="179">
        <f t="shared" si="215"/>
        <v>0.419047619047619</v>
      </c>
      <c r="AF133" s="563">
        <f t="shared" si="216"/>
        <v>1219.69696969697</v>
      </c>
      <c r="AG133" s="546">
        <f t="shared" si="217"/>
        <v>3.2999999999999995E-2</v>
      </c>
      <c r="AI133" s="179">
        <f t="shared" si="218"/>
        <v>0.2800162332956625</v>
      </c>
      <c r="AJ133" s="179">
        <f t="shared" si="219"/>
        <v>0.2800162332956625</v>
      </c>
      <c r="AK133" s="179">
        <f t="shared" si="220"/>
        <v>1.2963083209597499</v>
      </c>
      <c r="AM133" s="563">
        <f t="shared" si="221"/>
        <v>115</v>
      </c>
      <c r="AN133" s="472">
        <f t="shared" si="222"/>
        <v>350</v>
      </c>
      <c r="AP133" s="472">
        <f t="shared" si="223"/>
        <v>115</v>
      </c>
      <c r="AQ133" s="472">
        <f t="shared" si="224"/>
        <v>350</v>
      </c>
      <c r="AS133" s="6">
        <f t="shared" si="174"/>
        <v>2.8571428571428572</v>
      </c>
      <c r="AT133" s="6">
        <f t="shared" si="225"/>
        <v>0.82138095100060993</v>
      </c>
      <c r="AU133" s="6">
        <f t="shared" si="226"/>
        <v>2.0357619061422474</v>
      </c>
      <c r="AV133" s="6"/>
      <c r="AW133" s="179">
        <f t="shared" si="227"/>
        <v>0.28748333285021349</v>
      </c>
      <c r="AX133" s="179">
        <f t="shared" ref="AX133:AX196" si="254">0.5*L*AJ133^2*AN133*1000</f>
        <v>0.60374999999999979</v>
      </c>
      <c r="AY133" s="179">
        <f t="shared" ref="AY133:AY196" si="255">AJ133*Nps/2*(1-AW133)</f>
        <v>0.29927434994349378</v>
      </c>
      <c r="AZ133" s="179">
        <f t="shared" si="177"/>
        <v>2.0173797056580169</v>
      </c>
      <c r="BA133" s="472">
        <f t="shared" si="228"/>
        <v>28.298334324806667</v>
      </c>
      <c r="BB133" s="472">
        <f t="shared" si="229"/>
        <v>1.6669997635933806</v>
      </c>
      <c r="BC133" s="6">
        <f t="shared" si="253"/>
        <v>7.225698123653039E-2</v>
      </c>
      <c r="BD133" s="563">
        <f t="shared" si="231"/>
        <v>18.553395265344101</v>
      </c>
      <c r="BF133" s="179">
        <f t="shared" si="178"/>
        <v>8.6681998862318255E-2</v>
      </c>
      <c r="BG133" s="179">
        <f t="shared" ref="BG133:BG196" si="256">AJ133*Nps*SQRT((1-AW133)/3)</f>
        <v>0.40939388415848393</v>
      </c>
      <c r="BI133" s="546">
        <f t="shared" si="232"/>
        <v>2.6298191243684299E-3</v>
      </c>
      <c r="BJ133" s="546">
        <f t="shared" si="233"/>
        <v>2.2602560331334256E-2</v>
      </c>
      <c r="BK133" s="546">
        <f t="shared" si="234"/>
        <v>4.3749999999999995E-3</v>
      </c>
      <c r="BL133" s="546">
        <f t="shared" si="235"/>
        <v>1.6547343750000002E-2</v>
      </c>
      <c r="BM133">
        <f t="shared" si="236"/>
        <v>4.3499999999999997E-3</v>
      </c>
      <c r="BO133" s="472">
        <f t="shared" si="237"/>
        <v>50.504723205702689</v>
      </c>
      <c r="BP133" s="546">
        <f t="shared" si="238"/>
        <v>3.4500000000000003E-2</v>
      </c>
      <c r="BS133" s="472">
        <f t="shared" si="239"/>
        <v>34.5</v>
      </c>
      <c r="BT133" s="546">
        <f t="shared" si="240"/>
        <v>1.5027537853533888E-3</v>
      </c>
      <c r="BU133" s="546">
        <f t="shared" si="241"/>
        <v>6.7041340954548069E-3</v>
      </c>
      <c r="BV133" s="546">
        <f t="shared" si="242"/>
        <v>4.7544265058941243E-3</v>
      </c>
      <c r="BW133" s="546"/>
      <c r="BX133" s="546">
        <f t="shared" si="243"/>
        <v>1.3721590909090907E-2</v>
      </c>
      <c r="BY133" s="472">
        <f t="shared" si="244"/>
        <v>26.682905295793226</v>
      </c>
      <c r="BZ133" s="179">
        <f t="shared" si="245"/>
        <v>0.11168762850149591</v>
      </c>
      <c r="CA133" s="6">
        <f t="shared" si="246"/>
        <v>0.57500000000000007</v>
      </c>
      <c r="CB133" s="179">
        <f t="shared" si="247"/>
        <v>0.83735307894621169</v>
      </c>
      <c r="CC133" s="6">
        <f t="shared" si="248"/>
        <v>83.735307894621172</v>
      </c>
      <c r="CF133" s="581">
        <f t="shared" si="249"/>
        <v>-50</v>
      </c>
      <c r="CG133">
        <f t="shared" si="250"/>
        <v>-50</v>
      </c>
    </row>
    <row r="134" spans="5:85" x14ac:dyDescent="0.2">
      <c r="E134" s="176">
        <v>24</v>
      </c>
      <c r="F134" s="223">
        <f t="shared" si="251"/>
        <v>0.12</v>
      </c>
      <c r="G134" s="223"/>
      <c r="H134" s="223">
        <f t="shared" si="198"/>
        <v>0.6</v>
      </c>
      <c r="I134" s="559">
        <f t="shared" si="199"/>
        <v>15</v>
      </c>
      <c r="J134" s="454">
        <f t="shared" si="200"/>
        <v>15.75</v>
      </c>
      <c r="K134" s="454">
        <f t="shared" si="201"/>
        <v>30.75</v>
      </c>
      <c r="L134" s="454"/>
      <c r="M134" s="223">
        <f t="shared" si="202"/>
        <v>0.51219512195121952</v>
      </c>
      <c r="N134" s="178">
        <f t="shared" si="252"/>
        <v>2.592987804878049</v>
      </c>
      <c r="O134" s="178">
        <f t="shared" ref="O134:O197" si="257">T134*F134</f>
        <v>0.6</v>
      </c>
      <c r="P134" s="223">
        <f t="shared" si="203"/>
        <v>0.51859756097560983</v>
      </c>
      <c r="Q134" s="223">
        <f t="shared" si="204"/>
        <v>5</v>
      </c>
      <c r="R134" s="223"/>
      <c r="S134" s="178">
        <f t="shared" si="205"/>
        <v>37.220859256360995</v>
      </c>
      <c r="T134" s="178">
        <f t="shared" si="206"/>
        <v>5</v>
      </c>
      <c r="U134" s="223">
        <f t="shared" si="207"/>
        <v>0.17354497354497353</v>
      </c>
      <c r="V134" s="223">
        <f t="shared" si="208"/>
        <v>0.50906525573192229</v>
      </c>
      <c r="W134" s="223">
        <f t="shared" si="209"/>
        <v>0.48482405307802129</v>
      </c>
      <c r="X134" s="203">
        <f t="shared" si="210"/>
        <v>350</v>
      </c>
      <c r="Y134" s="454">
        <f t="shared" si="211"/>
        <v>350</v>
      </c>
      <c r="AA134" s="223">
        <f t="shared" si="212"/>
        <v>0.4988913525498892</v>
      </c>
      <c r="AB134" s="179">
        <f t="shared" si="213"/>
        <v>1.3937282229965158</v>
      </c>
      <c r="AC134" s="179">
        <f t="shared" si="214"/>
        <v>0.36504245308528482</v>
      </c>
      <c r="AD134" s="179"/>
      <c r="AE134" s="179">
        <f t="shared" si="215"/>
        <v>0.419047619047619</v>
      </c>
      <c r="AF134" s="563">
        <f t="shared" si="216"/>
        <v>1272.727272727273</v>
      </c>
      <c r="AG134" s="546">
        <f t="shared" si="217"/>
        <v>3.2999999999999995E-2</v>
      </c>
      <c r="AI134" s="179">
        <f t="shared" si="218"/>
        <v>0.28603877677367767</v>
      </c>
      <c r="AJ134" s="179">
        <f t="shared" si="219"/>
        <v>0.28603877677367767</v>
      </c>
      <c r="AK134" s="179">
        <f t="shared" si="220"/>
        <v>1.3007694642767982</v>
      </c>
      <c r="AM134" s="563">
        <f t="shared" si="221"/>
        <v>120</v>
      </c>
      <c r="AN134" s="472">
        <f t="shared" si="222"/>
        <v>350</v>
      </c>
      <c r="AP134" s="472">
        <f t="shared" si="223"/>
        <v>120</v>
      </c>
      <c r="AQ134" s="472">
        <f t="shared" si="224"/>
        <v>350</v>
      </c>
      <c r="AS134" s="6">
        <f t="shared" ref="AS134:AS197" si="258">1/AN134*1000</f>
        <v>2.8571428571428572</v>
      </c>
      <c r="AT134" s="6">
        <f t="shared" si="225"/>
        <v>0.83904707853612115</v>
      </c>
      <c r="AU134" s="6">
        <f t="shared" si="226"/>
        <v>2.0180957786067362</v>
      </c>
      <c r="AV134" s="6"/>
      <c r="AW134" s="179">
        <f t="shared" si="227"/>
        <v>0.29366647748764241</v>
      </c>
      <c r="AX134" s="179">
        <f t="shared" si="254"/>
        <v>0.62999999999999989</v>
      </c>
      <c r="AY134" s="179">
        <f t="shared" si="255"/>
        <v>0.30305816516051653</v>
      </c>
      <c r="AZ134" s="179">
        <f t="shared" ref="AZ134:AZ197" si="259">AX134/AY134</f>
        <v>2.0788088638572622</v>
      </c>
      <c r="BA134" s="472">
        <f t="shared" si="228"/>
        <v>28.298334324806667</v>
      </c>
      <c r="BB134" s="472">
        <f t="shared" si="229"/>
        <v>1.7994553191489362</v>
      </c>
      <c r="BC134" s="6">
        <f t="shared" si="253"/>
        <v>7.4744288096545763E-2</v>
      </c>
      <c r="BD134" s="563">
        <f t="shared" si="231"/>
        <v>19.291210310460965</v>
      </c>
      <c r="BF134" s="179">
        <f t="shared" ref="BF134:BF197" si="260">AJ134*SQRT(AW134/3)</f>
        <v>8.9493495571817822E-2</v>
      </c>
      <c r="BG134" s="179">
        <f t="shared" si="256"/>
        <v>0.4163805635564401</v>
      </c>
      <c r="BI134" s="546">
        <f t="shared" si="232"/>
        <v>2.8031800123820417E-3</v>
      </c>
      <c r="BJ134" s="546">
        <f t="shared" si="233"/>
        <v>2.3088692512700289E-2</v>
      </c>
      <c r="BK134" s="546">
        <f t="shared" si="234"/>
        <v>4.3749999999999995E-3</v>
      </c>
      <c r="BL134" s="546">
        <f t="shared" si="235"/>
        <v>1.6547343750000002E-2</v>
      </c>
      <c r="BM134">
        <f t="shared" si="236"/>
        <v>4.3499999999999997E-3</v>
      </c>
      <c r="BO134" s="472">
        <f t="shared" si="237"/>
        <v>51.164216275082339</v>
      </c>
      <c r="BP134" s="546">
        <f t="shared" si="238"/>
        <v>3.5999999999999997E-2</v>
      </c>
      <c r="BS134" s="472">
        <f t="shared" si="239"/>
        <v>36</v>
      </c>
      <c r="BT134" s="546">
        <f t="shared" si="240"/>
        <v>1.6018171499325954E-3</v>
      </c>
      <c r="BU134" s="546">
        <f t="shared" si="241"/>
        <v>6.9349109483031459E-3</v>
      </c>
      <c r="BV134" s="546">
        <f t="shared" si="242"/>
        <v>5.0142085785462136E-3</v>
      </c>
      <c r="BW134" s="546"/>
      <c r="BX134" s="546">
        <f t="shared" si="243"/>
        <v>1.4318181818181818E-2</v>
      </c>
      <c r="BY134" s="472">
        <f t="shared" si="244"/>
        <v>27.869118494963772</v>
      </c>
      <c r="BZ134" s="179">
        <f t="shared" si="245"/>
        <v>0.11503333477004611</v>
      </c>
      <c r="CA134" s="6">
        <f t="shared" si="246"/>
        <v>0.6</v>
      </c>
      <c r="CB134" s="179">
        <f t="shared" si="247"/>
        <v>0.83912171758112419</v>
      </c>
      <c r="CC134" s="6">
        <f t="shared" si="248"/>
        <v>83.912171758112422</v>
      </c>
      <c r="CF134" s="581">
        <f t="shared" si="249"/>
        <v>-50</v>
      </c>
      <c r="CG134">
        <f t="shared" si="250"/>
        <v>-50</v>
      </c>
    </row>
    <row r="135" spans="5:85" x14ac:dyDescent="0.2">
      <c r="E135" s="176">
        <v>25</v>
      </c>
      <c r="F135" s="223">
        <f t="shared" si="251"/>
        <v>0.125</v>
      </c>
      <c r="G135" s="223"/>
      <c r="H135" s="223">
        <f t="shared" si="198"/>
        <v>0.625</v>
      </c>
      <c r="I135" s="559">
        <f t="shared" si="199"/>
        <v>15</v>
      </c>
      <c r="J135" s="454">
        <f t="shared" si="200"/>
        <v>15.75</v>
      </c>
      <c r="K135" s="454">
        <f t="shared" si="201"/>
        <v>30.75</v>
      </c>
      <c r="L135" s="454"/>
      <c r="M135" s="223">
        <f t="shared" si="202"/>
        <v>0.51219512195121952</v>
      </c>
      <c r="N135" s="178">
        <f t="shared" si="252"/>
        <v>2.592987804878049</v>
      </c>
      <c r="O135" s="178">
        <f t="shared" si="257"/>
        <v>0.625</v>
      </c>
      <c r="P135" s="223">
        <f t="shared" si="203"/>
        <v>0.51859756097560983</v>
      </c>
      <c r="Q135" s="223">
        <f t="shared" si="204"/>
        <v>5</v>
      </c>
      <c r="R135" s="223"/>
      <c r="S135" s="178">
        <f t="shared" si="205"/>
        <v>35.534930904389327</v>
      </c>
      <c r="T135" s="178">
        <f t="shared" si="206"/>
        <v>5</v>
      </c>
      <c r="U135" s="223">
        <f t="shared" si="207"/>
        <v>0.18077601410934743</v>
      </c>
      <c r="V135" s="223">
        <f t="shared" si="208"/>
        <v>0.53027630805408577</v>
      </c>
      <c r="W135" s="223">
        <f t="shared" si="209"/>
        <v>0.50502505528960551</v>
      </c>
      <c r="X135" s="203">
        <f t="shared" si="210"/>
        <v>350</v>
      </c>
      <c r="Y135" s="454">
        <f t="shared" si="211"/>
        <v>350</v>
      </c>
      <c r="AA135" s="223">
        <f t="shared" si="212"/>
        <v>0.4988913525498892</v>
      </c>
      <c r="AB135" s="179">
        <f t="shared" si="213"/>
        <v>1.3937282229965158</v>
      </c>
      <c r="AC135" s="179">
        <f t="shared" si="214"/>
        <v>0.36504245308528482</v>
      </c>
      <c r="AD135" s="179"/>
      <c r="AE135" s="179">
        <f t="shared" si="215"/>
        <v>0.419047619047619</v>
      </c>
      <c r="AF135" s="563">
        <f t="shared" si="216"/>
        <v>1325.757575757576</v>
      </c>
      <c r="AG135" s="546">
        <f t="shared" si="217"/>
        <v>3.2999999999999995E-2</v>
      </c>
      <c r="AI135" s="179">
        <f t="shared" si="218"/>
        <v>0.29193710406057111</v>
      </c>
      <c r="AJ135" s="179">
        <f t="shared" si="219"/>
        <v>0.29193710406057111</v>
      </c>
      <c r="AK135" s="179">
        <f t="shared" si="220"/>
        <v>1.3051385956004231</v>
      </c>
      <c r="AM135" s="563">
        <f t="shared" si="221"/>
        <v>125</v>
      </c>
      <c r="AN135" s="472">
        <f t="shared" si="222"/>
        <v>350</v>
      </c>
      <c r="AP135" s="472">
        <f t="shared" si="223"/>
        <v>125</v>
      </c>
      <c r="AQ135" s="472">
        <f t="shared" si="224"/>
        <v>350</v>
      </c>
      <c r="AS135" s="6">
        <f t="shared" si="258"/>
        <v>2.8571428571428572</v>
      </c>
      <c r="AT135" s="6">
        <f t="shared" si="225"/>
        <v>0.85634883857767519</v>
      </c>
      <c r="AU135" s="6">
        <f t="shared" si="226"/>
        <v>2.0007940185651822</v>
      </c>
      <c r="AV135" s="6"/>
      <c r="AW135" s="179">
        <f t="shared" si="227"/>
        <v>0.29972209350218632</v>
      </c>
      <c r="AX135" s="179">
        <f t="shared" si="254"/>
        <v>0.65624999999999989</v>
      </c>
      <c r="AY135" s="179">
        <f t="shared" si="255"/>
        <v>0.30665565609085665</v>
      </c>
      <c r="AZ135" s="179">
        <f t="shared" si="259"/>
        <v>2.1400224876516369</v>
      </c>
      <c r="BA135" s="472">
        <f t="shared" si="228"/>
        <v>28.298334324806667</v>
      </c>
      <c r="BB135" s="472">
        <f t="shared" si="229"/>
        <v>1.9369089834515369</v>
      </c>
      <c r="BC135" s="6">
        <f t="shared" si="253"/>
        <v>7.7191127259459175E-2</v>
      </c>
      <c r="BD135" s="563">
        <f t="shared" si="231"/>
        <v>20.024558920243845</v>
      </c>
      <c r="BF135" s="179">
        <f t="shared" si="260"/>
        <v>9.2275848420736065E-2</v>
      </c>
      <c r="BG135" s="179">
        <f t="shared" si="256"/>
        <v>0.42314102656906039</v>
      </c>
      <c r="BI135" s="546">
        <f t="shared" si="232"/>
        <v>2.9801912706183304E-3</v>
      </c>
      <c r="BJ135" s="546">
        <f t="shared" si="233"/>
        <v>2.3564798118389223E-2</v>
      </c>
      <c r="BK135" s="546">
        <f t="shared" si="234"/>
        <v>4.3749999999999995E-3</v>
      </c>
      <c r="BL135" s="546">
        <f t="shared" si="235"/>
        <v>1.6547343750000002E-2</v>
      </c>
      <c r="BM135">
        <f t="shared" si="236"/>
        <v>4.3499999999999997E-3</v>
      </c>
      <c r="BO135" s="472">
        <f t="shared" si="237"/>
        <v>51.817333139007559</v>
      </c>
      <c r="BP135" s="546">
        <f t="shared" si="238"/>
        <v>3.7499999999999999E-2</v>
      </c>
      <c r="BS135" s="472">
        <f t="shared" si="239"/>
        <v>37.5</v>
      </c>
      <c r="BT135" s="546">
        <f t="shared" si="240"/>
        <v>1.7029664403533319E-3</v>
      </c>
      <c r="BU135" s="546">
        <f t="shared" si="241"/>
        <v>7.1619331346367311E-3</v>
      </c>
      <c r="BV135" s="546">
        <f t="shared" si="242"/>
        <v>5.2767115503308121E-3</v>
      </c>
      <c r="BW135" s="546"/>
      <c r="BX135" s="546">
        <f t="shared" si="243"/>
        <v>1.491477272727273E-2</v>
      </c>
      <c r="BY135" s="472">
        <f t="shared" si="244"/>
        <v>29.056383852593605</v>
      </c>
      <c r="BZ135" s="179">
        <f t="shared" si="245"/>
        <v>0.11837371699160117</v>
      </c>
      <c r="CA135" s="6">
        <f t="shared" si="246"/>
        <v>0.625</v>
      </c>
      <c r="CB135" s="179">
        <f t="shared" si="247"/>
        <v>0.84076149817260948</v>
      </c>
      <c r="CC135" s="6">
        <f t="shared" si="248"/>
        <v>84.076149817260955</v>
      </c>
      <c r="CF135" s="581">
        <f t="shared" si="249"/>
        <v>-50</v>
      </c>
      <c r="CG135">
        <f t="shared" si="250"/>
        <v>-50</v>
      </c>
    </row>
    <row r="136" spans="5:85" x14ac:dyDescent="0.2">
      <c r="E136" s="176">
        <v>26</v>
      </c>
      <c r="F136" s="223">
        <f t="shared" si="251"/>
        <v>0.13</v>
      </c>
      <c r="G136" s="223"/>
      <c r="H136" s="223">
        <f t="shared" si="198"/>
        <v>0.65</v>
      </c>
      <c r="I136" s="559">
        <f t="shared" si="199"/>
        <v>15</v>
      </c>
      <c r="J136" s="454">
        <f t="shared" si="200"/>
        <v>15.75</v>
      </c>
      <c r="K136" s="454">
        <f t="shared" si="201"/>
        <v>30.75</v>
      </c>
      <c r="L136" s="454"/>
      <c r="M136" s="223">
        <f t="shared" si="202"/>
        <v>0.51219512195121952</v>
      </c>
      <c r="N136" s="178">
        <f t="shared" si="252"/>
        <v>2.592987804878049</v>
      </c>
      <c r="O136" s="178">
        <f t="shared" si="257"/>
        <v>0.65</v>
      </c>
      <c r="P136" s="223">
        <f t="shared" si="203"/>
        <v>0.51859756097560983</v>
      </c>
      <c r="Q136" s="223">
        <f t="shared" si="204"/>
        <v>5</v>
      </c>
      <c r="R136" s="223"/>
      <c r="S136" s="178">
        <f t="shared" si="205"/>
        <v>33.978826618706314</v>
      </c>
      <c r="T136" s="178">
        <f t="shared" si="206"/>
        <v>5</v>
      </c>
      <c r="U136" s="223">
        <f t="shared" si="207"/>
        <v>0.18800705467372134</v>
      </c>
      <c r="V136" s="223">
        <f t="shared" si="208"/>
        <v>0.55148736037624935</v>
      </c>
      <c r="W136" s="223">
        <f t="shared" si="209"/>
        <v>0.52522605750118978</v>
      </c>
      <c r="X136" s="203">
        <f t="shared" si="210"/>
        <v>350</v>
      </c>
      <c r="Y136" s="454">
        <f t="shared" si="211"/>
        <v>350</v>
      </c>
      <c r="AA136" s="223">
        <f t="shared" si="212"/>
        <v>0.4988913525498892</v>
      </c>
      <c r="AB136" s="179">
        <f t="shared" si="213"/>
        <v>1.3937282229965158</v>
      </c>
      <c r="AC136" s="179">
        <f t="shared" si="214"/>
        <v>0.36504245308528482</v>
      </c>
      <c r="AD136" s="179"/>
      <c r="AE136" s="179">
        <f t="shared" si="215"/>
        <v>0.419047619047619</v>
      </c>
      <c r="AF136" s="563">
        <f t="shared" si="216"/>
        <v>1378.7878787878792</v>
      </c>
      <c r="AG136" s="546">
        <f t="shared" si="217"/>
        <v>3.2999999999999995E-2</v>
      </c>
      <c r="AI136" s="179">
        <f t="shared" si="218"/>
        <v>0.29771859806932394</v>
      </c>
      <c r="AJ136" s="179">
        <f t="shared" si="219"/>
        <v>0.29771859806932394</v>
      </c>
      <c r="AK136" s="179">
        <f t="shared" si="220"/>
        <v>1.3094211837550547</v>
      </c>
      <c r="AM136" s="563">
        <f t="shared" si="221"/>
        <v>130</v>
      </c>
      <c r="AN136" s="472">
        <f t="shared" si="222"/>
        <v>350</v>
      </c>
      <c r="AP136" s="472">
        <f t="shared" si="223"/>
        <v>130</v>
      </c>
      <c r="AQ136" s="472">
        <f t="shared" si="224"/>
        <v>350</v>
      </c>
      <c r="AS136" s="6">
        <f t="shared" si="258"/>
        <v>2.8571428571428572</v>
      </c>
      <c r="AT136" s="6">
        <f t="shared" si="225"/>
        <v>0.87330788767001677</v>
      </c>
      <c r="AU136" s="6">
        <f t="shared" si="226"/>
        <v>1.9838349694728405</v>
      </c>
      <c r="AV136" s="6"/>
      <c r="AW136" s="179">
        <f t="shared" si="227"/>
        <v>0.30565776068450584</v>
      </c>
      <c r="AX136" s="179">
        <f t="shared" si="254"/>
        <v>0.68250000000000022</v>
      </c>
      <c r="AY136" s="179">
        <f t="shared" si="255"/>
        <v>0.31007789710398587</v>
      </c>
      <c r="AZ136" s="179">
        <f t="shared" si="259"/>
        <v>2.2010598187561916</v>
      </c>
      <c r="BA136" s="472">
        <f t="shared" si="228"/>
        <v>28.298334324806667</v>
      </c>
      <c r="BB136" s="472">
        <f t="shared" si="229"/>
        <v>2.0793607565011825</v>
      </c>
      <c r="BC136" s="6">
        <f t="shared" si="253"/>
        <v>7.9598316676379399E-2</v>
      </c>
      <c r="BD136" s="563">
        <f t="shared" si="231"/>
        <v>20.753521340654842</v>
      </c>
      <c r="BF136" s="179">
        <f t="shared" si="260"/>
        <v>9.5030508126440594E-2</v>
      </c>
      <c r="BG136" s="179">
        <f t="shared" si="256"/>
        <v>0.42968815859430604</v>
      </c>
      <c r="BI136" s="546">
        <f t="shared" si="232"/>
        <v>3.1607791161693218E-3</v>
      </c>
      <c r="BJ136" s="546">
        <f t="shared" si="233"/>
        <v>2.4031473087908241E-2</v>
      </c>
      <c r="BK136" s="546">
        <f t="shared" si="234"/>
        <v>4.3749999999999995E-3</v>
      </c>
      <c r="BL136" s="546">
        <f t="shared" si="235"/>
        <v>1.6547343750000002E-2</v>
      </c>
      <c r="BM136">
        <f t="shared" si="236"/>
        <v>4.3499999999999997E-3</v>
      </c>
      <c r="BO136" s="472">
        <f t="shared" si="237"/>
        <v>52.464595954077559</v>
      </c>
      <c r="BP136" s="546">
        <f t="shared" si="238"/>
        <v>3.9E-2</v>
      </c>
      <c r="BS136" s="472">
        <f t="shared" si="239"/>
        <v>39</v>
      </c>
      <c r="BT136" s="546">
        <f t="shared" si="240"/>
        <v>1.8061594949538983E-3</v>
      </c>
      <c r="BU136" s="546">
        <f t="shared" si="241"/>
        <v>7.3852765454466198E-3</v>
      </c>
      <c r="BV136" s="546">
        <f t="shared" si="242"/>
        <v>5.5418533398569796E-3</v>
      </c>
      <c r="BW136" s="546"/>
      <c r="BX136" s="546">
        <f t="shared" si="243"/>
        <v>1.5511363636363643E-2</v>
      </c>
      <c r="BY136" s="472">
        <f t="shared" si="244"/>
        <v>30.244653016621143</v>
      </c>
      <c r="BZ136" s="179">
        <f t="shared" si="245"/>
        <v>0.12170924897069869</v>
      </c>
      <c r="CA136" s="6">
        <f t="shared" si="246"/>
        <v>0.65</v>
      </c>
      <c r="CB136" s="179">
        <f t="shared" si="247"/>
        <v>0.84228613414568532</v>
      </c>
      <c r="CC136" s="6">
        <f t="shared" si="248"/>
        <v>84.228613414568528</v>
      </c>
      <c r="CF136" s="581">
        <f t="shared" si="249"/>
        <v>-50</v>
      </c>
      <c r="CG136">
        <f t="shared" si="250"/>
        <v>-50</v>
      </c>
    </row>
    <row r="137" spans="5:85" x14ac:dyDescent="0.2">
      <c r="E137" s="176">
        <v>27</v>
      </c>
      <c r="F137" s="223">
        <f t="shared" si="251"/>
        <v>0.13500000000000001</v>
      </c>
      <c r="G137" s="223"/>
      <c r="H137" s="223">
        <f t="shared" si="198"/>
        <v>0.67500000000000004</v>
      </c>
      <c r="I137" s="559">
        <f t="shared" si="199"/>
        <v>15</v>
      </c>
      <c r="J137" s="454">
        <f t="shared" si="200"/>
        <v>15.75</v>
      </c>
      <c r="K137" s="454">
        <f t="shared" si="201"/>
        <v>30.75</v>
      </c>
      <c r="L137" s="454"/>
      <c r="M137" s="223">
        <f t="shared" si="202"/>
        <v>0.51219512195121952</v>
      </c>
      <c r="N137" s="178">
        <f t="shared" si="252"/>
        <v>2.592987804878049</v>
      </c>
      <c r="O137" s="178">
        <f t="shared" si="257"/>
        <v>0.67500000000000004</v>
      </c>
      <c r="P137" s="223">
        <f t="shared" si="203"/>
        <v>0.51859756097560983</v>
      </c>
      <c r="Q137" s="223">
        <f t="shared" si="204"/>
        <v>5</v>
      </c>
      <c r="R137" s="223"/>
      <c r="S137" s="178">
        <f t="shared" si="205"/>
        <v>32.538123560127126</v>
      </c>
      <c r="T137" s="178">
        <f t="shared" si="206"/>
        <v>5</v>
      </c>
      <c r="U137" s="223">
        <f t="shared" si="207"/>
        <v>0.19523809523809524</v>
      </c>
      <c r="V137" s="223">
        <f t="shared" si="208"/>
        <v>0.5726984126984126</v>
      </c>
      <c r="W137" s="223">
        <f t="shared" si="209"/>
        <v>0.54542705971277394</v>
      </c>
      <c r="X137" s="203">
        <f t="shared" si="210"/>
        <v>350</v>
      </c>
      <c r="Y137" s="454">
        <f t="shared" si="211"/>
        <v>350</v>
      </c>
      <c r="AA137" s="223">
        <f t="shared" si="212"/>
        <v>0.4988913525498892</v>
      </c>
      <c r="AB137" s="179">
        <f t="shared" si="213"/>
        <v>1.3937282229965158</v>
      </c>
      <c r="AC137" s="179">
        <f t="shared" si="214"/>
        <v>0.36504245308528482</v>
      </c>
      <c r="AD137" s="179"/>
      <c r="AE137" s="179">
        <f t="shared" si="215"/>
        <v>0.419047619047619</v>
      </c>
      <c r="AF137" s="563">
        <f t="shared" si="216"/>
        <v>1431.8181818181822</v>
      </c>
      <c r="AG137" s="546">
        <f t="shared" si="217"/>
        <v>3.2999999999999995E-2</v>
      </c>
      <c r="AI137" s="179">
        <f t="shared" si="218"/>
        <v>0.30338993810845893</v>
      </c>
      <c r="AJ137" s="179">
        <f t="shared" si="219"/>
        <v>0.30338993810845893</v>
      </c>
      <c r="AK137" s="179">
        <f t="shared" si="220"/>
        <v>1.3136221763766363</v>
      </c>
      <c r="AM137" s="563">
        <f t="shared" si="221"/>
        <v>135</v>
      </c>
      <c r="AN137" s="472">
        <f t="shared" si="222"/>
        <v>350</v>
      </c>
      <c r="AP137" s="472">
        <f t="shared" si="223"/>
        <v>135</v>
      </c>
      <c r="AQ137" s="472">
        <f t="shared" si="224"/>
        <v>350</v>
      </c>
      <c r="AS137" s="6">
        <f t="shared" si="258"/>
        <v>2.8571428571428572</v>
      </c>
      <c r="AT137" s="6">
        <f t="shared" si="225"/>
        <v>0.88994381845147952</v>
      </c>
      <c r="AU137" s="6">
        <f t="shared" si="226"/>
        <v>1.9671990386913776</v>
      </c>
      <c r="AV137" s="6"/>
      <c r="AW137" s="179">
        <f t="shared" si="227"/>
        <v>0.31148033645801781</v>
      </c>
      <c r="AX137" s="179">
        <f t="shared" si="254"/>
        <v>0.70874999999999988</v>
      </c>
      <c r="AY137" s="179">
        <f t="shared" si="255"/>
        <v>0.31333490716268841</v>
      </c>
      <c r="AZ137" s="179">
        <f t="shared" si="259"/>
        <v>2.2619567236152394</v>
      </c>
      <c r="BA137" s="472">
        <f t="shared" si="228"/>
        <v>28.298334324806667</v>
      </c>
      <c r="BB137" s="472">
        <f t="shared" si="229"/>
        <v>2.2268106382978727</v>
      </c>
      <c r="BC137" s="6">
        <f t="shared" si="253"/>
        <v>8.1966626612140728E-2</v>
      </c>
      <c r="BD137" s="563">
        <f t="shared" si="231"/>
        <v>21.478173424719841</v>
      </c>
      <c r="BF137" s="179">
        <f t="shared" si="260"/>
        <v>9.7758800373247495E-2</v>
      </c>
      <c r="BG137" s="179">
        <f t="shared" si="256"/>
        <v>0.43603361817939629</v>
      </c>
      <c r="BI137" s="546">
        <f t="shared" si="232"/>
        <v>3.3448740676457591E-3</v>
      </c>
      <c r="BJ137" s="546">
        <f t="shared" si="233"/>
        <v>2.4489256566692166E-2</v>
      </c>
      <c r="BK137" s="546">
        <f t="shared" si="234"/>
        <v>4.3749999999999995E-3</v>
      </c>
      <c r="BL137" s="546">
        <f t="shared" si="235"/>
        <v>1.6547343750000002E-2</v>
      </c>
      <c r="BM137">
        <f t="shared" si="236"/>
        <v>4.3499999999999997E-3</v>
      </c>
      <c r="BO137" s="472">
        <f t="shared" si="237"/>
        <v>53.106474384337929</v>
      </c>
      <c r="BP137" s="546">
        <f t="shared" si="238"/>
        <v>4.0500000000000001E-2</v>
      </c>
      <c r="BS137" s="472">
        <f t="shared" si="239"/>
        <v>40.5</v>
      </c>
      <c r="BT137" s="546">
        <f t="shared" si="240"/>
        <v>1.9113566100832911E-3</v>
      </c>
      <c r="BU137" s="546">
        <f t="shared" si="241"/>
        <v>7.6050126473046218E-3</v>
      </c>
      <c r="BV137" s="546">
        <f t="shared" si="242"/>
        <v>5.8095574215675195E-3</v>
      </c>
      <c r="BW137" s="546"/>
      <c r="BX137" s="546">
        <f t="shared" si="243"/>
        <v>1.6107954545454547E-2</v>
      </c>
      <c r="BY137" s="472">
        <f t="shared" si="244"/>
        <v>31.43388122440998</v>
      </c>
      <c r="BZ137" s="179">
        <f t="shared" si="245"/>
        <v>0.12504035560874791</v>
      </c>
      <c r="CA137" s="6">
        <f t="shared" si="246"/>
        <v>0.67500000000000004</v>
      </c>
      <c r="CB137" s="179">
        <f t="shared" si="247"/>
        <v>0.84370743959083772</v>
      </c>
      <c r="CC137" s="6">
        <f t="shared" si="248"/>
        <v>84.370743959083768</v>
      </c>
      <c r="CF137" s="581">
        <f t="shared" si="249"/>
        <v>-50</v>
      </c>
      <c r="CG137">
        <f t="shared" si="250"/>
        <v>-50</v>
      </c>
    </row>
    <row r="138" spans="5:85" x14ac:dyDescent="0.2">
      <c r="E138" s="176">
        <v>28</v>
      </c>
      <c r="F138" s="223">
        <f t="shared" si="251"/>
        <v>0.14000000000000001</v>
      </c>
      <c r="G138" s="223"/>
      <c r="H138" s="223">
        <f t="shared" si="198"/>
        <v>0.70000000000000007</v>
      </c>
      <c r="I138" s="559">
        <f t="shared" si="199"/>
        <v>15</v>
      </c>
      <c r="J138" s="454">
        <f t="shared" si="200"/>
        <v>15.75</v>
      </c>
      <c r="K138" s="454">
        <f t="shared" si="201"/>
        <v>30.75</v>
      </c>
      <c r="L138" s="454"/>
      <c r="M138" s="223">
        <f t="shared" si="202"/>
        <v>0.51219512195121952</v>
      </c>
      <c r="N138" s="178">
        <f t="shared" si="252"/>
        <v>2.592987804878049</v>
      </c>
      <c r="O138" s="178">
        <f t="shared" si="257"/>
        <v>0.70000000000000007</v>
      </c>
      <c r="P138" s="223">
        <f t="shared" si="203"/>
        <v>0.51859756097560983</v>
      </c>
      <c r="Q138" s="223">
        <f t="shared" si="204"/>
        <v>5</v>
      </c>
      <c r="R138" s="223"/>
      <c r="S138" s="178">
        <f t="shared" si="205"/>
        <v>31.200459333211253</v>
      </c>
      <c r="T138" s="178">
        <f t="shared" si="206"/>
        <v>5</v>
      </c>
      <c r="U138" s="223">
        <f t="shared" si="207"/>
        <v>0.20246913580246914</v>
      </c>
      <c r="V138" s="223">
        <f t="shared" si="208"/>
        <v>0.59390946502057607</v>
      </c>
      <c r="W138" s="223">
        <f t="shared" si="209"/>
        <v>0.56562806192435822</v>
      </c>
      <c r="X138" s="203">
        <f t="shared" si="210"/>
        <v>350</v>
      </c>
      <c r="Y138" s="454">
        <f t="shared" si="211"/>
        <v>350</v>
      </c>
      <c r="AA138" s="223">
        <f t="shared" si="212"/>
        <v>0.4988913525498892</v>
      </c>
      <c r="AB138" s="179">
        <f t="shared" si="213"/>
        <v>1.3937282229965158</v>
      </c>
      <c r="AC138" s="179">
        <f t="shared" si="214"/>
        <v>0.36504245308528482</v>
      </c>
      <c r="AD138" s="179"/>
      <c r="AE138" s="179">
        <f t="shared" si="215"/>
        <v>0.419047619047619</v>
      </c>
      <c r="AF138" s="563">
        <f t="shared" si="216"/>
        <v>1484.8484848484854</v>
      </c>
      <c r="AG138" s="546">
        <f t="shared" si="217"/>
        <v>3.2999999999999995E-2</v>
      </c>
      <c r="AI138" s="179">
        <f t="shared" si="218"/>
        <v>0.30895719032666236</v>
      </c>
      <c r="AJ138" s="179">
        <f t="shared" si="219"/>
        <v>0.30895719032666236</v>
      </c>
      <c r="AK138" s="179">
        <f t="shared" si="220"/>
        <v>1.3177460669086387</v>
      </c>
      <c r="AM138" s="563">
        <f t="shared" si="221"/>
        <v>140</v>
      </c>
      <c r="AN138" s="472">
        <f t="shared" si="222"/>
        <v>350</v>
      </c>
      <c r="AP138" s="472">
        <f t="shared" si="223"/>
        <v>140</v>
      </c>
      <c r="AQ138" s="472">
        <f t="shared" si="224"/>
        <v>350</v>
      </c>
      <c r="AS138" s="6">
        <f t="shared" si="258"/>
        <v>2.8571428571428572</v>
      </c>
      <c r="AT138" s="6">
        <f t="shared" si="225"/>
        <v>0.90627442495820953</v>
      </c>
      <c r="AU138" s="6">
        <f t="shared" si="226"/>
        <v>1.9508684321846477</v>
      </c>
      <c r="AV138" s="6"/>
      <c r="AW138" s="179">
        <f t="shared" si="227"/>
        <v>0.31719604873537333</v>
      </c>
      <c r="AX138" s="179">
        <f t="shared" si="254"/>
        <v>0.7350000000000001</v>
      </c>
      <c r="AY138" s="179">
        <f t="shared" si="255"/>
        <v>0.31643578548999352</v>
      </c>
      <c r="AZ138" s="179">
        <f t="shared" si="259"/>
        <v>2.3227461421971269</v>
      </c>
      <c r="BA138" s="472">
        <f t="shared" si="228"/>
        <v>28.298334324806667</v>
      </c>
      <c r="BB138" s="472">
        <f t="shared" si="229"/>
        <v>2.3792586288416078</v>
      </c>
      <c r="BC138" s="6">
        <f t="shared" si="253"/>
        <v>8.429678410674403E-2</v>
      </c>
      <c r="BD138" s="563">
        <f t="shared" si="231"/>
        <v>22.198587025266104</v>
      </c>
      <c r="BF138" s="179">
        <f t="shared" si="260"/>
        <v>0.10046194080680988</v>
      </c>
      <c r="BG138" s="179">
        <f t="shared" si="256"/>
        <v>0.44218799441820861</v>
      </c>
      <c r="BI138" s="546">
        <f t="shared" si="232"/>
        <v>3.5324105427348399E-3</v>
      </c>
      <c r="BJ138" s="546">
        <f t="shared" si="233"/>
        <v>2.4938638206680273E-2</v>
      </c>
      <c r="BK138" s="546">
        <f t="shared" si="234"/>
        <v>4.3749999999999995E-3</v>
      </c>
      <c r="BL138" s="546">
        <f t="shared" si="235"/>
        <v>1.6547343750000002E-2</v>
      </c>
      <c r="BM138">
        <f t="shared" si="236"/>
        <v>4.3499999999999997E-3</v>
      </c>
      <c r="BO138" s="472">
        <f t="shared" si="237"/>
        <v>53.743392499415116</v>
      </c>
      <c r="BP138" s="546">
        <f t="shared" si="238"/>
        <v>4.2000000000000003E-2</v>
      </c>
      <c r="BS138" s="472">
        <f t="shared" si="239"/>
        <v>42</v>
      </c>
      <c r="BT138" s="546">
        <f t="shared" si="240"/>
        <v>2.0185203101341946E-3</v>
      </c>
      <c r="BU138" s="546">
        <f t="shared" si="241"/>
        <v>7.8212088963039075E-3</v>
      </c>
      <c r="BV138" s="546">
        <f t="shared" si="242"/>
        <v>6.0797522566498506E-3</v>
      </c>
      <c r="BW138" s="546"/>
      <c r="BX138" s="546">
        <f t="shared" si="243"/>
        <v>1.6704545454545461E-2</v>
      </c>
      <c r="BY138" s="472">
        <f t="shared" si="244"/>
        <v>32.624026917633415</v>
      </c>
      <c r="BZ138" s="179">
        <f t="shared" si="245"/>
        <v>0.12836741941704852</v>
      </c>
      <c r="CA138" s="6">
        <f t="shared" si="246"/>
        <v>0.70000000000000007</v>
      </c>
      <c r="CB138" s="179">
        <f t="shared" si="247"/>
        <v>0.84503564914783202</v>
      </c>
      <c r="CC138" s="6">
        <f t="shared" si="248"/>
        <v>84.503564914783198</v>
      </c>
      <c r="CF138" s="581">
        <f t="shared" si="249"/>
        <v>-50</v>
      </c>
      <c r="CG138">
        <f t="shared" si="250"/>
        <v>-50</v>
      </c>
    </row>
    <row r="139" spans="5:85" x14ac:dyDescent="0.2">
      <c r="E139" s="176">
        <v>29</v>
      </c>
      <c r="F139" s="223">
        <f t="shared" si="251"/>
        <v>0.14499999999999999</v>
      </c>
      <c r="G139" s="223"/>
      <c r="H139" s="223">
        <f t="shared" si="198"/>
        <v>0.72499999999999998</v>
      </c>
      <c r="I139" s="559">
        <f t="shared" si="199"/>
        <v>15</v>
      </c>
      <c r="J139" s="454">
        <f t="shared" si="200"/>
        <v>15.75</v>
      </c>
      <c r="K139" s="454">
        <f t="shared" si="201"/>
        <v>30.75</v>
      </c>
      <c r="L139" s="454"/>
      <c r="M139" s="223">
        <f t="shared" si="202"/>
        <v>0.51219512195121952</v>
      </c>
      <c r="N139" s="178">
        <f t="shared" si="252"/>
        <v>2.592987804878049</v>
      </c>
      <c r="O139" s="178">
        <f t="shared" si="257"/>
        <v>0.72499999999999998</v>
      </c>
      <c r="P139" s="223">
        <f t="shared" si="203"/>
        <v>0.51859756097560983</v>
      </c>
      <c r="Q139" s="223">
        <f t="shared" si="204"/>
        <v>5</v>
      </c>
      <c r="R139" s="223"/>
      <c r="S139" s="178">
        <f t="shared" si="205"/>
        <v>29.955176738142313</v>
      </c>
      <c r="T139" s="178">
        <f t="shared" si="206"/>
        <v>5</v>
      </c>
      <c r="U139" s="223">
        <f t="shared" si="207"/>
        <v>0.20970017636684302</v>
      </c>
      <c r="V139" s="223">
        <f t="shared" si="208"/>
        <v>0.61512051734273954</v>
      </c>
      <c r="W139" s="223">
        <f t="shared" si="209"/>
        <v>0.58582906413594238</v>
      </c>
      <c r="X139" s="203">
        <f t="shared" si="210"/>
        <v>350</v>
      </c>
      <c r="Y139" s="454">
        <f t="shared" si="211"/>
        <v>350</v>
      </c>
      <c r="AA139" s="223">
        <f t="shared" si="212"/>
        <v>0.4988913525498892</v>
      </c>
      <c r="AB139" s="179">
        <f t="shared" si="213"/>
        <v>1.3937282229965158</v>
      </c>
      <c r="AC139" s="179">
        <f t="shared" si="214"/>
        <v>0.36504245308528482</v>
      </c>
      <c r="AD139" s="179"/>
      <c r="AE139" s="179">
        <f t="shared" si="215"/>
        <v>0.419047619047619</v>
      </c>
      <c r="AF139" s="563">
        <f t="shared" si="216"/>
        <v>1537.878787878788</v>
      </c>
      <c r="AG139" s="546">
        <f t="shared" si="217"/>
        <v>3.2999999999999995E-2</v>
      </c>
      <c r="AI139" s="179">
        <f t="shared" si="218"/>
        <v>0.31442588373675018</v>
      </c>
      <c r="AJ139" s="179">
        <f t="shared" si="219"/>
        <v>0.31442588373675018</v>
      </c>
      <c r="AK139" s="179">
        <f t="shared" si="220"/>
        <v>1.3217969509161112</v>
      </c>
      <c r="AM139" s="563">
        <f t="shared" si="221"/>
        <v>145</v>
      </c>
      <c r="AN139" s="472">
        <f t="shared" si="222"/>
        <v>350</v>
      </c>
      <c r="AP139" s="472">
        <f t="shared" si="223"/>
        <v>145</v>
      </c>
      <c r="AQ139" s="472">
        <f t="shared" si="224"/>
        <v>350</v>
      </c>
      <c r="AS139" s="6">
        <f t="shared" si="258"/>
        <v>2.8571428571428572</v>
      </c>
      <c r="AT139" s="6">
        <f t="shared" si="225"/>
        <v>0.92231592562780051</v>
      </c>
      <c r="AU139" s="6">
        <f t="shared" si="226"/>
        <v>1.9348269315150568</v>
      </c>
      <c r="AV139" s="6"/>
      <c r="AW139" s="179">
        <f t="shared" si="227"/>
        <v>0.32281057396973017</v>
      </c>
      <c r="AX139" s="179">
        <f t="shared" si="254"/>
        <v>0.76124999999999976</v>
      </c>
      <c r="AY139" s="179">
        <f t="shared" si="255"/>
        <v>0.31938882560512527</v>
      </c>
      <c r="AZ139" s="179">
        <f t="shared" si="259"/>
        <v>2.383458464953208</v>
      </c>
      <c r="BA139" s="472">
        <f t="shared" si="228"/>
        <v>28.298334324806667</v>
      </c>
      <c r="BB139" s="472">
        <f t="shared" si="229"/>
        <v>2.536704728132388</v>
      </c>
      <c r="BC139" s="6">
        <f t="shared" si="253"/>
        <v>8.6589476873358995E-2</v>
      </c>
      <c r="BD139" s="563">
        <f t="shared" si="231"/>
        <v>22.914830339832022</v>
      </c>
      <c r="BF139" s="179">
        <f t="shared" si="260"/>
        <v>0.10314104776030433</v>
      </c>
      <c r="BG139" s="179">
        <f t="shared" si="256"/>
        <v>0.4481609392763593</v>
      </c>
      <c r="BI139" s="546">
        <f t="shared" si="232"/>
        <v>3.7233265065826828E-3</v>
      </c>
      <c r="BJ139" s="546">
        <f t="shared" si="233"/>
        <v>2.5380064302875802E-2</v>
      </c>
      <c r="BK139" s="546">
        <f t="shared" si="234"/>
        <v>4.3749999999999995E-3</v>
      </c>
      <c r="BL139" s="546">
        <f t="shared" si="235"/>
        <v>1.6547343750000002E-2</v>
      </c>
      <c r="BM139">
        <f t="shared" si="236"/>
        <v>4.3499999999999997E-3</v>
      </c>
      <c r="BO139" s="472">
        <f t="shared" si="237"/>
        <v>54.375734559458479</v>
      </c>
      <c r="BP139" s="546">
        <f t="shared" si="238"/>
        <v>4.3499999999999997E-2</v>
      </c>
      <c r="BS139" s="472">
        <f t="shared" si="239"/>
        <v>43.5</v>
      </c>
      <c r="BT139" s="546">
        <f t="shared" si="240"/>
        <v>2.1276151466186762E-3</v>
      </c>
      <c r="BU139" s="546">
        <f t="shared" si="241"/>
        <v>8.0339290997227444E-3</v>
      </c>
      <c r="BV139" s="546">
        <f t="shared" si="242"/>
        <v>6.3523708006003581E-3</v>
      </c>
      <c r="BW139" s="546"/>
      <c r="BX139" s="546">
        <f t="shared" si="243"/>
        <v>1.7301136363636362E-2</v>
      </c>
      <c r="BY139" s="472">
        <f t="shared" si="244"/>
        <v>33.815051410578143</v>
      </c>
      <c r="BZ139" s="179">
        <f t="shared" si="245"/>
        <v>0.13169078597003661</v>
      </c>
      <c r="CA139" s="6">
        <f t="shared" si="246"/>
        <v>0.72499999999999998</v>
      </c>
      <c r="CB139" s="179">
        <f t="shared" si="247"/>
        <v>0.84627967508612545</v>
      </c>
      <c r="CC139" s="6">
        <f t="shared" si="248"/>
        <v>84.627967508612542</v>
      </c>
      <c r="CF139" s="581">
        <f t="shared" si="249"/>
        <v>-50</v>
      </c>
      <c r="CG139">
        <f t="shared" si="250"/>
        <v>-50</v>
      </c>
    </row>
    <row r="140" spans="5:85" x14ac:dyDescent="0.2">
      <c r="E140" s="176">
        <v>30</v>
      </c>
      <c r="F140" s="223">
        <f t="shared" si="251"/>
        <v>0.15</v>
      </c>
      <c r="G140" s="223"/>
      <c r="H140" s="223">
        <f t="shared" si="198"/>
        <v>0.75</v>
      </c>
      <c r="I140" s="559">
        <f t="shared" si="199"/>
        <v>15</v>
      </c>
      <c r="J140" s="454">
        <f t="shared" si="200"/>
        <v>15.75</v>
      </c>
      <c r="K140" s="454">
        <f t="shared" si="201"/>
        <v>30.75</v>
      </c>
      <c r="L140" s="454"/>
      <c r="M140" s="223">
        <f t="shared" si="202"/>
        <v>0.51219512195121952</v>
      </c>
      <c r="N140" s="178">
        <f t="shared" si="252"/>
        <v>2.592987804878049</v>
      </c>
      <c r="O140" s="178">
        <f t="shared" si="257"/>
        <v>0.75</v>
      </c>
      <c r="P140" s="223">
        <f t="shared" si="203"/>
        <v>0.51859756097560983</v>
      </c>
      <c r="Q140" s="223">
        <f t="shared" si="204"/>
        <v>5</v>
      </c>
      <c r="R140" s="223"/>
      <c r="S140" s="178">
        <f t="shared" si="205"/>
        <v>28.793039572248986</v>
      </c>
      <c r="T140" s="178">
        <f t="shared" si="206"/>
        <v>5</v>
      </c>
      <c r="U140" s="223">
        <f t="shared" si="207"/>
        <v>0.21693121693121692</v>
      </c>
      <c r="V140" s="223">
        <f t="shared" si="208"/>
        <v>0.63633156966490301</v>
      </c>
      <c r="W140" s="223">
        <f t="shared" si="209"/>
        <v>0.60603006634752665</v>
      </c>
      <c r="X140" s="203">
        <f t="shared" si="210"/>
        <v>350</v>
      </c>
      <c r="Y140" s="454">
        <f t="shared" si="211"/>
        <v>350</v>
      </c>
      <c r="AA140" s="223">
        <f t="shared" si="212"/>
        <v>0.4988913525498892</v>
      </c>
      <c r="AB140" s="179">
        <f t="shared" si="213"/>
        <v>1.3937282229965158</v>
      </c>
      <c r="AC140" s="179">
        <f t="shared" si="214"/>
        <v>0.36504245308528482</v>
      </c>
      <c r="AD140" s="179"/>
      <c r="AE140" s="179">
        <f t="shared" si="215"/>
        <v>0.419047619047619</v>
      </c>
      <c r="AF140" s="563">
        <f t="shared" si="216"/>
        <v>1590.909090909091</v>
      </c>
      <c r="AG140" s="546">
        <f t="shared" si="217"/>
        <v>3.2999999999999995E-2</v>
      </c>
      <c r="AI140" s="179">
        <f t="shared" si="218"/>
        <v>0.31980107453341566</v>
      </c>
      <c r="AJ140" s="179">
        <f t="shared" si="219"/>
        <v>0.31980107453341566</v>
      </c>
      <c r="AK140" s="179">
        <f t="shared" si="220"/>
        <v>1.325778573728456</v>
      </c>
      <c r="AM140" s="563">
        <f t="shared" si="221"/>
        <v>150</v>
      </c>
      <c r="AN140" s="472">
        <f t="shared" si="222"/>
        <v>350</v>
      </c>
      <c r="AP140" s="472">
        <f t="shared" si="223"/>
        <v>150</v>
      </c>
      <c r="AQ140" s="472">
        <f t="shared" si="224"/>
        <v>350</v>
      </c>
      <c r="AS140" s="6">
        <f t="shared" si="258"/>
        <v>2.8571428571428572</v>
      </c>
      <c r="AT140" s="6">
        <f t="shared" si="225"/>
        <v>0.93808315196468584</v>
      </c>
      <c r="AU140" s="6">
        <f t="shared" si="226"/>
        <v>1.9190597051781713</v>
      </c>
      <c r="AV140" s="6"/>
      <c r="AW140" s="179">
        <f t="shared" si="227"/>
        <v>0.32832910318764003</v>
      </c>
      <c r="AX140" s="179">
        <f t="shared" si="254"/>
        <v>0.78749999999999998</v>
      </c>
      <c r="AY140" s="179">
        <f t="shared" si="255"/>
        <v>0.32220161180012347</v>
      </c>
      <c r="AZ140" s="179">
        <f t="shared" si="259"/>
        <v>2.444121851533513</v>
      </c>
      <c r="BA140" s="472">
        <f t="shared" si="228"/>
        <v>28.298334324806667</v>
      </c>
      <c r="BB140" s="472">
        <f t="shared" si="229"/>
        <v>2.6991489361702126</v>
      </c>
      <c r="BC140" s="6">
        <f t="shared" si="253"/>
        <v>8.8845356721211619E-2</v>
      </c>
      <c r="BD140" s="563">
        <f t="shared" si="231"/>
        <v>23.626968215020334</v>
      </c>
      <c r="BF140" s="179">
        <f t="shared" si="260"/>
        <v>0.10579715312176195</v>
      </c>
      <c r="BG140" s="179">
        <f t="shared" si="256"/>
        <v>0.4539612795604443</v>
      </c>
      <c r="BI140" s="546">
        <f t="shared" si="232"/>
        <v>3.9175631630343401E-3</v>
      </c>
      <c r="BJ140" s="546">
        <f t="shared" si="233"/>
        <v>2.5813942984994141E-2</v>
      </c>
      <c r="BK140" s="546">
        <f t="shared" si="234"/>
        <v>4.3749999999999995E-3</v>
      </c>
      <c r="BL140" s="546">
        <f t="shared" si="235"/>
        <v>1.6547343750000002E-2</v>
      </c>
      <c r="BM140">
        <f t="shared" si="236"/>
        <v>4.3499999999999997E-3</v>
      </c>
      <c r="BO140" s="472">
        <f t="shared" si="237"/>
        <v>55.003849898028484</v>
      </c>
      <c r="BP140" s="546">
        <f t="shared" si="238"/>
        <v>4.4999999999999998E-2</v>
      </c>
      <c r="BS140" s="472">
        <f t="shared" si="239"/>
        <v>45</v>
      </c>
      <c r="BT140" s="546">
        <f t="shared" si="240"/>
        <v>2.2386075217339092E-3</v>
      </c>
      <c r="BU140" s="546">
        <f t="shared" si="241"/>
        <v>8.2432337336062339E-3</v>
      </c>
      <c r="BV140" s="546">
        <f t="shared" si="242"/>
        <v>6.6273500748149101E-3</v>
      </c>
      <c r="BW140" s="546"/>
      <c r="BX140" s="546">
        <f t="shared" si="243"/>
        <v>1.7897727272727277E-2</v>
      </c>
      <c r="BY140" s="472">
        <f t="shared" si="244"/>
        <v>35.006918602882322</v>
      </c>
      <c r="BZ140" s="179">
        <f t="shared" si="245"/>
        <v>0.13501076850091082</v>
      </c>
      <c r="CA140" s="6">
        <f t="shared" si="246"/>
        <v>0.75</v>
      </c>
      <c r="CB140" s="179">
        <f t="shared" si="247"/>
        <v>0.84744731555119845</v>
      </c>
      <c r="CC140" s="6">
        <f t="shared" si="248"/>
        <v>84.744731555119841</v>
      </c>
      <c r="CF140" s="581">
        <f t="shared" si="249"/>
        <v>-50</v>
      </c>
      <c r="CG140">
        <f t="shared" si="250"/>
        <v>-50</v>
      </c>
    </row>
    <row r="141" spans="5:85" x14ac:dyDescent="0.2">
      <c r="E141" s="176">
        <v>31</v>
      </c>
      <c r="F141" s="223">
        <f t="shared" si="251"/>
        <v>0.155</v>
      </c>
      <c r="G141" s="223"/>
      <c r="H141" s="223">
        <f t="shared" si="198"/>
        <v>0.77500000000000002</v>
      </c>
      <c r="I141" s="559">
        <f t="shared" si="199"/>
        <v>15</v>
      </c>
      <c r="J141" s="454">
        <f t="shared" si="200"/>
        <v>15.75</v>
      </c>
      <c r="K141" s="454">
        <f t="shared" si="201"/>
        <v>30.75</v>
      </c>
      <c r="L141" s="454"/>
      <c r="M141" s="223">
        <f t="shared" si="202"/>
        <v>0.51219512195121952</v>
      </c>
      <c r="N141" s="178">
        <f t="shared" si="252"/>
        <v>2.592987804878049</v>
      </c>
      <c r="O141" s="178">
        <f t="shared" si="257"/>
        <v>0.77500000000000002</v>
      </c>
      <c r="P141" s="223">
        <f t="shared" si="203"/>
        <v>0.51859756097560983</v>
      </c>
      <c r="Q141" s="223">
        <f t="shared" si="204"/>
        <v>5</v>
      </c>
      <c r="R141" s="223"/>
      <c r="S141" s="178">
        <f t="shared" si="205"/>
        <v>27.706003437700467</v>
      </c>
      <c r="T141" s="178">
        <f t="shared" si="206"/>
        <v>5</v>
      </c>
      <c r="U141" s="223">
        <f t="shared" si="207"/>
        <v>0.22416225749559082</v>
      </c>
      <c r="V141" s="223">
        <f t="shared" si="208"/>
        <v>0.65754262198706637</v>
      </c>
      <c r="W141" s="223">
        <f t="shared" si="209"/>
        <v>0.62623106855911082</v>
      </c>
      <c r="X141" s="203">
        <f t="shared" si="210"/>
        <v>350</v>
      </c>
      <c r="Y141" s="454">
        <f t="shared" si="211"/>
        <v>350</v>
      </c>
      <c r="AA141" s="223">
        <f t="shared" si="212"/>
        <v>0.4988913525498892</v>
      </c>
      <c r="AB141" s="179">
        <f t="shared" si="213"/>
        <v>1.3937282229965158</v>
      </c>
      <c r="AC141" s="179">
        <f t="shared" si="214"/>
        <v>0.36504245308528482</v>
      </c>
      <c r="AD141" s="179"/>
      <c r="AE141" s="179">
        <f t="shared" si="215"/>
        <v>0.419047619047619</v>
      </c>
      <c r="AF141" s="563">
        <f t="shared" si="216"/>
        <v>1643.9393939393942</v>
      </c>
      <c r="AG141" s="546">
        <f t="shared" si="217"/>
        <v>3.2999999999999995E-2</v>
      </c>
      <c r="AI141" s="179">
        <f t="shared" si="218"/>
        <v>0.32508740083524951</v>
      </c>
      <c r="AJ141" s="179">
        <f t="shared" si="219"/>
        <v>0.32508740083524951</v>
      </c>
      <c r="AK141" s="179">
        <f t="shared" si="220"/>
        <v>1.3296943709890736</v>
      </c>
      <c r="AM141" s="563">
        <f t="shared" si="221"/>
        <v>155</v>
      </c>
      <c r="AN141" s="472">
        <f t="shared" si="222"/>
        <v>350</v>
      </c>
      <c r="AP141" s="472">
        <f t="shared" si="223"/>
        <v>155</v>
      </c>
      <c r="AQ141" s="472">
        <f t="shared" si="224"/>
        <v>350</v>
      </c>
      <c r="AS141" s="6">
        <f t="shared" si="258"/>
        <v>2.8571428571428572</v>
      </c>
      <c r="AT141" s="6">
        <f t="shared" si="225"/>
        <v>0.95358970911673191</v>
      </c>
      <c r="AU141" s="6">
        <f t="shared" si="226"/>
        <v>1.9035531480261252</v>
      </c>
      <c r="AV141" s="6"/>
      <c r="AW141" s="179">
        <f t="shared" si="227"/>
        <v>0.33375639819085617</v>
      </c>
      <c r="AX141" s="179">
        <f t="shared" si="254"/>
        <v>0.81374999999999986</v>
      </c>
      <c r="AY141" s="179">
        <f t="shared" si="255"/>
        <v>0.32488110125287423</v>
      </c>
      <c r="AZ141" s="179">
        <f t="shared" si="259"/>
        <v>2.5047625019179245</v>
      </c>
      <c r="BA141" s="472">
        <f t="shared" si="228"/>
        <v>28.298334324806667</v>
      </c>
      <c r="BB141" s="472">
        <f t="shared" si="229"/>
        <v>2.8665912529550828</v>
      </c>
      <c r="BC141" s="6">
        <f t="shared" si="253"/>
        <v>9.1065042575323885E-2</v>
      </c>
      <c r="BD141" s="563">
        <f t="shared" si="231"/>
        <v>24.335062416254321</v>
      </c>
      <c r="BF141" s="179">
        <f t="shared" si="260"/>
        <v>0.10843121166685137</v>
      </c>
      <c r="BG141" s="179">
        <f t="shared" si="256"/>
        <v>0.45959711223372673</v>
      </c>
      <c r="BI141" s="546">
        <f t="shared" si="232"/>
        <v>4.115064682239533E-3</v>
      </c>
      <c r="BJ141" s="546">
        <f t="shared" si="233"/>
        <v>2.6240648636170295E-2</v>
      </c>
      <c r="BK141" s="546">
        <f t="shared" si="234"/>
        <v>4.3749999999999995E-3</v>
      </c>
      <c r="BL141" s="546">
        <f t="shared" si="235"/>
        <v>1.6547343750000002E-2</v>
      </c>
      <c r="BM141">
        <f t="shared" si="236"/>
        <v>4.3499999999999997E-3</v>
      </c>
      <c r="BO141" s="472">
        <f t="shared" si="237"/>
        <v>55.628057068409838</v>
      </c>
      <c r="BP141" s="546">
        <f t="shared" si="238"/>
        <v>4.65E-2</v>
      </c>
      <c r="BS141" s="472">
        <f t="shared" si="239"/>
        <v>46.5</v>
      </c>
      <c r="BT141" s="546">
        <f t="shared" si="240"/>
        <v>2.3514655327083051E-3</v>
      </c>
      <c r="BU141" s="546">
        <f t="shared" si="241"/>
        <v>8.4491802229432322E-3</v>
      </c>
      <c r="BV141" s="546">
        <f t="shared" si="242"/>
        <v>6.9046307920120039E-3</v>
      </c>
      <c r="BW141" s="546"/>
      <c r="BX141" s="546">
        <f t="shared" si="243"/>
        <v>1.8494318181818181E-2</v>
      </c>
      <c r="BY141" s="472">
        <f t="shared" si="244"/>
        <v>36.199594729481724</v>
      </c>
      <c r="BZ141" s="179">
        <f t="shared" si="245"/>
        <v>0.13832765179789155</v>
      </c>
      <c r="CA141" s="6">
        <f t="shared" si="246"/>
        <v>0.77500000000000002</v>
      </c>
      <c r="CB141" s="179">
        <f t="shared" si="247"/>
        <v>0.84854542449733938</v>
      </c>
      <c r="CC141" s="6">
        <f t="shared" si="248"/>
        <v>84.854542449733941</v>
      </c>
      <c r="CF141" s="581">
        <f t="shared" si="249"/>
        <v>-50</v>
      </c>
      <c r="CG141">
        <f t="shared" si="250"/>
        <v>-50</v>
      </c>
    </row>
    <row r="142" spans="5:85" x14ac:dyDescent="0.2">
      <c r="E142" s="176">
        <v>32</v>
      </c>
      <c r="F142" s="223">
        <f t="shared" si="251"/>
        <v>0.16</v>
      </c>
      <c r="G142" s="223"/>
      <c r="H142" s="223">
        <f t="shared" ref="H142:H173" si="261">F142*Vout</f>
        <v>0.8</v>
      </c>
      <c r="I142" s="559">
        <f t="shared" ref="I142:I173" si="262">VIN_min</f>
        <v>15</v>
      </c>
      <c r="J142" s="454">
        <f t="shared" ref="J142:J173" si="263">(T142+Vfwd1)*Nps</f>
        <v>15.75</v>
      </c>
      <c r="K142" s="454">
        <f t="shared" ref="K142:K173" si="264">(Vout+Vfwd1)*Nps+I142</f>
        <v>30.75</v>
      </c>
      <c r="L142" s="454"/>
      <c r="M142" s="223">
        <f t="shared" ref="M142:M173" si="265">(Vout+Vfwd1)*Nps/((Vout+Vfwd1)*Nps+I142)</f>
        <v>0.51219512195121952</v>
      </c>
      <c r="N142" s="178">
        <f t="shared" ref="N142:N173" si="266">M142*I142*Isw_max*0.5*Efficiency</f>
        <v>2.592987804878049</v>
      </c>
      <c r="O142" s="178">
        <f t="shared" si="257"/>
        <v>0.8</v>
      </c>
      <c r="P142" s="223">
        <f t="shared" ref="P142:P173" si="267">N142/Vout</f>
        <v>0.51859756097560983</v>
      </c>
      <c r="Q142" s="223">
        <f t="shared" ref="Q142:Q173" si="268">MIN(Vout,N142/F142)</f>
        <v>5</v>
      </c>
      <c r="R142" s="223"/>
      <c r="S142" s="178">
        <f t="shared" ref="S142:S173" si="269">(SQRT(Isw_max^2*Nps^2*I142^2+4*Isw_max*F142/Efficiency*(Nps^2*Vfwd1*I142-Nps*I142^2)+4*(F142/Efficiency)^2*Nps^2*Vfwd1^2+8*(F142/Efficiency)^2*Nps*Vfwd1*I142+4*(F142/Efficiency)^2*I142^2)-2*F142/Efficiency*I142-2*F142/Efficiency*Nps*Vfwd1+Isw_max*Nps*I142)/(4*F142/Efficiency*Nps)</f>
        <v>26.687029522775727</v>
      </c>
      <c r="T142" s="178">
        <f t="shared" ref="T142:T173" si="270">MIN(Vout, S142)</f>
        <v>5</v>
      </c>
      <c r="U142" s="223">
        <f t="shared" ref="U142:U173" si="271">MIN(2*Vout*F142/(Efficiency*I142*M142), Isw_max)</f>
        <v>0.23139329805996472</v>
      </c>
      <c r="V142" s="223">
        <f t="shared" ref="V142:V173" si="272">L*U142/I142*1000000</f>
        <v>0.67875367430922984</v>
      </c>
      <c r="W142" s="223">
        <f t="shared" ref="W142:W173" si="273">L*U142/J142*1000000</f>
        <v>0.64643207077069509</v>
      </c>
      <c r="X142" s="203">
        <f t="shared" ref="X142:X173" si="274">IF(1/((350000*L)*(1/I142+1/J142))&gt;Isw_min, 350, 0.001/((Isw_min*L)*(1/I142+1/J142)))</f>
        <v>350</v>
      </c>
      <c r="Y142" s="454">
        <f t="shared" si="211"/>
        <v>350</v>
      </c>
      <c r="AA142" s="223">
        <f t="shared" ref="AA142:AA173" si="275">1/((X142*1000*L)*(1/I142+1/J142))</f>
        <v>0.4988913525498892</v>
      </c>
      <c r="AB142" s="179">
        <f t="shared" ref="AB142:AB173" si="276">L*AA142/J142*1000000</f>
        <v>1.3937282229965158</v>
      </c>
      <c r="AC142" s="179">
        <f t="shared" ref="AC142:AC173" si="277">0.5*AB142*AA142*Nps*X142/1000</f>
        <v>0.36504245308528482</v>
      </c>
      <c r="AD142" s="179"/>
      <c r="AE142" s="179">
        <f t="shared" ref="AE142:AE173" si="278">L*Isw_min/J142*1000000</f>
        <v>0.419047619047619</v>
      </c>
      <c r="AF142" s="563">
        <f t="shared" ref="AF142:AF173" si="279">MAX(10000,F142/(0.5*AE142/1000000*Isw_min*Nps))/1000</f>
        <v>1696.9696969696972</v>
      </c>
      <c r="AG142" s="546">
        <f t="shared" ref="AG142:AG173" si="280">0.5*AE142/1000000*Isw_min*Nps*X142*1000</f>
        <v>3.2999999999999995E-2</v>
      </c>
      <c r="AI142" s="179">
        <f t="shared" ref="AI142:AI173" si="281">SQRT(F142/(0.5*L/J142*Fsw_DCM*Nps))</f>
        <v>0.33028912953790818</v>
      </c>
      <c r="AJ142" s="179">
        <f t="shared" ref="AJ142:AJ173" si="282">MAX(IF(F142&gt;AC142,U142,AI142),Isw_min)</f>
        <v>0.33028912953790818</v>
      </c>
      <c r="AK142" s="179">
        <f t="shared" ref="AK142:AK173" si="283">IF(F142&gt;AG142, (AJ142-Isw_min)/1.08*0.8+1.2, AF142*0.2/350+1)</f>
        <v>1.3335475033614135</v>
      </c>
      <c r="AM142" s="563">
        <f t="shared" ref="AM142:AM173" si="284">F142*1000</f>
        <v>160</v>
      </c>
      <c r="AN142" s="472">
        <f t="shared" ref="AN142:AN173" si="285">IF(F142&gt;AG142, Y142, AF142)</f>
        <v>350</v>
      </c>
      <c r="AP142" s="472">
        <f t="shared" ref="AP142:AP173" si="286">IF(H142&gt;N142, "",AM142)</f>
        <v>160</v>
      </c>
      <c r="AQ142" s="472">
        <f t="shared" ref="AQ142:AQ173" si="287">IF(H142&gt;N142, "",AN142)</f>
        <v>350</v>
      </c>
      <c r="AS142" s="6">
        <f t="shared" si="258"/>
        <v>2.8571428571428572</v>
      </c>
      <c r="AT142" s="6">
        <f t="shared" ref="AT142:AT173" si="288">L*AJ142/I142*1000000</f>
        <v>0.96884811331119725</v>
      </c>
      <c r="AU142" s="6">
        <f t="shared" si="226"/>
        <v>1.88829474383166</v>
      </c>
      <c r="AV142" s="6"/>
      <c r="AW142" s="179">
        <f t="shared" si="227"/>
        <v>0.33909683965891901</v>
      </c>
      <c r="AX142" s="179">
        <f t="shared" si="254"/>
        <v>0.84</v>
      </c>
      <c r="AY142" s="179">
        <f t="shared" si="255"/>
        <v>0.32743369430686226</v>
      </c>
      <c r="AZ142" s="179">
        <f t="shared" si="259"/>
        <v>2.5654048883948213</v>
      </c>
      <c r="BA142" s="472">
        <f t="shared" ref="BA142:BA173" si="289">L*Isw_max^2/(2*Vout_ripple*Vout)*1000000000*((1+M142)/2)^2</f>
        <v>28.298334324806667</v>
      </c>
      <c r="BB142" s="472">
        <f t="shared" ref="BB142:BB173" si="290">L*F142^2/(2*Cout*Vout*Nps^2)*1000000000*((1+M142)/(1-M142))^2+F142*RCoutEsr</f>
        <v>3.0390316784869973</v>
      </c>
      <c r="BC142" s="6">
        <f t="shared" si="253"/>
        <v>9.324912315218073E-2</v>
      </c>
      <c r="BD142" s="563">
        <f t="shared" ref="BD142:BD173" si="291">((CA142/I142/Efficiency)*AU142/Cin+(BY142/I142/Efficiency)*RCinEsr)*1000</f>
        <v>25.039171867857362</v>
      </c>
      <c r="BF142" s="179">
        <f t="shared" si="260"/>
        <v>0.11104410911622119</v>
      </c>
      <c r="BG142" s="179">
        <f t="shared" si="256"/>
        <v>0.46507588601000388</v>
      </c>
      <c r="BI142" s="546">
        <f t="shared" si="232"/>
        <v>4.3157779592953331E-3</v>
      </c>
      <c r="BJ142" s="546">
        <f t="shared" si="233"/>
        <v>2.6660525674888025E-2</v>
      </c>
      <c r="BK142" s="546">
        <f t="shared" si="234"/>
        <v>4.3749999999999995E-3</v>
      </c>
      <c r="BL142" s="546">
        <f t="shared" si="235"/>
        <v>1.6547343750000002E-2</v>
      </c>
      <c r="BM142">
        <f t="shared" si="236"/>
        <v>4.3499999999999997E-3</v>
      </c>
      <c r="BO142" s="472">
        <f t="shared" si="237"/>
        <v>56.248647384183357</v>
      </c>
      <c r="BP142" s="546">
        <f t="shared" ref="BP142:BP173" si="292">Vfwd2*F142</f>
        <v>4.8000000000000001E-2</v>
      </c>
      <c r="BS142" s="472">
        <f t="shared" si="239"/>
        <v>48</v>
      </c>
      <c r="BT142" s="546">
        <f t="shared" ref="BT142:BT173" si="293">Rdcr_pri*BF142^2</f>
        <v>2.4661588338830477E-3</v>
      </c>
      <c r="BU142" s="546">
        <f t="shared" ref="BU142:BU173" si="294">Rdcr_sec*BG142^2</f>
        <v>8.6518231899196055E-3</v>
      </c>
      <c r="BV142" s="546">
        <f t="shared" ref="BV142:BV173" si="295">AJ142^2.5*AN142^2.5*k_core</f>
        <v>7.184157027196568E-3</v>
      </c>
      <c r="BW142" s="546"/>
      <c r="BX142" s="546">
        <f t="shared" ref="BX142:BX173" si="296">0.5*Lleak*0.000000001*AJ142^2*AN142*1000</f>
        <v>1.9090909090909092E-2</v>
      </c>
      <c r="BY142" s="472">
        <f t="shared" si="244"/>
        <v>37.393048141908316</v>
      </c>
      <c r="BZ142" s="179">
        <f t="shared" ref="BZ142:BZ173" si="297">SUM(BI142:BM142,BP142:BR142,BT142:BX142)</f>
        <v>0.14164169552609168</v>
      </c>
      <c r="CA142" s="6">
        <f t="shared" ref="CA142:CA173" si="298">MIN(H142,O142)</f>
        <v>0.8</v>
      </c>
      <c r="CB142" s="179">
        <f t="shared" si="247"/>
        <v>0.84958005130926473</v>
      </c>
      <c r="CC142" s="6">
        <f t="shared" si="248"/>
        <v>84.958005130926466</v>
      </c>
      <c r="CF142" s="581">
        <f t="shared" ref="CF142:CF173" si="299">IF(ABS(F142-Ioutmax_Vinmin)&lt;Iout/200, AN142, -50)</f>
        <v>-50</v>
      </c>
      <c r="CG142">
        <f t="shared" ref="CG142:CG173" si="300">IF(ABS(F142-Ioutmax_Vinmin)&lt;Iout/200, N142*CB142, -50)</f>
        <v>-50</v>
      </c>
    </row>
    <row r="143" spans="5:85" x14ac:dyDescent="0.2">
      <c r="E143" s="176">
        <v>33</v>
      </c>
      <c r="F143" s="223">
        <f t="shared" ref="F143:F174" si="301">IF(PLOT_TYPE=1, E143/100*Iout_max, min_I*EXP(N143*rr/100))</f>
        <v>0.16500000000000001</v>
      </c>
      <c r="G143" s="223"/>
      <c r="H143" s="223">
        <f t="shared" si="261"/>
        <v>0.82500000000000007</v>
      </c>
      <c r="I143" s="559">
        <f t="shared" si="262"/>
        <v>15</v>
      </c>
      <c r="J143" s="454">
        <f t="shared" si="263"/>
        <v>15.75</v>
      </c>
      <c r="K143" s="454">
        <f t="shared" si="264"/>
        <v>30.75</v>
      </c>
      <c r="L143" s="454"/>
      <c r="M143" s="223">
        <f t="shared" si="265"/>
        <v>0.51219512195121952</v>
      </c>
      <c r="N143" s="178">
        <f t="shared" si="266"/>
        <v>2.592987804878049</v>
      </c>
      <c r="O143" s="178">
        <f t="shared" si="257"/>
        <v>0.82500000000000007</v>
      </c>
      <c r="P143" s="223">
        <f t="shared" si="267"/>
        <v>0.51859756097560983</v>
      </c>
      <c r="Q143" s="223">
        <f t="shared" si="268"/>
        <v>5</v>
      </c>
      <c r="R143" s="223"/>
      <c r="S143" s="178">
        <f t="shared" si="269"/>
        <v>25.729932241100538</v>
      </c>
      <c r="T143" s="178">
        <f t="shared" si="270"/>
        <v>5</v>
      </c>
      <c r="U143" s="223">
        <f t="shared" si="271"/>
        <v>0.23862433862433863</v>
      </c>
      <c r="V143" s="223">
        <f t="shared" si="272"/>
        <v>0.69996472663139331</v>
      </c>
      <c r="W143" s="223">
        <f t="shared" si="273"/>
        <v>0.66663307298227936</v>
      </c>
      <c r="X143" s="203">
        <f t="shared" si="274"/>
        <v>350</v>
      </c>
      <c r="Y143" s="454">
        <f t="shared" si="211"/>
        <v>350</v>
      </c>
      <c r="AA143" s="223">
        <f t="shared" si="275"/>
        <v>0.4988913525498892</v>
      </c>
      <c r="AB143" s="179">
        <f t="shared" si="276"/>
        <v>1.3937282229965158</v>
      </c>
      <c r="AC143" s="179">
        <f t="shared" si="277"/>
        <v>0.36504245308528482</v>
      </c>
      <c r="AD143" s="179"/>
      <c r="AE143" s="179">
        <f t="shared" si="278"/>
        <v>0.419047619047619</v>
      </c>
      <c r="AF143" s="563">
        <f t="shared" si="279"/>
        <v>1750.0000000000005</v>
      </c>
      <c r="AG143" s="546">
        <f t="shared" si="280"/>
        <v>3.2999999999999995E-2</v>
      </c>
      <c r="AI143" s="179">
        <f t="shared" si="281"/>
        <v>0.33541019662496846</v>
      </c>
      <c r="AJ143" s="179">
        <f t="shared" si="282"/>
        <v>0.33541019662496846</v>
      </c>
      <c r="AK143" s="179">
        <f t="shared" si="283"/>
        <v>1.3373408863888654</v>
      </c>
      <c r="AM143" s="563">
        <f t="shared" si="284"/>
        <v>165</v>
      </c>
      <c r="AN143" s="472">
        <f t="shared" si="285"/>
        <v>350</v>
      </c>
      <c r="AP143" s="472">
        <f t="shared" si="286"/>
        <v>165</v>
      </c>
      <c r="AQ143" s="472">
        <f t="shared" si="287"/>
        <v>350</v>
      </c>
      <c r="AS143" s="6">
        <f t="shared" si="258"/>
        <v>2.8571428571428572</v>
      </c>
      <c r="AT143" s="6">
        <f t="shared" si="288"/>
        <v>0.98386991009990743</v>
      </c>
      <c r="AU143" s="6">
        <f t="shared" si="226"/>
        <v>1.8732729470429499</v>
      </c>
      <c r="AV143" s="6"/>
      <c r="AW143" s="179">
        <f t="shared" si="227"/>
        <v>0.34435446853496759</v>
      </c>
      <c r="AX143" s="179">
        <f t="shared" si="254"/>
        <v>0.86625000000000008</v>
      </c>
      <c r="AY143" s="179">
        <f t="shared" si="255"/>
        <v>0.3298652949374527</v>
      </c>
      <c r="AZ143" s="179">
        <f t="shared" si="259"/>
        <v>2.6260719551120215</v>
      </c>
      <c r="BA143" s="472">
        <f t="shared" si="289"/>
        <v>28.298334324806667</v>
      </c>
      <c r="BB143" s="472">
        <f t="shared" si="290"/>
        <v>3.2164702127659579</v>
      </c>
      <c r="BC143" s="6">
        <f t="shared" si="253"/>
        <v>9.539815934015021E-2</v>
      </c>
      <c r="BD143" s="563">
        <f t="shared" si="291"/>
        <v>25.739352867544039</v>
      </c>
      <c r="BF143" s="179">
        <f t="shared" si="260"/>
        <v>0.11363666912604084</v>
      </c>
      <c r="BG143" s="179">
        <f t="shared" si="256"/>
        <v>0.47040447156617082</v>
      </c>
      <c r="BI143" s="546">
        <f t="shared" si="232"/>
        <v>4.5196523995214488E-3</v>
      </c>
      <c r="BJ143" s="546">
        <f t="shared" si="233"/>
        <v>2.7073891808821669E-2</v>
      </c>
      <c r="BK143" s="546">
        <f t="shared" si="234"/>
        <v>4.3749999999999995E-3</v>
      </c>
      <c r="BL143" s="546">
        <f t="shared" si="235"/>
        <v>1.6547343750000002E-2</v>
      </c>
      <c r="BM143">
        <f t="shared" si="236"/>
        <v>4.3499999999999997E-3</v>
      </c>
      <c r="BO143" s="472">
        <f t="shared" si="237"/>
        <v>56.865887958343109</v>
      </c>
      <c r="BP143" s="546">
        <f t="shared" si="292"/>
        <v>4.9500000000000002E-2</v>
      </c>
      <c r="BS143" s="472">
        <f t="shared" si="239"/>
        <v>49.5</v>
      </c>
      <c r="BT143" s="546">
        <f t="shared" si="293"/>
        <v>2.5826585140122566E-3</v>
      </c>
      <c r="BU143" s="546">
        <f t="shared" si="294"/>
        <v>8.8512146747779363E-3</v>
      </c>
      <c r="BV143" s="546">
        <f t="shared" si="295"/>
        <v>7.4658759273700456E-3</v>
      </c>
      <c r="BW143" s="546"/>
      <c r="BX143" s="546">
        <f t="shared" si="296"/>
        <v>1.9687500000000004E-2</v>
      </c>
      <c r="BY143" s="472">
        <f t="shared" si="244"/>
        <v>38.587249116160237</v>
      </c>
      <c r="BZ143" s="179">
        <f t="shared" si="297"/>
        <v>0.14495313707450336</v>
      </c>
      <c r="CA143" s="6">
        <f t="shared" si="298"/>
        <v>0.82500000000000007</v>
      </c>
      <c r="CB143" s="179">
        <f t="shared" si="247"/>
        <v>0.85055655625621296</v>
      </c>
      <c r="CC143" s="6">
        <f t="shared" si="248"/>
        <v>85.055655625621299</v>
      </c>
      <c r="CF143" s="581">
        <f t="shared" si="299"/>
        <v>-50</v>
      </c>
      <c r="CG143">
        <f t="shared" si="300"/>
        <v>-50</v>
      </c>
    </row>
    <row r="144" spans="5:85" x14ac:dyDescent="0.2">
      <c r="E144" s="176">
        <v>34</v>
      </c>
      <c r="F144" s="223">
        <f t="shared" si="301"/>
        <v>0.17</v>
      </c>
      <c r="G144" s="223"/>
      <c r="H144" s="223">
        <f t="shared" si="261"/>
        <v>0.85000000000000009</v>
      </c>
      <c r="I144" s="559">
        <f t="shared" si="262"/>
        <v>15</v>
      </c>
      <c r="J144" s="454">
        <f t="shared" si="263"/>
        <v>15.75</v>
      </c>
      <c r="K144" s="454">
        <f t="shared" si="264"/>
        <v>30.75</v>
      </c>
      <c r="L144" s="454"/>
      <c r="M144" s="223">
        <f t="shared" si="265"/>
        <v>0.51219512195121952</v>
      </c>
      <c r="N144" s="178">
        <f t="shared" si="266"/>
        <v>2.592987804878049</v>
      </c>
      <c r="O144" s="178">
        <f t="shared" si="257"/>
        <v>0.85000000000000009</v>
      </c>
      <c r="P144" s="223">
        <f t="shared" si="267"/>
        <v>0.51859756097560983</v>
      </c>
      <c r="Q144" s="223">
        <f t="shared" si="268"/>
        <v>5</v>
      </c>
      <c r="R144" s="223"/>
      <c r="S144" s="178">
        <f t="shared" si="269"/>
        <v>24.829253758094406</v>
      </c>
      <c r="T144" s="178">
        <f t="shared" si="270"/>
        <v>5</v>
      </c>
      <c r="U144" s="223">
        <f t="shared" si="271"/>
        <v>0.24585537918871253</v>
      </c>
      <c r="V144" s="223">
        <f t="shared" si="272"/>
        <v>0.72117577895355678</v>
      </c>
      <c r="W144" s="223">
        <f t="shared" si="273"/>
        <v>0.68683407519386352</v>
      </c>
      <c r="X144" s="203">
        <f t="shared" si="274"/>
        <v>350</v>
      </c>
      <c r="Y144" s="454">
        <f t="shared" si="211"/>
        <v>350</v>
      </c>
      <c r="AA144" s="223">
        <f t="shared" si="275"/>
        <v>0.4988913525498892</v>
      </c>
      <c r="AB144" s="179">
        <f t="shared" si="276"/>
        <v>1.3937282229965158</v>
      </c>
      <c r="AC144" s="179">
        <f t="shared" si="277"/>
        <v>0.36504245308528482</v>
      </c>
      <c r="AD144" s="179"/>
      <c r="AE144" s="179">
        <f t="shared" si="278"/>
        <v>0.419047619047619</v>
      </c>
      <c r="AF144" s="563">
        <f t="shared" si="279"/>
        <v>1803.0303030303035</v>
      </c>
      <c r="AG144" s="546">
        <f t="shared" si="280"/>
        <v>3.2999999999999995E-2</v>
      </c>
      <c r="AI144" s="179">
        <f t="shared" si="281"/>
        <v>0.34045424201952734</v>
      </c>
      <c r="AJ144" s="179">
        <f t="shared" si="282"/>
        <v>0.34045424201952734</v>
      </c>
      <c r="AK144" s="179">
        <f t="shared" si="283"/>
        <v>1.3410772163107609</v>
      </c>
      <c r="AM144" s="563">
        <f t="shared" si="284"/>
        <v>170</v>
      </c>
      <c r="AN144" s="472">
        <f t="shared" si="285"/>
        <v>350</v>
      </c>
      <c r="AP144" s="472">
        <f t="shared" si="286"/>
        <v>170</v>
      </c>
      <c r="AQ144" s="472">
        <f t="shared" si="287"/>
        <v>350</v>
      </c>
      <c r="AS144" s="6">
        <f t="shared" si="258"/>
        <v>2.8571428571428572</v>
      </c>
      <c r="AT144" s="6">
        <f t="shared" si="288"/>
        <v>0.9986657765906134</v>
      </c>
      <c r="AU144" s="6">
        <f t="shared" si="226"/>
        <v>1.8584770805522437</v>
      </c>
      <c r="AV144" s="6"/>
      <c r="AW144" s="179">
        <f t="shared" si="227"/>
        <v>0.34953302180671469</v>
      </c>
      <c r="AX144" s="179">
        <f t="shared" si="254"/>
        <v>0.89249999999999996</v>
      </c>
      <c r="AY144" s="179">
        <f t="shared" si="255"/>
        <v>0.33218136302929102</v>
      </c>
      <c r="AZ144" s="179">
        <f t="shared" si="259"/>
        <v>2.6867852906043415</v>
      </c>
      <c r="BA144" s="472">
        <f t="shared" si="289"/>
        <v>28.298334324806667</v>
      </c>
      <c r="BB144" s="472">
        <f t="shared" si="290"/>
        <v>3.3989068557919637</v>
      </c>
      <c r="BC144" s="6">
        <f t="shared" si="253"/>
        <v>9.7512686325272047E-2</v>
      </c>
      <c r="BD144" s="563">
        <f t="shared" si="291"/>
        <v>26.435659278741404</v>
      </c>
      <c r="BF144" s="179">
        <f t="shared" si="260"/>
        <v>0.11620965938097078</v>
      </c>
      <c r="BG144" s="179">
        <f t="shared" si="256"/>
        <v>0.4755892222562465</v>
      </c>
      <c r="BI144" s="546">
        <f t="shared" si="232"/>
        <v>4.7266397267044366E-3</v>
      </c>
      <c r="BJ144" s="546">
        <f t="shared" si="233"/>
        <v>2.7481040848013723E-2</v>
      </c>
      <c r="BK144" s="546">
        <f t="shared" si="234"/>
        <v>4.3749999999999995E-3</v>
      </c>
      <c r="BL144" s="546">
        <f t="shared" si="235"/>
        <v>1.6547343750000002E-2</v>
      </c>
      <c r="BM144">
        <f t="shared" si="236"/>
        <v>4.3499999999999997E-3</v>
      </c>
      <c r="BO144" s="472">
        <f t="shared" si="237"/>
        <v>57.480024324718151</v>
      </c>
      <c r="BP144" s="546">
        <f t="shared" si="292"/>
        <v>5.1000000000000004E-2</v>
      </c>
      <c r="BS144" s="472">
        <f t="shared" si="239"/>
        <v>51.000000000000007</v>
      </c>
      <c r="BT144" s="546">
        <f t="shared" si="293"/>
        <v>2.7009369866882499E-3</v>
      </c>
      <c r="BU144" s="546">
        <f t="shared" si="294"/>
        <v>9.0474043330520566E-3</v>
      </c>
      <c r="BV144" s="546">
        <f t="shared" si="295"/>
        <v>7.7497374543824332E-3</v>
      </c>
      <c r="BW144" s="546"/>
      <c r="BX144" s="546">
        <f t="shared" si="296"/>
        <v>2.0284090909090911E-2</v>
      </c>
      <c r="BY144" s="472">
        <f t="shared" si="244"/>
        <v>39.782169683213652</v>
      </c>
      <c r="BZ144" s="179">
        <f t="shared" si="297"/>
        <v>0.14826219400793181</v>
      </c>
      <c r="CA144" s="6">
        <f t="shared" si="298"/>
        <v>0.85000000000000009</v>
      </c>
      <c r="CB144" s="179">
        <f t="shared" si="247"/>
        <v>0.85147970653614291</v>
      </c>
      <c r="CC144" s="6">
        <f t="shared" si="248"/>
        <v>85.147970653614294</v>
      </c>
      <c r="CF144" s="581">
        <f t="shared" si="299"/>
        <v>-50</v>
      </c>
      <c r="CG144">
        <f t="shared" si="300"/>
        <v>-50</v>
      </c>
    </row>
    <row r="145" spans="5:85" x14ac:dyDescent="0.2">
      <c r="E145" s="176">
        <v>35</v>
      </c>
      <c r="F145" s="223">
        <f t="shared" si="301"/>
        <v>0.17499999999999999</v>
      </c>
      <c r="G145" s="223"/>
      <c r="H145" s="223">
        <f t="shared" si="261"/>
        <v>0.875</v>
      </c>
      <c r="I145" s="559">
        <f t="shared" si="262"/>
        <v>15</v>
      </c>
      <c r="J145" s="454">
        <f t="shared" si="263"/>
        <v>15.75</v>
      </c>
      <c r="K145" s="454">
        <f t="shared" si="264"/>
        <v>30.75</v>
      </c>
      <c r="L145" s="454"/>
      <c r="M145" s="223">
        <f t="shared" si="265"/>
        <v>0.51219512195121952</v>
      </c>
      <c r="N145" s="178">
        <f t="shared" si="266"/>
        <v>2.592987804878049</v>
      </c>
      <c r="O145" s="178">
        <f t="shared" si="257"/>
        <v>0.875</v>
      </c>
      <c r="P145" s="223">
        <f t="shared" si="267"/>
        <v>0.51859756097560983</v>
      </c>
      <c r="Q145" s="223">
        <f t="shared" si="268"/>
        <v>5</v>
      </c>
      <c r="R145" s="223"/>
      <c r="S145" s="178">
        <f t="shared" si="269"/>
        <v>23.980160027185619</v>
      </c>
      <c r="T145" s="178">
        <f t="shared" si="270"/>
        <v>5</v>
      </c>
      <c r="U145" s="223">
        <f t="shared" si="271"/>
        <v>0.25308641975308643</v>
      </c>
      <c r="V145" s="223">
        <f t="shared" si="272"/>
        <v>0.74238683127572025</v>
      </c>
      <c r="W145" s="223">
        <f t="shared" si="273"/>
        <v>0.7070350774054478</v>
      </c>
      <c r="X145" s="203">
        <f t="shared" si="274"/>
        <v>350</v>
      </c>
      <c r="Y145" s="454">
        <f t="shared" si="211"/>
        <v>350</v>
      </c>
      <c r="AA145" s="223">
        <f t="shared" si="275"/>
        <v>0.4988913525498892</v>
      </c>
      <c r="AB145" s="179">
        <f t="shared" si="276"/>
        <v>1.3937282229965158</v>
      </c>
      <c r="AC145" s="179">
        <f t="shared" si="277"/>
        <v>0.36504245308528482</v>
      </c>
      <c r="AD145" s="179"/>
      <c r="AE145" s="179">
        <f t="shared" si="278"/>
        <v>0.419047619047619</v>
      </c>
      <c r="AF145" s="563">
        <f t="shared" si="279"/>
        <v>1856.0606060606062</v>
      </c>
      <c r="AG145" s="546">
        <f t="shared" si="280"/>
        <v>3.2999999999999995E-2</v>
      </c>
      <c r="AI145" s="179">
        <f t="shared" si="281"/>
        <v>0.34542463985387867</v>
      </c>
      <c r="AJ145" s="179">
        <f t="shared" si="282"/>
        <v>0.34542463985387867</v>
      </c>
      <c r="AK145" s="179">
        <f t="shared" si="283"/>
        <v>1.3447589924843546</v>
      </c>
      <c r="AM145" s="563">
        <f t="shared" si="284"/>
        <v>175</v>
      </c>
      <c r="AN145" s="472">
        <f t="shared" si="285"/>
        <v>350</v>
      </c>
      <c r="AP145" s="472">
        <f t="shared" si="286"/>
        <v>175</v>
      </c>
      <c r="AQ145" s="472">
        <f t="shared" si="287"/>
        <v>350</v>
      </c>
      <c r="AS145" s="6">
        <f t="shared" si="258"/>
        <v>2.8571428571428572</v>
      </c>
      <c r="AT145" s="6">
        <f t="shared" si="288"/>
        <v>1.0132456102380443</v>
      </c>
      <c r="AU145" s="6">
        <f t="shared" si="226"/>
        <v>1.8438972469048129</v>
      </c>
      <c r="AV145" s="6"/>
      <c r="AW145" s="179">
        <f t="shared" si="227"/>
        <v>0.35463596358331551</v>
      </c>
      <c r="AX145" s="179">
        <f t="shared" si="254"/>
        <v>0.91874999999999962</v>
      </c>
      <c r="AY145" s="179">
        <f t="shared" si="255"/>
        <v>0.334386959780818</v>
      </c>
      <c r="AZ145" s="179">
        <f t="shared" si="259"/>
        <v>2.7475652776717623</v>
      </c>
      <c r="BA145" s="472">
        <f t="shared" si="289"/>
        <v>28.298334324806667</v>
      </c>
      <c r="BB145" s="472">
        <f t="shared" si="290"/>
        <v>3.5863416075650116</v>
      </c>
      <c r="BC145" s="6">
        <f t="shared" si="253"/>
        <v>9.9593215496401905E-2</v>
      </c>
      <c r="BD145" s="563">
        <f t="shared" si="291"/>
        <v>27.128142703614884</v>
      </c>
      <c r="BF145" s="179">
        <f t="shared" si="260"/>
        <v>0.1187637969277677</v>
      </c>
      <c r="BG145" s="179">
        <f t="shared" si="256"/>
        <v>0.48063602685217527</v>
      </c>
      <c r="BI145" s="546">
        <f t="shared" si="232"/>
        <v>4.9366938112450154E-3</v>
      </c>
      <c r="BJ145" s="546">
        <f t="shared" si="233"/>
        <v>2.7882245148205267E-2</v>
      </c>
      <c r="BK145" s="546">
        <f t="shared" si="234"/>
        <v>4.3749999999999995E-3</v>
      </c>
      <c r="BL145" s="546">
        <f t="shared" si="235"/>
        <v>1.6547343750000002E-2</v>
      </c>
      <c r="BM145">
        <f t="shared" si="236"/>
        <v>4.3499999999999997E-3</v>
      </c>
      <c r="BO145" s="472">
        <f t="shared" si="237"/>
        <v>58.091282709450276</v>
      </c>
      <c r="BP145" s="546">
        <f t="shared" si="292"/>
        <v>5.2499999999999998E-2</v>
      </c>
      <c r="BS145" s="472">
        <f t="shared" si="239"/>
        <v>52.5</v>
      </c>
      <c r="BT145" s="546">
        <f t="shared" si="293"/>
        <v>2.8209678921400092E-3</v>
      </c>
      <c r="BU145" s="546">
        <f t="shared" si="294"/>
        <v>9.2404396123297993E-3</v>
      </c>
      <c r="BV145" s="546">
        <f t="shared" si="295"/>
        <v>8.0356941562743367E-3</v>
      </c>
      <c r="BW145" s="546"/>
      <c r="BX145" s="546">
        <f t="shared" si="296"/>
        <v>2.0880681818181812E-2</v>
      </c>
      <c r="BY145" s="472">
        <f t="shared" si="244"/>
        <v>40.977783478925957</v>
      </c>
      <c r="BZ145" s="179">
        <f t="shared" si="297"/>
        <v>0.15156906618837623</v>
      </c>
      <c r="CA145" s="6">
        <f t="shared" si="298"/>
        <v>0.875</v>
      </c>
      <c r="CB145" s="179">
        <f t="shared" si="247"/>
        <v>0.85235375662433688</v>
      </c>
      <c r="CC145" s="6">
        <f t="shared" si="248"/>
        <v>85.235375662433682</v>
      </c>
      <c r="CF145" s="581">
        <f t="shared" si="299"/>
        <v>-50</v>
      </c>
      <c r="CG145">
        <f t="shared" si="300"/>
        <v>-50</v>
      </c>
    </row>
    <row r="146" spans="5:85" x14ac:dyDescent="0.2">
      <c r="E146" s="176">
        <v>36</v>
      </c>
      <c r="F146" s="223">
        <f t="shared" si="301"/>
        <v>0.18</v>
      </c>
      <c r="G146" s="223"/>
      <c r="H146" s="223">
        <f t="shared" si="261"/>
        <v>0.89999999999999991</v>
      </c>
      <c r="I146" s="559">
        <f t="shared" si="262"/>
        <v>15</v>
      </c>
      <c r="J146" s="454">
        <f t="shared" si="263"/>
        <v>15.75</v>
      </c>
      <c r="K146" s="454">
        <f t="shared" si="264"/>
        <v>30.75</v>
      </c>
      <c r="L146" s="454"/>
      <c r="M146" s="223">
        <f t="shared" si="265"/>
        <v>0.51219512195121952</v>
      </c>
      <c r="N146" s="178">
        <f t="shared" si="266"/>
        <v>2.592987804878049</v>
      </c>
      <c r="O146" s="178">
        <f t="shared" si="257"/>
        <v>0.89999999999999991</v>
      </c>
      <c r="P146" s="223">
        <f t="shared" si="267"/>
        <v>0.51859756097560983</v>
      </c>
      <c r="Q146" s="223">
        <f t="shared" si="268"/>
        <v>5</v>
      </c>
      <c r="R146" s="223"/>
      <c r="S146" s="178">
        <f t="shared" si="269"/>
        <v>23.178354153339953</v>
      </c>
      <c r="T146" s="178">
        <f t="shared" si="270"/>
        <v>5</v>
      </c>
      <c r="U146" s="223">
        <f t="shared" si="271"/>
        <v>0.26031746031746028</v>
      </c>
      <c r="V146" s="223">
        <f t="shared" si="272"/>
        <v>0.76359788359788339</v>
      </c>
      <c r="W146" s="223">
        <f t="shared" si="273"/>
        <v>0.72723607961703185</v>
      </c>
      <c r="X146" s="203">
        <f t="shared" si="274"/>
        <v>350</v>
      </c>
      <c r="Y146" s="454">
        <f t="shared" si="211"/>
        <v>350</v>
      </c>
      <c r="AA146" s="223">
        <f t="shared" si="275"/>
        <v>0.4988913525498892</v>
      </c>
      <c r="AB146" s="179">
        <f t="shared" si="276"/>
        <v>1.3937282229965158</v>
      </c>
      <c r="AC146" s="179">
        <f t="shared" si="277"/>
        <v>0.36504245308528482</v>
      </c>
      <c r="AD146" s="179"/>
      <c r="AE146" s="179">
        <f t="shared" si="278"/>
        <v>0.419047619047619</v>
      </c>
      <c r="AF146" s="563">
        <f t="shared" si="279"/>
        <v>1909.0909090909095</v>
      </c>
      <c r="AG146" s="546">
        <f t="shared" si="280"/>
        <v>3.2999999999999995E-2</v>
      </c>
      <c r="AI146" s="179">
        <f t="shared" si="281"/>
        <v>0.35032452487268534</v>
      </c>
      <c r="AJ146" s="179">
        <f t="shared" si="282"/>
        <v>0.35032452487268534</v>
      </c>
      <c r="AK146" s="179">
        <f t="shared" si="283"/>
        <v>1.3483885369427298</v>
      </c>
      <c r="AM146" s="563">
        <f t="shared" si="284"/>
        <v>180</v>
      </c>
      <c r="AN146" s="472">
        <f t="shared" si="285"/>
        <v>350</v>
      </c>
      <c r="AP146" s="472">
        <f t="shared" si="286"/>
        <v>180</v>
      </c>
      <c r="AQ146" s="472">
        <f t="shared" si="287"/>
        <v>350</v>
      </c>
      <c r="AS146" s="6">
        <f t="shared" si="258"/>
        <v>2.8571428571428572</v>
      </c>
      <c r="AT146" s="6">
        <f t="shared" si="288"/>
        <v>1.0276186062932102</v>
      </c>
      <c r="AU146" s="6">
        <f t="shared" si="226"/>
        <v>1.829524250849647</v>
      </c>
      <c r="AV146" s="6"/>
      <c r="AW146" s="179">
        <f t="shared" si="227"/>
        <v>0.35966651220262358</v>
      </c>
      <c r="AX146" s="179">
        <f t="shared" si="254"/>
        <v>0.94499999999999995</v>
      </c>
      <c r="AY146" s="179">
        <f t="shared" si="255"/>
        <v>0.33648678730902803</v>
      </c>
      <c r="AZ146" s="179">
        <f t="shared" si="259"/>
        <v>2.8084312241720086</v>
      </c>
      <c r="BA146" s="472">
        <f t="shared" si="289"/>
        <v>28.298334324806667</v>
      </c>
      <c r="BB146" s="472">
        <f t="shared" si="290"/>
        <v>3.7787744680851065</v>
      </c>
      <c r="BC146" s="6">
        <f t="shared" si="253"/>
        <v>0.1016402361583137</v>
      </c>
      <c r="BD146" s="563">
        <f t="shared" si="291"/>
        <v>27.816852639229506</v>
      </c>
      <c r="BF146" s="179">
        <f t="shared" si="260"/>
        <v>0.12129975286311502</v>
      </c>
      <c r="BG146" s="179">
        <f t="shared" si="256"/>
        <v>0.4855503555553668</v>
      </c>
      <c r="BI146" s="546">
        <f t="shared" si="232"/>
        <v>5.1497705156284728E-3</v>
      </c>
      <c r="BJ146" s="546">
        <f t="shared" si="233"/>
        <v>2.8277757742067065E-2</v>
      </c>
      <c r="BK146" s="546">
        <f t="shared" si="234"/>
        <v>4.3749999999999995E-3</v>
      </c>
      <c r="BL146" s="546">
        <f t="shared" si="235"/>
        <v>1.6547343750000002E-2</v>
      </c>
      <c r="BM146">
        <f t="shared" si="236"/>
        <v>4.3499999999999997E-3</v>
      </c>
      <c r="BO146" s="472">
        <f t="shared" si="237"/>
        <v>58.699872007695532</v>
      </c>
      <c r="BP146" s="546">
        <f t="shared" si="292"/>
        <v>5.3999999999999999E-2</v>
      </c>
      <c r="BS146" s="472">
        <f t="shared" si="239"/>
        <v>54</v>
      </c>
      <c r="BT146" s="546">
        <f t="shared" si="293"/>
        <v>2.9427260089305561E-3</v>
      </c>
      <c r="BU146" s="546">
        <f t="shared" si="294"/>
        <v>9.4303659111977245E-3</v>
      </c>
      <c r="BV146" s="546">
        <f t="shared" si="295"/>
        <v>8.3237009632250204E-3</v>
      </c>
      <c r="BW146" s="546"/>
      <c r="BX146" s="546">
        <f t="shared" si="296"/>
        <v>2.1477272727272734E-2</v>
      </c>
      <c r="BY146" s="472">
        <f t="shared" si="244"/>
        <v>42.17406561062603</v>
      </c>
      <c r="BZ146" s="179">
        <f t="shared" si="297"/>
        <v>0.15487393761832155</v>
      </c>
      <c r="CA146" s="6">
        <f t="shared" si="298"/>
        <v>0.89999999999999991</v>
      </c>
      <c r="CB146" s="179">
        <f t="shared" si="247"/>
        <v>0.85318251584829796</v>
      </c>
      <c r="CC146" s="6">
        <f t="shared" si="248"/>
        <v>85.318251584829795</v>
      </c>
      <c r="CF146" s="581">
        <f t="shared" si="299"/>
        <v>-50</v>
      </c>
      <c r="CG146">
        <f t="shared" si="300"/>
        <v>-50</v>
      </c>
    </row>
    <row r="147" spans="5:85" x14ac:dyDescent="0.2">
      <c r="E147" s="176">
        <v>37</v>
      </c>
      <c r="F147" s="223">
        <f t="shared" si="301"/>
        <v>0.185</v>
      </c>
      <c r="G147" s="223"/>
      <c r="H147" s="223">
        <f t="shared" si="261"/>
        <v>0.92500000000000004</v>
      </c>
      <c r="I147" s="559">
        <f t="shared" si="262"/>
        <v>15</v>
      </c>
      <c r="J147" s="454">
        <f t="shared" si="263"/>
        <v>15.75</v>
      </c>
      <c r="K147" s="454">
        <f t="shared" si="264"/>
        <v>30.75</v>
      </c>
      <c r="L147" s="454"/>
      <c r="M147" s="223">
        <f t="shared" si="265"/>
        <v>0.51219512195121952</v>
      </c>
      <c r="N147" s="178">
        <f t="shared" si="266"/>
        <v>2.592987804878049</v>
      </c>
      <c r="O147" s="178">
        <f t="shared" si="257"/>
        <v>0.92500000000000004</v>
      </c>
      <c r="P147" s="223">
        <f t="shared" si="267"/>
        <v>0.51859756097560983</v>
      </c>
      <c r="Q147" s="223">
        <f t="shared" si="268"/>
        <v>5</v>
      </c>
      <c r="R147" s="223"/>
      <c r="S147" s="178">
        <f t="shared" si="269"/>
        <v>22.420003805762715</v>
      </c>
      <c r="T147" s="178">
        <f t="shared" si="270"/>
        <v>5</v>
      </c>
      <c r="U147" s="223">
        <f t="shared" si="271"/>
        <v>0.26754850088183424</v>
      </c>
      <c r="V147" s="223">
        <f t="shared" si="272"/>
        <v>0.78480893592004708</v>
      </c>
      <c r="W147" s="223">
        <f t="shared" si="273"/>
        <v>0.74743708182861623</v>
      </c>
      <c r="X147" s="203">
        <f t="shared" si="274"/>
        <v>350</v>
      </c>
      <c r="Y147" s="454">
        <f t="shared" si="211"/>
        <v>350</v>
      </c>
      <c r="AA147" s="223">
        <f t="shared" si="275"/>
        <v>0.4988913525498892</v>
      </c>
      <c r="AB147" s="179">
        <f t="shared" si="276"/>
        <v>1.3937282229965158</v>
      </c>
      <c r="AC147" s="179">
        <f t="shared" si="277"/>
        <v>0.36504245308528482</v>
      </c>
      <c r="AD147" s="179"/>
      <c r="AE147" s="179">
        <f t="shared" si="278"/>
        <v>0.419047619047619</v>
      </c>
      <c r="AF147" s="563">
        <f t="shared" si="279"/>
        <v>1962.1212121212125</v>
      </c>
      <c r="AG147" s="546">
        <f t="shared" si="280"/>
        <v>3.2999999999999995E-2</v>
      </c>
      <c r="AI147" s="179">
        <f t="shared" si="281"/>
        <v>0.35515681555668283</v>
      </c>
      <c r="AJ147" s="179">
        <f t="shared" si="282"/>
        <v>0.35515681555668283</v>
      </c>
      <c r="AK147" s="179">
        <f t="shared" si="283"/>
        <v>1.3519680115234687</v>
      </c>
      <c r="AM147" s="563">
        <f t="shared" si="284"/>
        <v>185</v>
      </c>
      <c r="AN147" s="472">
        <f t="shared" si="285"/>
        <v>350</v>
      </c>
      <c r="AP147" s="472">
        <f t="shared" si="286"/>
        <v>185</v>
      </c>
      <c r="AQ147" s="472">
        <f t="shared" si="287"/>
        <v>350</v>
      </c>
      <c r="AS147" s="6">
        <f t="shared" si="258"/>
        <v>2.8571428571428572</v>
      </c>
      <c r="AT147" s="6">
        <f t="shared" si="288"/>
        <v>1.0417933256329364</v>
      </c>
      <c r="AU147" s="6">
        <f t="shared" si="226"/>
        <v>1.8153495315099208</v>
      </c>
      <c r="AV147" s="6"/>
      <c r="AW147" s="179">
        <f t="shared" si="227"/>
        <v>0.36462766397152774</v>
      </c>
      <c r="AX147" s="179">
        <f t="shared" si="254"/>
        <v>0.97124999999999995</v>
      </c>
      <c r="AY147" s="179">
        <f t="shared" si="255"/>
        <v>0.33848522333502418</v>
      </c>
      <c r="AZ147" s="179">
        <f t="shared" si="259"/>
        <v>2.8694014776493835</v>
      </c>
      <c r="BA147" s="472">
        <f t="shared" si="289"/>
        <v>28.298334324806667</v>
      </c>
      <c r="BB147" s="472">
        <f t="shared" si="290"/>
        <v>3.9762054373522453</v>
      </c>
      <c r="BC147" s="6">
        <f t="shared" si="253"/>
        <v>0.10365421707695535</v>
      </c>
      <c r="BD147" s="563">
        <f t="shared" si="291"/>
        <v>28.501836618911646</v>
      </c>
      <c r="BF147" s="179">
        <f t="shared" si="260"/>
        <v>0.12381815646959916</v>
      </c>
      <c r="BG147" s="179">
        <f t="shared" si="256"/>
        <v>0.49033730029982375</v>
      </c>
      <c r="BI147" s="546">
        <f t="shared" si="232"/>
        <v>5.3658275550355497E-3</v>
      </c>
      <c r="BJ147" s="546">
        <f t="shared" si="233"/>
        <v>2.8667814205715989E-2</v>
      </c>
      <c r="BK147" s="546">
        <f t="shared" si="234"/>
        <v>4.3749999999999995E-3</v>
      </c>
      <c r="BL147" s="546">
        <f t="shared" si="235"/>
        <v>1.6547343750000002E-2</v>
      </c>
      <c r="BM147">
        <f t="shared" si="236"/>
        <v>4.3499999999999997E-3</v>
      </c>
      <c r="BO147" s="472">
        <f t="shared" si="237"/>
        <v>59.30598551075154</v>
      </c>
      <c r="BP147" s="546">
        <f t="shared" si="292"/>
        <v>5.5500000000000001E-2</v>
      </c>
      <c r="BS147" s="472">
        <f t="shared" si="239"/>
        <v>55.5</v>
      </c>
      <c r="BT147" s="546">
        <f t="shared" si="293"/>
        <v>3.0661871743060285E-3</v>
      </c>
      <c r="BU147" s="546">
        <f t="shared" si="294"/>
        <v>9.6172267226127817E-3</v>
      </c>
      <c r="BV147" s="546">
        <f t="shared" si="295"/>
        <v>8.6137150048454653E-3</v>
      </c>
      <c r="BW147" s="546"/>
      <c r="BX147" s="546">
        <f t="shared" si="296"/>
        <v>2.2073863636363641E-2</v>
      </c>
      <c r="BY147" s="472">
        <f t="shared" si="244"/>
        <v>43.370992538127915</v>
      </c>
      <c r="BZ147" s="179">
        <f t="shared" si="297"/>
        <v>0.15817697804887948</v>
      </c>
      <c r="CA147" s="6">
        <f t="shared" si="298"/>
        <v>0.92500000000000004</v>
      </c>
      <c r="CB147" s="179">
        <f t="shared" si="247"/>
        <v>0.85396940550398071</v>
      </c>
      <c r="CC147" s="6">
        <f t="shared" si="248"/>
        <v>85.396940550398071</v>
      </c>
      <c r="CF147" s="581">
        <f t="shared" si="299"/>
        <v>-50</v>
      </c>
      <c r="CG147">
        <f t="shared" si="300"/>
        <v>-50</v>
      </c>
    </row>
    <row r="148" spans="5:85" x14ac:dyDescent="0.2">
      <c r="E148" s="176">
        <v>38</v>
      </c>
      <c r="F148" s="223">
        <f t="shared" si="301"/>
        <v>0.19</v>
      </c>
      <c r="G148" s="223"/>
      <c r="H148" s="223">
        <f t="shared" si="261"/>
        <v>0.95</v>
      </c>
      <c r="I148" s="559">
        <f t="shared" si="262"/>
        <v>15</v>
      </c>
      <c r="J148" s="454">
        <f t="shared" si="263"/>
        <v>15.75</v>
      </c>
      <c r="K148" s="454">
        <f t="shared" si="264"/>
        <v>30.75</v>
      </c>
      <c r="L148" s="454"/>
      <c r="M148" s="223">
        <f t="shared" si="265"/>
        <v>0.51219512195121952</v>
      </c>
      <c r="N148" s="178">
        <f t="shared" si="266"/>
        <v>2.592987804878049</v>
      </c>
      <c r="O148" s="178">
        <f t="shared" si="257"/>
        <v>0.95</v>
      </c>
      <c r="P148" s="223">
        <f t="shared" si="267"/>
        <v>0.51859756097560983</v>
      </c>
      <c r="Q148" s="223">
        <f t="shared" si="268"/>
        <v>5</v>
      </c>
      <c r="R148" s="223"/>
      <c r="S148" s="178">
        <f t="shared" si="269"/>
        <v>21.701680091768814</v>
      </c>
      <c r="T148" s="178">
        <f t="shared" si="270"/>
        <v>5</v>
      </c>
      <c r="U148" s="223">
        <f t="shared" si="271"/>
        <v>0.27477954144620809</v>
      </c>
      <c r="V148" s="223">
        <f t="shared" si="272"/>
        <v>0.80601998824221044</v>
      </c>
      <c r="W148" s="223">
        <f t="shared" si="273"/>
        <v>0.7676380840402004</v>
      </c>
      <c r="X148" s="203">
        <f t="shared" si="274"/>
        <v>350</v>
      </c>
      <c r="Y148" s="454">
        <f t="shared" si="211"/>
        <v>350</v>
      </c>
      <c r="AA148" s="223">
        <f t="shared" si="275"/>
        <v>0.4988913525498892</v>
      </c>
      <c r="AB148" s="179">
        <f t="shared" si="276"/>
        <v>1.3937282229965158</v>
      </c>
      <c r="AC148" s="179">
        <f t="shared" si="277"/>
        <v>0.36504245308528482</v>
      </c>
      <c r="AD148" s="179"/>
      <c r="AE148" s="179">
        <f t="shared" si="278"/>
        <v>0.419047619047619</v>
      </c>
      <c r="AF148" s="563">
        <f t="shared" si="279"/>
        <v>2015.1515151515157</v>
      </c>
      <c r="AG148" s="546">
        <f t="shared" si="280"/>
        <v>3.2999999999999995E-2</v>
      </c>
      <c r="AI148" s="179">
        <f t="shared" si="281"/>
        <v>0.35992423445143917</v>
      </c>
      <c r="AJ148" s="179">
        <f t="shared" si="282"/>
        <v>0.35992423445143917</v>
      </c>
      <c r="AK148" s="179">
        <f t="shared" si="283"/>
        <v>1.355499432926992</v>
      </c>
      <c r="AM148" s="563">
        <f t="shared" si="284"/>
        <v>190</v>
      </c>
      <c r="AN148" s="472">
        <f t="shared" si="285"/>
        <v>350</v>
      </c>
      <c r="AP148" s="472">
        <f t="shared" si="286"/>
        <v>190</v>
      </c>
      <c r="AQ148" s="472">
        <f t="shared" si="287"/>
        <v>350</v>
      </c>
      <c r="AS148" s="6">
        <f t="shared" si="258"/>
        <v>2.8571428571428572</v>
      </c>
      <c r="AT148" s="6">
        <f t="shared" si="288"/>
        <v>1.0557777543908882</v>
      </c>
      <c r="AU148" s="6">
        <f t="shared" si="226"/>
        <v>1.801365102751969</v>
      </c>
      <c r="AV148" s="6"/>
      <c r="AW148" s="179">
        <f t="shared" si="227"/>
        <v>0.36952221403681085</v>
      </c>
      <c r="AX148" s="179">
        <f t="shared" si="254"/>
        <v>0.99749999999999994</v>
      </c>
      <c r="AY148" s="179">
        <f t="shared" si="255"/>
        <v>0.3403863516771588</v>
      </c>
      <c r="AZ148" s="179">
        <f t="shared" si="259"/>
        <v>2.9304935262095468</v>
      </c>
      <c r="BA148" s="472">
        <f t="shared" si="289"/>
        <v>28.298334324806667</v>
      </c>
      <c r="BB148" s="472">
        <f t="shared" si="290"/>
        <v>4.1786345153664302</v>
      </c>
      <c r="BC148" s="6">
        <f t="shared" si="253"/>
        <v>0.10563560787743026</v>
      </c>
      <c r="BD148" s="563">
        <f t="shared" si="291"/>
        <v>29.183140340574948</v>
      </c>
      <c r="BF148" s="179">
        <f t="shared" si="260"/>
        <v>0.12631959887792737</v>
      </c>
      <c r="BG148" s="179">
        <f t="shared" si="256"/>
        <v>0.4950016101895422</v>
      </c>
      <c r="BI148" s="546">
        <f t="shared" si="232"/>
        <v>5.5848243712381647E-3</v>
      </c>
      <c r="BJ148" s="546">
        <f t="shared" si="233"/>
        <v>2.9052634299627102E-2</v>
      </c>
      <c r="BK148" s="546">
        <f t="shared" si="234"/>
        <v>4.3749999999999995E-3</v>
      </c>
      <c r="BL148" s="546">
        <f t="shared" si="235"/>
        <v>1.6547343750000002E-2</v>
      </c>
      <c r="BM148">
        <f t="shared" si="236"/>
        <v>4.3499999999999997E-3</v>
      </c>
      <c r="BO148" s="472">
        <f t="shared" si="237"/>
        <v>59.909802420865262</v>
      </c>
      <c r="BP148" s="546">
        <f t="shared" si="292"/>
        <v>5.6999999999999995E-2</v>
      </c>
      <c r="BS148" s="472">
        <f t="shared" si="239"/>
        <v>56.999999999999993</v>
      </c>
      <c r="BT148" s="546">
        <f t="shared" si="293"/>
        <v>3.1913282121360945E-3</v>
      </c>
      <c r="BU148" s="546">
        <f t="shared" si="294"/>
        <v>9.8010637636095806E-3</v>
      </c>
      <c r="BV148" s="546">
        <f t="shared" si="295"/>
        <v>8.9056954460647389E-3</v>
      </c>
      <c r="BW148" s="546"/>
      <c r="BX148" s="546">
        <f t="shared" si="296"/>
        <v>2.2670454545454546E-2</v>
      </c>
      <c r="BY148" s="472">
        <f t="shared" si="244"/>
        <v>44.568541967264956</v>
      </c>
      <c r="BZ148" s="179">
        <f t="shared" si="297"/>
        <v>0.16147834438813022</v>
      </c>
      <c r="CA148" s="6">
        <f t="shared" si="298"/>
        <v>0.95</v>
      </c>
      <c r="CB148" s="179">
        <f t="shared" si="247"/>
        <v>0.85471750735996188</v>
      </c>
      <c r="CC148" s="6">
        <f t="shared" si="248"/>
        <v>85.471750735996181</v>
      </c>
      <c r="CF148" s="581">
        <f t="shared" si="299"/>
        <v>-50</v>
      </c>
      <c r="CG148">
        <f t="shared" si="300"/>
        <v>-50</v>
      </c>
    </row>
    <row r="149" spans="5:85" x14ac:dyDescent="0.2">
      <c r="E149" s="176">
        <v>39</v>
      </c>
      <c r="F149" s="223">
        <f t="shared" si="301"/>
        <v>0.19500000000000001</v>
      </c>
      <c r="G149" s="223"/>
      <c r="H149" s="223">
        <f t="shared" si="261"/>
        <v>0.97500000000000009</v>
      </c>
      <c r="I149" s="559">
        <f t="shared" si="262"/>
        <v>15</v>
      </c>
      <c r="J149" s="454">
        <f t="shared" si="263"/>
        <v>15.75</v>
      </c>
      <c r="K149" s="454">
        <f t="shared" si="264"/>
        <v>30.75</v>
      </c>
      <c r="L149" s="454"/>
      <c r="M149" s="223">
        <f t="shared" si="265"/>
        <v>0.51219512195121952</v>
      </c>
      <c r="N149" s="178">
        <f t="shared" si="266"/>
        <v>2.592987804878049</v>
      </c>
      <c r="O149" s="178">
        <f t="shared" si="257"/>
        <v>0.97500000000000009</v>
      </c>
      <c r="P149" s="223">
        <f t="shared" si="267"/>
        <v>0.51859756097560983</v>
      </c>
      <c r="Q149" s="223">
        <f t="shared" si="268"/>
        <v>5</v>
      </c>
      <c r="R149" s="223"/>
      <c r="S149" s="178">
        <f t="shared" si="269"/>
        <v>21.020305834688379</v>
      </c>
      <c r="T149" s="178">
        <f t="shared" si="270"/>
        <v>5</v>
      </c>
      <c r="U149" s="223">
        <f t="shared" si="271"/>
        <v>0.28201058201058204</v>
      </c>
      <c r="V149" s="223">
        <f t="shared" si="272"/>
        <v>0.82723104056437402</v>
      </c>
      <c r="W149" s="223">
        <f t="shared" si="273"/>
        <v>0.78783908625178478</v>
      </c>
      <c r="X149" s="203">
        <f t="shared" si="274"/>
        <v>350</v>
      </c>
      <c r="Y149" s="454">
        <f t="shared" si="211"/>
        <v>350</v>
      </c>
      <c r="AA149" s="223">
        <f t="shared" si="275"/>
        <v>0.4988913525498892</v>
      </c>
      <c r="AB149" s="179">
        <f t="shared" si="276"/>
        <v>1.3937282229965158</v>
      </c>
      <c r="AC149" s="179">
        <f t="shared" si="277"/>
        <v>0.36504245308528482</v>
      </c>
      <c r="AD149" s="179"/>
      <c r="AE149" s="179">
        <f t="shared" si="278"/>
        <v>0.419047619047619</v>
      </c>
      <c r="AF149" s="563">
        <f t="shared" si="279"/>
        <v>2068.1818181818185</v>
      </c>
      <c r="AG149" s="546">
        <f t="shared" si="280"/>
        <v>3.2999999999999995E-2</v>
      </c>
      <c r="AI149" s="179">
        <f t="shared" si="281"/>
        <v>0.36462932610329829</v>
      </c>
      <c r="AJ149" s="179">
        <f t="shared" si="282"/>
        <v>0.36462932610329829</v>
      </c>
      <c r="AK149" s="179">
        <f t="shared" si="283"/>
        <v>1.3589846860024433</v>
      </c>
      <c r="AM149" s="563">
        <f t="shared" si="284"/>
        <v>195</v>
      </c>
      <c r="AN149" s="472">
        <f t="shared" si="285"/>
        <v>350</v>
      </c>
      <c r="AP149" s="472">
        <f t="shared" si="286"/>
        <v>195</v>
      </c>
      <c r="AQ149" s="472">
        <f t="shared" si="287"/>
        <v>350</v>
      </c>
      <c r="AS149" s="6">
        <f t="shared" si="258"/>
        <v>2.8571428571428572</v>
      </c>
      <c r="AT149" s="6">
        <f t="shared" si="288"/>
        <v>1.069579356569675</v>
      </c>
      <c r="AU149" s="6">
        <f t="shared" si="226"/>
        <v>1.7875635005731823</v>
      </c>
      <c r="AV149" s="6"/>
      <c r="AW149" s="179">
        <f t="shared" si="227"/>
        <v>0.37435277479938622</v>
      </c>
      <c r="AX149" s="179">
        <f t="shared" si="254"/>
        <v>1.0237499999999999</v>
      </c>
      <c r="AY149" s="179">
        <f t="shared" si="255"/>
        <v>0.34219398915494748</v>
      </c>
      <c r="AZ149" s="179">
        <f t="shared" si="259"/>
        <v>2.9917240876386049</v>
      </c>
      <c r="BA149" s="472">
        <f t="shared" si="289"/>
        <v>28.298334324806667</v>
      </c>
      <c r="BB149" s="472">
        <f t="shared" si="290"/>
        <v>4.3860617021276607</v>
      </c>
      <c r="BC149" s="6">
        <f t="shared" si="253"/>
        <v>0.10758484031227486</v>
      </c>
      <c r="BD149" s="563">
        <f t="shared" si="291"/>
        <v>29.860807783522883</v>
      </c>
      <c r="BF149" s="179">
        <f t="shared" si="260"/>
        <v>0.12880463632067005</v>
      </c>
      <c r="BG149" s="179">
        <f t="shared" si="256"/>
        <v>0.49954772276964265</v>
      </c>
      <c r="BI149" s="546">
        <f t="shared" si="232"/>
        <v>5.8067220181950248E-3</v>
      </c>
      <c r="BJ149" s="546">
        <f t="shared" si="233"/>
        <v>2.9432423416400611E-2</v>
      </c>
      <c r="BK149" s="546">
        <f t="shared" si="234"/>
        <v>4.3749999999999995E-3</v>
      </c>
      <c r="BL149" s="546">
        <f t="shared" si="235"/>
        <v>1.6547343750000002E-2</v>
      </c>
      <c r="BM149">
        <f t="shared" si="236"/>
        <v>4.3499999999999997E-3</v>
      </c>
      <c r="BO149" s="472">
        <f t="shared" si="237"/>
        <v>60.511489184595639</v>
      </c>
      <c r="BP149" s="546">
        <f t="shared" si="292"/>
        <v>5.8499999999999996E-2</v>
      </c>
      <c r="BS149" s="472">
        <f t="shared" si="239"/>
        <v>58.5</v>
      </c>
      <c r="BT149" s="546">
        <f t="shared" si="293"/>
        <v>3.3181268675400149E-3</v>
      </c>
      <c r="BU149" s="546">
        <f t="shared" si="294"/>
        <v>9.9819170929734309E-3</v>
      </c>
      <c r="BV149" s="546">
        <f t="shared" si="295"/>
        <v>9.1996033392758372E-3</v>
      </c>
      <c r="BW149" s="546"/>
      <c r="BX149" s="546">
        <f t="shared" si="296"/>
        <v>2.3267045454545457E-2</v>
      </c>
      <c r="BY149" s="472">
        <f t="shared" si="244"/>
        <v>45.766692754334741</v>
      </c>
      <c r="BZ149" s="179">
        <f t="shared" si="297"/>
        <v>0.1647781819389304</v>
      </c>
      <c r="CA149" s="6">
        <f t="shared" si="298"/>
        <v>0.97500000000000009</v>
      </c>
      <c r="CB149" s="179">
        <f t="shared" si="247"/>
        <v>0.85542960503190324</v>
      </c>
      <c r="CC149" s="6">
        <f t="shared" si="248"/>
        <v>85.542960503190329</v>
      </c>
      <c r="CF149" s="581">
        <f t="shared" si="299"/>
        <v>-50</v>
      </c>
      <c r="CG149">
        <f t="shared" si="300"/>
        <v>-50</v>
      </c>
    </row>
    <row r="150" spans="5:85" x14ac:dyDescent="0.2">
      <c r="E150" s="176">
        <v>40</v>
      </c>
      <c r="F150" s="223">
        <f t="shared" si="301"/>
        <v>0.2</v>
      </c>
      <c r="G150" s="223"/>
      <c r="H150" s="223">
        <f t="shared" si="261"/>
        <v>1</v>
      </c>
      <c r="I150" s="559">
        <f t="shared" si="262"/>
        <v>15</v>
      </c>
      <c r="J150" s="454">
        <f t="shared" si="263"/>
        <v>15.75</v>
      </c>
      <c r="K150" s="454">
        <f t="shared" si="264"/>
        <v>30.75</v>
      </c>
      <c r="L150" s="454"/>
      <c r="M150" s="223">
        <f t="shared" si="265"/>
        <v>0.51219512195121952</v>
      </c>
      <c r="N150" s="178">
        <f t="shared" si="266"/>
        <v>2.592987804878049</v>
      </c>
      <c r="O150" s="178">
        <f t="shared" si="257"/>
        <v>1</v>
      </c>
      <c r="P150" s="223">
        <f t="shared" si="267"/>
        <v>0.51859756097560983</v>
      </c>
      <c r="Q150" s="223">
        <f t="shared" si="268"/>
        <v>5</v>
      </c>
      <c r="R150" s="223"/>
      <c r="S150" s="178">
        <f t="shared" si="269"/>
        <v>20.373111610101923</v>
      </c>
      <c r="T150" s="178">
        <f t="shared" si="270"/>
        <v>5</v>
      </c>
      <c r="U150" s="223">
        <f t="shared" si="271"/>
        <v>0.28924162257495589</v>
      </c>
      <c r="V150" s="223">
        <f t="shared" si="272"/>
        <v>0.84844209288653727</v>
      </c>
      <c r="W150" s="223">
        <f t="shared" si="273"/>
        <v>0.80804008846336883</v>
      </c>
      <c r="X150" s="203">
        <f t="shared" si="274"/>
        <v>350</v>
      </c>
      <c r="Y150" s="454">
        <f t="shared" si="211"/>
        <v>350</v>
      </c>
      <c r="AA150" s="223">
        <f t="shared" si="275"/>
        <v>0.4988913525498892</v>
      </c>
      <c r="AB150" s="179">
        <f t="shared" si="276"/>
        <v>1.3937282229965158</v>
      </c>
      <c r="AC150" s="179">
        <f t="shared" si="277"/>
        <v>0.36504245308528482</v>
      </c>
      <c r="AD150" s="179"/>
      <c r="AE150" s="179">
        <f t="shared" si="278"/>
        <v>0.419047619047619</v>
      </c>
      <c r="AF150" s="563">
        <f t="shared" si="279"/>
        <v>2121.2121212121215</v>
      </c>
      <c r="AG150" s="546">
        <f t="shared" si="280"/>
        <v>3.2999999999999995E-2</v>
      </c>
      <c r="AI150" s="179">
        <f t="shared" si="281"/>
        <v>0.3692744729379982</v>
      </c>
      <c r="AJ150" s="179">
        <f t="shared" si="282"/>
        <v>0.3692744729379982</v>
      </c>
      <c r="AK150" s="179">
        <f t="shared" si="283"/>
        <v>1.3624255355096282</v>
      </c>
      <c r="AM150" s="563">
        <f t="shared" si="284"/>
        <v>200</v>
      </c>
      <c r="AN150" s="472">
        <f t="shared" si="285"/>
        <v>350</v>
      </c>
      <c r="AP150" s="472">
        <f t="shared" si="286"/>
        <v>200</v>
      </c>
      <c r="AQ150" s="472">
        <f t="shared" si="287"/>
        <v>350</v>
      </c>
      <c r="AS150" s="6">
        <f t="shared" si="258"/>
        <v>2.8571428571428572</v>
      </c>
      <c r="AT150" s="6">
        <f t="shared" si="288"/>
        <v>1.0832051206181279</v>
      </c>
      <c r="AU150" s="6">
        <f t="shared" si="226"/>
        <v>1.7739377365247293</v>
      </c>
      <c r="AV150" s="6"/>
      <c r="AW150" s="179">
        <f t="shared" si="227"/>
        <v>0.37912179221634473</v>
      </c>
      <c r="AX150" s="179">
        <f t="shared" si="254"/>
        <v>1.05</v>
      </c>
      <c r="AY150" s="179">
        <f t="shared" si="255"/>
        <v>0.34391170940699733</v>
      </c>
      <c r="AZ150" s="179">
        <f t="shared" si="259"/>
        <v>3.0531091884324089</v>
      </c>
      <c r="BA150" s="472">
        <f t="shared" si="289"/>
        <v>28.298334324806667</v>
      </c>
      <c r="BB150" s="472">
        <f t="shared" si="290"/>
        <v>4.598486997635935</v>
      </c>
      <c r="BC150" s="6">
        <f t="shared" si="253"/>
        <v>0.10950232941510675</v>
      </c>
      <c r="BD150" s="563">
        <f t="shared" si="291"/>
        <v>30.534881315030763</v>
      </c>
      <c r="BF150" s="179">
        <f t="shared" si="260"/>
        <v>0.13127379303237405</v>
      </c>
      <c r="BG150" s="179">
        <f t="shared" si="256"/>
        <v>0.50397979171485618</v>
      </c>
      <c r="BI150" s="546">
        <f t="shared" si="232"/>
        <v>6.0314830579873014E-3</v>
      </c>
      <c r="BJ150" s="546">
        <f t="shared" si="233"/>
        <v>2.9807373862464039E-2</v>
      </c>
      <c r="BK150" s="546">
        <f t="shared" si="234"/>
        <v>4.3749999999999995E-3</v>
      </c>
      <c r="BL150" s="546">
        <f t="shared" si="235"/>
        <v>1.6547343750000002E-2</v>
      </c>
      <c r="BM150">
        <f t="shared" si="236"/>
        <v>4.3499999999999997E-3</v>
      </c>
      <c r="BO150" s="472">
        <f t="shared" si="237"/>
        <v>61.111200670451346</v>
      </c>
      <c r="BP150" s="546">
        <f t="shared" si="292"/>
        <v>0.06</v>
      </c>
      <c r="BS150" s="472">
        <f t="shared" si="239"/>
        <v>60</v>
      </c>
      <c r="BT150" s="546">
        <f t="shared" si="293"/>
        <v>3.4465617474213153E-3</v>
      </c>
      <c r="BU150" s="546">
        <f t="shared" si="294"/>
        <v>1.0159825218277994E-2</v>
      </c>
      <c r="BV150" s="546">
        <f t="shared" si="295"/>
        <v>9.4954014907528052E-3</v>
      </c>
      <c r="BW150" s="546"/>
      <c r="BX150" s="546">
        <f t="shared" si="296"/>
        <v>2.3863636363636365E-2</v>
      </c>
      <c r="BY150" s="472">
        <f t="shared" si="244"/>
        <v>46.965424820088472</v>
      </c>
      <c r="BZ150" s="179">
        <f t="shared" si="297"/>
        <v>0.16807662549053984</v>
      </c>
      <c r="CA150" s="6">
        <f t="shared" si="298"/>
        <v>1</v>
      </c>
      <c r="CB150" s="179">
        <f t="shared" si="247"/>
        <v>0.8561082194244275</v>
      </c>
      <c r="CC150" s="6">
        <f t="shared" si="248"/>
        <v>85.610821942442755</v>
      </c>
      <c r="CF150" s="581">
        <f t="shared" si="299"/>
        <v>-50</v>
      </c>
      <c r="CG150">
        <f t="shared" si="300"/>
        <v>-50</v>
      </c>
    </row>
    <row r="151" spans="5:85" x14ac:dyDescent="0.2">
      <c r="E151" s="176">
        <v>41</v>
      </c>
      <c r="F151" s="223">
        <f t="shared" si="301"/>
        <v>0.20499999999999999</v>
      </c>
      <c r="G151" s="223"/>
      <c r="H151" s="223">
        <f t="shared" si="261"/>
        <v>1.0249999999999999</v>
      </c>
      <c r="I151" s="559">
        <f t="shared" si="262"/>
        <v>15</v>
      </c>
      <c r="J151" s="454">
        <f t="shared" si="263"/>
        <v>15.75</v>
      </c>
      <c r="K151" s="454">
        <f t="shared" si="264"/>
        <v>30.75</v>
      </c>
      <c r="L151" s="454"/>
      <c r="M151" s="223">
        <f t="shared" si="265"/>
        <v>0.51219512195121952</v>
      </c>
      <c r="N151" s="178">
        <f t="shared" si="266"/>
        <v>2.592987804878049</v>
      </c>
      <c r="O151" s="178">
        <f t="shared" si="257"/>
        <v>1.0249999999999999</v>
      </c>
      <c r="P151" s="223">
        <f t="shared" si="267"/>
        <v>0.51859756097560983</v>
      </c>
      <c r="Q151" s="223">
        <f t="shared" si="268"/>
        <v>5</v>
      </c>
      <c r="R151" s="223"/>
      <c r="S151" s="178">
        <f t="shared" si="269"/>
        <v>19.75759821581244</v>
      </c>
      <c r="T151" s="178">
        <f t="shared" si="270"/>
        <v>5</v>
      </c>
      <c r="U151" s="223">
        <f t="shared" si="271"/>
        <v>0.29647266313932974</v>
      </c>
      <c r="V151" s="223">
        <f t="shared" si="272"/>
        <v>0.86965314520870052</v>
      </c>
      <c r="W151" s="223">
        <f t="shared" si="273"/>
        <v>0.82824109067495288</v>
      </c>
      <c r="X151" s="203">
        <f t="shared" si="274"/>
        <v>350</v>
      </c>
      <c r="Y151" s="454">
        <f t="shared" si="211"/>
        <v>350</v>
      </c>
      <c r="AA151" s="223">
        <f t="shared" si="275"/>
        <v>0.4988913525498892</v>
      </c>
      <c r="AB151" s="179">
        <f t="shared" si="276"/>
        <v>1.3937282229965158</v>
      </c>
      <c r="AC151" s="179">
        <f t="shared" si="277"/>
        <v>0.36504245308528482</v>
      </c>
      <c r="AD151" s="179"/>
      <c r="AE151" s="179">
        <f t="shared" si="278"/>
        <v>0.419047619047619</v>
      </c>
      <c r="AF151" s="563">
        <f t="shared" si="279"/>
        <v>2174.2424242424245</v>
      </c>
      <c r="AG151" s="546">
        <f t="shared" si="280"/>
        <v>3.2999999999999995E-2</v>
      </c>
      <c r="AI151" s="179">
        <f t="shared" si="281"/>
        <v>0.37386190936323971</v>
      </c>
      <c r="AJ151" s="179">
        <f t="shared" si="282"/>
        <v>0.37386190936323971</v>
      </c>
      <c r="AK151" s="179">
        <f t="shared" si="283"/>
        <v>1.3658236365653627</v>
      </c>
      <c r="AM151" s="563">
        <f t="shared" si="284"/>
        <v>205</v>
      </c>
      <c r="AN151" s="472">
        <f t="shared" si="285"/>
        <v>350</v>
      </c>
      <c r="AP151" s="472">
        <f t="shared" si="286"/>
        <v>205</v>
      </c>
      <c r="AQ151" s="472">
        <f t="shared" si="287"/>
        <v>350</v>
      </c>
      <c r="AS151" s="6">
        <f t="shared" si="258"/>
        <v>2.8571428571428572</v>
      </c>
      <c r="AT151" s="6">
        <f t="shared" si="288"/>
        <v>1.0966616007988363</v>
      </c>
      <c r="AU151" s="6">
        <f t="shared" si="226"/>
        <v>1.7604812563440209</v>
      </c>
      <c r="AV151" s="6"/>
      <c r="AW151" s="179">
        <f t="shared" si="227"/>
        <v>0.3838315602795927</v>
      </c>
      <c r="AX151" s="179">
        <f t="shared" si="254"/>
        <v>1.0762499999999999</v>
      </c>
      <c r="AY151" s="179">
        <f t="shared" si="255"/>
        <v>0.34554286404485962</v>
      </c>
      <c r="AZ151" s="179">
        <f t="shared" si="259"/>
        <v>3.1146642341318249</v>
      </c>
      <c r="BA151" s="472">
        <f t="shared" si="289"/>
        <v>28.298334324806667</v>
      </c>
      <c r="BB151" s="472">
        <f t="shared" si="290"/>
        <v>4.8159104018912524</v>
      </c>
      <c r="BC151" s="6">
        <f t="shared" si="253"/>
        <v>0.11138847455263091</v>
      </c>
      <c r="BD151" s="563">
        <f t="shared" si="291"/>
        <v>31.205401787833932</v>
      </c>
      <c r="BF151" s="179">
        <f t="shared" si="260"/>
        <v>0.13372756384234438</v>
      </c>
      <c r="BG151" s="179">
        <f t="shared" si="256"/>
        <v>0.50830171142472769</v>
      </c>
      <c r="BI151" s="546">
        <f t="shared" si="232"/>
        <v>6.2590714659229016E-3</v>
      </c>
      <c r="BJ151" s="546">
        <f t="shared" si="233"/>
        <v>3.0177665996414006E-2</v>
      </c>
      <c r="BK151" s="546">
        <f t="shared" si="234"/>
        <v>4.3749999999999995E-3</v>
      </c>
      <c r="BL151" s="546">
        <f t="shared" si="235"/>
        <v>1.6547343750000002E-2</v>
      </c>
      <c r="BM151">
        <f t="shared" si="236"/>
        <v>4.3499999999999997E-3</v>
      </c>
      <c r="BO151" s="472">
        <f t="shared" si="237"/>
        <v>61.709081212336905</v>
      </c>
      <c r="BP151" s="546">
        <f t="shared" si="292"/>
        <v>6.1499999999999992E-2</v>
      </c>
      <c r="BS151" s="472">
        <f t="shared" si="239"/>
        <v>61.499999999999993</v>
      </c>
      <c r="BT151" s="546">
        <f t="shared" si="293"/>
        <v>3.5766122662416588E-3</v>
      </c>
      <c r="BU151" s="546">
        <f t="shared" si="294"/>
        <v>1.0334825193492285E-2</v>
      </c>
      <c r="BV151" s="546">
        <f t="shared" si="295"/>
        <v>9.7930543396379643E-3</v>
      </c>
      <c r="BW151" s="546"/>
      <c r="BX151" s="546">
        <f t="shared" si="296"/>
        <v>2.4460227272727279E-2</v>
      </c>
      <c r="BY151" s="472">
        <f t="shared" si="244"/>
        <v>48.164719072099189</v>
      </c>
      <c r="BZ151" s="179">
        <f t="shared" si="297"/>
        <v>0.17137380028443608</v>
      </c>
      <c r="CA151" s="6">
        <f t="shared" si="298"/>
        <v>1.0249999999999999</v>
      </c>
      <c r="CB151" s="179">
        <f t="shared" si="247"/>
        <v>0.85675563921268405</v>
      </c>
      <c r="CC151" s="6">
        <f t="shared" si="248"/>
        <v>85.675563921268406</v>
      </c>
      <c r="CF151" s="581">
        <f t="shared" si="299"/>
        <v>-50</v>
      </c>
      <c r="CG151">
        <f t="shared" si="300"/>
        <v>-50</v>
      </c>
    </row>
    <row r="152" spans="5:85" x14ac:dyDescent="0.2">
      <c r="E152" s="176">
        <v>42</v>
      </c>
      <c r="F152" s="223">
        <f t="shared" si="301"/>
        <v>0.21</v>
      </c>
      <c r="G152" s="223"/>
      <c r="H152" s="223">
        <f t="shared" si="261"/>
        <v>1.05</v>
      </c>
      <c r="I152" s="559">
        <f t="shared" si="262"/>
        <v>15</v>
      </c>
      <c r="J152" s="454">
        <f t="shared" si="263"/>
        <v>15.75</v>
      </c>
      <c r="K152" s="454">
        <f t="shared" si="264"/>
        <v>30.75</v>
      </c>
      <c r="L152" s="454"/>
      <c r="M152" s="223">
        <f t="shared" si="265"/>
        <v>0.51219512195121952</v>
      </c>
      <c r="N152" s="178">
        <f t="shared" si="266"/>
        <v>2.592987804878049</v>
      </c>
      <c r="O152" s="178">
        <f t="shared" si="257"/>
        <v>1.05</v>
      </c>
      <c r="P152" s="223">
        <f t="shared" si="267"/>
        <v>0.51859756097560983</v>
      </c>
      <c r="Q152" s="223">
        <f t="shared" si="268"/>
        <v>5</v>
      </c>
      <c r="R152" s="223"/>
      <c r="S152" s="178">
        <f t="shared" si="269"/>
        <v>19.171504503265062</v>
      </c>
      <c r="T152" s="178">
        <f t="shared" si="270"/>
        <v>5</v>
      </c>
      <c r="U152" s="223">
        <f t="shared" si="271"/>
        <v>0.3037037037037037</v>
      </c>
      <c r="V152" s="223">
        <f t="shared" si="272"/>
        <v>0.8908641975308641</v>
      </c>
      <c r="W152" s="223">
        <f t="shared" si="273"/>
        <v>0.84844209288653727</v>
      </c>
      <c r="X152" s="203">
        <f t="shared" si="274"/>
        <v>350</v>
      </c>
      <c r="Y152" s="454">
        <f t="shared" si="211"/>
        <v>350</v>
      </c>
      <c r="AA152" s="223">
        <f t="shared" si="275"/>
        <v>0.4988913525498892</v>
      </c>
      <c r="AB152" s="179">
        <f t="shared" si="276"/>
        <v>1.3937282229965158</v>
      </c>
      <c r="AC152" s="179">
        <f t="shared" si="277"/>
        <v>0.36504245308528482</v>
      </c>
      <c r="AD152" s="179"/>
      <c r="AE152" s="179">
        <f t="shared" si="278"/>
        <v>0.419047619047619</v>
      </c>
      <c r="AF152" s="563">
        <f t="shared" si="279"/>
        <v>2227.2727272727275</v>
      </c>
      <c r="AG152" s="546">
        <f t="shared" si="280"/>
        <v>3.2999999999999995E-2</v>
      </c>
      <c r="AI152" s="179">
        <f t="shared" si="281"/>
        <v>0.37839373433213475</v>
      </c>
      <c r="AJ152" s="179">
        <f t="shared" si="282"/>
        <v>0.37839373433213475</v>
      </c>
      <c r="AK152" s="179">
        <f t="shared" si="283"/>
        <v>1.3691805439497293</v>
      </c>
      <c r="AM152" s="563">
        <f t="shared" si="284"/>
        <v>210</v>
      </c>
      <c r="AN152" s="472">
        <f t="shared" si="285"/>
        <v>350</v>
      </c>
      <c r="AP152" s="472">
        <f t="shared" si="286"/>
        <v>210</v>
      </c>
      <c r="AQ152" s="472">
        <f t="shared" si="287"/>
        <v>350</v>
      </c>
      <c r="AS152" s="6">
        <f t="shared" si="258"/>
        <v>2.8571428571428572</v>
      </c>
      <c r="AT152" s="6">
        <f t="shared" si="288"/>
        <v>1.1099549540409286</v>
      </c>
      <c r="AU152" s="6">
        <f t="shared" si="226"/>
        <v>1.7471879031019286</v>
      </c>
      <c r="AV152" s="6"/>
      <c r="AW152" s="179">
        <f t="shared" si="227"/>
        <v>0.38848423391432502</v>
      </c>
      <c r="AX152" s="179">
        <f t="shared" si="254"/>
        <v>1.1024999999999998</v>
      </c>
      <c r="AY152" s="179">
        <f t="shared" si="255"/>
        <v>0.34709060149820214</v>
      </c>
      <c r="AZ152" s="179">
        <f t="shared" si="259"/>
        <v>3.1764040721388147</v>
      </c>
      <c r="BA152" s="472">
        <f t="shared" si="289"/>
        <v>28.298334324806667</v>
      </c>
      <c r="BB152" s="472">
        <f t="shared" si="290"/>
        <v>5.0383319148936172</v>
      </c>
      <c r="BC152" s="6">
        <f t="shared" si="253"/>
        <v>0.11324366038623609</v>
      </c>
      <c r="BD152" s="563">
        <f t="shared" si="291"/>
        <v>31.872408629500136</v>
      </c>
      <c r="BF152" s="179">
        <f t="shared" si="260"/>
        <v>0.13616641649935052</v>
      </c>
      <c r="BG152" s="179">
        <f t="shared" si="256"/>
        <v>0.51251713893779505</v>
      </c>
      <c r="BI152" s="546">
        <f t="shared" si="232"/>
        <v>6.4894525437961086E-3</v>
      </c>
      <c r="BJ152" s="546">
        <f t="shared" si="233"/>
        <v>3.0543469243122002E-2</v>
      </c>
      <c r="BK152" s="546">
        <f t="shared" si="234"/>
        <v>4.3749999999999995E-3</v>
      </c>
      <c r="BL152" s="546">
        <f t="shared" si="235"/>
        <v>1.6547343750000002E-2</v>
      </c>
      <c r="BM152">
        <f t="shared" si="236"/>
        <v>4.3499999999999997E-3</v>
      </c>
      <c r="BO152" s="472">
        <f t="shared" si="237"/>
        <v>62.305265536918114</v>
      </c>
      <c r="BP152" s="546">
        <f t="shared" si="292"/>
        <v>6.3E-2</v>
      </c>
      <c r="BS152" s="472">
        <f t="shared" si="239"/>
        <v>63</v>
      </c>
      <c r="BT152" s="546">
        <f t="shared" si="293"/>
        <v>3.7082585964549192E-3</v>
      </c>
      <c r="BU152" s="546">
        <f t="shared" si="294"/>
        <v>1.0506952708199324E-2</v>
      </c>
      <c r="BV152" s="546">
        <f t="shared" si="295"/>
        <v>1.0092527848037424E-2</v>
      </c>
      <c r="BW152" s="546"/>
      <c r="BX152" s="546">
        <f t="shared" si="296"/>
        <v>2.5056818181818184E-2</v>
      </c>
      <c r="BY152" s="472">
        <f t="shared" si="244"/>
        <v>49.364557334509854</v>
      </c>
      <c r="BZ152" s="179">
        <f t="shared" si="297"/>
        <v>0.17466982287142796</v>
      </c>
      <c r="CA152" s="6">
        <f t="shared" si="298"/>
        <v>1.05</v>
      </c>
      <c r="CB152" s="179">
        <f t="shared" si="247"/>
        <v>0.85737394715753878</v>
      </c>
      <c r="CC152" s="6">
        <f t="shared" si="248"/>
        <v>85.737394715753879</v>
      </c>
      <c r="CF152" s="581">
        <f t="shared" si="299"/>
        <v>-50</v>
      </c>
      <c r="CG152">
        <f t="shared" si="300"/>
        <v>-50</v>
      </c>
    </row>
    <row r="153" spans="5:85" x14ac:dyDescent="0.2">
      <c r="E153" s="176">
        <v>43</v>
      </c>
      <c r="F153" s="223">
        <f t="shared" si="301"/>
        <v>0.215</v>
      </c>
      <c r="G153" s="223"/>
      <c r="H153" s="223">
        <f t="shared" si="261"/>
        <v>1.075</v>
      </c>
      <c r="I153" s="559">
        <f t="shared" si="262"/>
        <v>15</v>
      </c>
      <c r="J153" s="454">
        <f t="shared" si="263"/>
        <v>15.75</v>
      </c>
      <c r="K153" s="454">
        <f t="shared" si="264"/>
        <v>30.75</v>
      </c>
      <c r="L153" s="454"/>
      <c r="M153" s="223">
        <f t="shared" si="265"/>
        <v>0.51219512195121952</v>
      </c>
      <c r="N153" s="178">
        <f t="shared" si="266"/>
        <v>2.592987804878049</v>
      </c>
      <c r="O153" s="178">
        <f t="shared" si="257"/>
        <v>1.075</v>
      </c>
      <c r="P153" s="223">
        <f t="shared" si="267"/>
        <v>0.51859756097560983</v>
      </c>
      <c r="Q153" s="223">
        <f t="shared" si="268"/>
        <v>5</v>
      </c>
      <c r="R153" s="223"/>
      <c r="S153" s="178">
        <f t="shared" si="269"/>
        <v>18.612779697620887</v>
      </c>
      <c r="T153" s="178">
        <f t="shared" si="270"/>
        <v>5</v>
      </c>
      <c r="U153" s="223">
        <f t="shared" si="271"/>
        <v>0.31093474426807755</v>
      </c>
      <c r="V153" s="223">
        <f t="shared" si="272"/>
        <v>0.91207524985302746</v>
      </c>
      <c r="W153" s="223">
        <f t="shared" si="273"/>
        <v>0.86864309509812132</v>
      </c>
      <c r="X153" s="203">
        <f t="shared" si="274"/>
        <v>350</v>
      </c>
      <c r="Y153" s="454">
        <f t="shared" si="211"/>
        <v>350</v>
      </c>
      <c r="AA153" s="223">
        <f t="shared" si="275"/>
        <v>0.4988913525498892</v>
      </c>
      <c r="AB153" s="179">
        <f t="shared" si="276"/>
        <v>1.3937282229965158</v>
      </c>
      <c r="AC153" s="179">
        <f t="shared" si="277"/>
        <v>0.36504245308528482</v>
      </c>
      <c r="AD153" s="179"/>
      <c r="AE153" s="179">
        <f t="shared" si="278"/>
        <v>0.419047619047619</v>
      </c>
      <c r="AF153" s="563">
        <f t="shared" si="279"/>
        <v>2280.3030303030309</v>
      </c>
      <c r="AG153" s="546">
        <f t="shared" si="280"/>
        <v>3.2999999999999995E-2</v>
      </c>
      <c r="AI153" s="179">
        <f t="shared" si="281"/>
        <v>0.38287192256799019</v>
      </c>
      <c r="AJ153" s="179">
        <f t="shared" si="282"/>
        <v>0.38287192256799019</v>
      </c>
      <c r="AK153" s="179">
        <f t="shared" si="283"/>
        <v>1.3724977204207334</v>
      </c>
      <c r="AM153" s="563">
        <f t="shared" si="284"/>
        <v>215</v>
      </c>
      <c r="AN153" s="472">
        <f t="shared" si="285"/>
        <v>350</v>
      </c>
      <c r="AP153" s="472">
        <f t="shared" si="286"/>
        <v>215</v>
      </c>
      <c r="AQ153" s="472">
        <f t="shared" si="287"/>
        <v>350</v>
      </c>
      <c r="AS153" s="6">
        <f t="shared" si="258"/>
        <v>2.8571428571428572</v>
      </c>
      <c r="AT153" s="6">
        <f t="shared" si="288"/>
        <v>1.1230909728661045</v>
      </c>
      <c r="AU153" s="6">
        <f t="shared" si="226"/>
        <v>1.7340518842767527</v>
      </c>
      <c r="AV153" s="6"/>
      <c r="AW153" s="179">
        <f t="shared" si="227"/>
        <v>0.39308184050313655</v>
      </c>
      <c r="AX153" s="179">
        <f t="shared" si="254"/>
        <v>1.1287499999999997</v>
      </c>
      <c r="AY153" s="179">
        <f t="shared" si="255"/>
        <v>0.34855788385198533</v>
      </c>
      <c r="AZ153" s="179">
        <f t="shared" si="259"/>
        <v>3.2383430480066893</v>
      </c>
      <c r="BA153" s="472">
        <f t="shared" si="289"/>
        <v>28.298334324806667</v>
      </c>
      <c r="BB153" s="472">
        <f t="shared" si="290"/>
        <v>5.265751536643025</v>
      </c>
      <c r="BC153" s="6">
        <f t="shared" si="253"/>
        <v>0.11506825775293265</v>
      </c>
      <c r="BD153" s="563">
        <f t="shared" si="291"/>
        <v>32.535939924538269</v>
      </c>
      <c r="BF153" s="179">
        <f t="shared" si="260"/>
        <v>0.13859079376168595</v>
      </c>
      <c r="BG153" s="179">
        <f t="shared" si="256"/>
        <v>0.51662951351358122</v>
      </c>
      <c r="BI153" s="546">
        <f t="shared" si="232"/>
        <v>6.7225928404229598E-3</v>
      </c>
      <c r="BJ153" s="546">
        <f t="shared" si="233"/>
        <v>3.0904942999784954E-2</v>
      </c>
      <c r="BK153" s="546">
        <f t="shared" si="234"/>
        <v>4.3749999999999995E-3</v>
      </c>
      <c r="BL153" s="546">
        <f t="shared" si="235"/>
        <v>1.6547343750000002E-2</v>
      </c>
      <c r="BM153">
        <f t="shared" si="236"/>
        <v>4.3499999999999997E-3</v>
      </c>
      <c r="BO153" s="472">
        <f t="shared" si="237"/>
        <v>62.899879590207902</v>
      </c>
      <c r="BP153" s="546">
        <f t="shared" si="292"/>
        <v>6.4500000000000002E-2</v>
      </c>
      <c r="BS153" s="472">
        <f t="shared" si="239"/>
        <v>64.5</v>
      </c>
      <c r="BT153" s="546">
        <f t="shared" si="293"/>
        <v>3.8414816230988346E-3</v>
      </c>
      <c r="BU153" s="546">
        <f t="shared" si="294"/>
        <v>1.0676242169331185E-2</v>
      </c>
      <c r="BV153" s="546">
        <f t="shared" si="295"/>
        <v>1.039378940096403E-2</v>
      </c>
      <c r="BW153" s="546"/>
      <c r="BX153" s="546">
        <f t="shared" si="296"/>
        <v>2.5653409090909095E-2</v>
      </c>
      <c r="BY153" s="472">
        <f t="shared" si="244"/>
        <v>50.564922284303151</v>
      </c>
      <c r="BZ153" s="179">
        <f t="shared" si="297"/>
        <v>0.17796480187451105</v>
      </c>
      <c r="CA153" s="6">
        <f t="shared" si="298"/>
        <v>1.075</v>
      </c>
      <c r="CB153" s="179">
        <f t="shared" si="247"/>
        <v>0.85796504290602182</v>
      </c>
      <c r="CC153" s="6">
        <f t="shared" si="248"/>
        <v>85.796504290602186</v>
      </c>
      <c r="CF153" s="581">
        <f t="shared" si="299"/>
        <v>-50</v>
      </c>
      <c r="CG153">
        <f t="shared" si="300"/>
        <v>-50</v>
      </c>
    </row>
    <row r="154" spans="5:85" x14ac:dyDescent="0.2">
      <c r="E154" s="176">
        <v>44</v>
      </c>
      <c r="F154" s="223">
        <f t="shared" si="301"/>
        <v>0.22</v>
      </c>
      <c r="G154" s="223"/>
      <c r="H154" s="223">
        <f t="shared" si="261"/>
        <v>1.1000000000000001</v>
      </c>
      <c r="I154" s="559">
        <f t="shared" si="262"/>
        <v>15</v>
      </c>
      <c r="J154" s="454">
        <f t="shared" si="263"/>
        <v>15.75</v>
      </c>
      <c r="K154" s="454">
        <f t="shared" si="264"/>
        <v>30.75</v>
      </c>
      <c r="L154" s="454"/>
      <c r="M154" s="223">
        <f t="shared" si="265"/>
        <v>0.51219512195121952</v>
      </c>
      <c r="N154" s="178">
        <f t="shared" si="266"/>
        <v>2.592987804878049</v>
      </c>
      <c r="O154" s="178">
        <f t="shared" si="257"/>
        <v>1.1000000000000001</v>
      </c>
      <c r="P154" s="223">
        <f t="shared" si="267"/>
        <v>0.51859756097560983</v>
      </c>
      <c r="Q154" s="223">
        <f t="shared" si="268"/>
        <v>5</v>
      </c>
      <c r="R154" s="223"/>
      <c r="S154" s="178">
        <f t="shared" si="269"/>
        <v>18.079559492380778</v>
      </c>
      <c r="T154" s="178">
        <f t="shared" si="270"/>
        <v>5</v>
      </c>
      <c r="U154" s="223">
        <f t="shared" si="271"/>
        <v>0.3181657848324515</v>
      </c>
      <c r="V154" s="223">
        <f t="shared" si="272"/>
        <v>0.93328630217519104</v>
      </c>
      <c r="W154" s="223">
        <f t="shared" si="273"/>
        <v>0.88884409730970582</v>
      </c>
      <c r="X154" s="203">
        <f t="shared" si="274"/>
        <v>350</v>
      </c>
      <c r="Y154" s="454">
        <f t="shared" si="211"/>
        <v>350</v>
      </c>
      <c r="AA154" s="223">
        <f t="shared" si="275"/>
        <v>0.4988913525498892</v>
      </c>
      <c r="AB154" s="179">
        <f t="shared" si="276"/>
        <v>1.3937282229965158</v>
      </c>
      <c r="AC154" s="179">
        <f t="shared" si="277"/>
        <v>0.36504245308528482</v>
      </c>
      <c r="AD154" s="179"/>
      <c r="AE154" s="179">
        <f t="shared" si="278"/>
        <v>0.419047619047619</v>
      </c>
      <c r="AF154" s="563">
        <f t="shared" si="279"/>
        <v>2333.3333333333339</v>
      </c>
      <c r="AG154" s="546">
        <f t="shared" si="280"/>
        <v>3.2999999999999995E-2</v>
      </c>
      <c r="AI154" s="179">
        <f t="shared" si="281"/>
        <v>0.3872983346207417</v>
      </c>
      <c r="AJ154" s="179">
        <f t="shared" si="282"/>
        <v>0.3872983346207417</v>
      </c>
      <c r="AK154" s="179">
        <f t="shared" si="283"/>
        <v>1.3757765441635124</v>
      </c>
      <c r="AM154" s="563">
        <f t="shared" si="284"/>
        <v>220</v>
      </c>
      <c r="AN154" s="472">
        <f t="shared" si="285"/>
        <v>350</v>
      </c>
      <c r="AP154" s="472">
        <f t="shared" si="286"/>
        <v>220</v>
      </c>
      <c r="AQ154" s="472">
        <f t="shared" si="287"/>
        <v>350</v>
      </c>
      <c r="AS154" s="6">
        <f t="shared" si="258"/>
        <v>2.8571428571428572</v>
      </c>
      <c r="AT154" s="6">
        <f t="shared" si="288"/>
        <v>1.136075114887509</v>
      </c>
      <c r="AU154" s="6">
        <f t="shared" si="226"/>
        <v>1.7210677422553482</v>
      </c>
      <c r="AV154" s="6"/>
      <c r="AW154" s="179">
        <f t="shared" si="227"/>
        <v>0.39762629021062812</v>
      </c>
      <c r="AX154" s="179">
        <f t="shared" si="254"/>
        <v>1.1550000000000002</v>
      </c>
      <c r="AY154" s="179">
        <f t="shared" si="255"/>
        <v>0.34994750193111257</v>
      </c>
      <c r="AZ154" s="179">
        <f t="shared" si="259"/>
        <v>3.3004950560480437</v>
      </c>
      <c r="BA154" s="472">
        <f t="shared" si="289"/>
        <v>28.298334324806667</v>
      </c>
      <c r="BB154" s="472">
        <f t="shared" si="290"/>
        <v>5.4981692671394802</v>
      </c>
      <c r="BC154" s="6">
        <f t="shared" si="253"/>
        <v>0.11686262447412858</v>
      </c>
      <c r="BD154" s="563">
        <f t="shared" si="291"/>
        <v>33.196032489988411</v>
      </c>
      <c r="BF154" s="179">
        <f t="shared" si="260"/>
        <v>0.14100111528116155</v>
      </c>
      <c r="BG154" s="179">
        <f t="shared" si="256"/>
        <v>0.5206420741788137</v>
      </c>
      <c r="BI154" s="546">
        <f t="shared" si="232"/>
        <v>6.9584600786859931E-3</v>
      </c>
      <c r="BJ154" s="546">
        <f t="shared" si="233"/>
        <v>3.1262237447667991E-2</v>
      </c>
      <c r="BK154" s="546">
        <f t="shared" si="234"/>
        <v>4.3749999999999995E-3</v>
      </c>
      <c r="BL154" s="546">
        <f t="shared" si="235"/>
        <v>1.6547343750000002E-2</v>
      </c>
      <c r="BM154">
        <f t="shared" si="236"/>
        <v>4.3499999999999997E-3</v>
      </c>
      <c r="BO154" s="472">
        <f t="shared" si="237"/>
        <v>63.493041276353992</v>
      </c>
      <c r="BP154" s="546">
        <f t="shared" si="292"/>
        <v>6.6000000000000003E-2</v>
      </c>
      <c r="BS154" s="472">
        <f t="shared" si="239"/>
        <v>66</v>
      </c>
      <c r="BT154" s="546">
        <f t="shared" si="293"/>
        <v>3.9762629021062824E-3</v>
      </c>
      <c r="BU154" s="546">
        <f t="shared" si="294"/>
        <v>1.0842726776208693E-2</v>
      </c>
      <c r="BV154" s="546">
        <f t="shared" si="295"/>
        <v>1.0696807715036071E-2</v>
      </c>
      <c r="BW154" s="546"/>
      <c r="BX154" s="546">
        <f t="shared" si="296"/>
        <v>2.6250000000000009E-2</v>
      </c>
      <c r="BY154" s="472">
        <f t="shared" si="244"/>
        <v>51.765797393351058</v>
      </c>
      <c r="BZ154" s="179">
        <f t="shared" si="297"/>
        <v>0.18125883866970505</v>
      </c>
      <c r="CA154" s="6">
        <f t="shared" si="298"/>
        <v>1.1000000000000001</v>
      </c>
      <c r="CB154" s="179">
        <f t="shared" si="247"/>
        <v>0.8585306628144701</v>
      </c>
      <c r="CC154" s="6">
        <f t="shared" si="248"/>
        <v>85.853066281447013</v>
      </c>
      <c r="CF154" s="581">
        <f t="shared" si="299"/>
        <v>-50</v>
      </c>
      <c r="CG154">
        <f t="shared" si="300"/>
        <v>-50</v>
      </c>
    </row>
    <row r="155" spans="5:85" x14ac:dyDescent="0.2">
      <c r="E155" s="176">
        <v>45</v>
      </c>
      <c r="F155" s="223">
        <f t="shared" si="301"/>
        <v>0.22500000000000001</v>
      </c>
      <c r="G155" s="223"/>
      <c r="H155" s="223">
        <f t="shared" si="261"/>
        <v>1.125</v>
      </c>
      <c r="I155" s="559">
        <f t="shared" si="262"/>
        <v>15</v>
      </c>
      <c r="J155" s="454">
        <f t="shared" si="263"/>
        <v>15.75</v>
      </c>
      <c r="K155" s="454">
        <f t="shared" si="264"/>
        <v>30.75</v>
      </c>
      <c r="L155" s="454"/>
      <c r="M155" s="223">
        <f t="shared" si="265"/>
        <v>0.51219512195121952</v>
      </c>
      <c r="N155" s="178">
        <f t="shared" si="266"/>
        <v>2.592987804878049</v>
      </c>
      <c r="O155" s="178">
        <f t="shared" si="257"/>
        <v>1.125</v>
      </c>
      <c r="P155" s="223">
        <f t="shared" si="267"/>
        <v>0.51859756097560983</v>
      </c>
      <c r="Q155" s="223">
        <f t="shared" si="268"/>
        <v>5</v>
      </c>
      <c r="R155" s="223"/>
      <c r="S155" s="178">
        <f t="shared" si="269"/>
        <v>17.570145331407421</v>
      </c>
      <c r="T155" s="178">
        <f t="shared" si="270"/>
        <v>5</v>
      </c>
      <c r="U155" s="223">
        <f t="shared" si="271"/>
        <v>0.32539682539682541</v>
      </c>
      <c r="V155" s="223">
        <f t="shared" si="272"/>
        <v>0.95449735449735451</v>
      </c>
      <c r="W155" s="223">
        <f t="shared" si="273"/>
        <v>0.90904509952128998</v>
      </c>
      <c r="X155" s="203">
        <f t="shared" si="274"/>
        <v>350</v>
      </c>
      <c r="Y155" s="454">
        <f t="shared" si="211"/>
        <v>350</v>
      </c>
      <c r="AA155" s="223">
        <f t="shared" si="275"/>
        <v>0.4988913525498892</v>
      </c>
      <c r="AB155" s="179">
        <f t="shared" si="276"/>
        <v>1.3937282229965158</v>
      </c>
      <c r="AC155" s="179">
        <f t="shared" si="277"/>
        <v>0.36504245308528482</v>
      </c>
      <c r="AD155" s="179"/>
      <c r="AE155" s="179">
        <f t="shared" si="278"/>
        <v>0.419047619047619</v>
      </c>
      <c r="AF155" s="563">
        <f t="shared" si="279"/>
        <v>2386.3636363636365</v>
      </c>
      <c r="AG155" s="546">
        <f t="shared" si="280"/>
        <v>3.2999999999999995E-2</v>
      </c>
      <c r="AI155" s="179">
        <f t="shared" si="281"/>
        <v>0.39167472590032015</v>
      </c>
      <c r="AJ155" s="179">
        <f t="shared" si="282"/>
        <v>0.39167472590032015</v>
      </c>
      <c r="AK155" s="179">
        <f t="shared" si="283"/>
        <v>1.3790183154817186</v>
      </c>
      <c r="AM155" s="563">
        <f t="shared" si="284"/>
        <v>225</v>
      </c>
      <c r="AN155" s="472">
        <f t="shared" si="285"/>
        <v>350</v>
      </c>
      <c r="AP155" s="472">
        <f t="shared" si="286"/>
        <v>225</v>
      </c>
      <c r="AQ155" s="472">
        <f t="shared" si="287"/>
        <v>350</v>
      </c>
      <c r="AS155" s="6">
        <f t="shared" si="258"/>
        <v>2.8571428571428572</v>
      </c>
      <c r="AT155" s="6">
        <f t="shared" si="288"/>
        <v>1.1489125293076059</v>
      </c>
      <c r="AU155" s="6">
        <f t="shared" si="226"/>
        <v>1.7082303278352513</v>
      </c>
      <c r="AV155" s="6"/>
      <c r="AW155" s="179">
        <f t="shared" si="227"/>
        <v>0.40211938525766205</v>
      </c>
      <c r="AX155" s="179">
        <f t="shared" si="254"/>
        <v>1.1812499999999999</v>
      </c>
      <c r="AY155" s="179">
        <f t="shared" si="255"/>
        <v>0.35126208885048016</v>
      </c>
      <c r="AZ155" s="179">
        <f t="shared" si="259"/>
        <v>3.3628735849794946</v>
      </c>
      <c r="BA155" s="472">
        <f t="shared" si="289"/>
        <v>28.298334324806667</v>
      </c>
      <c r="BB155" s="472">
        <f t="shared" si="290"/>
        <v>5.7355851063829801</v>
      </c>
      <c r="BC155" s="6">
        <f t="shared" si="253"/>
        <v>0.1186271060996702</v>
      </c>
      <c r="BD155" s="563">
        <f t="shared" si="291"/>
        <v>33.852721945146534</v>
      </c>
      <c r="BF155" s="179">
        <f t="shared" si="260"/>
        <v>0.14339777930556252</v>
      </c>
      <c r="BG155" s="179">
        <f t="shared" si="256"/>
        <v>0.52455787549075217</v>
      </c>
      <c r="BI155" s="546">
        <f t="shared" si="232"/>
        <v>7.197023088418384E-3</v>
      </c>
      <c r="BJ155" s="546">
        <f t="shared" si="233"/>
        <v>3.1615494281266462E-2</v>
      </c>
      <c r="BK155" s="546">
        <f t="shared" si="234"/>
        <v>4.3749999999999995E-3</v>
      </c>
      <c r="BL155" s="546">
        <f t="shared" si="235"/>
        <v>1.6547343750000002E-2</v>
      </c>
      <c r="BM155">
        <f t="shared" si="236"/>
        <v>4.3499999999999997E-3</v>
      </c>
      <c r="BO155" s="472">
        <f t="shared" si="237"/>
        <v>64.084861119684845</v>
      </c>
      <c r="BP155" s="546">
        <f t="shared" si="292"/>
        <v>6.7500000000000004E-2</v>
      </c>
      <c r="BS155" s="472">
        <f t="shared" si="239"/>
        <v>67.5</v>
      </c>
      <c r="BT155" s="546">
        <f t="shared" si="293"/>
        <v>4.1125846219533628E-3</v>
      </c>
      <c r="BU155" s="546">
        <f t="shared" si="294"/>
        <v>1.1006438589574858E-2</v>
      </c>
      <c r="BV155" s="546">
        <f t="shared" si="295"/>
        <v>1.1001552754983348E-2</v>
      </c>
      <c r="BW155" s="546"/>
      <c r="BX155" s="546">
        <f t="shared" si="296"/>
        <v>2.684659090909091E-2</v>
      </c>
      <c r="BY155" s="472">
        <f t="shared" si="244"/>
        <v>52.967166875602473</v>
      </c>
      <c r="BZ155" s="179">
        <f t="shared" si="297"/>
        <v>0.18455202799528733</v>
      </c>
      <c r="CA155" s="6">
        <f t="shared" si="298"/>
        <v>1.125</v>
      </c>
      <c r="CB155" s="179">
        <f t="shared" si="247"/>
        <v>0.85907239723968309</v>
      </c>
      <c r="CC155" s="6">
        <f t="shared" si="248"/>
        <v>85.907239723968303</v>
      </c>
      <c r="CF155" s="581">
        <f t="shared" si="299"/>
        <v>-50</v>
      </c>
      <c r="CG155">
        <f t="shared" si="300"/>
        <v>-50</v>
      </c>
    </row>
    <row r="156" spans="5:85" s="78" customFormat="1" x14ac:dyDescent="0.2">
      <c r="E156" s="195">
        <v>46</v>
      </c>
      <c r="F156" s="335">
        <f t="shared" si="301"/>
        <v>0.23</v>
      </c>
      <c r="G156" s="335"/>
      <c r="H156" s="335">
        <f t="shared" si="261"/>
        <v>1.1500000000000001</v>
      </c>
      <c r="I156" s="559">
        <f t="shared" si="262"/>
        <v>15</v>
      </c>
      <c r="J156" s="454">
        <f t="shared" si="263"/>
        <v>15.75</v>
      </c>
      <c r="K156" s="553">
        <f t="shared" si="264"/>
        <v>30.75</v>
      </c>
      <c r="L156" s="553"/>
      <c r="M156" s="335">
        <f t="shared" si="265"/>
        <v>0.51219512195121952</v>
      </c>
      <c r="N156" s="554">
        <f t="shared" si="266"/>
        <v>2.592987804878049</v>
      </c>
      <c r="O156" s="178">
        <f t="shared" si="257"/>
        <v>1.1500000000000001</v>
      </c>
      <c r="P156" s="335">
        <f t="shared" si="267"/>
        <v>0.51859756097560983</v>
      </c>
      <c r="Q156" s="335">
        <f t="shared" si="268"/>
        <v>5</v>
      </c>
      <c r="R156" s="335"/>
      <c r="S156" s="178">
        <f t="shared" si="269"/>
        <v>17.082986393306676</v>
      </c>
      <c r="T156" s="178">
        <f t="shared" si="270"/>
        <v>5</v>
      </c>
      <c r="U156" s="223">
        <f t="shared" si="271"/>
        <v>0.33262786596119931</v>
      </c>
      <c r="V156" s="335">
        <f t="shared" si="272"/>
        <v>0.97570840681951798</v>
      </c>
      <c r="W156" s="335">
        <f t="shared" si="273"/>
        <v>0.92924610173287425</v>
      </c>
      <c r="X156" s="555">
        <f t="shared" si="274"/>
        <v>350</v>
      </c>
      <c r="Y156" s="553">
        <f t="shared" si="211"/>
        <v>350</v>
      </c>
      <c r="AA156" s="335">
        <f t="shared" si="275"/>
        <v>0.4988913525498892</v>
      </c>
      <c r="AB156" s="556">
        <f t="shared" si="276"/>
        <v>1.3937282229965158</v>
      </c>
      <c r="AC156" s="556">
        <f t="shared" si="277"/>
        <v>0.36504245308528482</v>
      </c>
      <c r="AD156" s="556"/>
      <c r="AE156" s="556">
        <f t="shared" si="278"/>
        <v>0.419047619047619</v>
      </c>
      <c r="AF156" s="583">
        <f t="shared" si="279"/>
        <v>2439.3939393939399</v>
      </c>
      <c r="AG156" s="600">
        <f t="shared" si="280"/>
        <v>3.2999999999999995E-2</v>
      </c>
      <c r="AI156" s="556">
        <f t="shared" si="281"/>
        <v>0.39600275481135455</v>
      </c>
      <c r="AJ156" s="556">
        <f t="shared" si="282"/>
        <v>0.39600275481135455</v>
      </c>
      <c r="AK156" s="556">
        <f t="shared" si="283"/>
        <v>1.3822242628232255</v>
      </c>
      <c r="AM156" s="583">
        <f t="shared" si="284"/>
        <v>230</v>
      </c>
      <c r="AN156" s="584">
        <f t="shared" si="285"/>
        <v>350</v>
      </c>
      <c r="AP156" s="78">
        <f t="shared" si="286"/>
        <v>230</v>
      </c>
      <c r="AQ156" s="78">
        <f t="shared" si="287"/>
        <v>350</v>
      </c>
      <c r="AS156" s="552">
        <f t="shared" si="258"/>
        <v>2.8571428571428572</v>
      </c>
      <c r="AT156" s="6">
        <f t="shared" si="288"/>
        <v>1.1616080807799734</v>
      </c>
      <c r="AU156" s="6">
        <f t="shared" si="226"/>
        <v>1.6955347763628839</v>
      </c>
      <c r="AV156" s="6"/>
      <c r="AW156" s="179">
        <f t="shared" si="227"/>
        <v>0.40656282827299067</v>
      </c>
      <c r="AX156" s="179">
        <f t="shared" si="254"/>
        <v>1.2074999999999998</v>
      </c>
      <c r="AY156" s="179">
        <f t="shared" si="255"/>
        <v>0.35250413221703186</v>
      </c>
      <c r="AZ156" s="179">
        <f t="shared" si="259"/>
        <v>3.4254917592187515</v>
      </c>
      <c r="BA156" s="472">
        <f t="shared" si="289"/>
        <v>28.298334324806667</v>
      </c>
      <c r="BB156" s="472">
        <f t="shared" si="290"/>
        <v>5.9779990543735231</v>
      </c>
      <c r="BC156" s="6">
        <f t="shared" si="253"/>
        <v>0.1203620365936615</v>
      </c>
      <c r="BD156" s="563">
        <f t="shared" si="291"/>
        <v>34.506042775998807</v>
      </c>
      <c r="BF156" s="179">
        <f t="shared" si="260"/>
        <v>0.14578116422069995</v>
      </c>
      <c r="BG156" s="179">
        <f t="shared" si="256"/>
        <v>0.5283798017341893</v>
      </c>
      <c r="BI156" s="546">
        <f t="shared" si="232"/>
        <v>7.4382517445399409E-3</v>
      </c>
      <c r="BJ156" s="546">
        <f t="shared" si="233"/>
        <v>3.1964847364929015E-2</v>
      </c>
      <c r="BK156" s="546">
        <f t="shared" si="234"/>
        <v>4.3749999999999995E-3</v>
      </c>
      <c r="BL156" s="546">
        <f t="shared" si="235"/>
        <v>1.6547343750000002E-2</v>
      </c>
      <c r="BM156">
        <f t="shared" si="236"/>
        <v>4.3499999999999997E-3</v>
      </c>
      <c r="BN156"/>
      <c r="BO156" s="472">
        <f t="shared" si="237"/>
        <v>64.675442859468973</v>
      </c>
      <c r="BP156" s="546">
        <f t="shared" si="292"/>
        <v>6.9000000000000006E-2</v>
      </c>
      <c r="BS156" s="472">
        <f t="shared" si="239"/>
        <v>69</v>
      </c>
      <c r="BT156" s="546">
        <f t="shared" si="293"/>
        <v>4.2504295683085383E-3</v>
      </c>
      <c r="BU156" s="546">
        <f t="shared" si="294"/>
        <v>1.1167408595226446E-2</v>
      </c>
      <c r="BV156" s="546">
        <f t="shared" si="295"/>
        <v>1.130799565713364E-2</v>
      </c>
      <c r="BW156" s="546"/>
      <c r="BX156" s="546">
        <f t="shared" si="296"/>
        <v>2.7443181818181818E-2</v>
      </c>
      <c r="BY156" s="472">
        <f t="shared" si="244"/>
        <v>54.169015638850446</v>
      </c>
      <c r="BZ156" s="179">
        <f t="shared" si="297"/>
        <v>0.18784445849831941</v>
      </c>
      <c r="CA156" s="6">
        <f t="shared" si="298"/>
        <v>1.1500000000000001</v>
      </c>
      <c r="CB156" s="179">
        <f t="shared" si="247"/>
        <v>0.85959170566870846</v>
      </c>
      <c r="CC156" s="6">
        <f t="shared" si="248"/>
        <v>85.959170566870853</v>
      </c>
      <c r="CF156" s="581">
        <f t="shared" si="299"/>
        <v>-50</v>
      </c>
      <c r="CG156">
        <f t="shared" si="300"/>
        <v>-50</v>
      </c>
    </row>
    <row r="157" spans="5:85" x14ac:dyDescent="0.2">
      <c r="E157" s="176">
        <v>47</v>
      </c>
      <c r="F157" s="223">
        <f t="shared" si="301"/>
        <v>0.23499999999999999</v>
      </c>
      <c r="G157" s="223"/>
      <c r="H157" s="223">
        <f t="shared" si="261"/>
        <v>1.1749999999999998</v>
      </c>
      <c r="I157" s="559">
        <f t="shared" si="262"/>
        <v>15</v>
      </c>
      <c r="J157" s="454">
        <f t="shared" si="263"/>
        <v>15.75</v>
      </c>
      <c r="K157" s="454">
        <f t="shared" si="264"/>
        <v>30.75</v>
      </c>
      <c r="L157" s="454"/>
      <c r="M157" s="223">
        <f t="shared" si="265"/>
        <v>0.51219512195121952</v>
      </c>
      <c r="N157" s="178">
        <f t="shared" si="266"/>
        <v>2.592987804878049</v>
      </c>
      <c r="O157" s="178">
        <f t="shared" si="257"/>
        <v>1.1749999999999998</v>
      </c>
      <c r="P157" s="223">
        <f t="shared" si="267"/>
        <v>0.51859756097560983</v>
      </c>
      <c r="Q157" s="223">
        <f t="shared" si="268"/>
        <v>5</v>
      </c>
      <c r="R157" s="223"/>
      <c r="S157" s="178">
        <f t="shared" si="269"/>
        <v>16.616663875689436</v>
      </c>
      <c r="T157" s="178">
        <f t="shared" si="270"/>
        <v>5</v>
      </c>
      <c r="U157" s="223">
        <f t="shared" si="271"/>
        <v>0.3398589065255731</v>
      </c>
      <c r="V157" s="223">
        <f t="shared" si="272"/>
        <v>0.99691945914168123</v>
      </c>
      <c r="W157" s="223">
        <f t="shared" si="273"/>
        <v>0.94944710394445819</v>
      </c>
      <c r="X157" s="203">
        <f t="shared" si="274"/>
        <v>350</v>
      </c>
      <c r="Y157" s="454">
        <f t="shared" si="211"/>
        <v>350</v>
      </c>
      <c r="AA157" s="223">
        <f t="shared" si="275"/>
        <v>0.4988913525498892</v>
      </c>
      <c r="AB157" s="179">
        <f t="shared" si="276"/>
        <v>1.3937282229965158</v>
      </c>
      <c r="AC157" s="179">
        <f t="shared" si="277"/>
        <v>0.36504245308528482</v>
      </c>
      <c r="AD157" s="179"/>
      <c r="AE157" s="179">
        <f t="shared" si="278"/>
        <v>0.419047619047619</v>
      </c>
      <c r="AF157" s="563">
        <f t="shared" si="279"/>
        <v>2492.4242424242425</v>
      </c>
      <c r="AG157" s="546">
        <f t="shared" si="280"/>
        <v>3.2999999999999995E-2</v>
      </c>
      <c r="AI157" s="179">
        <f t="shared" si="281"/>
        <v>0.40028399009612253</v>
      </c>
      <c r="AJ157" s="179">
        <f t="shared" si="282"/>
        <v>0.40028399009612253</v>
      </c>
      <c r="AK157" s="179">
        <f t="shared" si="283"/>
        <v>1.3853955482193501</v>
      </c>
      <c r="AM157" s="563">
        <f t="shared" si="284"/>
        <v>235</v>
      </c>
      <c r="AN157" s="472">
        <f t="shared" si="285"/>
        <v>350</v>
      </c>
      <c r="AP157">
        <f t="shared" si="286"/>
        <v>235</v>
      </c>
      <c r="AQ157">
        <f t="shared" si="287"/>
        <v>350</v>
      </c>
      <c r="AS157" s="6">
        <f t="shared" si="258"/>
        <v>2.8571428571428572</v>
      </c>
      <c r="AT157" s="6">
        <f t="shared" si="288"/>
        <v>1.1741663709486261</v>
      </c>
      <c r="AU157" s="6">
        <f t="shared" si="226"/>
        <v>1.6829764861942311</v>
      </c>
      <c r="AV157" s="6"/>
      <c r="AW157" s="179">
        <f t="shared" si="227"/>
        <v>0.41095822983201913</v>
      </c>
      <c r="AX157" s="179">
        <f t="shared" si="254"/>
        <v>1.2337499999999999</v>
      </c>
      <c r="AY157" s="179">
        <f t="shared" si="255"/>
        <v>0.3536759851441838</v>
      </c>
      <c r="AZ157" s="179">
        <f t="shared" si="259"/>
        <v>3.4883623763627449</v>
      </c>
      <c r="BA157" s="472">
        <f t="shared" si="289"/>
        <v>28.298334324806667</v>
      </c>
      <c r="BB157" s="472">
        <f t="shared" si="290"/>
        <v>6.2254111111111117</v>
      </c>
      <c r="BC157" s="6">
        <f t="shared" si="253"/>
        <v>0.12206773896779141</v>
      </c>
      <c r="BD157" s="563">
        <f t="shared" si="291"/>
        <v>35.156028394872727</v>
      </c>
      <c r="BF157" s="179">
        <f t="shared" si="260"/>
        <v>0.1481516299503228</v>
      </c>
      <c r="BG157" s="179">
        <f t="shared" si="256"/>
        <v>0.53211057973825482</v>
      </c>
      <c r="BI157" s="546">
        <f t="shared" si="232"/>
        <v>7.6821169099280844E-3</v>
      </c>
      <c r="BJ157" s="546">
        <f t="shared" si="233"/>
        <v>3.2310423325571387E-2</v>
      </c>
      <c r="BK157" s="546">
        <f t="shared" si="234"/>
        <v>4.3749999999999995E-3</v>
      </c>
      <c r="BL157" s="546">
        <f t="shared" si="235"/>
        <v>1.6547343750000002E-2</v>
      </c>
      <c r="BM157">
        <f t="shared" si="236"/>
        <v>4.3499999999999997E-3</v>
      </c>
      <c r="BO157" s="472">
        <f t="shared" si="237"/>
        <v>65.26488398549948</v>
      </c>
      <c r="BP157" s="546">
        <f t="shared" si="292"/>
        <v>7.0499999999999993E-2</v>
      </c>
      <c r="BS157" s="472">
        <f t="shared" si="239"/>
        <v>70.5</v>
      </c>
      <c r="BT157" s="546">
        <f t="shared" si="293"/>
        <v>4.3897810913874772E-3</v>
      </c>
      <c r="BU157" s="546">
        <f t="shared" si="294"/>
        <v>1.1325666762775266E-2</v>
      </c>
      <c r="BV157" s="546">
        <f t="shared" si="295"/>
        <v>1.1616108659156467E-2</v>
      </c>
      <c r="BW157" s="546"/>
      <c r="BX157" s="546">
        <f t="shared" si="296"/>
        <v>2.8039772727272729E-2</v>
      </c>
      <c r="BY157" s="472">
        <f t="shared" si="244"/>
        <v>55.371329240591947</v>
      </c>
      <c r="BZ157" s="179">
        <f t="shared" si="297"/>
        <v>0.19113621322609142</v>
      </c>
      <c r="CA157" s="6">
        <f t="shared" si="298"/>
        <v>1.1749999999999998</v>
      </c>
      <c r="CB157" s="179">
        <f t="shared" si="247"/>
        <v>0.86008992999700318</v>
      </c>
      <c r="CC157" s="6">
        <f t="shared" si="248"/>
        <v>86.008992999700311</v>
      </c>
      <c r="CF157" s="581">
        <f t="shared" si="299"/>
        <v>-50</v>
      </c>
      <c r="CG157">
        <f t="shared" si="300"/>
        <v>-50</v>
      </c>
    </row>
    <row r="158" spans="5:85" x14ac:dyDescent="0.2">
      <c r="E158" s="176">
        <v>48</v>
      </c>
      <c r="F158" s="223">
        <f t="shared" si="301"/>
        <v>0.24</v>
      </c>
      <c r="G158" s="223"/>
      <c r="H158" s="223">
        <f t="shared" si="261"/>
        <v>1.2</v>
      </c>
      <c r="I158" s="559">
        <f t="shared" si="262"/>
        <v>15</v>
      </c>
      <c r="J158" s="454">
        <f t="shared" si="263"/>
        <v>15.75</v>
      </c>
      <c r="K158" s="454">
        <f t="shared" si="264"/>
        <v>30.75</v>
      </c>
      <c r="L158" s="454"/>
      <c r="M158" s="223">
        <f t="shared" si="265"/>
        <v>0.51219512195121952</v>
      </c>
      <c r="N158" s="178">
        <f t="shared" si="266"/>
        <v>2.592987804878049</v>
      </c>
      <c r="O158" s="178">
        <f t="shared" si="257"/>
        <v>1.2</v>
      </c>
      <c r="P158" s="223">
        <f t="shared" si="267"/>
        <v>0.51859756097560983</v>
      </c>
      <c r="Q158" s="223">
        <f t="shared" si="268"/>
        <v>5</v>
      </c>
      <c r="R158" s="223"/>
      <c r="S158" s="178">
        <f t="shared" si="269"/>
        <v>16.169877243914883</v>
      </c>
      <c r="T158" s="178">
        <f t="shared" si="270"/>
        <v>5</v>
      </c>
      <c r="U158" s="223">
        <f t="shared" si="271"/>
        <v>0.34708994708994706</v>
      </c>
      <c r="V158" s="223">
        <f t="shared" si="272"/>
        <v>1.0181305114638446</v>
      </c>
      <c r="W158" s="223">
        <f t="shared" si="273"/>
        <v>0.96964810615604258</v>
      </c>
      <c r="X158" s="203">
        <f t="shared" si="274"/>
        <v>350</v>
      </c>
      <c r="Y158" s="454">
        <f t="shared" si="211"/>
        <v>350</v>
      </c>
      <c r="AA158" s="223">
        <f t="shared" si="275"/>
        <v>0.4988913525498892</v>
      </c>
      <c r="AB158" s="179">
        <f t="shared" si="276"/>
        <v>1.3937282229965158</v>
      </c>
      <c r="AC158" s="179">
        <f t="shared" si="277"/>
        <v>0.36504245308528482</v>
      </c>
      <c r="AD158" s="179"/>
      <c r="AE158" s="179">
        <f t="shared" si="278"/>
        <v>0.419047619047619</v>
      </c>
      <c r="AF158" s="563">
        <f t="shared" si="279"/>
        <v>2545.454545454546</v>
      </c>
      <c r="AG158" s="546">
        <f t="shared" si="280"/>
        <v>3.2999999999999995E-2</v>
      </c>
      <c r="AI158" s="179">
        <f t="shared" si="281"/>
        <v>0.40451991747794519</v>
      </c>
      <c r="AJ158" s="179">
        <f t="shared" si="282"/>
        <v>0.40451991747794519</v>
      </c>
      <c r="AK158" s="179">
        <f t="shared" si="283"/>
        <v>1.3885332722058852</v>
      </c>
      <c r="AM158" s="563">
        <f t="shared" si="284"/>
        <v>240</v>
      </c>
      <c r="AN158" s="472">
        <f t="shared" si="285"/>
        <v>350</v>
      </c>
      <c r="AP158">
        <f t="shared" si="286"/>
        <v>240</v>
      </c>
      <c r="AQ158">
        <f t="shared" si="287"/>
        <v>350</v>
      </c>
      <c r="AS158" s="6">
        <f t="shared" si="258"/>
        <v>2.8571428571428572</v>
      </c>
      <c r="AT158" s="6">
        <f t="shared" si="288"/>
        <v>1.1865917579353058</v>
      </c>
      <c r="AU158" s="6">
        <f t="shared" si="226"/>
        <v>1.6705510992075514</v>
      </c>
      <c r="AV158" s="6"/>
      <c r="AW158" s="179">
        <f t="shared" si="227"/>
        <v>0.41530711527735703</v>
      </c>
      <c r="AX158" s="179">
        <f t="shared" si="254"/>
        <v>1.2599999999999993</v>
      </c>
      <c r="AY158" s="179">
        <f t="shared" si="255"/>
        <v>0.35477987621691781</v>
      </c>
      <c r="AZ158" s="179">
        <f t="shared" si="259"/>
        <v>3.551497941302669</v>
      </c>
      <c r="BA158" s="472">
        <f t="shared" si="289"/>
        <v>28.298334324806667</v>
      </c>
      <c r="BB158" s="472">
        <f t="shared" si="290"/>
        <v>6.4778212765957441</v>
      </c>
      <c r="BC158" s="6">
        <f t="shared" si="253"/>
        <v>0.12374452586722601</v>
      </c>
      <c r="BD158" s="563">
        <f t="shared" si="291"/>
        <v>35.802711195754</v>
      </c>
      <c r="BF158" s="179">
        <f t="shared" si="260"/>
        <v>0.15050951922973152</v>
      </c>
      <c r="BG158" s="179">
        <f t="shared" si="256"/>
        <v>0.53575279047356017</v>
      </c>
      <c r="BI158" s="546">
        <f t="shared" si="232"/>
        <v>7.9285903825677233E-3</v>
      </c>
      <c r="BJ158" s="546">
        <f t="shared" si="233"/>
        <v>3.2652342088922884E-2</v>
      </c>
      <c r="BK158" s="546">
        <f t="shared" si="234"/>
        <v>4.3749999999999995E-3</v>
      </c>
      <c r="BL158" s="546">
        <f t="shared" si="235"/>
        <v>1.6547343750000002E-2</v>
      </c>
      <c r="BM158">
        <f t="shared" si="236"/>
        <v>4.3499999999999997E-3</v>
      </c>
      <c r="BO158" s="472">
        <f t="shared" si="237"/>
        <v>65.853276221490617</v>
      </c>
      <c r="BP158" s="546">
        <f t="shared" si="292"/>
        <v>7.1999999999999995E-2</v>
      </c>
      <c r="BS158" s="472">
        <f t="shared" si="239"/>
        <v>72</v>
      </c>
      <c r="BT158" s="546">
        <f t="shared" si="293"/>
        <v>4.5306230757529847E-3</v>
      </c>
      <c r="BU158" s="546">
        <f t="shared" si="294"/>
        <v>1.1481242100008258E-2</v>
      </c>
      <c r="BV158" s="546">
        <f t="shared" si="295"/>
        <v>1.1925865035429677E-2</v>
      </c>
      <c r="BW158" s="546"/>
      <c r="BX158" s="546">
        <f t="shared" si="296"/>
        <v>2.8636363636363633E-2</v>
      </c>
      <c r="BY158" s="472">
        <f t="shared" si="244"/>
        <v>56.574093847554551</v>
      </c>
      <c r="BZ158" s="179">
        <f t="shared" si="297"/>
        <v>0.19442737006904515</v>
      </c>
      <c r="CA158" s="6">
        <f t="shared" si="298"/>
        <v>1.2</v>
      </c>
      <c r="CB158" s="179">
        <f t="shared" si="247"/>
        <v>0.86056830621488878</v>
      </c>
      <c r="CC158" s="6">
        <f t="shared" si="248"/>
        <v>86.056830621488871</v>
      </c>
      <c r="CF158" s="581">
        <f t="shared" si="299"/>
        <v>-50</v>
      </c>
      <c r="CG158">
        <f t="shared" si="300"/>
        <v>-50</v>
      </c>
    </row>
    <row r="159" spans="5:85" x14ac:dyDescent="0.2">
      <c r="E159" s="176">
        <v>49</v>
      </c>
      <c r="F159" s="223">
        <f t="shared" si="301"/>
        <v>0.245</v>
      </c>
      <c r="G159" s="223"/>
      <c r="H159" s="223">
        <f t="shared" si="261"/>
        <v>1.2250000000000001</v>
      </c>
      <c r="I159" s="559">
        <f t="shared" si="262"/>
        <v>15</v>
      </c>
      <c r="J159" s="454">
        <f t="shared" si="263"/>
        <v>15.75</v>
      </c>
      <c r="K159" s="454">
        <f t="shared" si="264"/>
        <v>30.75</v>
      </c>
      <c r="L159" s="454"/>
      <c r="M159" s="223">
        <f t="shared" si="265"/>
        <v>0.51219512195121952</v>
      </c>
      <c r="N159" s="178">
        <f t="shared" si="266"/>
        <v>2.592987804878049</v>
      </c>
      <c r="O159" s="178">
        <f t="shared" si="257"/>
        <v>1.2250000000000001</v>
      </c>
      <c r="P159" s="223">
        <f t="shared" si="267"/>
        <v>0.51859756097560983</v>
      </c>
      <c r="Q159" s="223">
        <f t="shared" si="268"/>
        <v>5</v>
      </c>
      <c r="R159" s="223"/>
      <c r="S159" s="178">
        <f t="shared" si="269"/>
        <v>15.741432163675045</v>
      </c>
      <c r="T159" s="178">
        <f t="shared" si="270"/>
        <v>5</v>
      </c>
      <c r="U159" s="223">
        <f t="shared" si="271"/>
        <v>0.35432098765432102</v>
      </c>
      <c r="V159" s="223">
        <f t="shared" si="272"/>
        <v>1.0393415637860084</v>
      </c>
      <c r="W159" s="223">
        <f t="shared" si="273"/>
        <v>0.98984910836762696</v>
      </c>
      <c r="X159" s="203">
        <f t="shared" si="274"/>
        <v>350</v>
      </c>
      <c r="Y159" s="454">
        <f t="shared" si="211"/>
        <v>350</v>
      </c>
      <c r="AA159" s="223">
        <f t="shared" si="275"/>
        <v>0.4988913525498892</v>
      </c>
      <c r="AB159" s="179">
        <f t="shared" si="276"/>
        <v>1.3937282229965158</v>
      </c>
      <c r="AC159" s="179">
        <f t="shared" si="277"/>
        <v>0.36504245308528482</v>
      </c>
      <c r="AD159" s="179"/>
      <c r="AE159" s="179">
        <f t="shared" si="278"/>
        <v>0.419047619047619</v>
      </c>
      <c r="AF159" s="563">
        <f t="shared" si="279"/>
        <v>2598.484848484849</v>
      </c>
      <c r="AG159" s="546">
        <f t="shared" si="280"/>
        <v>3.2999999999999995E-2</v>
      </c>
      <c r="AI159" s="179">
        <f t="shared" si="281"/>
        <v>0.40871194568479952</v>
      </c>
      <c r="AJ159" s="179">
        <f t="shared" si="282"/>
        <v>0.40871194568479952</v>
      </c>
      <c r="AK159" s="179">
        <f t="shared" si="283"/>
        <v>1.3916384782850366</v>
      </c>
      <c r="AM159" s="563">
        <f t="shared" si="284"/>
        <v>245</v>
      </c>
      <c r="AN159" s="472">
        <f t="shared" si="285"/>
        <v>350</v>
      </c>
      <c r="AP159">
        <f t="shared" si="286"/>
        <v>245</v>
      </c>
      <c r="AQ159">
        <f t="shared" si="287"/>
        <v>350</v>
      </c>
      <c r="AS159" s="6">
        <f t="shared" si="258"/>
        <v>2.8571428571428572</v>
      </c>
      <c r="AT159" s="6">
        <f t="shared" si="288"/>
        <v>1.1988883740087453</v>
      </c>
      <c r="AU159" s="6">
        <f t="shared" si="226"/>
        <v>1.6582544831341119</v>
      </c>
      <c r="AV159" s="6"/>
      <c r="AW159" s="179">
        <f t="shared" si="227"/>
        <v>0.41961093090306084</v>
      </c>
      <c r="AX159" s="179">
        <f t="shared" si="254"/>
        <v>1.2862499999999997</v>
      </c>
      <c r="AY159" s="179">
        <f t="shared" si="255"/>
        <v>0.35581791852719924</v>
      </c>
      <c r="AZ159" s="179">
        <f t="shared" si="259"/>
        <v>3.6149106973702811</v>
      </c>
      <c r="BA159" s="472">
        <f t="shared" si="289"/>
        <v>28.298334324806667</v>
      </c>
      <c r="BB159" s="472">
        <f t="shared" si="290"/>
        <v>6.7352295508274231</v>
      </c>
      <c r="BC159" s="6">
        <f t="shared" si="253"/>
        <v>0.12539270011353623</v>
      </c>
      <c r="BD159" s="563">
        <f t="shared" si="291"/>
        <v>36.446122605667433</v>
      </c>
      <c r="BF159" s="179">
        <f t="shared" si="260"/>
        <v>0.15285515876687872</v>
      </c>
      <c r="BG159" s="179">
        <f t="shared" si="256"/>
        <v>0.53930887956859574</v>
      </c>
      <c r="BI159" s="546">
        <f t="shared" si="232"/>
        <v>8.1776448465766937E-3</v>
      </c>
      <c r="BJ159" s="546">
        <f t="shared" si="233"/>
        <v>3.2990717365744909E-2</v>
      </c>
      <c r="BK159" s="546">
        <f t="shared" si="234"/>
        <v>4.3749999999999995E-3</v>
      </c>
      <c r="BL159" s="546">
        <f t="shared" si="235"/>
        <v>1.6547343750000002E-2</v>
      </c>
      <c r="BM159">
        <f t="shared" si="236"/>
        <v>4.3499999999999997E-3</v>
      </c>
      <c r="BO159" s="472">
        <f t="shared" si="237"/>
        <v>66.440705962321601</v>
      </c>
      <c r="BP159" s="546">
        <f t="shared" si="292"/>
        <v>7.3499999999999996E-2</v>
      </c>
      <c r="BS159" s="472">
        <f t="shared" si="239"/>
        <v>73.5</v>
      </c>
      <c r="BT159" s="546">
        <f t="shared" si="293"/>
        <v>4.6729399123295401E-3</v>
      </c>
      <c r="BU159" s="546">
        <f t="shared" si="294"/>
        <v>1.1634162703261364E-2</v>
      </c>
      <c r="BV159" s="546">
        <f t="shared" si="295"/>
        <v>1.2237239037470852E-2</v>
      </c>
      <c r="BW159" s="546"/>
      <c r="BX159" s="546">
        <f t="shared" si="296"/>
        <v>2.9232954545454541E-2</v>
      </c>
      <c r="BY159" s="472">
        <f t="shared" si="244"/>
        <v>57.777296198516296</v>
      </c>
      <c r="BZ159" s="179">
        <f t="shared" si="297"/>
        <v>0.1977180021608379</v>
      </c>
      <c r="CA159" s="6">
        <f t="shared" si="298"/>
        <v>1.2250000000000001</v>
      </c>
      <c r="CB159" s="179">
        <f t="shared" si="247"/>
        <v>0.86102797472124359</v>
      </c>
      <c r="CC159" s="6">
        <f t="shared" si="248"/>
        <v>86.102797472124365</v>
      </c>
      <c r="CF159" s="581">
        <f t="shared" si="299"/>
        <v>-50</v>
      </c>
      <c r="CG159">
        <f t="shared" si="300"/>
        <v>-50</v>
      </c>
    </row>
    <row r="160" spans="5:85" x14ac:dyDescent="0.2">
      <c r="E160" s="176">
        <v>50</v>
      </c>
      <c r="F160" s="223">
        <f t="shared" si="301"/>
        <v>0.25</v>
      </c>
      <c r="G160" s="223"/>
      <c r="H160" s="223">
        <f t="shared" si="261"/>
        <v>1.25</v>
      </c>
      <c r="I160" s="559">
        <f t="shared" si="262"/>
        <v>15</v>
      </c>
      <c r="J160" s="454">
        <f t="shared" si="263"/>
        <v>15.75</v>
      </c>
      <c r="K160" s="454">
        <f t="shared" si="264"/>
        <v>30.75</v>
      </c>
      <c r="L160" s="454"/>
      <c r="M160" s="223">
        <f t="shared" si="265"/>
        <v>0.51219512195121952</v>
      </c>
      <c r="N160" s="178">
        <f t="shared" si="266"/>
        <v>2.592987804878049</v>
      </c>
      <c r="O160" s="178">
        <f t="shared" si="257"/>
        <v>1.25</v>
      </c>
      <c r="P160" s="223">
        <f t="shared" si="267"/>
        <v>0.51859756097560983</v>
      </c>
      <c r="Q160" s="223">
        <f t="shared" si="268"/>
        <v>5</v>
      </c>
      <c r="R160" s="223"/>
      <c r="S160" s="178">
        <f t="shared" si="269"/>
        <v>15.330229881682911</v>
      </c>
      <c r="T160" s="178">
        <f t="shared" si="270"/>
        <v>5</v>
      </c>
      <c r="U160" s="223">
        <f t="shared" si="271"/>
        <v>0.36155202821869487</v>
      </c>
      <c r="V160" s="223">
        <f t="shared" si="272"/>
        <v>1.0605526161081715</v>
      </c>
      <c r="W160" s="223">
        <f t="shared" si="273"/>
        <v>1.010050110579211</v>
      </c>
      <c r="X160" s="203">
        <f t="shared" si="274"/>
        <v>350</v>
      </c>
      <c r="Y160" s="454">
        <f t="shared" si="211"/>
        <v>350</v>
      </c>
      <c r="AA160" s="223">
        <f t="shared" si="275"/>
        <v>0.4988913525498892</v>
      </c>
      <c r="AB160" s="179">
        <f t="shared" si="276"/>
        <v>1.3937282229965158</v>
      </c>
      <c r="AC160" s="179">
        <f t="shared" si="277"/>
        <v>0.36504245308528482</v>
      </c>
      <c r="AD160" s="179"/>
      <c r="AE160" s="179">
        <f t="shared" si="278"/>
        <v>0.419047619047619</v>
      </c>
      <c r="AF160" s="563">
        <f t="shared" si="279"/>
        <v>2651.515151515152</v>
      </c>
      <c r="AG160" s="546">
        <f t="shared" si="280"/>
        <v>3.2999999999999995E-2</v>
      </c>
      <c r="AI160" s="179">
        <f t="shared" si="281"/>
        <v>0.41286141192238524</v>
      </c>
      <c r="AJ160" s="179">
        <f t="shared" si="282"/>
        <v>0.41286141192238524</v>
      </c>
      <c r="AK160" s="179">
        <f t="shared" si="283"/>
        <v>1.3947121569795446</v>
      </c>
      <c r="AM160" s="563">
        <f t="shared" si="284"/>
        <v>250</v>
      </c>
      <c r="AN160" s="472">
        <f t="shared" si="285"/>
        <v>350</v>
      </c>
      <c r="AP160">
        <f t="shared" si="286"/>
        <v>250</v>
      </c>
      <c r="AQ160">
        <f t="shared" si="287"/>
        <v>350</v>
      </c>
      <c r="AS160" s="6">
        <f t="shared" si="258"/>
        <v>2.8571428571428572</v>
      </c>
      <c r="AT160" s="6">
        <f t="shared" si="288"/>
        <v>1.2110601416389966</v>
      </c>
      <c r="AU160" s="6">
        <f t="shared" si="226"/>
        <v>1.6460827155038606</v>
      </c>
      <c r="AV160" s="6"/>
      <c r="AW160" s="179">
        <f t="shared" si="227"/>
        <v>0.42387104957364879</v>
      </c>
      <c r="AX160" s="179">
        <f t="shared" si="254"/>
        <v>1.3125</v>
      </c>
      <c r="AY160" s="179">
        <f t="shared" si="255"/>
        <v>0.35679211788357784</v>
      </c>
      <c r="AZ160" s="179">
        <f t="shared" si="259"/>
        <v>3.6786126548576727</v>
      </c>
      <c r="BA160" s="472">
        <f t="shared" si="289"/>
        <v>28.298334324806667</v>
      </c>
      <c r="BB160" s="472">
        <f t="shared" si="290"/>
        <v>6.9976359338061478</v>
      </c>
      <c r="BC160" s="6">
        <f t="shared" si="253"/>
        <v>0.12701255520863119</v>
      </c>
      <c r="BD160" s="563">
        <f t="shared" si="291"/>
        <v>37.086293132476314</v>
      </c>
      <c r="BF160" s="179">
        <f t="shared" si="260"/>
        <v>0.15518886030298418</v>
      </c>
      <c r="BG160" s="179">
        <f t="shared" si="256"/>
        <v>0.54278116686597011</v>
      </c>
      <c r="BI160" s="546">
        <f t="shared" si="232"/>
        <v>8.4292538267486967E-3</v>
      </c>
      <c r="BJ160" s="546">
        <f t="shared" si="233"/>
        <v>3.3325657093610031E-2</v>
      </c>
      <c r="BK160" s="546">
        <f t="shared" si="234"/>
        <v>4.3749999999999995E-3</v>
      </c>
      <c r="BL160" s="546">
        <f t="shared" si="235"/>
        <v>1.6547343750000002E-2</v>
      </c>
      <c r="BM160">
        <f t="shared" si="236"/>
        <v>4.3499999999999997E-3</v>
      </c>
      <c r="BO160" s="472">
        <f t="shared" si="237"/>
        <v>67.027254670358715</v>
      </c>
      <c r="BP160" s="546">
        <f t="shared" si="292"/>
        <v>7.4999999999999997E-2</v>
      </c>
      <c r="BS160" s="472">
        <f t="shared" si="239"/>
        <v>75</v>
      </c>
      <c r="BT160" s="546">
        <f t="shared" si="293"/>
        <v>4.8167164724278282E-3</v>
      </c>
      <c r="BU160" s="546">
        <f t="shared" si="294"/>
        <v>1.1784455804175364E-2</v>
      </c>
      <c r="BV160" s="546">
        <f t="shared" si="295"/>
        <v>1.2550205838940884E-2</v>
      </c>
      <c r="BW160" s="546"/>
      <c r="BX160" s="546">
        <f t="shared" si="296"/>
        <v>2.9829545454545463E-2</v>
      </c>
      <c r="BY160" s="472">
        <f t="shared" si="244"/>
        <v>58.980923570089537</v>
      </c>
      <c r="BZ160" s="179">
        <f t="shared" si="297"/>
        <v>0.20100817824044825</v>
      </c>
      <c r="CA160" s="6">
        <f t="shared" si="298"/>
        <v>1.25</v>
      </c>
      <c r="CB160" s="179">
        <f t="shared" si="247"/>
        <v>0.86146998944954334</v>
      </c>
      <c r="CC160" s="6">
        <f t="shared" si="248"/>
        <v>86.146998944954333</v>
      </c>
      <c r="CF160" s="581">
        <f t="shared" si="299"/>
        <v>-50</v>
      </c>
      <c r="CG160">
        <f t="shared" si="300"/>
        <v>-50</v>
      </c>
    </row>
    <row r="161" spans="5:85" x14ac:dyDescent="0.2">
      <c r="E161" s="176">
        <v>51</v>
      </c>
      <c r="F161" s="223">
        <f t="shared" si="301"/>
        <v>0.255</v>
      </c>
      <c r="G161" s="223"/>
      <c r="H161" s="223">
        <f t="shared" si="261"/>
        <v>1.2749999999999999</v>
      </c>
      <c r="I161" s="559">
        <f t="shared" si="262"/>
        <v>15</v>
      </c>
      <c r="J161" s="454">
        <f t="shared" si="263"/>
        <v>15.75</v>
      </c>
      <c r="K161" s="454">
        <f t="shared" si="264"/>
        <v>30.75</v>
      </c>
      <c r="L161" s="454"/>
      <c r="M161" s="223">
        <f t="shared" si="265"/>
        <v>0.51219512195121952</v>
      </c>
      <c r="N161" s="178">
        <f t="shared" si="266"/>
        <v>2.592987804878049</v>
      </c>
      <c r="O161" s="178">
        <f t="shared" si="257"/>
        <v>1.2749999999999999</v>
      </c>
      <c r="P161" s="223">
        <f t="shared" si="267"/>
        <v>0.51859756097560983</v>
      </c>
      <c r="Q161" s="223">
        <f t="shared" si="268"/>
        <v>5</v>
      </c>
      <c r="R161" s="223"/>
      <c r="S161" s="178">
        <f t="shared" si="269"/>
        <v>14.935257855705007</v>
      </c>
      <c r="T161" s="178">
        <f t="shared" si="270"/>
        <v>5</v>
      </c>
      <c r="U161" s="223">
        <f t="shared" si="271"/>
        <v>0.36878306878306871</v>
      </c>
      <c r="V161" s="223">
        <f t="shared" si="272"/>
        <v>1.0817636684303347</v>
      </c>
      <c r="W161" s="223">
        <f t="shared" si="273"/>
        <v>1.030251112790795</v>
      </c>
      <c r="X161" s="203">
        <f t="shared" si="274"/>
        <v>350</v>
      </c>
      <c r="Y161" s="454">
        <f t="shared" si="211"/>
        <v>350</v>
      </c>
      <c r="AA161" s="223">
        <f t="shared" si="275"/>
        <v>0.4988913525498892</v>
      </c>
      <c r="AB161" s="179">
        <f t="shared" si="276"/>
        <v>1.3937282229965158</v>
      </c>
      <c r="AC161" s="179">
        <f t="shared" si="277"/>
        <v>0.36504245308528482</v>
      </c>
      <c r="AD161" s="179"/>
      <c r="AE161" s="179">
        <f t="shared" si="278"/>
        <v>0.419047619047619</v>
      </c>
      <c r="AF161" s="563">
        <f t="shared" si="279"/>
        <v>2704.545454545455</v>
      </c>
      <c r="AG161" s="546">
        <f t="shared" si="280"/>
        <v>3.2999999999999995E-2</v>
      </c>
      <c r="AI161" s="179">
        <f t="shared" si="281"/>
        <v>0.41696958685692698</v>
      </c>
      <c r="AJ161" s="179">
        <f t="shared" si="282"/>
        <v>0.41696958685692698</v>
      </c>
      <c r="AK161" s="179">
        <f t="shared" si="283"/>
        <v>1.3977552495236496</v>
      </c>
      <c r="AM161" s="563">
        <f t="shared" si="284"/>
        <v>255</v>
      </c>
      <c r="AN161" s="472">
        <f t="shared" si="285"/>
        <v>350</v>
      </c>
      <c r="AP161">
        <f t="shared" si="286"/>
        <v>255</v>
      </c>
      <c r="AQ161">
        <f t="shared" si="287"/>
        <v>350</v>
      </c>
      <c r="AS161" s="6">
        <f t="shared" si="258"/>
        <v>2.8571428571428572</v>
      </c>
      <c r="AT161" s="6">
        <f t="shared" si="288"/>
        <v>1.2231107881136525</v>
      </c>
      <c r="AU161" s="6">
        <f t="shared" si="226"/>
        <v>1.6340320690292047</v>
      </c>
      <c r="AV161" s="6"/>
      <c r="AW161" s="179">
        <f t="shared" si="227"/>
        <v>0.42808877583977833</v>
      </c>
      <c r="AX161" s="179">
        <f t="shared" si="254"/>
        <v>1.3387499999999999</v>
      </c>
      <c r="AY161" s="179">
        <f t="shared" si="255"/>
        <v>0.35770438028539048</v>
      </c>
      <c r="AZ161" s="179">
        <f t="shared" si="259"/>
        <v>3.7426156172085259</v>
      </c>
      <c r="BA161" s="472">
        <f t="shared" si="289"/>
        <v>28.298334324806667</v>
      </c>
      <c r="BB161" s="472">
        <f t="shared" si="290"/>
        <v>7.2650404255319154</v>
      </c>
      <c r="BC161" s="6">
        <f t="shared" si="253"/>
        <v>0.1286043758032244</v>
      </c>
      <c r="BD161" s="563">
        <f t="shared" si="291"/>
        <v>37.723252409416169</v>
      </c>
      <c r="BF161" s="179">
        <f t="shared" si="260"/>
        <v>0.15751092158319419</v>
      </c>
      <c r="BG161" s="179">
        <f t="shared" si="256"/>
        <v>0.54617185512348099</v>
      </c>
      <c r="BI161" s="546">
        <f t="shared" si="232"/>
        <v>8.6833916462955001E-3</v>
      </c>
      <c r="BJ161" s="546">
        <f t="shared" si="233"/>
        <v>3.3657263839107582E-2</v>
      </c>
      <c r="BK161" s="546">
        <f t="shared" si="234"/>
        <v>4.3749999999999995E-3</v>
      </c>
      <c r="BL161" s="546">
        <f t="shared" si="235"/>
        <v>1.6547343750000002E-2</v>
      </c>
      <c r="BM161">
        <f t="shared" si="236"/>
        <v>4.3499999999999997E-3</v>
      </c>
      <c r="BO161" s="472">
        <f t="shared" si="237"/>
        <v>67.612999235403095</v>
      </c>
      <c r="BP161" s="546">
        <f t="shared" si="292"/>
        <v>7.6499999999999999E-2</v>
      </c>
      <c r="BS161" s="472">
        <f t="shared" si="239"/>
        <v>76.5</v>
      </c>
      <c r="BT161" s="546">
        <f t="shared" si="293"/>
        <v>4.9619380835974301E-3</v>
      </c>
      <c r="BU161" s="546">
        <f t="shared" si="294"/>
        <v>1.1932147813160989E-2</v>
      </c>
      <c r="BV161" s="546">
        <f t="shared" si="295"/>
        <v>1.2864741484784153E-2</v>
      </c>
      <c r="BW161" s="546"/>
      <c r="BX161" s="546">
        <f t="shared" si="296"/>
        <v>3.0426136363636367E-2</v>
      </c>
      <c r="BY161" s="472">
        <f t="shared" si="244"/>
        <v>60.184963745178941</v>
      </c>
      <c r="BZ161" s="179">
        <f t="shared" si="297"/>
        <v>0.20429796298058203</v>
      </c>
      <c r="CA161" s="6">
        <f t="shared" si="298"/>
        <v>1.2749999999999999</v>
      </c>
      <c r="CB161" s="179">
        <f t="shared" si="247"/>
        <v>0.86189532596330365</v>
      </c>
      <c r="CC161" s="6">
        <f t="shared" si="248"/>
        <v>86.189532596330366</v>
      </c>
      <c r="CF161" s="581">
        <f t="shared" si="299"/>
        <v>-50</v>
      </c>
      <c r="CG161">
        <f t="shared" si="300"/>
        <v>-50</v>
      </c>
    </row>
    <row r="162" spans="5:85" x14ac:dyDescent="0.2">
      <c r="E162" s="176">
        <v>52</v>
      </c>
      <c r="F162" s="223">
        <f t="shared" si="301"/>
        <v>0.26</v>
      </c>
      <c r="G162" s="223"/>
      <c r="H162" s="223">
        <f t="shared" si="261"/>
        <v>1.3</v>
      </c>
      <c r="I162" s="559">
        <f t="shared" si="262"/>
        <v>15</v>
      </c>
      <c r="J162" s="454">
        <f t="shared" si="263"/>
        <v>15.75</v>
      </c>
      <c r="K162" s="454">
        <f t="shared" si="264"/>
        <v>30.75</v>
      </c>
      <c r="L162" s="454"/>
      <c r="M162" s="223">
        <f t="shared" si="265"/>
        <v>0.51219512195121952</v>
      </c>
      <c r="N162" s="178">
        <f t="shared" si="266"/>
        <v>2.592987804878049</v>
      </c>
      <c r="O162" s="178">
        <f t="shared" si="257"/>
        <v>1.3</v>
      </c>
      <c r="P162" s="223">
        <f t="shared" si="267"/>
        <v>0.51859756097560983</v>
      </c>
      <c r="Q162" s="223">
        <f t="shared" si="268"/>
        <v>5</v>
      </c>
      <c r="R162" s="223"/>
      <c r="S162" s="178">
        <f t="shared" si="269"/>
        <v>14.555581465757374</v>
      </c>
      <c r="T162" s="178">
        <f t="shared" si="270"/>
        <v>5</v>
      </c>
      <c r="U162" s="223">
        <f t="shared" si="271"/>
        <v>0.37601410934744267</v>
      </c>
      <c r="V162" s="223">
        <f t="shared" si="272"/>
        <v>1.1029747207524987</v>
      </c>
      <c r="W162" s="223">
        <f t="shared" si="273"/>
        <v>1.0504521150023796</v>
      </c>
      <c r="X162" s="203">
        <f t="shared" si="274"/>
        <v>350</v>
      </c>
      <c r="Y162" s="454">
        <f t="shared" si="211"/>
        <v>350</v>
      </c>
      <c r="AA162" s="223">
        <f t="shared" si="275"/>
        <v>0.4988913525498892</v>
      </c>
      <c r="AB162" s="179">
        <f t="shared" si="276"/>
        <v>1.3937282229965158</v>
      </c>
      <c r="AC162" s="179">
        <f t="shared" si="277"/>
        <v>0.36504245308528482</v>
      </c>
      <c r="AD162" s="179"/>
      <c r="AE162" s="179">
        <f t="shared" si="278"/>
        <v>0.419047619047619</v>
      </c>
      <c r="AF162" s="563">
        <f t="shared" si="279"/>
        <v>2757.5757575757584</v>
      </c>
      <c r="AG162" s="546">
        <f t="shared" si="280"/>
        <v>3.2999999999999995E-2</v>
      </c>
      <c r="AI162" s="179">
        <f t="shared" si="281"/>
        <v>0.42103767916034224</v>
      </c>
      <c r="AJ162" s="179">
        <f t="shared" si="282"/>
        <v>0.42103767916034224</v>
      </c>
      <c r="AK162" s="179">
        <f t="shared" si="283"/>
        <v>1.4007686512298831</v>
      </c>
      <c r="AM162" s="563">
        <f t="shared" si="284"/>
        <v>260</v>
      </c>
      <c r="AN162" s="472">
        <f t="shared" si="285"/>
        <v>350</v>
      </c>
      <c r="AP162">
        <f t="shared" si="286"/>
        <v>260</v>
      </c>
      <c r="AQ162">
        <f t="shared" si="287"/>
        <v>350</v>
      </c>
      <c r="AS162" s="6">
        <f t="shared" si="258"/>
        <v>2.8571428571428572</v>
      </c>
      <c r="AT162" s="6">
        <f t="shared" si="288"/>
        <v>1.235043858870337</v>
      </c>
      <c r="AU162" s="6">
        <f t="shared" si="226"/>
        <v>1.6220989982725202</v>
      </c>
      <c r="AV162" s="6"/>
      <c r="AW162" s="179">
        <f t="shared" si="227"/>
        <v>0.4322653506046179</v>
      </c>
      <c r="AX162" s="179">
        <f t="shared" si="254"/>
        <v>1.365</v>
      </c>
      <c r="AY162" s="179">
        <f t="shared" si="255"/>
        <v>0.35855651874051342</v>
      </c>
      <c r="AZ162" s="179">
        <f t="shared" si="259"/>
        <v>3.8069312051410438</v>
      </c>
      <c r="BA162" s="472">
        <f t="shared" si="289"/>
        <v>28.298334324806667</v>
      </c>
      <c r="BB162" s="472">
        <f t="shared" si="290"/>
        <v>7.5374430260047296</v>
      </c>
      <c r="BC162" s="6">
        <f t="shared" si="253"/>
        <v>0.13016843813297999</v>
      </c>
      <c r="BD162" s="563">
        <f t="shared" si="291"/>
        <v>38.357029236645445</v>
      </c>
      <c r="BF162" s="179">
        <f t="shared" si="260"/>
        <v>0.15982162724652577</v>
      </c>
      <c r="BG162" s="179">
        <f t="shared" si="256"/>
        <v>0.54948303795170517</v>
      </c>
      <c r="BI162" s="546">
        <f t="shared" si="232"/>
        <v>8.9400333875045996E-3</v>
      </c>
      <c r="BJ162" s="546">
        <f t="shared" si="233"/>
        <v>3.3985635164723874E-2</v>
      </c>
      <c r="BK162" s="546">
        <f t="shared" si="234"/>
        <v>4.3749999999999995E-3</v>
      </c>
      <c r="BL162" s="546">
        <f t="shared" si="235"/>
        <v>1.6547343750000002E-2</v>
      </c>
      <c r="BM162">
        <f t="shared" si="236"/>
        <v>4.3499999999999997E-3</v>
      </c>
      <c r="BO162" s="472">
        <f t="shared" si="237"/>
        <v>68.198012302228463</v>
      </c>
      <c r="BP162" s="546">
        <f t="shared" si="292"/>
        <v>7.8E-2</v>
      </c>
      <c r="BS162" s="472">
        <f t="shared" si="239"/>
        <v>78</v>
      </c>
      <c r="BT162" s="546">
        <f t="shared" si="293"/>
        <v>5.1085905071454859E-3</v>
      </c>
      <c r="BU162" s="546">
        <f t="shared" si="294"/>
        <v>1.2077264359865404E-2</v>
      </c>
      <c r="BV162" s="546">
        <f t="shared" si="295"/>
        <v>1.3180822844119019E-2</v>
      </c>
      <c r="BW162" s="546"/>
      <c r="BX162" s="546">
        <f t="shared" si="296"/>
        <v>3.1022727272727278E-2</v>
      </c>
      <c r="BY162" s="472">
        <f t="shared" si="244"/>
        <v>61.389404983857183</v>
      </c>
      <c r="BZ162" s="179">
        <f t="shared" si="297"/>
        <v>0.20758741728608562</v>
      </c>
      <c r="CA162" s="6">
        <f t="shared" si="298"/>
        <v>1.3</v>
      </c>
      <c r="CB162" s="179">
        <f t="shared" si="247"/>
        <v>0.86230488865463051</v>
      </c>
      <c r="CC162" s="6">
        <f t="shared" si="248"/>
        <v>86.230488865463045</v>
      </c>
      <c r="CF162" s="581">
        <f t="shared" si="299"/>
        <v>-50</v>
      </c>
      <c r="CG162">
        <f t="shared" si="300"/>
        <v>-50</v>
      </c>
    </row>
    <row r="163" spans="5:85" x14ac:dyDescent="0.2">
      <c r="E163" s="176">
        <v>53</v>
      </c>
      <c r="F163" s="223">
        <f t="shared" si="301"/>
        <v>0.26500000000000001</v>
      </c>
      <c r="G163" s="223"/>
      <c r="H163" s="223">
        <f t="shared" si="261"/>
        <v>1.3250000000000002</v>
      </c>
      <c r="I163" s="559">
        <f t="shared" si="262"/>
        <v>15</v>
      </c>
      <c r="J163" s="454">
        <f t="shared" si="263"/>
        <v>15.75</v>
      </c>
      <c r="K163" s="454">
        <f t="shared" si="264"/>
        <v>30.75</v>
      </c>
      <c r="L163" s="454"/>
      <c r="M163" s="223">
        <f t="shared" si="265"/>
        <v>0.51219512195121952</v>
      </c>
      <c r="N163" s="178">
        <f t="shared" si="266"/>
        <v>2.592987804878049</v>
      </c>
      <c r="O163" s="178">
        <f t="shared" si="257"/>
        <v>1.3250000000000002</v>
      </c>
      <c r="P163" s="223">
        <f t="shared" si="267"/>
        <v>0.51859756097560983</v>
      </c>
      <c r="Q163" s="223">
        <f t="shared" si="268"/>
        <v>5</v>
      </c>
      <c r="R163" s="223"/>
      <c r="S163" s="178">
        <f t="shared" si="269"/>
        <v>14.190336663669941</v>
      </c>
      <c r="T163" s="178">
        <f t="shared" si="270"/>
        <v>5</v>
      </c>
      <c r="U163" s="223">
        <f t="shared" si="271"/>
        <v>0.38324514991181663</v>
      </c>
      <c r="V163" s="223">
        <f t="shared" si="272"/>
        <v>1.1241857730746621</v>
      </c>
      <c r="W163" s="223">
        <f t="shared" si="273"/>
        <v>1.0706531172139637</v>
      </c>
      <c r="X163" s="203">
        <f t="shared" si="274"/>
        <v>350</v>
      </c>
      <c r="Y163" s="454">
        <f t="shared" si="211"/>
        <v>350</v>
      </c>
      <c r="AA163" s="223">
        <f t="shared" si="275"/>
        <v>0.4988913525498892</v>
      </c>
      <c r="AB163" s="179">
        <f t="shared" si="276"/>
        <v>1.3937282229965158</v>
      </c>
      <c r="AC163" s="179">
        <f t="shared" si="277"/>
        <v>0.36504245308528482</v>
      </c>
      <c r="AD163" s="179"/>
      <c r="AE163" s="179">
        <f t="shared" si="278"/>
        <v>0.419047619047619</v>
      </c>
      <c r="AF163" s="563">
        <f t="shared" si="279"/>
        <v>2810.6060606060614</v>
      </c>
      <c r="AG163" s="546">
        <f t="shared" si="280"/>
        <v>3.2999999999999995E-2</v>
      </c>
      <c r="AI163" s="179">
        <f t="shared" si="281"/>
        <v>0.42506683966385589</v>
      </c>
      <c r="AJ163" s="179">
        <f t="shared" si="282"/>
        <v>0.42506683966385589</v>
      </c>
      <c r="AK163" s="179">
        <f t="shared" si="283"/>
        <v>1.4037532145658191</v>
      </c>
      <c r="AM163" s="563">
        <f t="shared" si="284"/>
        <v>265</v>
      </c>
      <c r="AN163" s="472">
        <f t="shared" si="285"/>
        <v>350</v>
      </c>
      <c r="AP163">
        <f t="shared" si="286"/>
        <v>265</v>
      </c>
      <c r="AQ163">
        <f t="shared" si="287"/>
        <v>350</v>
      </c>
      <c r="AS163" s="6">
        <f t="shared" si="258"/>
        <v>2.8571428571428572</v>
      </c>
      <c r="AT163" s="6">
        <f t="shared" si="288"/>
        <v>1.246862729680644</v>
      </c>
      <c r="AU163" s="6">
        <f t="shared" si="226"/>
        <v>1.6102801274622132</v>
      </c>
      <c r="AV163" s="6"/>
      <c r="AW163" s="179">
        <f t="shared" si="227"/>
        <v>0.4364019553882254</v>
      </c>
      <c r="AX163" s="179">
        <f t="shared" si="254"/>
        <v>1.3912499999999997</v>
      </c>
      <c r="AY163" s="179">
        <f t="shared" si="255"/>
        <v>0.35935025949578381</v>
      </c>
      <c r="AZ163" s="179">
        <f t="shared" si="259"/>
        <v>3.871570878930513</v>
      </c>
      <c r="BA163" s="472">
        <f t="shared" si="289"/>
        <v>28.298334324806667</v>
      </c>
      <c r="BB163" s="472">
        <f t="shared" si="290"/>
        <v>7.8148437352245876</v>
      </c>
      <c r="BC163" s="6">
        <f t="shared" si="253"/>
        <v>0.13170501042515015</v>
      </c>
      <c r="BD163" s="563">
        <f t="shared" si="291"/>
        <v>38.987651620066238</v>
      </c>
      <c r="BF163" s="179">
        <f t="shared" si="260"/>
        <v>0.16212124964322769</v>
      </c>
      <c r="BG163" s="179">
        <f t="shared" si="256"/>
        <v>0.55271670706838472</v>
      </c>
      <c r="BI163" s="546">
        <f t="shared" si="232"/>
        <v>9.1991548550586135E-3</v>
      </c>
      <c r="BJ163" s="546">
        <f t="shared" si="233"/>
        <v>3.4310863964116867E-2</v>
      </c>
      <c r="BK163" s="546">
        <f t="shared" si="234"/>
        <v>4.3749999999999995E-3</v>
      </c>
      <c r="BL163" s="546">
        <f t="shared" si="235"/>
        <v>1.6547343750000002E-2</v>
      </c>
      <c r="BM163">
        <f t="shared" si="236"/>
        <v>4.3499999999999997E-3</v>
      </c>
      <c r="BO163" s="472">
        <f t="shared" si="237"/>
        <v>68.782362569175476</v>
      </c>
      <c r="BP163" s="546">
        <f t="shared" si="292"/>
        <v>7.9500000000000001E-2</v>
      </c>
      <c r="BS163" s="472">
        <f t="shared" si="239"/>
        <v>79.5</v>
      </c>
      <c r="BT163" s="546">
        <f t="shared" si="293"/>
        <v>5.2566599171763508E-3</v>
      </c>
      <c r="BU163" s="546">
        <f t="shared" si="294"/>
        <v>1.2219830330900745E-2</v>
      </c>
      <c r="BV163" s="546">
        <f t="shared" si="295"/>
        <v>1.3498427566534901E-2</v>
      </c>
      <c r="BW163" s="546"/>
      <c r="BX163" s="546">
        <f t="shared" si="296"/>
        <v>3.1619318181818186E-2</v>
      </c>
      <c r="BY163" s="472">
        <f t="shared" si="244"/>
        <v>62.594235996430186</v>
      </c>
      <c r="BZ163" s="179">
        <f t="shared" si="297"/>
        <v>0.21087659856560567</v>
      </c>
      <c r="CA163" s="6">
        <f t="shared" si="298"/>
        <v>1.3250000000000002</v>
      </c>
      <c r="CB163" s="179">
        <f t="shared" si="247"/>
        <v>0.86269951716007087</v>
      </c>
      <c r="CC163" s="6">
        <f t="shared" si="248"/>
        <v>86.269951716007085</v>
      </c>
      <c r="CF163" s="581">
        <f t="shared" si="299"/>
        <v>-50</v>
      </c>
      <c r="CG163">
        <f t="shared" si="300"/>
        <v>-50</v>
      </c>
    </row>
    <row r="164" spans="5:85" x14ac:dyDescent="0.2">
      <c r="E164" s="176">
        <v>54</v>
      </c>
      <c r="F164" s="223">
        <f t="shared" si="301"/>
        <v>0.27</v>
      </c>
      <c r="G164" s="223"/>
      <c r="H164" s="223">
        <f t="shared" si="261"/>
        <v>1.35</v>
      </c>
      <c r="I164" s="559">
        <f t="shared" si="262"/>
        <v>15</v>
      </c>
      <c r="J164" s="454">
        <f t="shared" si="263"/>
        <v>15.75</v>
      </c>
      <c r="K164" s="454">
        <f t="shared" si="264"/>
        <v>30.75</v>
      </c>
      <c r="L164" s="454"/>
      <c r="M164" s="223">
        <f t="shared" si="265"/>
        <v>0.51219512195121952</v>
      </c>
      <c r="N164" s="178">
        <f t="shared" si="266"/>
        <v>2.592987804878049</v>
      </c>
      <c r="O164" s="178">
        <f t="shared" si="257"/>
        <v>1.35</v>
      </c>
      <c r="P164" s="223">
        <f t="shared" si="267"/>
        <v>0.51859756097560983</v>
      </c>
      <c r="Q164" s="223">
        <f t="shared" si="268"/>
        <v>5</v>
      </c>
      <c r="R164" s="223"/>
      <c r="S164" s="178">
        <f t="shared" si="269"/>
        <v>13.838723439378915</v>
      </c>
      <c r="T164" s="178">
        <f t="shared" si="270"/>
        <v>5</v>
      </c>
      <c r="U164" s="223">
        <f t="shared" si="271"/>
        <v>0.39047619047619048</v>
      </c>
      <c r="V164" s="223">
        <f t="shared" si="272"/>
        <v>1.1453968253968252</v>
      </c>
      <c r="W164" s="223">
        <f t="shared" si="273"/>
        <v>1.0908541194255479</v>
      </c>
      <c r="X164" s="203">
        <f t="shared" si="274"/>
        <v>350</v>
      </c>
      <c r="Y164" s="454">
        <f t="shared" si="211"/>
        <v>350</v>
      </c>
      <c r="AA164" s="223">
        <f t="shared" si="275"/>
        <v>0.4988913525498892</v>
      </c>
      <c r="AB164" s="179">
        <f t="shared" si="276"/>
        <v>1.3937282229965158</v>
      </c>
      <c r="AC164" s="179">
        <f t="shared" si="277"/>
        <v>0.36504245308528482</v>
      </c>
      <c r="AD164" s="179"/>
      <c r="AE164" s="179">
        <f t="shared" si="278"/>
        <v>0.419047619047619</v>
      </c>
      <c r="AF164" s="563">
        <f t="shared" si="279"/>
        <v>2863.6363636363644</v>
      </c>
      <c r="AG164" s="546">
        <f t="shared" si="280"/>
        <v>3.2999999999999995E-2</v>
      </c>
      <c r="AI164" s="179">
        <f t="shared" si="281"/>
        <v>0.42905816516051654</v>
      </c>
      <c r="AJ164" s="179">
        <f t="shared" si="282"/>
        <v>0.42905816516051654</v>
      </c>
      <c r="AK164" s="179">
        <f t="shared" si="283"/>
        <v>1.406709751970753</v>
      </c>
      <c r="AM164" s="563">
        <f t="shared" si="284"/>
        <v>270</v>
      </c>
      <c r="AN164" s="472">
        <f t="shared" si="285"/>
        <v>350</v>
      </c>
      <c r="AP164">
        <f t="shared" si="286"/>
        <v>270</v>
      </c>
      <c r="AQ164">
        <f t="shared" si="287"/>
        <v>350</v>
      </c>
      <c r="AS164" s="6">
        <f t="shared" si="258"/>
        <v>2.8571428571428572</v>
      </c>
      <c r="AT164" s="6">
        <f t="shared" si="288"/>
        <v>1.2585706178041818</v>
      </c>
      <c r="AU164" s="6">
        <f t="shared" si="226"/>
        <v>1.5985722393386754</v>
      </c>
      <c r="AV164" s="6"/>
      <c r="AW164" s="179">
        <f t="shared" si="227"/>
        <v>0.44049971623146361</v>
      </c>
      <c r="AX164" s="179">
        <f t="shared" si="254"/>
        <v>1.4174999999999998</v>
      </c>
      <c r="AY164" s="179">
        <f t="shared" si="255"/>
        <v>0.36008724774077477</v>
      </c>
      <c r="AZ164" s="179">
        <f t="shared" si="259"/>
        <v>3.9365459590517125</v>
      </c>
      <c r="BA164" s="472">
        <f t="shared" si="289"/>
        <v>28.298334324806667</v>
      </c>
      <c r="BB164" s="472">
        <f t="shared" si="290"/>
        <v>8.0972425531914904</v>
      </c>
      <c r="BC164" s="6">
        <f t="shared" si="253"/>
        <v>0.13321435327822295</v>
      </c>
      <c r="BD164" s="563">
        <f t="shared" si="291"/>
        <v>39.615146807642347</v>
      </c>
      <c r="BF164" s="179">
        <f t="shared" si="260"/>
        <v>0.16441004958673461</v>
      </c>
      <c r="BG164" s="179">
        <f t="shared" si="256"/>
        <v>0.55587475894010008</v>
      </c>
      <c r="BI164" s="546">
        <f t="shared" si="232"/>
        <v>9.4607325417893854E-3</v>
      </c>
      <c r="BJ164" s="546">
        <f t="shared" si="233"/>
        <v>3.4633038769050439E-2</v>
      </c>
      <c r="BK164" s="546">
        <f t="shared" si="234"/>
        <v>4.3749999999999995E-3</v>
      </c>
      <c r="BL164" s="546">
        <f t="shared" si="235"/>
        <v>1.6547343750000002E-2</v>
      </c>
      <c r="BM164">
        <f t="shared" si="236"/>
        <v>4.3499999999999997E-3</v>
      </c>
      <c r="BO164" s="472">
        <f t="shared" si="237"/>
        <v>69.366115060839817</v>
      </c>
      <c r="BP164" s="546">
        <f t="shared" si="292"/>
        <v>8.1000000000000003E-2</v>
      </c>
      <c r="BS164" s="472">
        <f t="shared" si="239"/>
        <v>81</v>
      </c>
      <c r="BT164" s="546">
        <f t="shared" si="293"/>
        <v>5.4061328810225068E-3</v>
      </c>
      <c r="BU164" s="546">
        <f t="shared" si="294"/>
        <v>1.2359869905068575E-2</v>
      </c>
      <c r="BV164" s="546">
        <f t="shared" si="295"/>
        <v>1.3817534041489925E-2</v>
      </c>
      <c r="BW164" s="546"/>
      <c r="BX164" s="546">
        <f t="shared" si="296"/>
        <v>3.2215909090909094E-2</v>
      </c>
      <c r="BY164" s="472">
        <f t="shared" si="244"/>
        <v>63.7994459184901</v>
      </c>
      <c r="BZ164" s="179">
        <f t="shared" si="297"/>
        <v>0.2141655609793299</v>
      </c>
      <c r="CA164" s="6">
        <f t="shared" si="298"/>
        <v>1.35</v>
      </c>
      <c r="CB164" s="179">
        <f t="shared" si="247"/>
        <v>0.86307999209160446</v>
      </c>
      <c r="CC164" s="6">
        <f t="shared" si="248"/>
        <v>86.307999209160442</v>
      </c>
      <c r="CF164" s="581">
        <f t="shared" si="299"/>
        <v>-50</v>
      </c>
      <c r="CG164">
        <f t="shared" si="300"/>
        <v>-50</v>
      </c>
    </row>
    <row r="165" spans="5:85" x14ac:dyDescent="0.2">
      <c r="E165" s="176">
        <v>55</v>
      </c>
      <c r="F165" s="223">
        <f t="shared" si="301"/>
        <v>0.27500000000000002</v>
      </c>
      <c r="G165" s="223"/>
      <c r="H165" s="223">
        <f t="shared" si="261"/>
        <v>1.375</v>
      </c>
      <c r="I165" s="559">
        <f t="shared" si="262"/>
        <v>15</v>
      </c>
      <c r="J165" s="454">
        <f t="shared" si="263"/>
        <v>15.75</v>
      </c>
      <c r="K165" s="454">
        <f t="shared" si="264"/>
        <v>30.75</v>
      </c>
      <c r="L165" s="454"/>
      <c r="M165" s="223">
        <f t="shared" si="265"/>
        <v>0.51219512195121952</v>
      </c>
      <c r="N165" s="178">
        <f t="shared" si="266"/>
        <v>2.592987804878049</v>
      </c>
      <c r="O165" s="178">
        <f t="shared" si="257"/>
        <v>1.375</v>
      </c>
      <c r="P165" s="223">
        <f t="shared" si="267"/>
        <v>0.51859756097560983</v>
      </c>
      <c r="Q165" s="223">
        <f t="shared" si="268"/>
        <v>5</v>
      </c>
      <c r="R165" s="223"/>
      <c r="S165" s="178">
        <f t="shared" si="269"/>
        <v>13.499999999999998</v>
      </c>
      <c r="T165" s="178">
        <f t="shared" si="270"/>
        <v>5</v>
      </c>
      <c r="U165" s="223">
        <f t="shared" si="271"/>
        <v>0.39770723104056438</v>
      </c>
      <c r="V165" s="223">
        <f t="shared" si="272"/>
        <v>1.1666078777189888</v>
      </c>
      <c r="W165" s="223">
        <f t="shared" si="273"/>
        <v>1.1110551216371323</v>
      </c>
      <c r="X165" s="203">
        <f t="shared" si="274"/>
        <v>350</v>
      </c>
      <c r="Y165" s="454">
        <f t="shared" si="211"/>
        <v>350</v>
      </c>
      <c r="AA165" s="223">
        <f t="shared" si="275"/>
        <v>0.4988913525498892</v>
      </c>
      <c r="AB165" s="179">
        <f t="shared" si="276"/>
        <v>1.3937282229965158</v>
      </c>
      <c r="AC165" s="179">
        <f t="shared" si="277"/>
        <v>0.36504245308528482</v>
      </c>
      <c r="AD165" s="179"/>
      <c r="AE165" s="179">
        <f t="shared" si="278"/>
        <v>0.419047619047619</v>
      </c>
      <c r="AF165" s="563">
        <f t="shared" si="279"/>
        <v>2916.6666666666674</v>
      </c>
      <c r="AG165" s="546">
        <f t="shared" si="280"/>
        <v>3.2999999999999995E-2</v>
      </c>
      <c r="AI165" s="179">
        <f t="shared" si="281"/>
        <v>0.4330127018922193</v>
      </c>
      <c r="AJ165" s="179">
        <f t="shared" si="282"/>
        <v>0.4330127018922193</v>
      </c>
      <c r="AK165" s="179">
        <f t="shared" si="283"/>
        <v>1.409639038438681</v>
      </c>
      <c r="AM165" s="563">
        <f t="shared" si="284"/>
        <v>275</v>
      </c>
      <c r="AN165" s="472">
        <f t="shared" si="285"/>
        <v>350</v>
      </c>
      <c r="AP165">
        <f t="shared" si="286"/>
        <v>275</v>
      </c>
      <c r="AQ165">
        <f t="shared" si="287"/>
        <v>350</v>
      </c>
      <c r="AS165" s="6">
        <f t="shared" si="258"/>
        <v>2.8571428571428572</v>
      </c>
      <c r="AT165" s="6">
        <f t="shared" si="288"/>
        <v>1.2701705922171767</v>
      </c>
      <c r="AU165" s="6">
        <f t="shared" si="226"/>
        <v>1.5869722649256806</v>
      </c>
      <c r="AV165" s="6"/>
      <c r="AW165" s="179">
        <f t="shared" si="227"/>
        <v>0.4445597072760118</v>
      </c>
      <c r="AX165" s="179">
        <f t="shared" si="254"/>
        <v>1.4437499999999996</v>
      </c>
      <c r="AY165" s="179">
        <f t="shared" si="255"/>
        <v>0.360769052838329</v>
      </c>
      <c r="AZ165" s="179">
        <f t="shared" si="259"/>
        <v>4.0018676453575566</v>
      </c>
      <c r="BA165" s="472">
        <f t="shared" si="289"/>
        <v>28.298334324806667</v>
      </c>
      <c r="BB165" s="472">
        <f t="shared" si="290"/>
        <v>8.3846394799054398</v>
      </c>
      <c r="BC165" s="6">
        <f t="shared" si="253"/>
        <v>0.13469672001684013</v>
      </c>
      <c r="BD165" s="563">
        <f t="shared" si="291"/>
        <v>40.239541323419139</v>
      </c>
      <c r="BF165" s="179">
        <f t="shared" si="260"/>
        <v>0.16668827704655997</v>
      </c>
      <c r="BG165" s="179">
        <f t="shared" si="256"/>
        <v>0.55895900087326922</v>
      </c>
      <c r="BI165" s="546">
        <f t="shared" si="232"/>
        <v>9.7247435966627566E-3</v>
      </c>
      <c r="BJ165" s="546">
        <f t="shared" si="233"/>
        <v>3.495224403086257E-2</v>
      </c>
      <c r="BK165" s="546">
        <f t="shared" si="234"/>
        <v>4.3749999999999995E-3</v>
      </c>
      <c r="BL165" s="546">
        <f t="shared" si="235"/>
        <v>1.6547343750000002E-2</v>
      </c>
      <c r="BM165">
        <f t="shared" si="236"/>
        <v>4.3499999999999997E-3</v>
      </c>
      <c r="BO165" s="472">
        <f t="shared" si="237"/>
        <v>69.949331377525326</v>
      </c>
      <c r="BP165" s="546">
        <f t="shared" si="292"/>
        <v>8.2500000000000004E-2</v>
      </c>
      <c r="BS165" s="472">
        <f t="shared" si="239"/>
        <v>82.5</v>
      </c>
      <c r="BT165" s="546">
        <f t="shared" si="293"/>
        <v>5.5569963409501473E-3</v>
      </c>
      <c r="BU165" s="546">
        <f t="shared" si="294"/>
        <v>1.2497406586289735E-2</v>
      </c>
      <c r="BV165" s="546">
        <f t="shared" si="295"/>
        <v>1.4138121360535581E-2</v>
      </c>
      <c r="BW165" s="546"/>
      <c r="BX165" s="546">
        <f t="shared" si="296"/>
        <v>3.2812500000000001E-2</v>
      </c>
      <c r="BY165" s="472">
        <f t="shared" si="244"/>
        <v>65.00502428777547</v>
      </c>
      <c r="BZ165" s="179">
        <f t="shared" si="297"/>
        <v>0.21745435566530075</v>
      </c>
      <c r="CA165" s="6">
        <f t="shared" si="298"/>
        <v>1.375</v>
      </c>
      <c r="CB165" s="179">
        <f t="shared" si="247"/>
        <v>0.86344704016684237</v>
      </c>
      <c r="CC165" s="6">
        <f t="shared" si="248"/>
        <v>86.344704016684233</v>
      </c>
      <c r="CF165" s="581">
        <f t="shared" si="299"/>
        <v>-50</v>
      </c>
      <c r="CG165">
        <f t="shared" si="300"/>
        <v>-50</v>
      </c>
    </row>
    <row r="166" spans="5:85" x14ac:dyDescent="0.2">
      <c r="E166" s="176">
        <v>56</v>
      </c>
      <c r="F166" s="223">
        <f t="shared" si="301"/>
        <v>0.28000000000000003</v>
      </c>
      <c r="G166" s="223"/>
      <c r="H166" s="223">
        <f t="shared" si="261"/>
        <v>1.4000000000000001</v>
      </c>
      <c r="I166" s="559">
        <f t="shared" si="262"/>
        <v>15</v>
      </c>
      <c r="J166" s="454">
        <f t="shared" si="263"/>
        <v>15.75</v>
      </c>
      <c r="K166" s="454">
        <f t="shared" si="264"/>
        <v>30.75</v>
      </c>
      <c r="L166" s="454"/>
      <c r="M166" s="223">
        <f t="shared" si="265"/>
        <v>0.51219512195121952</v>
      </c>
      <c r="N166" s="178">
        <f t="shared" si="266"/>
        <v>2.592987804878049</v>
      </c>
      <c r="O166" s="178">
        <f t="shared" si="257"/>
        <v>1.4000000000000001</v>
      </c>
      <c r="P166" s="223">
        <f t="shared" si="267"/>
        <v>0.51859756097560983</v>
      </c>
      <c r="Q166" s="223">
        <f t="shared" si="268"/>
        <v>5</v>
      </c>
      <c r="R166" s="223"/>
      <c r="S166" s="178">
        <f t="shared" si="269"/>
        <v>13.173477572584897</v>
      </c>
      <c r="T166" s="178">
        <f t="shared" si="270"/>
        <v>5</v>
      </c>
      <c r="U166" s="223">
        <f t="shared" si="271"/>
        <v>0.40493827160493828</v>
      </c>
      <c r="V166" s="223">
        <f t="shared" si="272"/>
        <v>1.1878189300411521</v>
      </c>
      <c r="W166" s="223">
        <f t="shared" si="273"/>
        <v>1.1312561238487164</v>
      </c>
      <c r="X166" s="203">
        <f t="shared" si="274"/>
        <v>350</v>
      </c>
      <c r="Y166" s="454">
        <f t="shared" si="211"/>
        <v>350</v>
      </c>
      <c r="AA166" s="223">
        <f t="shared" si="275"/>
        <v>0.4988913525498892</v>
      </c>
      <c r="AB166" s="179">
        <f t="shared" si="276"/>
        <v>1.3937282229965158</v>
      </c>
      <c r="AC166" s="179">
        <f t="shared" si="277"/>
        <v>0.36504245308528482</v>
      </c>
      <c r="AD166" s="179"/>
      <c r="AE166" s="179">
        <f t="shared" si="278"/>
        <v>0.419047619047619</v>
      </c>
      <c r="AF166" s="563">
        <f t="shared" si="279"/>
        <v>2969.6969696969709</v>
      </c>
      <c r="AG166" s="546">
        <f t="shared" si="280"/>
        <v>3.2999999999999995E-2</v>
      </c>
      <c r="AI166" s="179">
        <f t="shared" si="281"/>
        <v>0.4369314487526515</v>
      </c>
      <c r="AJ166" s="179">
        <f t="shared" si="282"/>
        <v>0.4369314487526515</v>
      </c>
      <c r="AK166" s="179">
        <f t="shared" si="283"/>
        <v>1.412541813890853</v>
      </c>
      <c r="AM166" s="563">
        <f t="shared" si="284"/>
        <v>280</v>
      </c>
      <c r="AN166" s="472">
        <f t="shared" si="285"/>
        <v>350</v>
      </c>
      <c r="AP166">
        <f t="shared" si="286"/>
        <v>280</v>
      </c>
      <c r="AQ166">
        <f t="shared" si="287"/>
        <v>350</v>
      </c>
      <c r="AS166" s="6">
        <f t="shared" si="258"/>
        <v>2.8571428571428572</v>
      </c>
      <c r="AT166" s="6">
        <f t="shared" si="288"/>
        <v>1.2816655830077779</v>
      </c>
      <c r="AU166" s="6">
        <f t="shared" si="226"/>
        <v>1.5754772741350793</v>
      </c>
      <c r="AV166" s="6"/>
      <c r="AW166" s="179">
        <f t="shared" si="227"/>
        <v>0.44858295405272225</v>
      </c>
      <c r="AX166" s="179">
        <f t="shared" si="254"/>
        <v>1.4700000000000002</v>
      </c>
      <c r="AY166" s="179">
        <f t="shared" si="255"/>
        <v>0.36139717312897723</v>
      </c>
      <c r="AZ166" s="179">
        <f t="shared" si="259"/>
        <v>4.0675470349497704</v>
      </c>
      <c r="BA166" s="472">
        <f t="shared" si="289"/>
        <v>28.298334324806667</v>
      </c>
      <c r="BB166" s="472">
        <f t="shared" si="290"/>
        <v>8.6770345153664312</v>
      </c>
      <c r="BC166" s="6">
        <f t="shared" si="253"/>
        <v>0.13615235702401918</v>
      </c>
      <c r="BD166" s="563">
        <f t="shared" si="291"/>
        <v>40.860860999429647</v>
      </c>
      <c r="BF166" s="179">
        <f t="shared" si="260"/>
        <v>0.1689561717877546</v>
      </c>
      <c r="BG166" s="179">
        <f t="shared" si="256"/>
        <v>0.56197115660922825</v>
      </c>
      <c r="BI166" s="546">
        <f t="shared" si="232"/>
        <v>9.9911657948106337E-3</v>
      </c>
      <c r="BJ166" s="546">
        <f t="shared" si="233"/>
        <v>3.5268560379003083E-2</v>
      </c>
      <c r="BK166" s="546">
        <f t="shared" si="234"/>
        <v>4.3749999999999995E-3</v>
      </c>
      <c r="BL166" s="546">
        <f t="shared" si="235"/>
        <v>1.6547343750000002E-2</v>
      </c>
      <c r="BM166">
        <f t="shared" si="236"/>
        <v>4.3499999999999997E-3</v>
      </c>
      <c r="BO166" s="472">
        <f t="shared" si="237"/>
        <v>70.532069923813722</v>
      </c>
      <c r="BP166" s="546">
        <f t="shared" si="292"/>
        <v>8.4000000000000005E-2</v>
      </c>
      <c r="BS166" s="472">
        <f t="shared" si="239"/>
        <v>84</v>
      </c>
      <c r="BT166" s="546">
        <f t="shared" si="293"/>
        <v>5.709237597034649E-3</v>
      </c>
      <c r="BU166" s="546">
        <f t="shared" si="294"/>
        <v>1.2632463234428551E-2</v>
      </c>
      <c r="BV166" s="546">
        <f t="shared" si="295"/>
        <v>1.4460169282123701E-2</v>
      </c>
      <c r="BW166" s="546"/>
      <c r="BX166" s="546">
        <f t="shared" si="296"/>
        <v>3.3409090909090916E-2</v>
      </c>
      <c r="BY166" s="472">
        <f t="shared" si="244"/>
        <v>66.210961022677822</v>
      </c>
      <c r="BZ166" s="179">
        <f t="shared" si="297"/>
        <v>0.22074303094649156</v>
      </c>
      <c r="CA166" s="6">
        <f t="shared" si="298"/>
        <v>1.4000000000000001</v>
      </c>
      <c r="CB166" s="179">
        <f t="shared" si="247"/>
        <v>0.86380133881089061</v>
      </c>
      <c r="CC166" s="6">
        <f t="shared" si="248"/>
        <v>86.380133881089066</v>
      </c>
      <c r="CF166" s="581">
        <f t="shared" si="299"/>
        <v>-50</v>
      </c>
      <c r="CG166">
        <f t="shared" si="300"/>
        <v>-50</v>
      </c>
    </row>
    <row r="167" spans="5:85" x14ac:dyDescent="0.2">
      <c r="E167" s="176">
        <v>57</v>
      </c>
      <c r="F167" s="223">
        <f t="shared" si="301"/>
        <v>0.28499999999999998</v>
      </c>
      <c r="G167" s="223"/>
      <c r="H167" s="223">
        <f t="shared" si="261"/>
        <v>1.4249999999999998</v>
      </c>
      <c r="I167" s="559">
        <f t="shared" si="262"/>
        <v>15</v>
      </c>
      <c r="J167" s="454">
        <f t="shared" si="263"/>
        <v>15.75</v>
      </c>
      <c r="K167" s="454">
        <f t="shared" si="264"/>
        <v>30.75</v>
      </c>
      <c r="L167" s="454"/>
      <c r="M167" s="223">
        <f t="shared" si="265"/>
        <v>0.51219512195121952</v>
      </c>
      <c r="N167" s="178">
        <f t="shared" si="266"/>
        <v>2.592987804878049</v>
      </c>
      <c r="O167" s="178">
        <f t="shared" si="257"/>
        <v>1.4249999999999998</v>
      </c>
      <c r="P167" s="223">
        <f t="shared" si="267"/>
        <v>0.51859756097560983</v>
      </c>
      <c r="Q167" s="223">
        <f t="shared" si="268"/>
        <v>5</v>
      </c>
      <c r="R167" s="223"/>
      <c r="S167" s="178">
        <f t="shared" si="269"/>
        <v>12.858515753968282</v>
      </c>
      <c r="T167" s="178">
        <f t="shared" si="270"/>
        <v>5</v>
      </c>
      <c r="U167" s="223">
        <f t="shared" si="271"/>
        <v>0.41216931216931207</v>
      </c>
      <c r="V167" s="223">
        <f t="shared" si="272"/>
        <v>1.2090299823633153</v>
      </c>
      <c r="W167" s="223">
        <f t="shared" si="273"/>
        <v>1.1514571260603004</v>
      </c>
      <c r="X167" s="203">
        <f t="shared" si="274"/>
        <v>350</v>
      </c>
      <c r="Y167" s="454">
        <f t="shared" si="211"/>
        <v>350</v>
      </c>
      <c r="AA167" s="223">
        <f t="shared" si="275"/>
        <v>0.4988913525498892</v>
      </c>
      <c r="AB167" s="179">
        <f t="shared" si="276"/>
        <v>1.3937282229965158</v>
      </c>
      <c r="AC167" s="179">
        <f t="shared" si="277"/>
        <v>0.36504245308528482</v>
      </c>
      <c r="AD167" s="179"/>
      <c r="AE167" s="179">
        <f t="shared" si="278"/>
        <v>0.419047619047619</v>
      </c>
      <c r="AF167" s="563">
        <f t="shared" si="279"/>
        <v>3022.727272727273</v>
      </c>
      <c r="AG167" s="546">
        <f t="shared" si="280"/>
        <v>3.2999999999999995E-2</v>
      </c>
      <c r="AI167" s="179">
        <f t="shared" si="281"/>
        <v>0.44081536023394396</v>
      </c>
      <c r="AJ167" s="179">
        <f t="shared" si="282"/>
        <v>0.44081536023394396</v>
      </c>
      <c r="AK167" s="179">
        <f t="shared" si="283"/>
        <v>1.415418785358477</v>
      </c>
      <c r="AM167" s="563">
        <f t="shared" si="284"/>
        <v>285</v>
      </c>
      <c r="AN167" s="472">
        <f t="shared" si="285"/>
        <v>350</v>
      </c>
      <c r="AP167">
        <f t="shared" si="286"/>
        <v>285</v>
      </c>
      <c r="AQ167">
        <f t="shared" si="287"/>
        <v>350</v>
      </c>
      <c r="AS167" s="6">
        <f t="shared" si="258"/>
        <v>2.8571428571428572</v>
      </c>
      <c r="AT167" s="6">
        <f t="shared" si="288"/>
        <v>1.2930583900195687</v>
      </c>
      <c r="AU167" s="6">
        <f t="shared" si="226"/>
        <v>1.5640844671232885</v>
      </c>
      <c r="AV167" s="6"/>
      <c r="AW167" s="179">
        <f t="shared" si="227"/>
        <v>0.45257043650684903</v>
      </c>
      <c r="AX167" s="179">
        <f t="shared" si="254"/>
        <v>1.4962499999999996</v>
      </c>
      <c r="AY167" s="179">
        <f t="shared" si="255"/>
        <v>0.36197304035091604</v>
      </c>
      <c r="AZ167" s="179">
        <f t="shared" si="259"/>
        <v>4.1335951388795555</v>
      </c>
      <c r="BA167" s="472">
        <f t="shared" si="289"/>
        <v>28.298334324806667</v>
      </c>
      <c r="BB167" s="472">
        <f t="shared" si="290"/>
        <v>8.9744276595744683</v>
      </c>
      <c r="BC167" s="6">
        <f t="shared" si="253"/>
        <v>0.13758150405251143</v>
      </c>
      <c r="BD167" s="563">
        <f t="shared" si="291"/>
        <v>41.4791310056534</v>
      </c>
      <c r="BF167" s="179">
        <f t="shared" si="260"/>
        <v>0.17121396396193056</v>
      </c>
      <c r="BG167" s="179">
        <f t="shared" si="256"/>
        <v>0.56491287147181379</v>
      </c>
      <c r="BI167" s="546">
        <f t="shared" si="232"/>
        <v>1.025997750944504E-2</v>
      </c>
      <c r="BJ167" s="546">
        <f t="shared" si="233"/>
        <v>3.5582064858883662E-2</v>
      </c>
      <c r="BK167" s="546">
        <f t="shared" si="234"/>
        <v>4.3749999999999995E-3</v>
      </c>
      <c r="BL167" s="546">
        <f t="shared" si="235"/>
        <v>1.6547343750000002E-2</v>
      </c>
      <c r="BM167">
        <f t="shared" si="236"/>
        <v>4.3499999999999997E-3</v>
      </c>
      <c r="BO167" s="472">
        <f t="shared" si="237"/>
        <v>71.11438611832871</v>
      </c>
      <c r="BP167" s="546">
        <f t="shared" si="292"/>
        <v>8.5499999999999993E-2</v>
      </c>
      <c r="BS167" s="472">
        <f t="shared" si="239"/>
        <v>85.499999999999986</v>
      </c>
      <c r="BT167" s="546">
        <f t="shared" si="293"/>
        <v>5.8628442911114517E-3</v>
      </c>
      <c r="BU167" s="546">
        <f t="shared" si="294"/>
        <v>1.2765062094181202E-2</v>
      </c>
      <c r="BV167" s="546">
        <f t="shared" si="295"/>
        <v>1.4783658198776002E-2</v>
      </c>
      <c r="BW167" s="546"/>
      <c r="BX167" s="546">
        <f t="shared" si="296"/>
        <v>3.4005681818181817E-2</v>
      </c>
      <c r="BY167" s="472">
        <f t="shared" si="244"/>
        <v>67.41724640225047</v>
      </c>
      <c r="BZ167" s="179">
        <f t="shared" si="297"/>
        <v>0.22403163252057917</v>
      </c>
      <c r="CA167" s="6">
        <f t="shared" si="298"/>
        <v>1.4249999999999998</v>
      </c>
      <c r="CB167" s="179">
        <f t="shared" si="247"/>
        <v>0.86414352029248698</v>
      </c>
      <c r="CC167" s="6">
        <f t="shared" si="248"/>
        <v>86.414352029248704</v>
      </c>
      <c r="CF167" s="581">
        <f t="shared" si="299"/>
        <v>-50</v>
      </c>
      <c r="CG167">
        <f t="shared" si="300"/>
        <v>-50</v>
      </c>
    </row>
    <row r="168" spans="5:85" x14ac:dyDescent="0.2">
      <c r="E168" s="176">
        <v>58</v>
      </c>
      <c r="F168" s="223">
        <f t="shared" si="301"/>
        <v>0.28999999999999998</v>
      </c>
      <c r="G168" s="223"/>
      <c r="H168" s="223">
        <f t="shared" si="261"/>
        <v>1.45</v>
      </c>
      <c r="I168" s="559">
        <f t="shared" si="262"/>
        <v>15</v>
      </c>
      <c r="J168" s="454">
        <f t="shared" si="263"/>
        <v>15.75</v>
      </c>
      <c r="K168" s="454">
        <f t="shared" si="264"/>
        <v>30.75</v>
      </c>
      <c r="L168" s="454"/>
      <c r="M168" s="223">
        <f t="shared" si="265"/>
        <v>0.51219512195121952</v>
      </c>
      <c r="N168" s="178">
        <f t="shared" si="266"/>
        <v>2.592987804878049</v>
      </c>
      <c r="O168" s="178">
        <f t="shared" si="257"/>
        <v>1.45</v>
      </c>
      <c r="P168" s="223">
        <f t="shared" si="267"/>
        <v>0.51859756097560983</v>
      </c>
      <c r="Q168" s="223">
        <f t="shared" si="268"/>
        <v>5</v>
      </c>
      <c r="R168" s="223"/>
      <c r="S168" s="178">
        <f t="shared" si="269"/>
        <v>12.554518341677099</v>
      </c>
      <c r="T168" s="178">
        <f t="shared" si="270"/>
        <v>5</v>
      </c>
      <c r="U168" s="223">
        <f t="shared" si="271"/>
        <v>0.41940035273368603</v>
      </c>
      <c r="V168" s="223">
        <f t="shared" si="272"/>
        <v>1.2302410346854791</v>
      </c>
      <c r="W168" s="223">
        <f t="shared" si="273"/>
        <v>1.1716581282718848</v>
      </c>
      <c r="X168" s="203">
        <f t="shared" si="274"/>
        <v>350</v>
      </c>
      <c r="Y168" s="454">
        <f t="shared" si="211"/>
        <v>350</v>
      </c>
      <c r="AA168" s="223">
        <f t="shared" si="275"/>
        <v>0.4988913525498892</v>
      </c>
      <c r="AB168" s="179">
        <f t="shared" si="276"/>
        <v>1.3937282229965158</v>
      </c>
      <c r="AC168" s="179">
        <f t="shared" si="277"/>
        <v>0.36504245308528482</v>
      </c>
      <c r="AD168" s="179"/>
      <c r="AE168" s="179">
        <f t="shared" si="278"/>
        <v>0.419047619047619</v>
      </c>
      <c r="AF168" s="563">
        <f t="shared" si="279"/>
        <v>3075.757575757576</v>
      </c>
      <c r="AG168" s="546">
        <f t="shared" si="280"/>
        <v>3.2999999999999995E-2</v>
      </c>
      <c r="AI168" s="179">
        <f t="shared" si="281"/>
        <v>0.44466534914165812</v>
      </c>
      <c r="AJ168" s="179">
        <f t="shared" si="282"/>
        <v>0.44466534914165812</v>
      </c>
      <c r="AK168" s="179">
        <f t="shared" si="283"/>
        <v>1.4182706289938207</v>
      </c>
      <c r="AM168" s="563">
        <f t="shared" si="284"/>
        <v>290</v>
      </c>
      <c r="AN168" s="472">
        <f t="shared" si="285"/>
        <v>350</v>
      </c>
      <c r="AP168">
        <f t="shared" si="286"/>
        <v>290</v>
      </c>
      <c r="AQ168">
        <f t="shared" si="287"/>
        <v>350</v>
      </c>
      <c r="AS168" s="6">
        <f t="shared" si="258"/>
        <v>2.8571428571428572</v>
      </c>
      <c r="AT168" s="6">
        <f t="shared" si="288"/>
        <v>1.3043516908155306</v>
      </c>
      <c r="AU168" s="6">
        <f t="shared" si="226"/>
        <v>1.5527911663273266</v>
      </c>
      <c r="AV168" s="6"/>
      <c r="AW168" s="179">
        <f t="shared" si="227"/>
        <v>0.45652309178543571</v>
      </c>
      <c r="AX168" s="179">
        <f t="shared" si="254"/>
        <v>1.5225</v>
      </c>
      <c r="AY168" s="179">
        <f t="shared" si="255"/>
        <v>0.36249802371248718</v>
      </c>
      <c r="AZ168" s="179">
        <f t="shared" si="259"/>
        <v>4.2000228978008449</v>
      </c>
      <c r="BA168" s="472">
        <f t="shared" si="289"/>
        <v>28.298334324806667</v>
      </c>
      <c r="BB168" s="472">
        <f t="shared" si="290"/>
        <v>9.276818912529551</v>
      </c>
      <c r="BC168" s="6">
        <f t="shared" si="253"/>
        <v>0.13898439451695202</v>
      </c>
      <c r="BD168" s="563">
        <f t="shared" si="291"/>
        <v>42.094375878178965</v>
      </c>
      <c r="BF168" s="179">
        <f t="shared" si="260"/>
        <v>0.17346187465430418</v>
      </c>
      <c r="BG168" s="179">
        <f t="shared" si="256"/>
        <v>0.56778571711037995</v>
      </c>
      <c r="BI168" s="546">
        <f t="shared" si="232"/>
        <v>1.0531157685504937E-2</v>
      </c>
      <c r="BJ168" s="546">
        <f t="shared" si="233"/>
        <v>3.5892831151028211E-2</v>
      </c>
      <c r="BK168" s="546">
        <f t="shared" si="234"/>
        <v>4.3749999999999995E-3</v>
      </c>
      <c r="BL168" s="546">
        <f t="shared" si="235"/>
        <v>1.6547343750000002E-2</v>
      </c>
      <c r="BM168">
        <f t="shared" si="236"/>
        <v>4.3499999999999997E-3</v>
      </c>
      <c r="BO168" s="472">
        <f t="shared" si="237"/>
        <v>71.69633258653316</v>
      </c>
      <c r="BP168" s="546">
        <f t="shared" si="292"/>
        <v>8.6999999999999994E-2</v>
      </c>
      <c r="BS168" s="472">
        <f t="shared" si="239"/>
        <v>87</v>
      </c>
      <c r="BT168" s="546">
        <f t="shared" si="293"/>
        <v>6.0178043917171074E-3</v>
      </c>
      <c r="BU168" s="546">
        <f t="shared" si="294"/>
        <v>1.2895224822181937E-2</v>
      </c>
      <c r="BV168" s="546">
        <f t="shared" si="295"/>
        <v>1.5108569106418959E-2</v>
      </c>
      <c r="BW168" s="546"/>
      <c r="BX168" s="546">
        <f t="shared" si="296"/>
        <v>3.4602272727272732E-2</v>
      </c>
      <c r="BY168" s="472">
        <f t="shared" si="244"/>
        <v>68.62387104759074</v>
      </c>
      <c r="BZ168" s="179">
        <f t="shared" si="297"/>
        <v>0.22732020363412392</v>
      </c>
      <c r="CA168" s="6">
        <f t="shared" si="298"/>
        <v>1.45</v>
      </c>
      <c r="CB168" s="179">
        <f t="shared" si="247"/>
        <v>0.86447417544866723</v>
      </c>
      <c r="CC168" s="6">
        <f t="shared" si="248"/>
        <v>86.447417544866724</v>
      </c>
      <c r="CF168" s="581">
        <f t="shared" si="299"/>
        <v>-50</v>
      </c>
      <c r="CG168">
        <f t="shared" si="300"/>
        <v>-50</v>
      </c>
    </row>
    <row r="169" spans="5:85" x14ac:dyDescent="0.2">
      <c r="E169" s="176">
        <v>59</v>
      </c>
      <c r="F169" s="223">
        <f t="shared" si="301"/>
        <v>0.29499999999999998</v>
      </c>
      <c r="G169" s="223"/>
      <c r="H169" s="223">
        <f t="shared" si="261"/>
        <v>1.4749999999999999</v>
      </c>
      <c r="I169" s="559">
        <f t="shared" si="262"/>
        <v>15</v>
      </c>
      <c r="J169" s="454">
        <f t="shared" si="263"/>
        <v>15.75</v>
      </c>
      <c r="K169" s="454">
        <f t="shared" si="264"/>
        <v>30.75</v>
      </c>
      <c r="L169" s="454"/>
      <c r="M169" s="223">
        <f t="shared" si="265"/>
        <v>0.51219512195121952</v>
      </c>
      <c r="N169" s="178">
        <f t="shared" si="266"/>
        <v>2.592987804878049</v>
      </c>
      <c r="O169" s="178">
        <f t="shared" si="257"/>
        <v>1.4749999999999999</v>
      </c>
      <c r="P169" s="223">
        <f t="shared" si="267"/>
        <v>0.51859756097560983</v>
      </c>
      <c r="Q169" s="223">
        <f t="shared" si="268"/>
        <v>5</v>
      </c>
      <c r="R169" s="223"/>
      <c r="S169" s="178">
        <f t="shared" si="269"/>
        <v>12.260929588826921</v>
      </c>
      <c r="T169" s="178">
        <f t="shared" si="270"/>
        <v>5</v>
      </c>
      <c r="U169" s="223">
        <f t="shared" si="271"/>
        <v>0.42663139329805988</v>
      </c>
      <c r="V169" s="223">
        <f t="shared" si="272"/>
        <v>1.2514520870076422</v>
      </c>
      <c r="W169" s="223">
        <f t="shared" si="273"/>
        <v>1.1918591304834687</v>
      </c>
      <c r="X169" s="203">
        <f t="shared" si="274"/>
        <v>350</v>
      </c>
      <c r="Y169" s="454">
        <f t="shared" si="211"/>
        <v>350</v>
      </c>
      <c r="AA169" s="223">
        <f t="shared" si="275"/>
        <v>0.4988913525498892</v>
      </c>
      <c r="AB169" s="179">
        <f t="shared" si="276"/>
        <v>1.3937282229965158</v>
      </c>
      <c r="AC169" s="179">
        <f t="shared" si="277"/>
        <v>0.36504245308528482</v>
      </c>
      <c r="AD169" s="179"/>
      <c r="AE169" s="179">
        <f t="shared" si="278"/>
        <v>0.419047619047619</v>
      </c>
      <c r="AF169" s="563">
        <f t="shared" si="279"/>
        <v>3128.7878787878794</v>
      </c>
      <c r="AG169" s="546">
        <f t="shared" si="280"/>
        <v>3.2999999999999995E-2</v>
      </c>
      <c r="AI169" s="179">
        <f t="shared" si="281"/>
        <v>0.44848228909998622</v>
      </c>
      <c r="AJ169" s="179">
        <f t="shared" si="282"/>
        <v>0.44848228909998622</v>
      </c>
      <c r="AK169" s="179">
        <f t="shared" si="283"/>
        <v>1.4210979919259157</v>
      </c>
      <c r="AM169" s="563">
        <f t="shared" si="284"/>
        <v>295</v>
      </c>
      <c r="AN169" s="472">
        <f t="shared" si="285"/>
        <v>350</v>
      </c>
      <c r="AP169">
        <f t="shared" si="286"/>
        <v>295</v>
      </c>
      <c r="AQ169">
        <f t="shared" si="287"/>
        <v>350</v>
      </c>
      <c r="AS169" s="6">
        <f t="shared" si="258"/>
        <v>2.8571428571428572</v>
      </c>
      <c r="AT169" s="6">
        <f t="shared" si="288"/>
        <v>1.3155480480266262</v>
      </c>
      <c r="AU169" s="6">
        <f t="shared" si="226"/>
        <v>1.541594809116231</v>
      </c>
      <c r="AV169" s="6"/>
      <c r="AW169" s="179">
        <f t="shared" si="227"/>
        <v>0.46044181680931917</v>
      </c>
      <c r="AX169" s="179">
        <f t="shared" si="254"/>
        <v>1.5487499999999998</v>
      </c>
      <c r="AY169" s="179">
        <f t="shared" si="255"/>
        <v>0.36297343364997936</v>
      </c>
      <c r="AZ169" s="179">
        <f t="shared" si="259"/>
        <v>4.2668411966851609</v>
      </c>
      <c r="BA169" s="472">
        <f t="shared" si="289"/>
        <v>28.298334324806667</v>
      </c>
      <c r="BB169" s="472">
        <f t="shared" si="290"/>
        <v>9.5842082742316776</v>
      </c>
      <c r="BC169" s="6">
        <f t="shared" si="253"/>
        <v>0.14036125576829878</v>
      </c>
      <c r="BD169" s="563">
        <f t="shared" si="291"/>
        <v>42.706619545706538</v>
      </c>
      <c r="BF169" s="179">
        <f t="shared" si="260"/>
        <v>0.17570011639072899</v>
      </c>
      <c r="BG169" s="179">
        <f t="shared" si="256"/>
        <v>0.57059119587639051</v>
      </c>
      <c r="BI169" s="546">
        <f t="shared" si="232"/>
        <v>1.0804685814900499E-2</v>
      </c>
      <c r="BJ169" s="546">
        <f t="shared" si="233"/>
        <v>3.6200929773289509E-2</v>
      </c>
      <c r="BK169" s="546">
        <f t="shared" si="234"/>
        <v>4.3749999999999995E-3</v>
      </c>
      <c r="BL169" s="546">
        <f t="shared" si="235"/>
        <v>1.6547343750000002E-2</v>
      </c>
      <c r="BM169">
        <f t="shared" si="236"/>
        <v>4.3499999999999997E-3</v>
      </c>
      <c r="BO169" s="472">
        <f t="shared" si="237"/>
        <v>72.277959338190001</v>
      </c>
      <c r="BP169" s="546">
        <f t="shared" si="292"/>
        <v>8.8499999999999995E-2</v>
      </c>
      <c r="BS169" s="472">
        <f t="shared" si="239"/>
        <v>88.5</v>
      </c>
      <c r="BT169" s="546">
        <f t="shared" si="293"/>
        <v>6.1741061799431432E-3</v>
      </c>
      <c r="BU169" s="546">
        <f t="shared" si="294"/>
        <v>1.3022972512465978E-2</v>
      </c>
      <c r="BV169" s="546">
        <f t="shared" si="295"/>
        <v>1.5434883575706082E-2</v>
      </c>
      <c r="BW169" s="546"/>
      <c r="BX169" s="546">
        <f t="shared" si="296"/>
        <v>3.5198863636363639E-2</v>
      </c>
      <c r="BY169" s="472">
        <f t="shared" si="244"/>
        <v>69.830825904478843</v>
      </c>
      <c r="BZ169" s="179">
        <f t="shared" si="297"/>
        <v>0.23060878524266887</v>
      </c>
      <c r="CA169" s="6">
        <f t="shared" si="298"/>
        <v>1.4749999999999999</v>
      </c>
      <c r="CB169" s="179">
        <f t="shared" si="247"/>
        <v>0.86479385704509104</v>
      </c>
      <c r="CC169" s="6">
        <f t="shared" si="248"/>
        <v>86.479385704509099</v>
      </c>
      <c r="CF169" s="581">
        <f t="shared" si="299"/>
        <v>-50</v>
      </c>
      <c r="CG169">
        <f t="shared" si="300"/>
        <v>-50</v>
      </c>
    </row>
    <row r="170" spans="5:85" x14ac:dyDescent="0.2">
      <c r="E170" s="176">
        <v>60</v>
      </c>
      <c r="F170" s="223">
        <f t="shared" si="301"/>
        <v>0.3</v>
      </c>
      <c r="G170" s="223"/>
      <c r="H170" s="223">
        <f t="shared" si="261"/>
        <v>1.5</v>
      </c>
      <c r="I170" s="559">
        <f t="shared" si="262"/>
        <v>15</v>
      </c>
      <c r="J170" s="454">
        <f t="shared" si="263"/>
        <v>15.75</v>
      </c>
      <c r="K170" s="454">
        <f t="shared" si="264"/>
        <v>30.75</v>
      </c>
      <c r="L170" s="454"/>
      <c r="M170" s="223">
        <f t="shared" si="265"/>
        <v>0.51219512195121952</v>
      </c>
      <c r="N170" s="178">
        <f t="shared" si="266"/>
        <v>2.592987804878049</v>
      </c>
      <c r="O170" s="178">
        <f t="shared" si="257"/>
        <v>1.5</v>
      </c>
      <c r="P170" s="223">
        <f t="shared" si="267"/>
        <v>0.51859756097560983</v>
      </c>
      <c r="Q170" s="223">
        <f t="shared" si="268"/>
        <v>5</v>
      </c>
      <c r="R170" s="223"/>
      <c r="S170" s="178">
        <f t="shared" si="269"/>
        <v>11.9772308335401</v>
      </c>
      <c r="T170" s="178">
        <f t="shared" si="270"/>
        <v>5</v>
      </c>
      <c r="U170" s="223">
        <f t="shared" si="271"/>
        <v>0.43386243386243384</v>
      </c>
      <c r="V170" s="223">
        <f t="shared" si="272"/>
        <v>1.272663139329806</v>
      </c>
      <c r="W170" s="223">
        <f t="shared" si="273"/>
        <v>1.2120601326950533</v>
      </c>
      <c r="X170" s="203">
        <f t="shared" si="274"/>
        <v>350</v>
      </c>
      <c r="Y170" s="454">
        <f t="shared" ref="Y170:Y210" si="302">MIN(1/(V170+W170)*1000, 350)</f>
        <v>350</v>
      </c>
      <c r="AA170" s="223">
        <f t="shared" si="275"/>
        <v>0.4988913525498892</v>
      </c>
      <c r="AB170" s="179">
        <f t="shared" si="276"/>
        <v>1.3937282229965158</v>
      </c>
      <c r="AC170" s="179">
        <f t="shared" si="277"/>
        <v>0.36504245308528482</v>
      </c>
      <c r="AD170" s="179"/>
      <c r="AE170" s="179">
        <f t="shared" si="278"/>
        <v>0.419047619047619</v>
      </c>
      <c r="AF170" s="563">
        <f t="shared" si="279"/>
        <v>3181.818181818182</v>
      </c>
      <c r="AG170" s="546">
        <f t="shared" si="280"/>
        <v>3.2999999999999995E-2</v>
      </c>
      <c r="AI170" s="179">
        <f t="shared" si="281"/>
        <v>0.45226701686664544</v>
      </c>
      <c r="AJ170" s="179">
        <f t="shared" si="282"/>
        <v>0.45226701686664544</v>
      </c>
      <c r="AK170" s="179">
        <f t="shared" si="283"/>
        <v>1.423901493975293</v>
      </c>
      <c r="AM170" s="563">
        <f t="shared" si="284"/>
        <v>300</v>
      </c>
      <c r="AN170" s="472">
        <f t="shared" si="285"/>
        <v>350</v>
      </c>
      <c r="AP170">
        <f t="shared" si="286"/>
        <v>300</v>
      </c>
      <c r="AQ170">
        <f t="shared" si="287"/>
        <v>350</v>
      </c>
      <c r="AS170" s="6">
        <f t="shared" si="258"/>
        <v>2.8571428571428572</v>
      </c>
      <c r="AT170" s="6">
        <f t="shared" si="288"/>
        <v>1.3266499161421601</v>
      </c>
      <c r="AU170" s="6">
        <f t="shared" ref="AU170:AU233" si="303">AS170-AT170</f>
        <v>1.5304929410006971</v>
      </c>
      <c r="AV170" s="6"/>
      <c r="AW170" s="179">
        <f t="shared" ref="AW170:AW233" si="304">AT170/AS170</f>
        <v>0.46432747064975605</v>
      </c>
      <c r="AX170" s="179">
        <f t="shared" si="254"/>
        <v>1.575</v>
      </c>
      <c r="AY170" s="179">
        <f t="shared" si="255"/>
        <v>0.36340052529996819</v>
      </c>
      <c r="AZ170" s="179">
        <f t="shared" si="259"/>
        <v>4.3340608786955377</v>
      </c>
      <c r="BA170" s="472">
        <f t="shared" si="289"/>
        <v>28.298334324806667</v>
      </c>
      <c r="BB170" s="472">
        <f t="shared" si="290"/>
        <v>9.8965957446808517</v>
      </c>
      <c r="BC170" s="6">
        <f t="shared" si="253"/>
        <v>0.14171230935191637</v>
      </c>
      <c r="BD170" s="563">
        <f t="shared" si="291"/>
        <v>43.315885354515196</v>
      </c>
      <c r="BF170" s="179">
        <f t="shared" si="260"/>
        <v>0.17792889360827596</v>
      </c>
      <c r="BG170" s="179">
        <f t="shared" si="256"/>
        <v>0.57333074486754765</v>
      </c>
      <c r="BI170" s="546">
        <f t="shared" ref="BI170:BI210" si="305">Rdson*BF170^2</f>
        <v>1.1080541913232815E-2</v>
      </c>
      <c r="BJ170" s="546">
        <f t="shared" ref="BJ170:BJ210" si="306">0.5*K170*AJ170*AN170*1000*Trise</f>
        <v>3.6506428267704533E-2</v>
      </c>
      <c r="BK170" s="546">
        <f t="shared" ref="BK170:BK210" si="307">Qg*Vdd*AN170*1000</f>
        <v>4.3749999999999995E-3</v>
      </c>
      <c r="BL170" s="546">
        <f t="shared" ref="BL170:BL210" si="308">0.5*(Coss+Csw)*K170^2*AN170*1000</f>
        <v>1.6547343750000002E-2</v>
      </c>
      <c r="BM170">
        <f t="shared" ref="BM170:BM210" si="309">I170*IQ</f>
        <v>4.3499999999999997E-3</v>
      </c>
      <c r="BO170" s="472">
        <f t="shared" ref="BO170:BO210" si="310">SUM(BI170:BM170)*1000</f>
        <v>72.859313930937333</v>
      </c>
      <c r="BP170" s="546">
        <f t="shared" si="292"/>
        <v>0.09</v>
      </c>
      <c r="BS170" s="472">
        <f t="shared" ref="BS170:BS210" si="311">SUM(BP170:BR170)*1000</f>
        <v>90</v>
      </c>
      <c r="BT170" s="546">
        <f t="shared" si="293"/>
        <v>6.3317382361330376E-3</v>
      </c>
      <c r="BU170" s="546">
        <f t="shared" si="294"/>
        <v>1.3148325720415082E-2</v>
      </c>
      <c r="BV170" s="546">
        <f t="shared" si="295"/>
        <v>1.5762583725167412E-2</v>
      </c>
      <c r="BW170" s="546"/>
      <c r="BX170" s="546">
        <f t="shared" si="296"/>
        <v>3.5795454545454554E-2</v>
      </c>
      <c r="BY170" s="472">
        <f t="shared" ref="BY170:BY210" si="312">SUM(BT170:BX170)*1000</f>
        <v>71.038102227170086</v>
      </c>
      <c r="BZ170" s="179">
        <f t="shared" si="297"/>
        <v>0.23389741615810741</v>
      </c>
      <c r="CA170" s="6">
        <f t="shared" si="298"/>
        <v>1.5</v>
      </c>
      <c r="CB170" s="179">
        <f t="shared" ref="CB170:CB210" si="313">CA170/(CA170+BZ170)</f>
        <v>0.8651030828130728</v>
      </c>
      <c r="CC170" s="6">
        <f t="shared" ref="CC170:CC210" si="314">CB170*100</f>
        <v>86.510308281307275</v>
      </c>
      <c r="CF170" s="581">
        <f t="shared" si="299"/>
        <v>-50</v>
      </c>
      <c r="CG170">
        <f t="shared" si="300"/>
        <v>-50</v>
      </c>
    </row>
    <row r="171" spans="5:85" x14ac:dyDescent="0.2">
      <c r="E171" s="176">
        <v>61</v>
      </c>
      <c r="F171" s="223">
        <f t="shared" si="301"/>
        <v>0.30499999999999999</v>
      </c>
      <c r="G171" s="223"/>
      <c r="H171" s="223">
        <f t="shared" si="261"/>
        <v>1.5249999999999999</v>
      </c>
      <c r="I171" s="559">
        <f t="shared" si="262"/>
        <v>15</v>
      </c>
      <c r="J171" s="454">
        <f t="shared" si="263"/>
        <v>15.75</v>
      </c>
      <c r="K171" s="454">
        <f t="shared" si="264"/>
        <v>30.75</v>
      </c>
      <c r="L171" s="454"/>
      <c r="M171" s="223">
        <f t="shared" si="265"/>
        <v>0.51219512195121952</v>
      </c>
      <c r="N171" s="178">
        <f t="shared" si="266"/>
        <v>2.592987804878049</v>
      </c>
      <c r="O171" s="178">
        <f t="shared" si="257"/>
        <v>1.5249999999999999</v>
      </c>
      <c r="P171" s="223">
        <f t="shared" si="267"/>
        <v>0.51859756097560983</v>
      </c>
      <c r="Q171" s="223">
        <f t="shared" si="268"/>
        <v>5</v>
      </c>
      <c r="R171" s="223"/>
      <c r="S171" s="178">
        <f t="shared" si="269"/>
        <v>11.702937459907622</v>
      </c>
      <c r="T171" s="178">
        <f t="shared" si="270"/>
        <v>5</v>
      </c>
      <c r="U171" s="223">
        <f t="shared" si="271"/>
        <v>0.44109347442680769</v>
      </c>
      <c r="V171" s="223">
        <f t="shared" si="272"/>
        <v>1.2938741916519692</v>
      </c>
      <c r="W171" s="223">
        <f t="shared" si="273"/>
        <v>1.2322611349066372</v>
      </c>
      <c r="X171" s="203">
        <f t="shared" si="274"/>
        <v>350</v>
      </c>
      <c r="Y171" s="454">
        <f t="shared" si="302"/>
        <v>350</v>
      </c>
      <c r="AA171" s="223">
        <f t="shared" si="275"/>
        <v>0.4988913525498892</v>
      </c>
      <c r="AB171" s="179">
        <f t="shared" si="276"/>
        <v>1.3937282229965158</v>
      </c>
      <c r="AC171" s="179">
        <f t="shared" si="277"/>
        <v>0.36504245308528482</v>
      </c>
      <c r="AD171" s="179"/>
      <c r="AE171" s="179">
        <f t="shared" si="278"/>
        <v>0.419047619047619</v>
      </c>
      <c r="AF171" s="563">
        <f t="shared" si="279"/>
        <v>3234.8484848484854</v>
      </c>
      <c r="AG171" s="546">
        <f t="shared" si="280"/>
        <v>3.2999999999999995E-2</v>
      </c>
      <c r="AI171" s="179">
        <f t="shared" si="281"/>
        <v>0.45602033447484053</v>
      </c>
      <c r="AJ171" s="179">
        <f t="shared" si="282"/>
        <v>0.45602033447484053</v>
      </c>
      <c r="AK171" s="179">
        <f t="shared" si="283"/>
        <v>1.4266817292406226</v>
      </c>
      <c r="AM171" s="563">
        <f t="shared" si="284"/>
        <v>305</v>
      </c>
      <c r="AN171" s="472">
        <f t="shared" si="285"/>
        <v>350</v>
      </c>
      <c r="AP171">
        <f t="shared" si="286"/>
        <v>305</v>
      </c>
      <c r="AQ171">
        <f t="shared" si="287"/>
        <v>350</v>
      </c>
      <c r="AS171" s="6">
        <f t="shared" si="258"/>
        <v>2.8571428571428572</v>
      </c>
      <c r="AT171" s="6">
        <f t="shared" si="288"/>
        <v>1.3376596477928655</v>
      </c>
      <c r="AU171" s="6">
        <f t="shared" si="303"/>
        <v>1.5194832093499917</v>
      </c>
      <c r="AV171" s="6"/>
      <c r="AW171" s="179">
        <f t="shared" si="304"/>
        <v>0.46818087672750291</v>
      </c>
      <c r="AX171" s="179">
        <f t="shared" si="254"/>
        <v>1.6012499999999998</v>
      </c>
      <c r="AY171" s="179">
        <f t="shared" si="255"/>
        <v>0.3637805017122609</v>
      </c>
      <c r="AZ171" s="179">
        <f t="shared" si="259"/>
        <v>4.4016927583065986</v>
      </c>
      <c r="BA171" s="472">
        <f t="shared" si="289"/>
        <v>28.298334324806667</v>
      </c>
      <c r="BB171" s="472">
        <f t="shared" si="290"/>
        <v>10.213981323877068</v>
      </c>
      <c r="BC171" s="6">
        <f t="shared" si="253"/>
        <v>0.14303777125053929</v>
      </c>
      <c r="BD171" s="563">
        <f t="shared" si="291"/>
        <v>43.922196092007312</v>
      </c>
      <c r="BF171" s="179">
        <f t="shared" si="260"/>
        <v>0.18014840309254149</v>
      </c>
      <c r="BG171" s="179">
        <f t="shared" si="256"/>
        <v>0.57600573966975455</v>
      </c>
      <c r="BI171" s="546">
        <f t="shared" si="305"/>
        <v>1.1358706497877482E-2</v>
      </c>
      <c r="BJ171" s="546">
        <f t="shared" si="306"/>
        <v>3.680939137339103E-2</v>
      </c>
      <c r="BK171" s="546">
        <f t="shared" si="307"/>
        <v>4.3749999999999995E-3</v>
      </c>
      <c r="BL171" s="546">
        <f t="shared" si="308"/>
        <v>1.6547343750000002E-2</v>
      </c>
      <c r="BM171">
        <f t="shared" si="309"/>
        <v>4.3499999999999997E-3</v>
      </c>
      <c r="BO171" s="472">
        <f t="shared" si="310"/>
        <v>73.440441621268505</v>
      </c>
      <c r="BP171" s="546">
        <f t="shared" si="292"/>
        <v>9.1499999999999998E-2</v>
      </c>
      <c r="BS171" s="472">
        <f t="shared" si="311"/>
        <v>91.5</v>
      </c>
      <c r="BT171" s="546">
        <f t="shared" si="293"/>
        <v>6.4906894273585626E-3</v>
      </c>
      <c r="BU171" s="546">
        <f t="shared" si="294"/>
        <v>1.3271304485300043E-2</v>
      </c>
      <c r="BV171" s="546">
        <f t="shared" si="295"/>
        <v>1.6091652196040956E-2</v>
      </c>
      <c r="BW171" s="546"/>
      <c r="BX171" s="546">
        <f t="shared" si="296"/>
        <v>3.6392045454545455E-2</v>
      </c>
      <c r="BY171" s="472">
        <f t="shared" si="312"/>
        <v>72.245691563245018</v>
      </c>
      <c r="BZ171" s="179">
        <f t="shared" si="297"/>
        <v>0.23718613318451348</v>
      </c>
      <c r="CA171" s="6">
        <f t="shared" si="298"/>
        <v>1.5249999999999999</v>
      </c>
      <c r="CB171" s="179">
        <f t="shared" si="313"/>
        <v>0.8654023381991518</v>
      </c>
      <c r="CC171" s="6">
        <f t="shared" si="314"/>
        <v>86.540233819915187</v>
      </c>
      <c r="CF171" s="581">
        <f t="shared" si="299"/>
        <v>-50</v>
      </c>
      <c r="CG171">
        <f t="shared" si="300"/>
        <v>-50</v>
      </c>
    </row>
    <row r="172" spans="5:85" x14ac:dyDescent="0.2">
      <c r="E172" s="176">
        <v>62</v>
      </c>
      <c r="F172" s="223">
        <f t="shared" si="301"/>
        <v>0.31</v>
      </c>
      <c r="G172" s="223"/>
      <c r="H172" s="223">
        <f t="shared" si="261"/>
        <v>1.55</v>
      </c>
      <c r="I172" s="559">
        <f t="shared" si="262"/>
        <v>15</v>
      </c>
      <c r="J172" s="454">
        <f t="shared" si="263"/>
        <v>15.75</v>
      </c>
      <c r="K172" s="454">
        <f t="shared" si="264"/>
        <v>30.75</v>
      </c>
      <c r="L172" s="454"/>
      <c r="M172" s="223">
        <f t="shared" si="265"/>
        <v>0.51219512195121952</v>
      </c>
      <c r="N172" s="178">
        <f t="shared" si="266"/>
        <v>2.592987804878049</v>
      </c>
      <c r="O172" s="178">
        <f t="shared" si="257"/>
        <v>1.55</v>
      </c>
      <c r="P172" s="223">
        <f t="shared" si="267"/>
        <v>0.51859756097560983</v>
      </c>
      <c r="Q172" s="223">
        <f t="shared" si="268"/>
        <v>5</v>
      </c>
      <c r="R172" s="223"/>
      <c r="S172" s="178">
        <f t="shared" si="269"/>
        <v>11.437596153062271</v>
      </c>
      <c r="T172" s="178">
        <f t="shared" si="270"/>
        <v>5</v>
      </c>
      <c r="U172" s="223">
        <f t="shared" si="271"/>
        <v>0.44832451499118164</v>
      </c>
      <c r="V172" s="223">
        <f t="shared" si="272"/>
        <v>1.3150852439741327</v>
      </c>
      <c r="W172" s="223">
        <f t="shared" si="273"/>
        <v>1.2524621371182216</v>
      </c>
      <c r="X172" s="203">
        <f t="shared" si="274"/>
        <v>350</v>
      </c>
      <c r="Y172" s="454">
        <f t="shared" si="302"/>
        <v>350</v>
      </c>
      <c r="AA172" s="223">
        <f t="shared" si="275"/>
        <v>0.4988913525498892</v>
      </c>
      <c r="AB172" s="179">
        <f t="shared" si="276"/>
        <v>1.3937282229965158</v>
      </c>
      <c r="AC172" s="179">
        <f t="shared" si="277"/>
        <v>0.36504245308528482</v>
      </c>
      <c r="AD172" s="179"/>
      <c r="AE172" s="179">
        <f t="shared" si="278"/>
        <v>0.419047619047619</v>
      </c>
      <c r="AF172" s="563">
        <f t="shared" si="279"/>
        <v>3287.8787878787884</v>
      </c>
      <c r="AG172" s="546">
        <f t="shared" si="280"/>
        <v>3.2999999999999995E-2</v>
      </c>
      <c r="AI172" s="179">
        <f t="shared" si="281"/>
        <v>0.45974301121782846</v>
      </c>
      <c r="AJ172" s="179">
        <f t="shared" si="282"/>
        <v>0.45974301121782846</v>
      </c>
      <c r="AK172" s="179">
        <f t="shared" si="283"/>
        <v>1.4294392675687617</v>
      </c>
      <c r="AM172" s="563">
        <f t="shared" si="284"/>
        <v>310</v>
      </c>
      <c r="AN172" s="472">
        <f t="shared" si="285"/>
        <v>350</v>
      </c>
      <c r="AP172">
        <f t="shared" si="286"/>
        <v>310</v>
      </c>
      <c r="AQ172">
        <f t="shared" si="287"/>
        <v>350</v>
      </c>
      <c r="AS172" s="6">
        <f t="shared" si="258"/>
        <v>2.8571428571428572</v>
      </c>
      <c r="AT172" s="6">
        <f t="shared" si="288"/>
        <v>1.3485794995722966</v>
      </c>
      <c r="AU172" s="6">
        <f t="shared" si="303"/>
        <v>1.5085633575705606</v>
      </c>
      <c r="AV172" s="6"/>
      <c r="AW172" s="179">
        <f t="shared" si="304"/>
        <v>0.47200282485030381</v>
      </c>
      <c r="AX172" s="179">
        <f t="shared" si="254"/>
        <v>1.6274999999999997</v>
      </c>
      <c r="AY172" s="179">
        <f t="shared" si="255"/>
        <v>0.36411451682674273</v>
      </c>
      <c r="AZ172" s="179">
        <f t="shared" si="259"/>
        <v>4.4697476337490167</v>
      </c>
      <c r="BA172" s="472">
        <f t="shared" si="289"/>
        <v>28.298334324806667</v>
      </c>
      <c r="BB172" s="472">
        <f t="shared" si="290"/>
        <v>10.536365011820331</v>
      </c>
      <c r="BC172" s="6">
        <f t="shared" si="253"/>
        <v>0.14433785211323263</v>
      </c>
      <c r="BD172" s="563">
        <f t="shared" si="291"/>
        <v>44.525574008933653</v>
      </c>
      <c r="BF172" s="179">
        <f t="shared" si="260"/>
        <v>0.18235883438454412</v>
      </c>
      <c r="BG172" s="179">
        <f t="shared" si="256"/>
        <v>0.57861749782399663</v>
      </c>
      <c r="BI172" s="546">
        <f t="shared" si="305"/>
        <v>1.1639160567331356E-2</v>
      </c>
      <c r="BJ172" s="546">
        <f t="shared" si="306"/>
        <v>3.7109881186739087E-2</v>
      </c>
      <c r="BK172" s="546">
        <f t="shared" si="307"/>
        <v>4.3749999999999995E-3</v>
      </c>
      <c r="BL172" s="546">
        <f t="shared" si="308"/>
        <v>1.6547343750000002E-2</v>
      </c>
      <c r="BM172">
        <f t="shared" si="309"/>
        <v>4.3499999999999997E-3</v>
      </c>
      <c r="BO172" s="472">
        <f t="shared" si="310"/>
        <v>74.021385504070452</v>
      </c>
      <c r="BP172" s="546">
        <f t="shared" si="292"/>
        <v>9.2999999999999999E-2</v>
      </c>
      <c r="BS172" s="472">
        <f t="shared" si="311"/>
        <v>93</v>
      </c>
      <c r="BT172" s="546">
        <f t="shared" si="293"/>
        <v>6.6509488956179186E-3</v>
      </c>
      <c r="BU172" s="546">
        <f t="shared" si="294"/>
        <v>1.3391928351524109E-2</v>
      </c>
      <c r="BV172" s="546">
        <f t="shared" si="295"/>
        <v>1.6422072128655089E-2</v>
      </c>
      <c r="BW172" s="546"/>
      <c r="BX172" s="546">
        <f t="shared" si="296"/>
        <v>3.6988636363636362E-2</v>
      </c>
      <c r="BY172" s="472">
        <f t="shared" si="312"/>
        <v>73.453585739433478</v>
      </c>
      <c r="BZ172" s="179">
        <f t="shared" si="297"/>
        <v>0.24047497124350395</v>
      </c>
      <c r="CA172" s="6">
        <f t="shared" si="298"/>
        <v>1.55</v>
      </c>
      <c r="CB172" s="179">
        <f t="shared" si="313"/>
        <v>0.86569207885855481</v>
      </c>
      <c r="CC172" s="6">
        <f t="shared" si="314"/>
        <v>86.569207885855477</v>
      </c>
      <c r="CF172" s="581">
        <f t="shared" si="299"/>
        <v>-50</v>
      </c>
      <c r="CG172">
        <f t="shared" si="300"/>
        <v>-50</v>
      </c>
    </row>
    <row r="173" spans="5:85" x14ac:dyDescent="0.2">
      <c r="E173" s="176">
        <v>63</v>
      </c>
      <c r="F173" s="223">
        <f t="shared" si="301"/>
        <v>0.315</v>
      </c>
      <c r="G173" s="223"/>
      <c r="H173" s="223">
        <f t="shared" si="261"/>
        <v>1.575</v>
      </c>
      <c r="I173" s="559">
        <f t="shared" si="262"/>
        <v>15</v>
      </c>
      <c r="J173" s="454">
        <f t="shared" si="263"/>
        <v>15.75</v>
      </c>
      <c r="K173" s="454">
        <f t="shared" si="264"/>
        <v>30.75</v>
      </c>
      <c r="L173" s="454"/>
      <c r="M173" s="223">
        <f t="shared" si="265"/>
        <v>0.51219512195121952</v>
      </c>
      <c r="N173" s="178">
        <f t="shared" si="266"/>
        <v>2.592987804878049</v>
      </c>
      <c r="O173" s="178">
        <f t="shared" si="257"/>
        <v>1.575</v>
      </c>
      <c r="P173" s="223">
        <f t="shared" si="267"/>
        <v>0.51859756097560983</v>
      </c>
      <c r="Q173" s="223">
        <f t="shared" si="268"/>
        <v>5</v>
      </c>
      <c r="R173" s="223"/>
      <c r="S173" s="178">
        <f t="shared" si="269"/>
        <v>11.180782415683794</v>
      </c>
      <c r="T173" s="178">
        <f t="shared" si="270"/>
        <v>5</v>
      </c>
      <c r="U173" s="223">
        <f t="shared" si="271"/>
        <v>0.45555555555555549</v>
      </c>
      <c r="V173" s="223">
        <f t="shared" si="272"/>
        <v>1.3362962962962961</v>
      </c>
      <c r="W173" s="223">
        <f t="shared" si="273"/>
        <v>1.2726631393298058</v>
      </c>
      <c r="X173" s="203">
        <f t="shared" si="274"/>
        <v>350</v>
      </c>
      <c r="Y173" s="454">
        <f t="shared" si="302"/>
        <v>350</v>
      </c>
      <c r="AA173" s="223">
        <f t="shared" si="275"/>
        <v>0.4988913525498892</v>
      </c>
      <c r="AB173" s="179">
        <f t="shared" si="276"/>
        <v>1.3937282229965158</v>
      </c>
      <c r="AC173" s="179">
        <f t="shared" si="277"/>
        <v>0.36504245308528482</v>
      </c>
      <c r="AD173" s="179"/>
      <c r="AE173" s="179">
        <f t="shared" si="278"/>
        <v>0.419047619047619</v>
      </c>
      <c r="AF173" s="563">
        <f t="shared" si="279"/>
        <v>3340.9090909090919</v>
      </c>
      <c r="AG173" s="546">
        <f t="shared" si="280"/>
        <v>3.2999999999999995E-2</v>
      </c>
      <c r="AI173" s="179">
        <f t="shared" si="281"/>
        <v>0.46343578548999348</v>
      </c>
      <c r="AJ173" s="179">
        <f t="shared" si="282"/>
        <v>0.46343578548999348</v>
      </c>
      <c r="AK173" s="179">
        <f t="shared" si="283"/>
        <v>1.4321746559185136</v>
      </c>
      <c r="AM173" s="563">
        <f t="shared" si="284"/>
        <v>315</v>
      </c>
      <c r="AN173" s="472">
        <f t="shared" si="285"/>
        <v>350</v>
      </c>
      <c r="AP173">
        <f t="shared" si="286"/>
        <v>315</v>
      </c>
      <c r="AQ173">
        <f t="shared" si="287"/>
        <v>350</v>
      </c>
      <c r="AS173" s="6">
        <f t="shared" si="258"/>
        <v>2.8571428571428572</v>
      </c>
      <c r="AT173" s="6">
        <f t="shared" si="288"/>
        <v>1.359411637437314</v>
      </c>
      <c r="AU173" s="6">
        <f t="shared" si="303"/>
        <v>1.4977312197055432</v>
      </c>
      <c r="AV173" s="6"/>
      <c r="AW173" s="179">
        <f t="shared" si="304"/>
        <v>0.47579407310305988</v>
      </c>
      <c r="AX173" s="179">
        <f t="shared" si="254"/>
        <v>1.6537499999999998</v>
      </c>
      <c r="AY173" s="179">
        <f t="shared" si="255"/>
        <v>0.36440367823499031</v>
      </c>
      <c r="AZ173" s="179">
        <f t="shared" si="259"/>
        <v>4.5382362988486582</v>
      </c>
      <c r="BA173" s="472">
        <f t="shared" si="289"/>
        <v>28.298334324806667</v>
      </c>
      <c r="BB173" s="472">
        <f t="shared" si="290"/>
        <v>10.863746808510639</v>
      </c>
      <c r="BC173" s="6">
        <f t="shared" si="253"/>
        <v>0.14561275747137223</v>
      </c>
      <c r="BD173" s="563">
        <f t="shared" si="291"/>
        <v>45.126040840392349</v>
      </c>
      <c r="BF173" s="179">
        <f t="shared" si="260"/>
        <v>0.18456037015977866</v>
      </c>
      <c r="BG173" s="179">
        <f t="shared" si="256"/>
        <v>0.58116728204240053</v>
      </c>
      <c r="BI173" s="546">
        <f t="shared" si="305"/>
        <v>1.1921885581730081E-2</v>
      </c>
      <c r="BJ173" s="546">
        <f t="shared" si="306"/>
        <v>3.7407957310020411E-2</v>
      </c>
      <c r="BK173" s="546">
        <f t="shared" si="307"/>
        <v>4.3749999999999995E-3</v>
      </c>
      <c r="BL173" s="546">
        <f t="shared" si="308"/>
        <v>1.6547343750000002E-2</v>
      </c>
      <c r="BM173">
        <f t="shared" si="309"/>
        <v>4.3499999999999997E-3</v>
      </c>
      <c r="BO173" s="472">
        <f t="shared" si="310"/>
        <v>74.602186641750507</v>
      </c>
      <c r="BP173" s="546">
        <f t="shared" si="292"/>
        <v>9.4500000000000001E-2</v>
      </c>
      <c r="BS173" s="472">
        <f t="shared" si="311"/>
        <v>94.5</v>
      </c>
      <c r="BT173" s="546">
        <f t="shared" si="293"/>
        <v>6.8125060467029049E-3</v>
      </c>
      <c r="BU173" s="546">
        <f t="shared" si="294"/>
        <v>1.3510216388662047E-2</v>
      </c>
      <c r="BV173" s="546">
        <f t="shared" si="295"/>
        <v>1.6753827140242518E-2</v>
      </c>
      <c r="BW173" s="546"/>
      <c r="BX173" s="546">
        <f t="shared" si="296"/>
        <v>3.7585227272727277E-2</v>
      </c>
      <c r="BY173" s="472">
        <f t="shared" si="312"/>
        <v>74.661776848334753</v>
      </c>
      <c r="BZ173" s="179">
        <f t="shared" si="297"/>
        <v>0.24376396349008525</v>
      </c>
      <c r="CA173" s="6">
        <f t="shared" si="298"/>
        <v>1.575</v>
      </c>
      <c r="CB173" s="179">
        <f t="shared" si="313"/>
        <v>0.86597273292004384</v>
      </c>
      <c r="CC173" s="6">
        <f t="shared" si="314"/>
        <v>86.597273292004388</v>
      </c>
      <c r="CF173" s="581">
        <f t="shared" si="299"/>
        <v>-50</v>
      </c>
      <c r="CG173">
        <f t="shared" si="300"/>
        <v>-50</v>
      </c>
    </row>
    <row r="174" spans="5:85" x14ac:dyDescent="0.2">
      <c r="E174" s="176">
        <v>64</v>
      </c>
      <c r="F174" s="223">
        <f t="shared" si="301"/>
        <v>0.32</v>
      </c>
      <c r="G174" s="223"/>
      <c r="H174" s="223">
        <f t="shared" ref="H174:H205" si="315">F174*Vout</f>
        <v>1.6</v>
      </c>
      <c r="I174" s="559">
        <f t="shared" ref="I174:I212" si="316">VIN_min</f>
        <v>15</v>
      </c>
      <c r="J174" s="454">
        <f t="shared" ref="J174:J210" si="317">(T174+Vfwd1)*Nps</f>
        <v>15.75</v>
      </c>
      <c r="K174" s="454">
        <f t="shared" ref="K174:K210" si="318">(Vout+Vfwd1)*Nps+I174</f>
        <v>30.75</v>
      </c>
      <c r="L174" s="454"/>
      <c r="M174" s="223">
        <f t="shared" ref="M174:M210" si="319">(Vout+Vfwd1)*Nps/((Vout+Vfwd1)*Nps+I174)</f>
        <v>0.51219512195121952</v>
      </c>
      <c r="N174" s="178">
        <f t="shared" ref="N174:N205" si="320">M174*I174*Isw_max*0.5*Efficiency</f>
        <v>2.592987804878049</v>
      </c>
      <c r="O174" s="178">
        <f t="shared" si="257"/>
        <v>1.6</v>
      </c>
      <c r="P174" s="223">
        <f t="shared" ref="P174:P205" si="321">N174/Vout</f>
        <v>0.51859756097560983</v>
      </c>
      <c r="Q174" s="223">
        <f t="shared" ref="Q174:Q210" si="322">MIN(Vout,N174/F174)</f>
        <v>5</v>
      </c>
      <c r="R174" s="223"/>
      <c r="S174" s="178">
        <f t="shared" ref="S174:S210" si="323">(SQRT(Isw_max^2*Nps^2*I174^2+4*Isw_max*F174/Efficiency*(Nps^2*Vfwd1*I174-Nps*I174^2)+4*(F174/Efficiency)^2*Nps^2*Vfwd1^2+8*(F174/Efficiency)^2*Nps*Vfwd1*I174+4*(F174/Efficiency)^2*I174^2)-2*F174/Efficiency*I174-2*F174/Efficiency*Nps*Vfwd1+Isw_max*Nps*I174)/(4*F174/Efficiency*Nps)</f>
        <v>10.932098317341763</v>
      </c>
      <c r="T174" s="178">
        <f t="shared" ref="T174:T205" si="324">MIN(Vout, S174)</f>
        <v>5</v>
      </c>
      <c r="U174" s="223">
        <f t="shared" ref="U174:U210" si="325">MIN(2*Vout*F174/(Efficiency*I174*M174), Isw_max)</f>
        <v>0.46278659611992945</v>
      </c>
      <c r="V174" s="223">
        <f t="shared" ref="V174:V205" si="326">L*U174/I174*1000000</f>
        <v>1.3575073486184597</v>
      </c>
      <c r="W174" s="223">
        <f t="shared" ref="W174:W210" si="327">L*U174/J174*1000000</f>
        <v>1.2928641415413902</v>
      </c>
      <c r="X174" s="203">
        <f t="shared" ref="X174:X210" si="328">IF(1/((350000*L)*(1/I174+1/J174))&gt;Isw_min, 350, 0.001/((Isw_min*L)*(1/I174+1/J174)))</f>
        <v>350</v>
      </c>
      <c r="Y174" s="454">
        <f t="shared" si="302"/>
        <v>350</v>
      </c>
      <c r="AA174" s="223">
        <f t="shared" ref="AA174:AA210" si="329">1/((X174*1000*L)*(1/I174+1/J174))</f>
        <v>0.4988913525498892</v>
      </c>
      <c r="AB174" s="179">
        <f t="shared" ref="AB174:AB205" si="330">L*AA174/J174*1000000</f>
        <v>1.3937282229965158</v>
      </c>
      <c r="AC174" s="179">
        <f t="shared" ref="AC174:AC205" si="331">0.5*AB174*AA174*Nps*X174/1000</f>
        <v>0.36504245308528482</v>
      </c>
      <c r="AD174" s="179"/>
      <c r="AE174" s="179">
        <f t="shared" ref="AE174:AE210" si="332">L*Isw_min/J174*1000000</f>
        <v>0.419047619047619</v>
      </c>
      <c r="AF174" s="563">
        <f t="shared" ref="AF174:AF205" si="333">MAX(10000,F174/(0.5*AE174/1000000*Isw_min*Nps))/1000</f>
        <v>3393.9393939393944</v>
      </c>
      <c r="AG174" s="546">
        <f t="shared" ref="AG174:AG210" si="334">0.5*AE174/1000000*Isw_min*Nps*X174*1000</f>
        <v>3.2999999999999995E-2</v>
      </c>
      <c r="AI174" s="179">
        <f t="shared" ref="AI174:AI210" si="335">SQRT(F174/(0.5*L/J174*Fsw_DCM*Nps))</f>
        <v>0.46709936649691375</v>
      </c>
      <c r="AJ174" s="179">
        <f t="shared" ref="AJ174:AJ205" si="336">MAX(IF(F174&gt;AC174,U174,AI174),Isw_min)</f>
        <v>0.46709936649691375</v>
      </c>
      <c r="AK174" s="179">
        <f t="shared" ref="AK174:AK205" si="337">IF(F174&gt;AG174, (AJ174-Isw_min)/1.08*0.8+1.2, AF174*0.2/350+1)</f>
        <v>1.4348884196273435</v>
      </c>
      <c r="AM174" s="563">
        <f t="shared" ref="AM174:AM210" si="338">F174*1000</f>
        <v>320</v>
      </c>
      <c r="AN174" s="472">
        <f t="shared" ref="AN174:AN210" si="339">IF(F174&gt;AG174, Y174, AF174)</f>
        <v>350</v>
      </c>
      <c r="AP174">
        <f t="shared" ref="AP174:AP210" si="340">IF(H174&gt;N174, "",AM174)</f>
        <v>320</v>
      </c>
      <c r="AQ174">
        <f t="shared" ref="AQ174:AQ210" si="341">IF(H174&gt;N174, "",AN174)</f>
        <v>350</v>
      </c>
      <c r="AS174" s="6">
        <f t="shared" si="258"/>
        <v>2.8571428571428572</v>
      </c>
      <c r="AT174" s="6">
        <f t="shared" ref="AT174:AT210" si="342">L*AJ174/I174*1000000</f>
        <v>1.3701581417242803</v>
      </c>
      <c r="AU174" s="6">
        <f t="shared" si="303"/>
        <v>1.4869847154185769</v>
      </c>
      <c r="AV174" s="6"/>
      <c r="AW174" s="179">
        <f t="shared" si="304"/>
        <v>0.4795553496034981</v>
      </c>
      <c r="AX174" s="179">
        <f t="shared" si="254"/>
        <v>1.6799999999999997</v>
      </c>
      <c r="AY174" s="179">
        <f t="shared" si="255"/>
        <v>0.36464904974537066</v>
      </c>
      <c r="AZ174" s="179">
        <f t="shared" si="259"/>
        <v>4.607169554323864</v>
      </c>
      <c r="BA174" s="472">
        <f t="shared" ref="BA174:BA210" si="343">L*Isw_max^2/(2*Vout_ripple*Vout)*1000000000*((1+M174)/2)^2</f>
        <v>28.298334324806667</v>
      </c>
      <c r="BB174" s="472">
        <f t="shared" ref="BB174:BB210" si="344">L*F174^2/(2*Cout*Vout*Nps^2)*1000000000*((1+M174)/(1-M174))^2+F174*RCoutEsr</f>
        <v>11.19612671394799</v>
      </c>
      <c r="BC174" s="6">
        <f t="shared" si="253"/>
        <v>0.14686268794257548</v>
      </c>
      <c r="BD174" s="563">
        <f t="shared" ref="BD174:BD210" si="345">((CA174/I174/Efficiency)*AU174/Cin+(BY174/I174/Efficiency)*RCinEsr)*1000</f>
        <v>45.7236178256885</v>
      </c>
      <c r="BF174" s="179">
        <f t="shared" si="260"/>
        <v>0.18675318658174545</v>
      </c>
      <c r="BG174" s="179">
        <f t="shared" si="256"/>
        <v>0.5836563031952352</v>
      </c>
      <c r="BI174" s="546">
        <f t="shared" si="305"/>
        <v>1.220686344445268E-2</v>
      </c>
      <c r="BJ174" s="546">
        <f t="shared" si="306"/>
        <v>3.7703676989422757E-2</v>
      </c>
      <c r="BK174" s="546">
        <f t="shared" si="307"/>
        <v>4.3749999999999995E-3</v>
      </c>
      <c r="BL174" s="546">
        <f t="shared" si="308"/>
        <v>1.6547343750000002E-2</v>
      </c>
      <c r="BM174">
        <f t="shared" si="309"/>
        <v>4.3499999999999997E-3</v>
      </c>
      <c r="BO174" s="472">
        <f t="shared" si="310"/>
        <v>75.182884183875444</v>
      </c>
      <c r="BP174" s="546">
        <f t="shared" ref="BP174:BP210" si="346">Vfwd2*F174</f>
        <v>9.6000000000000002E-2</v>
      </c>
      <c r="BS174" s="472">
        <f t="shared" si="311"/>
        <v>96</v>
      </c>
      <c r="BT174" s="546">
        <f t="shared" ref="BT174:BT210" si="347">Rdcr_pri*BF174^2</f>
        <v>6.9753505396872462E-3</v>
      </c>
      <c r="BU174" s="546">
        <f t="shared" ref="BU174:BU210" si="348">Rdcr_sec*BG174^2</f>
        <v>1.3626187210381134E-2</v>
      </c>
      <c r="BV174" s="546">
        <f t="shared" ref="BV174:BV210" si="349">AJ174^2.5*AN174^2.5*k_core</f>
        <v>1.708690130407791E-2</v>
      </c>
      <c r="BW174" s="546"/>
      <c r="BX174" s="546">
        <f t="shared" ref="BX174:BX210" si="350">0.5*Lleak*0.000000001*AJ174^2*AN174*1000</f>
        <v>3.8181818181818178E-2</v>
      </c>
      <c r="BY174" s="472">
        <f t="shared" si="312"/>
        <v>75.870257235964473</v>
      </c>
      <c r="BZ174" s="179">
        <f t="shared" ref="BZ174:BZ210" si="351">SUM(BI174:BM174,BP174:BR174,BT174:BX174)</f>
        <v>0.24705314141983994</v>
      </c>
      <c r="CA174" s="6">
        <f t="shared" ref="CA174:CA210" si="352">MIN(H174,O174)</f>
        <v>1.6</v>
      </c>
      <c r="CB174" s="179">
        <f t="shared" si="313"/>
        <v>0.86624470304631906</v>
      </c>
      <c r="CC174" s="6">
        <f t="shared" si="314"/>
        <v>86.624470304631913</v>
      </c>
      <c r="CF174" s="581">
        <f t="shared" ref="CF174:CF210" si="353">IF(ABS(F174-Ioutmax_Vinmin)&lt;Iout/200, AN174, -50)</f>
        <v>-50</v>
      </c>
      <c r="CG174">
        <f t="shared" ref="CG174:CG210" si="354">IF(ABS(F174-Ioutmax_Vinmin)&lt;Iout/200, N174*CB174, -50)</f>
        <v>-50</v>
      </c>
    </row>
    <row r="175" spans="5:85" x14ac:dyDescent="0.2">
      <c r="E175" s="176">
        <v>65</v>
      </c>
      <c r="F175" s="223">
        <f t="shared" ref="F175:F206" si="355">IF(PLOT_TYPE=1, E175/100*Iout_max, min_I*EXP(N175*rr/100))</f>
        <v>0.32500000000000001</v>
      </c>
      <c r="G175" s="223"/>
      <c r="H175" s="223">
        <f t="shared" si="315"/>
        <v>1.625</v>
      </c>
      <c r="I175" s="559">
        <f t="shared" si="316"/>
        <v>15</v>
      </c>
      <c r="J175" s="454">
        <f t="shared" si="317"/>
        <v>15.75</v>
      </c>
      <c r="K175" s="454">
        <f t="shared" si="318"/>
        <v>30.75</v>
      </c>
      <c r="L175" s="454"/>
      <c r="M175" s="223">
        <f t="shared" si="319"/>
        <v>0.51219512195121952</v>
      </c>
      <c r="N175" s="178">
        <f t="shared" si="320"/>
        <v>2.592987804878049</v>
      </c>
      <c r="O175" s="178">
        <f t="shared" si="257"/>
        <v>1.625</v>
      </c>
      <c r="P175" s="223">
        <f t="shared" si="321"/>
        <v>0.51859756097560983</v>
      </c>
      <c r="Q175" s="223">
        <f t="shared" si="322"/>
        <v>5</v>
      </c>
      <c r="R175" s="223"/>
      <c r="S175" s="178">
        <f t="shared" si="323"/>
        <v>10.691170451601085</v>
      </c>
      <c r="T175" s="178">
        <f t="shared" si="324"/>
        <v>5</v>
      </c>
      <c r="U175" s="223">
        <f t="shared" si="325"/>
        <v>0.47001763668430335</v>
      </c>
      <c r="V175" s="223">
        <f t="shared" si="326"/>
        <v>1.3787184009406233</v>
      </c>
      <c r="W175" s="223">
        <f t="shared" si="327"/>
        <v>1.3130651437529743</v>
      </c>
      <c r="X175" s="203">
        <f t="shared" si="328"/>
        <v>350</v>
      </c>
      <c r="Y175" s="454">
        <f t="shared" si="302"/>
        <v>350</v>
      </c>
      <c r="AA175" s="223">
        <f t="shared" si="329"/>
        <v>0.4988913525498892</v>
      </c>
      <c r="AB175" s="179">
        <f t="shared" si="330"/>
        <v>1.3937282229965158</v>
      </c>
      <c r="AC175" s="179">
        <f t="shared" si="331"/>
        <v>0.36504245308528482</v>
      </c>
      <c r="AD175" s="179"/>
      <c r="AE175" s="179">
        <f t="shared" si="332"/>
        <v>0.419047619047619</v>
      </c>
      <c r="AF175" s="563">
        <f t="shared" si="333"/>
        <v>3446.9696969696979</v>
      </c>
      <c r="AG175" s="546">
        <f t="shared" si="334"/>
        <v>3.2999999999999995E-2</v>
      </c>
      <c r="AI175" s="179">
        <f t="shared" si="335"/>
        <v>0.4707344358456359</v>
      </c>
      <c r="AJ175" s="179">
        <f t="shared" si="336"/>
        <v>0.4707344358456359</v>
      </c>
      <c r="AK175" s="179">
        <f t="shared" si="337"/>
        <v>1.4375810635893598</v>
      </c>
      <c r="AM175" s="563">
        <f t="shared" si="338"/>
        <v>325</v>
      </c>
      <c r="AN175" s="472">
        <f t="shared" si="339"/>
        <v>350</v>
      </c>
      <c r="AP175">
        <f t="shared" si="340"/>
        <v>325</v>
      </c>
      <c r="AQ175">
        <f t="shared" si="341"/>
        <v>350</v>
      </c>
      <c r="AS175" s="6">
        <f t="shared" si="258"/>
        <v>2.8571428571428572</v>
      </c>
      <c r="AT175" s="6">
        <f t="shared" si="342"/>
        <v>1.3808210118138653</v>
      </c>
      <c r="AU175" s="6">
        <f t="shared" si="303"/>
        <v>1.4763218453289919</v>
      </c>
      <c r="AV175" s="6"/>
      <c r="AW175" s="179">
        <f t="shared" si="304"/>
        <v>0.48328735413485285</v>
      </c>
      <c r="AX175" s="179">
        <f t="shared" si="254"/>
        <v>1.7062499999999998</v>
      </c>
      <c r="AY175" s="179">
        <f t="shared" si="255"/>
        <v>0.36485165376845391</v>
      </c>
      <c r="AZ175" s="179">
        <f t="shared" si="259"/>
        <v>4.6765582185981778</v>
      </c>
      <c r="BA175" s="472">
        <f t="shared" si="343"/>
        <v>28.298334324806667</v>
      </c>
      <c r="BB175" s="472">
        <f t="shared" si="344"/>
        <v>11.533504728132389</v>
      </c>
      <c r="BC175" s="6">
        <f t="shared" si="253"/>
        <v>0.14808783942343282</v>
      </c>
      <c r="BD175" s="563">
        <f t="shared" si="345"/>
        <v>46.31832572713229</v>
      </c>
      <c r="BF175" s="179">
        <f t="shared" si="260"/>
        <v>0.18893745363204387</v>
      </c>
      <c r="BG175" s="179">
        <f t="shared" si="256"/>
        <v>0.58608572308842399</v>
      </c>
      <c r="BI175" s="546">
        <f t="shared" si="305"/>
        <v>1.2494076484736254E-2</v>
      </c>
      <c r="BJ175" s="546">
        <f t="shared" si="306"/>
        <v>3.7997095243414929E-2</v>
      </c>
      <c r="BK175" s="546">
        <f t="shared" si="307"/>
        <v>4.3749999999999995E-3</v>
      </c>
      <c r="BL175" s="546">
        <f t="shared" si="308"/>
        <v>1.6547343750000002E-2</v>
      </c>
      <c r="BM175">
        <f t="shared" si="309"/>
        <v>4.3499999999999997E-3</v>
      </c>
      <c r="BO175" s="472">
        <f t="shared" si="310"/>
        <v>75.763515478151191</v>
      </c>
      <c r="BP175" s="546">
        <f t="shared" si="346"/>
        <v>9.7500000000000003E-2</v>
      </c>
      <c r="BS175" s="472">
        <f t="shared" si="311"/>
        <v>97.5</v>
      </c>
      <c r="BT175" s="546">
        <f t="shared" si="347"/>
        <v>7.1394722769921454E-3</v>
      </c>
      <c r="BU175" s="546">
        <f t="shared" si="348"/>
        <v>1.3739858992323233E-2</v>
      </c>
      <c r="BV175" s="546">
        <f t="shared" si="349"/>
        <v>1.742127912984047E-2</v>
      </c>
      <c r="BW175" s="546"/>
      <c r="BX175" s="546">
        <f t="shared" si="350"/>
        <v>3.8778409090909099E-2</v>
      </c>
      <c r="BY175" s="472">
        <f t="shared" si="312"/>
        <v>77.079019490064951</v>
      </c>
      <c r="BZ175" s="179">
        <f t="shared" si="351"/>
        <v>0.25034253496821612</v>
      </c>
      <c r="CA175" s="6">
        <f t="shared" si="352"/>
        <v>1.625</v>
      </c>
      <c r="CB175" s="179">
        <f t="shared" si="313"/>
        <v>0.86650836831125411</v>
      </c>
      <c r="CC175" s="6">
        <f t="shared" si="314"/>
        <v>86.650836831125417</v>
      </c>
      <c r="CF175" s="581">
        <f t="shared" si="353"/>
        <v>-50</v>
      </c>
      <c r="CG175">
        <f t="shared" si="354"/>
        <v>-50</v>
      </c>
    </row>
    <row r="176" spans="5:85" x14ac:dyDescent="0.2">
      <c r="E176" s="176">
        <v>66</v>
      </c>
      <c r="F176" s="223">
        <f t="shared" si="355"/>
        <v>0.33</v>
      </c>
      <c r="G176" s="223"/>
      <c r="H176" s="223">
        <f t="shared" si="315"/>
        <v>1.6500000000000001</v>
      </c>
      <c r="I176" s="559">
        <f t="shared" si="316"/>
        <v>15</v>
      </c>
      <c r="J176" s="454">
        <f t="shared" si="317"/>
        <v>15.75</v>
      </c>
      <c r="K176" s="454">
        <f t="shared" si="318"/>
        <v>30.75</v>
      </c>
      <c r="L176" s="454"/>
      <c r="M176" s="223">
        <f t="shared" si="319"/>
        <v>0.51219512195121952</v>
      </c>
      <c r="N176" s="178">
        <f t="shared" si="320"/>
        <v>2.592987804878049</v>
      </c>
      <c r="O176" s="178">
        <f t="shared" si="257"/>
        <v>1.6500000000000001</v>
      </c>
      <c r="P176" s="223">
        <f t="shared" si="321"/>
        <v>0.51859756097560983</v>
      </c>
      <c r="Q176" s="223">
        <f t="shared" si="322"/>
        <v>5</v>
      </c>
      <c r="R176" s="223"/>
      <c r="S176" s="178">
        <f t="shared" si="323"/>
        <v>10.457648078854401</v>
      </c>
      <c r="T176" s="554">
        <f t="shared" si="324"/>
        <v>5</v>
      </c>
      <c r="U176" s="223">
        <f t="shared" si="325"/>
        <v>0.47724867724867726</v>
      </c>
      <c r="V176" s="223">
        <f t="shared" si="326"/>
        <v>1.3999294532627866</v>
      </c>
      <c r="W176" s="223">
        <f t="shared" si="327"/>
        <v>1.3332661459645587</v>
      </c>
      <c r="X176" s="203">
        <f t="shared" si="328"/>
        <v>350</v>
      </c>
      <c r="Y176" s="454">
        <f t="shared" si="302"/>
        <v>350</v>
      </c>
      <c r="AA176" s="223">
        <f t="shared" si="329"/>
        <v>0.4988913525498892</v>
      </c>
      <c r="AB176" s="179">
        <f t="shared" si="330"/>
        <v>1.3937282229965158</v>
      </c>
      <c r="AC176" s="179">
        <f t="shared" si="331"/>
        <v>0.36504245308528482</v>
      </c>
      <c r="AD176" s="179"/>
      <c r="AE176" s="179">
        <f t="shared" si="332"/>
        <v>0.419047619047619</v>
      </c>
      <c r="AF176" s="563">
        <f t="shared" si="333"/>
        <v>3500.0000000000009</v>
      </c>
      <c r="AG176" s="546">
        <f t="shared" si="334"/>
        <v>3.2999999999999995E-2</v>
      </c>
      <c r="AI176" s="179">
        <f t="shared" si="335"/>
        <v>0.47434164902525688</v>
      </c>
      <c r="AJ176" s="179">
        <f t="shared" si="336"/>
        <v>0.47434164902525688</v>
      </c>
      <c r="AK176" s="179">
        <f t="shared" si="337"/>
        <v>1.440253073352042</v>
      </c>
      <c r="AM176" s="563">
        <f t="shared" si="338"/>
        <v>330</v>
      </c>
      <c r="AN176" s="472">
        <f t="shared" si="339"/>
        <v>350</v>
      </c>
      <c r="AP176">
        <f t="shared" si="340"/>
        <v>330</v>
      </c>
      <c r="AQ176">
        <f t="shared" si="341"/>
        <v>350</v>
      </c>
      <c r="AS176" s="6">
        <f t="shared" si="258"/>
        <v>2.8571428571428572</v>
      </c>
      <c r="AT176" s="6">
        <f t="shared" si="342"/>
        <v>1.3914021704740867</v>
      </c>
      <c r="AU176" s="6">
        <f t="shared" si="303"/>
        <v>1.4657406866687706</v>
      </c>
      <c r="AV176" s="6"/>
      <c r="AW176" s="179">
        <f t="shared" si="304"/>
        <v>0.48699075966593031</v>
      </c>
      <c r="AX176" s="179">
        <f t="shared" si="254"/>
        <v>1.7324999999999997</v>
      </c>
      <c r="AY176" s="179">
        <f t="shared" si="255"/>
        <v>0.36501247353788541</v>
      </c>
      <c r="AZ176" s="179">
        <f t="shared" si="259"/>
        <v>4.7464131381805501</v>
      </c>
      <c r="BA176" s="472">
        <f t="shared" si="343"/>
        <v>28.298334324806667</v>
      </c>
      <c r="BB176" s="472">
        <f t="shared" si="344"/>
        <v>11.875880851063831</v>
      </c>
      <c r="BC176" s="6">
        <f t="shared" si="253"/>
        <v>0.14928840327181922</v>
      </c>
      <c r="BD176" s="563">
        <f t="shared" si="345"/>
        <v>46.910184847848242</v>
      </c>
      <c r="BF176" s="179">
        <f t="shared" si="260"/>
        <v>0.19111333541892039</v>
      </c>
      <c r="BG176" s="179">
        <f t="shared" si="256"/>
        <v>0.5884566570491806</v>
      </c>
      <c r="BI176" s="546">
        <f t="shared" si="305"/>
        <v>1.278350744123067E-2</v>
      </c>
      <c r="BJ176" s="546">
        <f t="shared" si="306"/>
        <v>3.8288264982257451E-2</v>
      </c>
      <c r="BK176" s="546">
        <f t="shared" si="307"/>
        <v>4.3749999999999995E-3</v>
      </c>
      <c r="BL176" s="546">
        <f t="shared" si="308"/>
        <v>1.6547343750000002E-2</v>
      </c>
      <c r="BM176">
        <f t="shared" si="309"/>
        <v>4.3499999999999997E-3</v>
      </c>
      <c r="BO176" s="472">
        <f t="shared" si="310"/>
        <v>76.344116173488132</v>
      </c>
      <c r="BP176" s="546">
        <f t="shared" si="346"/>
        <v>9.9000000000000005E-2</v>
      </c>
      <c r="BS176" s="472">
        <f t="shared" si="311"/>
        <v>99</v>
      </c>
      <c r="BT176" s="546">
        <f t="shared" si="347"/>
        <v>7.304861394988954E-3</v>
      </c>
      <c r="BU176" s="546">
        <f t="shared" si="348"/>
        <v>1.385124948901988E-2</v>
      </c>
      <c r="BV176" s="546">
        <f t="shared" si="349"/>
        <v>1.7756945545111997E-2</v>
      </c>
      <c r="BW176" s="546"/>
      <c r="BX176" s="546">
        <f t="shared" si="350"/>
        <v>3.9375E-2</v>
      </c>
      <c r="BY176" s="472">
        <f t="shared" si="312"/>
        <v>78.288056429120829</v>
      </c>
      <c r="BZ176" s="179">
        <f t="shared" si="351"/>
        <v>0.25363217260260901</v>
      </c>
      <c r="CA176" s="6">
        <f t="shared" si="352"/>
        <v>1.6500000000000001</v>
      </c>
      <c r="CB176" s="179">
        <f t="shared" si="313"/>
        <v>0.86676408591274856</v>
      </c>
      <c r="CC176" s="6">
        <f t="shared" si="314"/>
        <v>86.67640859127485</v>
      </c>
      <c r="CF176" s="581">
        <f t="shared" si="353"/>
        <v>-50</v>
      </c>
      <c r="CG176">
        <f t="shared" si="354"/>
        <v>-50</v>
      </c>
    </row>
    <row r="177" spans="5:85" x14ac:dyDescent="0.2">
      <c r="E177" s="176">
        <v>67</v>
      </c>
      <c r="F177" s="223">
        <f t="shared" si="355"/>
        <v>0.33500000000000002</v>
      </c>
      <c r="G177" s="223"/>
      <c r="H177" s="223">
        <f t="shared" si="315"/>
        <v>1.675</v>
      </c>
      <c r="I177" s="559">
        <f t="shared" si="316"/>
        <v>15</v>
      </c>
      <c r="J177" s="454">
        <f t="shared" si="317"/>
        <v>15.75</v>
      </c>
      <c r="K177" s="454">
        <f t="shared" si="318"/>
        <v>30.75</v>
      </c>
      <c r="L177" s="454"/>
      <c r="M177" s="223">
        <f t="shared" si="319"/>
        <v>0.51219512195121952</v>
      </c>
      <c r="N177" s="178">
        <f t="shared" si="320"/>
        <v>2.592987804878049</v>
      </c>
      <c r="O177" s="178">
        <f t="shared" si="257"/>
        <v>1.675</v>
      </c>
      <c r="P177" s="223">
        <f t="shared" si="321"/>
        <v>0.51859756097560983</v>
      </c>
      <c r="Q177" s="223">
        <f t="shared" si="322"/>
        <v>5</v>
      </c>
      <c r="R177" s="223"/>
      <c r="S177" s="178">
        <f t="shared" si="323"/>
        <v>10.231201435476835</v>
      </c>
      <c r="T177" s="554">
        <f t="shared" si="324"/>
        <v>5</v>
      </c>
      <c r="U177" s="223">
        <f t="shared" si="325"/>
        <v>0.48447971781305116</v>
      </c>
      <c r="V177" s="223">
        <f t="shared" si="326"/>
        <v>1.4211405055849498</v>
      </c>
      <c r="W177" s="223">
        <f t="shared" si="327"/>
        <v>1.3534671481761427</v>
      </c>
      <c r="X177" s="203">
        <f t="shared" si="328"/>
        <v>350</v>
      </c>
      <c r="Y177" s="454">
        <f t="shared" si="302"/>
        <v>350</v>
      </c>
      <c r="AA177" s="223">
        <f t="shared" si="329"/>
        <v>0.4988913525498892</v>
      </c>
      <c r="AB177" s="179">
        <f t="shared" si="330"/>
        <v>1.3937282229965158</v>
      </c>
      <c r="AC177" s="179">
        <f t="shared" si="331"/>
        <v>0.36504245308528482</v>
      </c>
      <c r="AD177" s="179"/>
      <c r="AE177" s="179">
        <f t="shared" si="332"/>
        <v>0.419047619047619</v>
      </c>
      <c r="AF177" s="563">
        <f t="shared" si="333"/>
        <v>3553.0303030303044</v>
      </c>
      <c r="AG177" s="546">
        <f t="shared" si="334"/>
        <v>3.2999999999999995E-2</v>
      </c>
      <c r="AI177" s="179">
        <f t="shared" si="335"/>
        <v>0.47792163678692229</v>
      </c>
      <c r="AJ177" s="179">
        <f t="shared" si="336"/>
        <v>0.47792163678692229</v>
      </c>
      <c r="AK177" s="179">
        <f t="shared" si="337"/>
        <v>1.4429049161384611</v>
      </c>
      <c r="AM177" s="563">
        <f t="shared" si="338"/>
        <v>335</v>
      </c>
      <c r="AN177" s="472">
        <f t="shared" si="339"/>
        <v>350</v>
      </c>
      <c r="AP177">
        <f t="shared" si="340"/>
        <v>335</v>
      </c>
      <c r="AQ177">
        <f t="shared" si="341"/>
        <v>350</v>
      </c>
      <c r="AS177" s="6">
        <f t="shared" si="258"/>
        <v>2.8571428571428572</v>
      </c>
      <c r="AT177" s="6">
        <f t="shared" si="342"/>
        <v>1.4019034679083053</v>
      </c>
      <c r="AU177" s="6">
        <f t="shared" si="303"/>
        <v>1.4552393892345519</v>
      </c>
      <c r="AV177" s="6"/>
      <c r="AW177" s="179">
        <f t="shared" si="304"/>
        <v>0.49066621376790687</v>
      </c>
      <c r="AX177" s="179">
        <f t="shared" si="254"/>
        <v>1.7587499999999996</v>
      </c>
      <c r="AY177" s="179">
        <f t="shared" si="255"/>
        <v>0.36513245518038351</v>
      </c>
      <c r="AZ177" s="179">
        <f t="shared" si="259"/>
        <v>4.8167451976602251</v>
      </c>
      <c r="BA177" s="472">
        <f t="shared" si="343"/>
        <v>28.298334324806667</v>
      </c>
      <c r="BB177" s="472">
        <f t="shared" si="344"/>
        <v>12.22325508274232</v>
      </c>
      <c r="BC177" s="6">
        <f t="shared" si="253"/>
        <v>0.15046456647949841</v>
      </c>
      <c r="BD177" s="563">
        <f t="shared" si="345"/>
        <v>47.499215048661419</v>
      </c>
      <c r="BF177" s="179">
        <f t="shared" si="260"/>
        <v>0.19328099046598216</v>
      </c>
      <c r="BG177" s="179">
        <f t="shared" si="256"/>
        <v>0.59077017633566509</v>
      </c>
      <c r="BI177" s="546">
        <f t="shared" si="305"/>
        <v>1.3075139446428879E-2</v>
      </c>
      <c r="BJ177" s="546">
        <f t="shared" si="306"/>
        <v>3.8577237119394377E-2</v>
      </c>
      <c r="BK177" s="546">
        <f t="shared" si="307"/>
        <v>4.3749999999999995E-3</v>
      </c>
      <c r="BL177" s="546">
        <f t="shared" si="308"/>
        <v>1.6547343750000002E-2</v>
      </c>
      <c r="BM177">
        <f t="shared" si="309"/>
        <v>4.3499999999999997E-3</v>
      </c>
      <c r="BO177" s="472">
        <f t="shared" si="310"/>
        <v>76.924720315823265</v>
      </c>
      <c r="BP177" s="546">
        <f t="shared" si="346"/>
        <v>0.10050000000000001</v>
      </c>
      <c r="BS177" s="472">
        <f t="shared" si="311"/>
        <v>100.5</v>
      </c>
      <c r="BT177" s="546">
        <f t="shared" si="347"/>
        <v>7.471508255102218E-3</v>
      </c>
      <c r="BU177" s="546">
        <f t="shared" si="348"/>
        <v>1.3960376049906914E-2</v>
      </c>
      <c r="BV177" s="546">
        <f t="shared" si="349"/>
        <v>1.80938858779283E-2</v>
      </c>
      <c r="BW177" s="546"/>
      <c r="BX177" s="546">
        <f t="shared" si="350"/>
        <v>3.9971590909090908E-2</v>
      </c>
      <c r="BY177" s="472">
        <f t="shared" si="312"/>
        <v>79.497361092028342</v>
      </c>
      <c r="BZ177" s="179">
        <f t="shared" si="351"/>
        <v>0.25692208140785155</v>
      </c>
      <c r="CA177" s="6">
        <f t="shared" si="352"/>
        <v>1.675</v>
      </c>
      <c r="CB177" s="179">
        <f t="shared" si="313"/>
        <v>0.86701219273780206</v>
      </c>
      <c r="CC177" s="6">
        <f t="shared" si="314"/>
        <v>86.701219273780211</v>
      </c>
      <c r="CF177" s="581">
        <f t="shared" si="353"/>
        <v>-50</v>
      </c>
      <c r="CG177">
        <f t="shared" si="354"/>
        <v>-50</v>
      </c>
    </row>
    <row r="178" spans="5:85" x14ac:dyDescent="0.2">
      <c r="E178" s="176">
        <v>68</v>
      </c>
      <c r="F178" s="223">
        <f t="shared" si="355"/>
        <v>0.34</v>
      </c>
      <c r="G178" s="223"/>
      <c r="H178" s="223">
        <f t="shared" si="315"/>
        <v>1.7000000000000002</v>
      </c>
      <c r="I178" s="559">
        <f t="shared" si="316"/>
        <v>15</v>
      </c>
      <c r="J178" s="454">
        <f t="shared" si="317"/>
        <v>15.75</v>
      </c>
      <c r="K178" s="454">
        <f t="shared" si="318"/>
        <v>30.75</v>
      </c>
      <c r="L178" s="454"/>
      <c r="M178" s="223">
        <f t="shared" si="319"/>
        <v>0.51219512195121952</v>
      </c>
      <c r="N178" s="178">
        <f t="shared" si="320"/>
        <v>2.592987804878049</v>
      </c>
      <c r="O178" s="178">
        <f t="shared" si="257"/>
        <v>1.7000000000000002</v>
      </c>
      <c r="P178" s="223">
        <f t="shared" si="321"/>
        <v>0.51859756097560983</v>
      </c>
      <c r="Q178" s="223">
        <f t="shared" si="322"/>
        <v>5</v>
      </c>
      <c r="R178" s="223"/>
      <c r="S178" s="178">
        <f t="shared" si="323"/>
        <v>10.011520192181269</v>
      </c>
      <c r="T178" s="554">
        <f t="shared" si="324"/>
        <v>5</v>
      </c>
      <c r="U178" s="223">
        <f t="shared" si="325"/>
        <v>0.49171075837742506</v>
      </c>
      <c r="V178" s="223">
        <f t="shared" si="326"/>
        <v>1.4423515579071136</v>
      </c>
      <c r="W178" s="223">
        <f t="shared" si="327"/>
        <v>1.373668150387727</v>
      </c>
      <c r="X178" s="203">
        <f t="shared" si="328"/>
        <v>350</v>
      </c>
      <c r="Y178" s="454">
        <f t="shared" si="302"/>
        <v>350</v>
      </c>
      <c r="AA178" s="223">
        <f t="shared" si="329"/>
        <v>0.4988913525498892</v>
      </c>
      <c r="AB178" s="179">
        <f t="shared" si="330"/>
        <v>1.3937282229965158</v>
      </c>
      <c r="AC178" s="179">
        <f t="shared" si="331"/>
        <v>0.36504245308528482</v>
      </c>
      <c r="AD178" s="179"/>
      <c r="AE178" s="179">
        <f t="shared" si="332"/>
        <v>0.419047619047619</v>
      </c>
      <c r="AF178" s="563">
        <f t="shared" si="333"/>
        <v>3606.0606060606069</v>
      </c>
      <c r="AG178" s="546">
        <f t="shared" si="334"/>
        <v>3.2999999999999995E-2</v>
      </c>
      <c r="AI178" s="179">
        <f t="shared" si="335"/>
        <v>0.48147500643146762</v>
      </c>
      <c r="AJ178" s="179">
        <f t="shared" si="336"/>
        <v>0.48147500643146762</v>
      </c>
      <c r="AK178" s="179">
        <f t="shared" si="337"/>
        <v>1.4455370418010871</v>
      </c>
      <c r="AM178" s="563">
        <f t="shared" si="338"/>
        <v>340</v>
      </c>
      <c r="AN178" s="472">
        <f t="shared" si="339"/>
        <v>350</v>
      </c>
      <c r="AP178">
        <f t="shared" si="340"/>
        <v>340</v>
      </c>
      <c r="AQ178">
        <f t="shared" si="341"/>
        <v>350</v>
      </c>
      <c r="AS178" s="6">
        <f t="shared" si="258"/>
        <v>2.8571428571428572</v>
      </c>
      <c r="AT178" s="6">
        <f t="shared" si="342"/>
        <v>1.4123266855323049</v>
      </c>
      <c r="AU178" s="6">
        <f t="shared" si="303"/>
        <v>1.4448161716105523</v>
      </c>
      <c r="AV178" s="6"/>
      <c r="AW178" s="179">
        <f t="shared" si="304"/>
        <v>0.49431433993630669</v>
      </c>
      <c r="AX178" s="179">
        <f t="shared" si="254"/>
        <v>1.7849999999999999</v>
      </c>
      <c r="AY178" s="179">
        <f t="shared" si="255"/>
        <v>0.36521250964720153</v>
      </c>
      <c r="AZ178" s="179">
        <f t="shared" si="259"/>
        <v>4.8875653293594059</v>
      </c>
      <c r="BA178" s="472">
        <f t="shared" si="343"/>
        <v>28.298334324806667</v>
      </c>
      <c r="BB178" s="472">
        <f t="shared" si="344"/>
        <v>12.575627423167854</v>
      </c>
      <c r="BC178" s="6">
        <f t="shared" si="253"/>
        <v>0.15161651183567523</v>
      </c>
      <c r="BD178" s="563">
        <f t="shared" si="345"/>
        <v>48.085435764121598</v>
      </c>
      <c r="BF178" s="179">
        <f t="shared" si="260"/>
        <v>0.19544057198262704</v>
      </c>
      <c r="BG178" s="179">
        <f t="shared" si="256"/>
        <v>0.59302731038500878</v>
      </c>
      <c r="BI178" s="546">
        <f t="shared" si="305"/>
        <v>1.3368956011913747E-2</v>
      </c>
      <c r="BJ178" s="546">
        <f t="shared" si="306"/>
        <v>3.8864060675390021E-2</v>
      </c>
      <c r="BK178" s="546">
        <f t="shared" si="307"/>
        <v>4.3749999999999995E-3</v>
      </c>
      <c r="BL178" s="546">
        <f t="shared" si="308"/>
        <v>1.6547343750000002E-2</v>
      </c>
      <c r="BM178">
        <f t="shared" si="309"/>
        <v>4.3499999999999997E-3</v>
      </c>
      <c r="BO178" s="472">
        <f t="shared" si="310"/>
        <v>77.505360437303779</v>
      </c>
      <c r="BP178" s="546">
        <f t="shared" si="346"/>
        <v>0.10200000000000001</v>
      </c>
      <c r="BS178" s="472">
        <f t="shared" si="311"/>
        <v>102.00000000000001</v>
      </c>
      <c r="BT178" s="546">
        <f t="shared" si="347"/>
        <v>7.6394034353792842E-3</v>
      </c>
      <c r="BU178" s="546">
        <f t="shared" si="348"/>
        <v>1.4067255634499102E-2</v>
      </c>
      <c r="BV178" s="546">
        <f t="shared" si="349"/>
        <v>1.843208584030933E-2</v>
      </c>
      <c r="BW178" s="546"/>
      <c r="BX178" s="546">
        <f t="shared" si="350"/>
        <v>4.0568181818181823E-2</v>
      </c>
      <c r="BY178" s="472">
        <f t="shared" si="312"/>
        <v>80.706926728369538</v>
      </c>
      <c r="BZ178" s="179">
        <f t="shared" si="351"/>
        <v>0.26021228716567329</v>
      </c>
      <c r="CA178" s="6">
        <f t="shared" si="352"/>
        <v>1.7000000000000002</v>
      </c>
      <c r="CB178" s="179">
        <f t="shared" si="313"/>
        <v>0.86725300679452344</v>
      </c>
      <c r="CC178" s="6">
        <f t="shared" si="314"/>
        <v>86.725300679452346</v>
      </c>
      <c r="CF178" s="581">
        <f t="shared" si="353"/>
        <v>-50</v>
      </c>
      <c r="CG178">
        <f t="shared" si="354"/>
        <v>-50</v>
      </c>
    </row>
    <row r="179" spans="5:85" x14ac:dyDescent="0.2">
      <c r="E179" s="176">
        <v>69</v>
      </c>
      <c r="F179" s="223">
        <f t="shared" si="355"/>
        <v>0.34499999999999997</v>
      </c>
      <c r="G179" s="223"/>
      <c r="H179" s="223">
        <f t="shared" si="315"/>
        <v>1.7249999999999999</v>
      </c>
      <c r="I179" s="559">
        <f t="shared" si="316"/>
        <v>15</v>
      </c>
      <c r="J179" s="454">
        <f t="shared" si="317"/>
        <v>15.75</v>
      </c>
      <c r="K179" s="454">
        <f t="shared" si="318"/>
        <v>30.75</v>
      </c>
      <c r="L179" s="454"/>
      <c r="M179" s="223">
        <f t="shared" si="319"/>
        <v>0.51219512195121952</v>
      </c>
      <c r="N179" s="178">
        <f t="shared" si="320"/>
        <v>2.592987804878049</v>
      </c>
      <c r="O179" s="178">
        <f t="shared" si="257"/>
        <v>1.7249999999999999</v>
      </c>
      <c r="P179" s="223">
        <f t="shared" si="321"/>
        <v>0.51859756097560983</v>
      </c>
      <c r="Q179" s="223">
        <f t="shared" si="322"/>
        <v>5</v>
      </c>
      <c r="R179" s="223"/>
      <c r="S179" s="178">
        <f t="shared" si="323"/>
        <v>9.7983120464374895</v>
      </c>
      <c r="T179" s="554">
        <f t="shared" si="324"/>
        <v>5</v>
      </c>
      <c r="U179" s="223">
        <f t="shared" si="325"/>
        <v>0.49894179894179885</v>
      </c>
      <c r="V179" s="223">
        <f t="shared" si="326"/>
        <v>1.4635626102292767</v>
      </c>
      <c r="W179" s="223">
        <f t="shared" si="327"/>
        <v>1.3938691525993112</v>
      </c>
      <c r="X179" s="203">
        <f t="shared" si="328"/>
        <v>350</v>
      </c>
      <c r="Y179" s="454">
        <f t="shared" si="302"/>
        <v>349.96461263176218</v>
      </c>
      <c r="AA179" s="223">
        <f t="shared" si="329"/>
        <v>0.4988913525498892</v>
      </c>
      <c r="AB179" s="179">
        <f t="shared" si="330"/>
        <v>1.3937282229965158</v>
      </c>
      <c r="AC179" s="179">
        <f t="shared" si="331"/>
        <v>0.36504245308528482</v>
      </c>
      <c r="AD179" s="179"/>
      <c r="AE179" s="179">
        <f t="shared" si="332"/>
        <v>0.419047619047619</v>
      </c>
      <c r="AF179" s="563">
        <f t="shared" si="333"/>
        <v>3659.0909090909095</v>
      </c>
      <c r="AG179" s="546">
        <f t="shared" si="334"/>
        <v>3.2999999999999995E-2</v>
      </c>
      <c r="AI179" s="179">
        <f t="shared" si="335"/>
        <v>0.4850023430121474</v>
      </c>
      <c r="AJ179" s="179">
        <f t="shared" si="336"/>
        <v>0.4850023430121474</v>
      </c>
      <c r="AK179" s="179">
        <f t="shared" si="337"/>
        <v>1.4481498837127016</v>
      </c>
      <c r="AM179" s="563">
        <f t="shared" si="338"/>
        <v>345</v>
      </c>
      <c r="AN179" s="472">
        <f t="shared" si="339"/>
        <v>349.96461263176218</v>
      </c>
      <c r="AP179">
        <f t="shared" si="340"/>
        <v>345</v>
      </c>
      <c r="AQ179">
        <f t="shared" si="341"/>
        <v>349.96461263176218</v>
      </c>
      <c r="AS179" s="6">
        <f t="shared" si="258"/>
        <v>2.8574317628285879</v>
      </c>
      <c r="AT179" s="6">
        <f t="shared" si="342"/>
        <v>1.4226735395022989</v>
      </c>
      <c r="AU179" s="6">
        <f t="shared" si="303"/>
        <v>1.434758223326289</v>
      </c>
      <c r="AV179" s="6"/>
      <c r="AW179" s="179">
        <f t="shared" si="304"/>
        <v>0.49788539415338001</v>
      </c>
      <c r="AX179" s="179">
        <f t="shared" si="254"/>
        <v>1.8110668703693689</v>
      </c>
      <c r="AY179" s="179">
        <f t="shared" si="255"/>
        <v>0.36529014044434738</v>
      </c>
      <c r="AZ179" s="179">
        <f t="shared" si="259"/>
        <v>4.9578859921221667</v>
      </c>
      <c r="BA179" s="472">
        <f t="shared" si="343"/>
        <v>28.298334324806667</v>
      </c>
      <c r="BB179" s="472">
        <f t="shared" si="344"/>
        <v>12.932997872340422</v>
      </c>
      <c r="BC179" s="6">
        <f t="shared" si="253"/>
        <v>0.15277518118752148</v>
      </c>
      <c r="BD179" s="563">
        <f t="shared" si="345"/>
        <v>48.669492811633489</v>
      </c>
      <c r="BF179" s="179">
        <f t="shared" si="260"/>
        <v>0.19758223890947518</v>
      </c>
      <c r="BG179" s="179">
        <f t="shared" si="256"/>
        <v>0.59525889156692968</v>
      </c>
      <c r="BI179" s="546">
        <f t="shared" si="305"/>
        <v>1.3663559396368326E-2</v>
      </c>
      <c r="BJ179" s="546">
        <f t="shared" si="306"/>
        <v>3.914482466816703E-2</v>
      </c>
      <c r="BK179" s="546">
        <f t="shared" si="307"/>
        <v>4.3745576578970271E-3</v>
      </c>
      <c r="BL179" s="546">
        <f t="shared" si="308"/>
        <v>1.6545670701581035E-2</v>
      </c>
      <c r="BM179">
        <f t="shared" si="309"/>
        <v>4.3499999999999997E-3</v>
      </c>
      <c r="BO179" s="472">
        <f t="shared" si="310"/>
        <v>78.078612424013428</v>
      </c>
      <c r="BP179" s="546">
        <f t="shared" si="346"/>
        <v>0.10349999999999999</v>
      </c>
      <c r="BS179" s="472">
        <f t="shared" si="311"/>
        <v>103.5</v>
      </c>
      <c r="BT179" s="546">
        <f t="shared" si="347"/>
        <v>7.8077482264961862E-3</v>
      </c>
      <c r="BU179" s="546">
        <f t="shared" si="348"/>
        <v>1.417332591957959E-2</v>
      </c>
      <c r="BV179" s="546">
        <f t="shared" si="349"/>
        <v>1.8766787050364744E-2</v>
      </c>
      <c r="BW179" s="546"/>
      <c r="BX179" s="546">
        <f t="shared" si="350"/>
        <v>4.1160610690212936E-2</v>
      </c>
      <c r="BY179" s="472">
        <f t="shared" si="312"/>
        <v>81.908471886653459</v>
      </c>
      <c r="BZ179" s="179">
        <f t="shared" si="351"/>
        <v>0.26348708431066686</v>
      </c>
      <c r="CA179" s="6">
        <f t="shared" si="352"/>
        <v>1.7249999999999999</v>
      </c>
      <c r="CB179" s="179">
        <f t="shared" si="313"/>
        <v>0.86749369086196104</v>
      </c>
      <c r="CC179" s="6">
        <f t="shared" si="314"/>
        <v>86.749369086196111</v>
      </c>
      <c r="CF179" s="581">
        <f t="shared" si="353"/>
        <v>-50</v>
      </c>
      <c r="CG179">
        <f t="shared" si="354"/>
        <v>-50</v>
      </c>
    </row>
    <row r="180" spans="5:85" x14ac:dyDescent="0.2">
      <c r="E180" s="176">
        <v>70</v>
      </c>
      <c r="F180" s="223">
        <f t="shared" si="355"/>
        <v>0.35</v>
      </c>
      <c r="G180" s="223"/>
      <c r="H180" s="223">
        <f t="shared" si="315"/>
        <v>1.75</v>
      </c>
      <c r="I180" s="559">
        <f t="shared" si="316"/>
        <v>15</v>
      </c>
      <c r="J180" s="454">
        <f t="shared" si="317"/>
        <v>15.75</v>
      </c>
      <c r="K180" s="454">
        <f t="shared" si="318"/>
        <v>30.75</v>
      </c>
      <c r="L180" s="454"/>
      <c r="M180" s="223">
        <f t="shared" si="319"/>
        <v>0.51219512195121952</v>
      </c>
      <c r="N180" s="178">
        <f t="shared" si="320"/>
        <v>2.592987804878049</v>
      </c>
      <c r="O180" s="178">
        <f t="shared" si="257"/>
        <v>1.75</v>
      </c>
      <c r="P180" s="223">
        <f t="shared" si="321"/>
        <v>0.51859756097560983</v>
      </c>
      <c r="Q180" s="223">
        <f t="shared" si="322"/>
        <v>5</v>
      </c>
      <c r="R180" s="223"/>
      <c r="S180" s="178">
        <f t="shared" si="323"/>
        <v>9.5913014355484343</v>
      </c>
      <c r="T180" s="554">
        <f t="shared" si="324"/>
        <v>5</v>
      </c>
      <c r="U180" s="223">
        <f t="shared" si="325"/>
        <v>0.50617283950617287</v>
      </c>
      <c r="V180" s="223">
        <f t="shared" si="326"/>
        <v>1.4847736625514405</v>
      </c>
      <c r="W180" s="223">
        <f t="shared" si="327"/>
        <v>1.4140701548108956</v>
      </c>
      <c r="X180" s="203">
        <f t="shared" si="328"/>
        <v>350</v>
      </c>
      <c r="Y180" s="454">
        <f t="shared" si="302"/>
        <v>344.96511816559399</v>
      </c>
      <c r="AA180" s="223">
        <f t="shared" si="329"/>
        <v>0.4988913525498892</v>
      </c>
      <c r="AB180" s="179">
        <f t="shared" si="330"/>
        <v>1.3937282229965158</v>
      </c>
      <c r="AC180" s="179">
        <f t="shared" si="331"/>
        <v>0.36504245308528482</v>
      </c>
      <c r="AD180" s="179"/>
      <c r="AE180" s="179">
        <f t="shared" si="332"/>
        <v>0.419047619047619</v>
      </c>
      <c r="AF180" s="563">
        <f t="shared" si="333"/>
        <v>3712.1212121212125</v>
      </c>
      <c r="AG180" s="546">
        <f t="shared" si="334"/>
        <v>3.2999999999999995E-2</v>
      </c>
      <c r="AI180" s="179">
        <f t="shared" si="335"/>
        <v>0.48850421045919717</v>
      </c>
      <c r="AJ180" s="179">
        <f t="shared" si="336"/>
        <v>0.48850421045919717</v>
      </c>
      <c r="AK180" s="179">
        <f t="shared" si="337"/>
        <v>1.4507438595994053</v>
      </c>
      <c r="AM180" s="563">
        <f t="shared" si="338"/>
        <v>350</v>
      </c>
      <c r="AN180" s="472">
        <f t="shared" si="339"/>
        <v>344.96511816559399</v>
      </c>
      <c r="AP180">
        <f t="shared" si="340"/>
        <v>350</v>
      </c>
      <c r="AQ180">
        <f t="shared" si="341"/>
        <v>344.96511816559399</v>
      </c>
      <c r="AS180" s="6">
        <f t="shared" si="258"/>
        <v>2.8988438173623368</v>
      </c>
      <c r="AT180" s="6">
        <f t="shared" si="342"/>
        <v>1.432945684013645</v>
      </c>
      <c r="AU180" s="6">
        <f t="shared" si="303"/>
        <v>1.4658981333486918</v>
      </c>
      <c r="AV180" s="6"/>
      <c r="AW180" s="179">
        <f t="shared" si="304"/>
        <v>0.49431627721064492</v>
      </c>
      <c r="AX180" s="179">
        <f t="shared" si="254"/>
        <v>1.8110668703693684</v>
      </c>
      <c r="AY180" s="179">
        <f t="shared" si="255"/>
        <v>0.37054294161492218</v>
      </c>
      <c r="AZ180" s="179">
        <f t="shared" si="259"/>
        <v>4.8876032086221093</v>
      </c>
      <c r="BA180" s="472">
        <f t="shared" si="343"/>
        <v>28.298334324806667</v>
      </c>
      <c r="BB180" s="472">
        <f t="shared" si="344"/>
        <v>13.295366430260046</v>
      </c>
      <c r="BC180" s="6">
        <f t="shared" si="253"/>
        <v>0.15835319341729692</v>
      </c>
      <c r="BD180" s="563">
        <f t="shared" si="345"/>
        <v>49.349769390612337</v>
      </c>
      <c r="BF180" s="179">
        <f t="shared" si="260"/>
        <v>0.19829425851480839</v>
      </c>
      <c r="BG180" s="179">
        <f t="shared" si="256"/>
        <v>0.60168394882168152</v>
      </c>
      <c r="BI180" s="546">
        <f t="shared" si="305"/>
        <v>1.376221453597818E-2</v>
      </c>
      <c r="BJ180" s="546">
        <f t="shared" si="306"/>
        <v>3.8864212988081244E-2</v>
      </c>
      <c r="BK180" s="546">
        <f t="shared" si="307"/>
        <v>4.3120639770699246E-3</v>
      </c>
      <c r="BL180" s="546">
        <f t="shared" si="308"/>
        <v>1.6309303977272725E-2</v>
      </c>
      <c r="BM180">
        <f t="shared" si="309"/>
        <v>4.3499999999999997E-3</v>
      </c>
      <c r="BO180" s="472">
        <f t="shared" si="310"/>
        <v>77.597795478402062</v>
      </c>
      <c r="BP180" s="546">
        <f t="shared" si="346"/>
        <v>0.105</v>
      </c>
      <c r="BS180" s="472">
        <f t="shared" si="311"/>
        <v>105</v>
      </c>
      <c r="BT180" s="546">
        <f t="shared" si="347"/>
        <v>7.8641225919875331E-3</v>
      </c>
      <c r="BU180" s="546">
        <f t="shared" si="348"/>
        <v>1.4480942970786075E-2</v>
      </c>
      <c r="BV180" s="546">
        <f t="shared" si="349"/>
        <v>1.8432266434462566E-2</v>
      </c>
      <c r="BW180" s="546"/>
      <c r="BX180" s="546">
        <f t="shared" si="350"/>
        <v>4.1160610690212922E-2</v>
      </c>
      <c r="BY180" s="472">
        <f t="shared" si="312"/>
        <v>81.937942687449095</v>
      </c>
      <c r="BZ180" s="179">
        <f t="shared" si="351"/>
        <v>0.26453573816585119</v>
      </c>
      <c r="CA180" s="6">
        <f t="shared" si="352"/>
        <v>1.75</v>
      </c>
      <c r="CB180" s="179">
        <f t="shared" si="313"/>
        <v>0.86868650024213545</v>
      </c>
      <c r="CC180" s="6">
        <f t="shared" si="314"/>
        <v>86.868650024213551</v>
      </c>
      <c r="CF180" s="581">
        <f t="shared" si="353"/>
        <v>-50</v>
      </c>
      <c r="CG180">
        <f t="shared" si="354"/>
        <v>-50</v>
      </c>
    </row>
    <row r="181" spans="5:85" x14ac:dyDescent="0.2">
      <c r="E181" s="176">
        <v>71</v>
      </c>
      <c r="F181" s="223">
        <f t="shared" si="355"/>
        <v>0.35499999999999998</v>
      </c>
      <c r="G181" s="223"/>
      <c r="H181" s="223">
        <f t="shared" si="315"/>
        <v>1.7749999999999999</v>
      </c>
      <c r="I181" s="559">
        <f t="shared" si="316"/>
        <v>15</v>
      </c>
      <c r="J181" s="454">
        <f t="shared" si="317"/>
        <v>15.75</v>
      </c>
      <c r="K181" s="454">
        <f t="shared" si="318"/>
        <v>30.75</v>
      </c>
      <c r="L181" s="454"/>
      <c r="M181" s="223">
        <f t="shared" si="319"/>
        <v>0.51219512195121952</v>
      </c>
      <c r="N181" s="178">
        <f t="shared" si="320"/>
        <v>2.592987804878049</v>
      </c>
      <c r="O181" s="178">
        <f t="shared" si="257"/>
        <v>1.7749999999999999</v>
      </c>
      <c r="P181" s="223">
        <f t="shared" si="321"/>
        <v>0.51859756097560983</v>
      </c>
      <c r="Q181" s="223">
        <f t="shared" si="322"/>
        <v>5</v>
      </c>
      <c r="R181" s="223"/>
      <c r="S181" s="178">
        <f t="shared" si="323"/>
        <v>9.3902283584872634</v>
      </c>
      <c r="T181" s="554">
        <f t="shared" si="324"/>
        <v>5</v>
      </c>
      <c r="U181" s="223">
        <f t="shared" si="325"/>
        <v>0.51340388007054671</v>
      </c>
      <c r="V181" s="223">
        <f t="shared" si="326"/>
        <v>1.5059847148736036</v>
      </c>
      <c r="W181" s="223">
        <f t="shared" si="327"/>
        <v>1.4342711570224798</v>
      </c>
      <c r="X181" s="203">
        <f t="shared" si="328"/>
        <v>350</v>
      </c>
      <c r="Y181" s="454">
        <f t="shared" si="302"/>
        <v>340.10645452945897</v>
      </c>
      <c r="AA181" s="223">
        <f t="shared" si="329"/>
        <v>0.4988913525498892</v>
      </c>
      <c r="AB181" s="179">
        <f t="shared" si="330"/>
        <v>1.3937282229965158</v>
      </c>
      <c r="AC181" s="179">
        <f t="shared" si="331"/>
        <v>0.36504245308528482</v>
      </c>
      <c r="AD181" s="179"/>
      <c r="AE181" s="179">
        <f t="shared" si="332"/>
        <v>0.419047619047619</v>
      </c>
      <c r="AF181" s="563">
        <f t="shared" si="333"/>
        <v>3765.1515151515155</v>
      </c>
      <c r="AG181" s="546">
        <f t="shared" si="334"/>
        <v>3.2999999999999995E-2</v>
      </c>
      <c r="AI181" s="179">
        <f t="shared" si="335"/>
        <v>0.49198115263234882</v>
      </c>
      <c r="AJ181" s="179">
        <f t="shared" si="336"/>
        <v>0.49198115263234882</v>
      </c>
      <c r="AK181" s="179">
        <f t="shared" si="337"/>
        <v>1.4533193723202584</v>
      </c>
      <c r="AM181" s="563">
        <f t="shared" si="338"/>
        <v>355</v>
      </c>
      <c r="AN181" s="472">
        <f t="shared" si="339"/>
        <v>340.10645452945897</v>
      </c>
      <c r="AP181">
        <f t="shared" si="340"/>
        <v>355</v>
      </c>
      <c r="AQ181">
        <f t="shared" si="341"/>
        <v>340.10645452945897</v>
      </c>
      <c r="AS181" s="6">
        <f t="shared" si="258"/>
        <v>2.9402558718960834</v>
      </c>
      <c r="AT181" s="6">
        <f t="shared" si="342"/>
        <v>1.4431447143882234</v>
      </c>
      <c r="AU181" s="6">
        <f t="shared" si="303"/>
        <v>1.4971111575078599</v>
      </c>
      <c r="AV181" s="6"/>
      <c r="AW181" s="179">
        <f t="shared" si="304"/>
        <v>0.49082283218350736</v>
      </c>
      <c r="AX181" s="179">
        <f t="shared" si="254"/>
        <v>1.8110668703693686</v>
      </c>
      <c r="AY181" s="179">
        <f t="shared" si="255"/>
        <v>0.37575835487464948</v>
      </c>
      <c r="AZ181" s="179">
        <f t="shared" si="259"/>
        <v>4.8197647420867824</v>
      </c>
      <c r="BA181" s="472">
        <f t="shared" si="343"/>
        <v>28.298334324806667</v>
      </c>
      <c r="BB181" s="472">
        <f t="shared" si="344"/>
        <v>13.662733096926715</v>
      </c>
      <c r="BC181" s="6">
        <f t="shared" ref="BC181:BC244" si="356">H181/Efficiency/I181*AU181/Vinripple1</f>
        <v>0.16403532744299079</v>
      </c>
      <c r="BD181" s="563">
        <f t="shared" si="345"/>
        <v>50.046578820523152</v>
      </c>
      <c r="BF181" s="179">
        <f t="shared" si="260"/>
        <v>0.19899868970853751</v>
      </c>
      <c r="BG181" s="179">
        <f t="shared" si="256"/>
        <v>0.60805596542171225</v>
      </c>
      <c r="BI181" s="546">
        <f t="shared" si="305"/>
        <v>1.3860167477000175E-2</v>
      </c>
      <c r="BJ181" s="546">
        <f t="shared" si="306"/>
        <v>3.8589550797382285E-2</v>
      </c>
      <c r="BK181" s="546">
        <f t="shared" si="307"/>
        <v>4.2513306816182369E-3</v>
      </c>
      <c r="BL181" s="546">
        <f t="shared" si="308"/>
        <v>1.607959547055058E-2</v>
      </c>
      <c r="BM181">
        <f t="shared" si="309"/>
        <v>4.3499999999999997E-3</v>
      </c>
      <c r="BO181" s="472">
        <f t="shared" si="310"/>
        <v>77.130644426551271</v>
      </c>
      <c r="BP181" s="546">
        <f t="shared" si="346"/>
        <v>0.1065</v>
      </c>
      <c r="BS181" s="472">
        <f t="shared" si="311"/>
        <v>106.5</v>
      </c>
      <c r="BT181" s="546">
        <f t="shared" si="347"/>
        <v>7.9200957011429582E-3</v>
      </c>
      <c r="BU181" s="546">
        <f t="shared" si="348"/>
        <v>1.4789282283397221E-2</v>
      </c>
      <c r="BV181" s="546">
        <f t="shared" si="349"/>
        <v>1.810832804913037E-2</v>
      </c>
      <c r="BW181" s="546"/>
      <c r="BX181" s="546">
        <f t="shared" si="350"/>
        <v>4.1160610690212929E-2</v>
      </c>
      <c r="BY181" s="472">
        <f t="shared" si="312"/>
        <v>81.978316723883481</v>
      </c>
      <c r="BZ181" s="179">
        <f t="shared" si="351"/>
        <v>0.26560896115043475</v>
      </c>
      <c r="CA181" s="6">
        <f t="shared" si="352"/>
        <v>1.7749999999999999</v>
      </c>
      <c r="CB181" s="179">
        <f t="shared" si="313"/>
        <v>0.86983838343986675</v>
      </c>
      <c r="CC181" s="6">
        <f t="shared" si="314"/>
        <v>86.983838343986676</v>
      </c>
      <c r="CF181" s="581">
        <f t="shared" si="353"/>
        <v>-50</v>
      </c>
      <c r="CG181">
        <f t="shared" si="354"/>
        <v>-50</v>
      </c>
    </row>
    <row r="182" spans="5:85" x14ac:dyDescent="0.2">
      <c r="E182" s="176">
        <v>72</v>
      </c>
      <c r="F182" s="223">
        <f t="shared" si="355"/>
        <v>0.36</v>
      </c>
      <c r="G182" s="223"/>
      <c r="H182" s="223">
        <f t="shared" si="315"/>
        <v>1.7999999999999998</v>
      </c>
      <c r="I182" s="559">
        <f t="shared" si="316"/>
        <v>15</v>
      </c>
      <c r="J182" s="454">
        <f t="shared" si="317"/>
        <v>15.75</v>
      </c>
      <c r="K182" s="454">
        <f t="shared" si="318"/>
        <v>30.75</v>
      </c>
      <c r="L182" s="454"/>
      <c r="M182" s="223">
        <f t="shared" si="319"/>
        <v>0.51219512195121952</v>
      </c>
      <c r="N182" s="178">
        <f t="shared" si="320"/>
        <v>2.592987804878049</v>
      </c>
      <c r="O182" s="178">
        <f t="shared" si="257"/>
        <v>1.7999999999999998</v>
      </c>
      <c r="P182" s="223">
        <f t="shared" si="321"/>
        <v>0.51859756097560983</v>
      </c>
      <c r="Q182" s="223">
        <f t="shared" si="322"/>
        <v>5</v>
      </c>
      <c r="R182" s="223"/>
      <c r="S182" s="178">
        <f t="shared" si="323"/>
        <v>9.1948472959208019</v>
      </c>
      <c r="T182" s="554">
        <f t="shared" si="324"/>
        <v>5</v>
      </c>
      <c r="U182" s="223">
        <f t="shared" si="325"/>
        <v>0.52063492063492056</v>
      </c>
      <c r="V182" s="223">
        <f t="shared" si="326"/>
        <v>1.5271957671957668</v>
      </c>
      <c r="W182" s="223">
        <f t="shared" si="327"/>
        <v>1.4544721592340637</v>
      </c>
      <c r="X182" s="203">
        <f t="shared" si="328"/>
        <v>350</v>
      </c>
      <c r="Y182" s="454">
        <f t="shared" si="302"/>
        <v>335.38275377210539</v>
      </c>
      <c r="AA182" s="223">
        <f t="shared" si="329"/>
        <v>0.4988913525498892</v>
      </c>
      <c r="AB182" s="179">
        <f t="shared" si="330"/>
        <v>1.3937282229965158</v>
      </c>
      <c r="AC182" s="179">
        <f t="shared" si="331"/>
        <v>0.36504245308528482</v>
      </c>
      <c r="AD182" s="179"/>
      <c r="AE182" s="179">
        <f t="shared" si="332"/>
        <v>0.419047619047619</v>
      </c>
      <c r="AF182" s="563">
        <f t="shared" si="333"/>
        <v>3818.1818181818189</v>
      </c>
      <c r="AG182" s="546">
        <f t="shared" si="334"/>
        <v>3.2999999999999995E-2</v>
      </c>
      <c r="AI182" s="179">
        <f t="shared" si="335"/>
        <v>0.49543369430686224</v>
      </c>
      <c r="AJ182" s="179">
        <f t="shared" si="336"/>
        <v>0.49543369430686224</v>
      </c>
      <c r="AK182" s="179">
        <f t="shared" si="337"/>
        <v>1.4558768105976756</v>
      </c>
      <c r="AM182" s="563">
        <f t="shared" si="338"/>
        <v>360</v>
      </c>
      <c r="AN182" s="472">
        <f t="shared" si="339"/>
        <v>335.38275377210539</v>
      </c>
      <c r="AP182">
        <f t="shared" si="340"/>
        <v>360</v>
      </c>
      <c r="AQ182">
        <f t="shared" si="341"/>
        <v>335.38275377210539</v>
      </c>
      <c r="AS182" s="6">
        <f t="shared" si="258"/>
        <v>2.9816679264298309</v>
      </c>
      <c r="AT182" s="6">
        <f t="shared" si="342"/>
        <v>1.4532721699667959</v>
      </c>
      <c r="AU182" s="6">
        <f t="shared" si="303"/>
        <v>1.528395756463035</v>
      </c>
      <c r="AV182" s="6"/>
      <c r="AW182" s="179">
        <f t="shared" si="304"/>
        <v>0.48740242234382719</v>
      </c>
      <c r="AX182" s="179">
        <f t="shared" si="254"/>
        <v>1.8110668703693689</v>
      </c>
      <c r="AY182" s="179">
        <f t="shared" si="255"/>
        <v>0.38093716738641964</v>
      </c>
      <c r="AZ182" s="179">
        <f t="shared" si="259"/>
        <v>4.7542403982130654</v>
      </c>
      <c r="BA182" s="472">
        <f t="shared" si="343"/>
        <v>28.298334324806667</v>
      </c>
      <c r="BB182" s="472">
        <f t="shared" si="344"/>
        <v>14.035097872340426</v>
      </c>
      <c r="BC182" s="6">
        <f t="shared" si="356"/>
        <v>0.16982175071811498</v>
      </c>
      <c r="BD182" s="563">
        <f t="shared" si="345"/>
        <v>50.759762087492405</v>
      </c>
      <c r="BF182" s="179">
        <f t="shared" si="260"/>
        <v>0.19969571855688217</v>
      </c>
      <c r="BG182" s="179">
        <f t="shared" si="256"/>
        <v>0.6143762823173522</v>
      </c>
      <c r="BI182" s="546">
        <f t="shared" si="305"/>
        <v>1.3957433003482324E-2</v>
      </c>
      <c r="BJ182" s="546">
        <f t="shared" si="306"/>
        <v>3.8320630790810835E-2</v>
      </c>
      <c r="BK182" s="546">
        <f t="shared" si="307"/>
        <v>4.1922844221513175E-3</v>
      </c>
      <c r="BL182" s="546">
        <f t="shared" si="308"/>
        <v>1.5856267755681823E-2</v>
      </c>
      <c r="BM182">
        <f t="shared" si="309"/>
        <v>4.3499999999999997E-3</v>
      </c>
      <c r="BO182" s="472">
        <f t="shared" si="310"/>
        <v>76.676615972126299</v>
      </c>
      <c r="BP182" s="546">
        <f t="shared" si="346"/>
        <v>0.108</v>
      </c>
      <c r="BS182" s="472">
        <f t="shared" si="311"/>
        <v>108</v>
      </c>
      <c r="BT182" s="546">
        <f t="shared" si="347"/>
        <v>7.9756760019899006E-3</v>
      </c>
      <c r="BU182" s="546">
        <f t="shared" si="348"/>
        <v>1.5098328650963635E-2</v>
      </c>
      <c r="BV182" s="546">
        <f t="shared" si="349"/>
        <v>1.7794495060393774E-2</v>
      </c>
      <c r="BW182" s="546"/>
      <c r="BX182" s="546">
        <f t="shared" si="350"/>
        <v>4.1160610690212936E-2</v>
      </c>
      <c r="BY182" s="472">
        <f t="shared" si="312"/>
        <v>82.029110403560239</v>
      </c>
      <c r="BZ182" s="179">
        <f t="shared" si="351"/>
        <v>0.26670572637568657</v>
      </c>
      <c r="CA182" s="6">
        <f t="shared" si="352"/>
        <v>1.7999999999999998</v>
      </c>
      <c r="CB182" s="179">
        <f t="shared" si="313"/>
        <v>0.87095128107889863</v>
      </c>
      <c r="CC182" s="6">
        <f t="shared" si="314"/>
        <v>87.095128107889863</v>
      </c>
      <c r="CF182" s="581">
        <f t="shared" si="353"/>
        <v>-50</v>
      </c>
      <c r="CG182">
        <f t="shared" si="354"/>
        <v>-50</v>
      </c>
    </row>
    <row r="183" spans="5:85" x14ac:dyDescent="0.2">
      <c r="E183" s="176">
        <v>73</v>
      </c>
      <c r="F183" s="223">
        <f t="shared" si="355"/>
        <v>0.36499999999999999</v>
      </c>
      <c r="G183" s="223"/>
      <c r="H183" s="223">
        <f t="shared" si="315"/>
        <v>1.825</v>
      </c>
      <c r="I183" s="559">
        <f t="shared" si="316"/>
        <v>15</v>
      </c>
      <c r="J183" s="454">
        <f t="shared" si="317"/>
        <v>15.75</v>
      </c>
      <c r="K183" s="454">
        <f t="shared" si="318"/>
        <v>30.75</v>
      </c>
      <c r="L183" s="454"/>
      <c r="M183" s="223">
        <f t="shared" si="319"/>
        <v>0.51219512195121952</v>
      </c>
      <c r="N183" s="178">
        <f t="shared" si="320"/>
        <v>2.592987804878049</v>
      </c>
      <c r="O183" s="178">
        <f t="shared" si="257"/>
        <v>1.825</v>
      </c>
      <c r="P183" s="223">
        <f t="shared" si="321"/>
        <v>0.51859756097560983</v>
      </c>
      <c r="Q183" s="223">
        <f t="shared" si="322"/>
        <v>5</v>
      </c>
      <c r="R183" s="223"/>
      <c r="S183" s="178">
        <f t="shared" si="323"/>
        <v>9.0049262190036394</v>
      </c>
      <c r="T183" s="554">
        <f t="shared" si="324"/>
        <v>5</v>
      </c>
      <c r="U183" s="223">
        <f t="shared" si="325"/>
        <v>0.52786596119929452</v>
      </c>
      <c r="V183" s="223">
        <f t="shared" si="326"/>
        <v>1.5484068195179306</v>
      </c>
      <c r="W183" s="223">
        <f t="shared" si="327"/>
        <v>1.4746731614456481</v>
      </c>
      <c r="X183" s="203">
        <f t="shared" si="328"/>
        <v>350</v>
      </c>
      <c r="Y183" s="454">
        <f t="shared" si="302"/>
        <v>330.78846947385733</v>
      </c>
      <c r="AA183" s="223">
        <f t="shared" si="329"/>
        <v>0.4988913525498892</v>
      </c>
      <c r="AB183" s="179">
        <f t="shared" si="330"/>
        <v>1.3937282229965158</v>
      </c>
      <c r="AC183" s="179">
        <f t="shared" si="331"/>
        <v>0.36504245308528482</v>
      </c>
      <c r="AD183" s="179"/>
      <c r="AE183" s="179">
        <f t="shared" si="332"/>
        <v>0.419047619047619</v>
      </c>
      <c r="AF183" s="563">
        <f t="shared" si="333"/>
        <v>3871.2121212121219</v>
      </c>
      <c r="AG183" s="546">
        <f t="shared" si="334"/>
        <v>3.2999999999999995E-2</v>
      </c>
      <c r="AI183" s="179">
        <f t="shared" si="335"/>
        <v>0.49886234209813468</v>
      </c>
      <c r="AJ183" s="179">
        <f t="shared" si="336"/>
        <v>0.49886234209813468</v>
      </c>
      <c r="AK183" s="179">
        <f t="shared" si="337"/>
        <v>1.458416549702322</v>
      </c>
      <c r="AM183" s="563">
        <f t="shared" si="338"/>
        <v>365</v>
      </c>
      <c r="AN183" s="472">
        <f t="shared" si="339"/>
        <v>330.78846947385733</v>
      </c>
      <c r="AP183">
        <f t="shared" si="340"/>
        <v>365</v>
      </c>
      <c r="AQ183">
        <f t="shared" si="341"/>
        <v>330.78846947385733</v>
      </c>
      <c r="AS183" s="6">
        <f t="shared" si="258"/>
        <v>3.0230799809635789</v>
      </c>
      <c r="AT183" s="6">
        <f t="shared" si="342"/>
        <v>1.4633295368211949</v>
      </c>
      <c r="AU183" s="6">
        <f t="shared" si="303"/>
        <v>1.559750444142384</v>
      </c>
      <c r="AV183" s="6"/>
      <c r="AW183" s="179">
        <f t="shared" si="304"/>
        <v>0.48405253782097163</v>
      </c>
      <c r="AX183" s="179">
        <f t="shared" si="254"/>
        <v>1.8110668703693689</v>
      </c>
      <c r="AY183" s="179">
        <f t="shared" si="255"/>
        <v>0.38608013907332828</v>
      </c>
      <c r="AZ183" s="179">
        <f t="shared" si="259"/>
        <v>4.6909091845964976</v>
      </c>
      <c r="BA183" s="472">
        <f t="shared" si="343"/>
        <v>28.298334324806667</v>
      </c>
      <c r="BB183" s="472">
        <f t="shared" si="344"/>
        <v>14.412460756501181</v>
      </c>
      <c r="BC183" s="6">
        <f t="shared" si="356"/>
        <v>0.17571262719505248</v>
      </c>
      <c r="BD183" s="563">
        <f t="shared" si="345"/>
        <v>51.489170108147825</v>
      </c>
      <c r="BF183" s="179">
        <f t="shared" si="260"/>
        <v>0.20038552405565097</v>
      </c>
      <c r="BG183" s="179">
        <f t="shared" si="256"/>
        <v>0.62064618328914922</v>
      </c>
      <c r="BI183" s="546">
        <f t="shared" si="305"/>
        <v>1.4054025387870253E-2</v>
      </c>
      <c r="BJ183" s="546">
        <f t="shared" si="306"/>
        <v>3.8057255636918717E-2</v>
      </c>
      <c r="BK183" s="546">
        <f t="shared" si="307"/>
        <v>4.1348558684232159E-3</v>
      </c>
      <c r="BL183" s="546">
        <f t="shared" si="308"/>
        <v>1.5639058608343713E-2</v>
      </c>
      <c r="BM183">
        <f t="shared" si="309"/>
        <v>4.3499999999999997E-3</v>
      </c>
      <c r="BO183" s="472">
        <f t="shared" si="310"/>
        <v>76.235195501555893</v>
      </c>
      <c r="BP183" s="546">
        <f t="shared" si="346"/>
        <v>0.1095</v>
      </c>
      <c r="BS183" s="472">
        <f t="shared" si="311"/>
        <v>109.5</v>
      </c>
      <c r="BT183" s="546">
        <f t="shared" si="347"/>
        <v>8.030871650211574E-3</v>
      </c>
      <c r="BU183" s="546">
        <f t="shared" si="348"/>
        <v>1.540806739325553E-2</v>
      </c>
      <c r="BV183" s="546">
        <f t="shared" si="349"/>
        <v>1.7490318347122096E-2</v>
      </c>
      <c r="BW183" s="546"/>
      <c r="BX183" s="546">
        <f t="shared" si="350"/>
        <v>4.1160610690212936E-2</v>
      </c>
      <c r="BY183" s="472">
        <f t="shared" si="312"/>
        <v>82.08986808080212</v>
      </c>
      <c r="BZ183" s="179">
        <f t="shared" si="351"/>
        <v>0.26782506358235803</v>
      </c>
      <c r="CA183" s="6">
        <f t="shared" si="352"/>
        <v>1.825</v>
      </c>
      <c r="CB183" s="179">
        <f t="shared" si="313"/>
        <v>0.87202701829081075</v>
      </c>
      <c r="CC183" s="6">
        <f t="shared" si="314"/>
        <v>87.202701829081079</v>
      </c>
      <c r="CF183" s="581">
        <f t="shared" si="353"/>
        <v>-50</v>
      </c>
      <c r="CG183">
        <f t="shared" si="354"/>
        <v>-50</v>
      </c>
    </row>
    <row r="184" spans="5:85" x14ac:dyDescent="0.2">
      <c r="E184" s="176">
        <v>74</v>
      </c>
      <c r="F184" s="223">
        <f t="shared" si="355"/>
        <v>0.37</v>
      </c>
      <c r="G184" s="223"/>
      <c r="H184" s="223">
        <f t="shared" si="315"/>
        <v>1.85</v>
      </c>
      <c r="I184" s="559">
        <f t="shared" si="316"/>
        <v>15</v>
      </c>
      <c r="J184" s="454">
        <f t="shared" si="317"/>
        <v>15.75</v>
      </c>
      <c r="K184" s="454">
        <f t="shared" si="318"/>
        <v>30.75</v>
      </c>
      <c r="L184" s="454"/>
      <c r="M184" s="223">
        <f t="shared" si="319"/>
        <v>0.51219512195121952</v>
      </c>
      <c r="N184" s="178">
        <f t="shared" si="320"/>
        <v>2.592987804878049</v>
      </c>
      <c r="O184" s="178">
        <f t="shared" si="257"/>
        <v>1.85</v>
      </c>
      <c r="P184" s="223">
        <f t="shared" si="321"/>
        <v>0.51859756097560983</v>
      </c>
      <c r="Q184" s="223">
        <f t="shared" si="322"/>
        <v>5</v>
      </c>
      <c r="R184" s="223"/>
      <c r="S184" s="178">
        <f t="shared" si="323"/>
        <v>8.8202456785451346</v>
      </c>
      <c r="T184" s="554">
        <f t="shared" si="324"/>
        <v>5</v>
      </c>
      <c r="U184" s="223">
        <f t="shared" si="325"/>
        <v>0.53509700176366848</v>
      </c>
      <c r="V184" s="223">
        <f t="shared" si="326"/>
        <v>1.5696178718400942</v>
      </c>
      <c r="W184" s="223">
        <f t="shared" si="327"/>
        <v>1.4948741636572325</v>
      </c>
      <c r="X184" s="203">
        <f t="shared" si="328"/>
        <v>350</v>
      </c>
      <c r="Y184" s="454">
        <f t="shared" si="302"/>
        <v>326.3183550215079</v>
      </c>
      <c r="AA184" s="223">
        <f t="shared" si="329"/>
        <v>0.4988913525498892</v>
      </c>
      <c r="AB184" s="179">
        <f t="shared" si="330"/>
        <v>1.3937282229965158</v>
      </c>
      <c r="AC184" s="179">
        <f t="shared" si="331"/>
        <v>0.36504245308528482</v>
      </c>
      <c r="AD184" s="179"/>
      <c r="AE184" s="179">
        <f t="shared" si="332"/>
        <v>0.419047619047619</v>
      </c>
      <c r="AF184" s="563">
        <f t="shared" si="333"/>
        <v>3924.2424242424249</v>
      </c>
      <c r="AG184" s="546">
        <f t="shared" si="334"/>
        <v>3.2999999999999995E-2</v>
      </c>
      <c r="AI184" s="179">
        <f t="shared" si="335"/>
        <v>0.50226758532950067</v>
      </c>
      <c r="AJ184" s="179">
        <f t="shared" si="336"/>
        <v>0.53509700176366848</v>
      </c>
      <c r="AK184" s="179">
        <f t="shared" si="337"/>
        <v>1.485257038343458</v>
      </c>
      <c r="AM184" s="563">
        <f t="shared" si="338"/>
        <v>370</v>
      </c>
      <c r="AN184" s="472">
        <f t="shared" si="339"/>
        <v>326.3183550215079</v>
      </c>
      <c r="AP184">
        <f t="shared" si="340"/>
        <v>370</v>
      </c>
      <c r="AQ184">
        <f t="shared" si="341"/>
        <v>326.3183550215079</v>
      </c>
      <c r="AS184" s="6">
        <f t="shared" si="258"/>
        <v>3.0644920354973268</v>
      </c>
      <c r="AT184" s="6">
        <f t="shared" si="342"/>
        <v>1.5696178718400942</v>
      </c>
      <c r="AU184" s="6">
        <f t="shared" si="303"/>
        <v>1.4948741636572327</v>
      </c>
      <c r="AV184" s="6"/>
      <c r="AW184" s="179">
        <f t="shared" si="304"/>
        <v>0.51219512195121952</v>
      </c>
      <c r="AX184" s="179">
        <f t="shared" si="254"/>
        <v>2.0555555555555558</v>
      </c>
      <c r="AY184" s="179">
        <f t="shared" si="255"/>
        <v>0.39153439153439157</v>
      </c>
      <c r="AZ184" s="179">
        <f t="shared" si="259"/>
        <v>5.25</v>
      </c>
      <c r="BA184" s="472">
        <f t="shared" si="343"/>
        <v>28.298334324806667</v>
      </c>
      <c r="BB184" s="472">
        <f t="shared" si="344"/>
        <v>14.794821749408982</v>
      </c>
      <c r="BC184" s="6">
        <f t="shared" si="356"/>
        <v>0.17071093844233828</v>
      </c>
      <c r="BD184" s="563">
        <f t="shared" si="345"/>
        <v>55.077681658226339</v>
      </c>
      <c r="BF184" s="179">
        <f t="shared" si="260"/>
        <v>0.22110044120127142</v>
      </c>
      <c r="BG184" s="179">
        <f t="shared" si="256"/>
        <v>0.64731581009182093</v>
      </c>
      <c r="BI184" s="546">
        <f t="shared" si="305"/>
        <v>1.7109891784788906E-2</v>
      </c>
      <c r="BJ184" s="546">
        <f t="shared" si="306"/>
        <v>4.0269886363636362E-2</v>
      </c>
      <c r="BK184" s="546">
        <f t="shared" si="307"/>
        <v>4.0789794377688489E-3</v>
      </c>
      <c r="BL184" s="546">
        <f t="shared" si="308"/>
        <v>1.5427719978501229E-2</v>
      </c>
      <c r="BM184">
        <f t="shared" si="309"/>
        <v>4.3499999999999997E-3</v>
      </c>
      <c r="BO184" s="472">
        <f t="shared" si="310"/>
        <v>81.236477564695349</v>
      </c>
      <c r="BP184" s="546">
        <f t="shared" si="346"/>
        <v>0.111</v>
      </c>
      <c r="BS184" s="472">
        <f t="shared" si="311"/>
        <v>111</v>
      </c>
      <c r="BT184" s="546">
        <f t="shared" si="347"/>
        <v>9.7770810198793759E-3</v>
      </c>
      <c r="BU184" s="546">
        <f t="shared" si="348"/>
        <v>1.6760710319793214E-2</v>
      </c>
      <c r="BV184" s="546">
        <f t="shared" si="349"/>
        <v>2.0144433365049175E-2</v>
      </c>
      <c r="BW184" s="546"/>
      <c r="BX184" s="546">
        <f t="shared" si="350"/>
        <v>4.6717171717171727E-2</v>
      </c>
      <c r="BY184" s="472">
        <f t="shared" si="312"/>
        <v>93.399396421893485</v>
      </c>
      <c r="BZ184" s="179">
        <f t="shared" si="351"/>
        <v>0.28563587398658885</v>
      </c>
      <c r="CA184" s="6">
        <f t="shared" si="352"/>
        <v>1.85</v>
      </c>
      <c r="CB184" s="179">
        <f t="shared" si="313"/>
        <v>0.86625253983330375</v>
      </c>
      <c r="CC184" s="6">
        <f t="shared" si="314"/>
        <v>86.625253983330381</v>
      </c>
      <c r="CF184" s="581">
        <f t="shared" si="353"/>
        <v>-50</v>
      </c>
      <c r="CG184">
        <f t="shared" si="354"/>
        <v>-50</v>
      </c>
    </row>
    <row r="185" spans="5:85" x14ac:dyDescent="0.2">
      <c r="E185" s="176">
        <v>75</v>
      </c>
      <c r="F185" s="223">
        <f t="shared" si="355"/>
        <v>0.375</v>
      </c>
      <c r="G185" s="223"/>
      <c r="H185" s="223">
        <f t="shared" si="315"/>
        <v>1.875</v>
      </c>
      <c r="I185" s="559">
        <f t="shared" si="316"/>
        <v>15</v>
      </c>
      <c r="J185" s="454">
        <f t="shared" si="317"/>
        <v>15.75</v>
      </c>
      <c r="K185" s="454">
        <f t="shared" si="318"/>
        <v>30.75</v>
      </c>
      <c r="L185" s="454"/>
      <c r="M185" s="223">
        <f t="shared" si="319"/>
        <v>0.51219512195121952</v>
      </c>
      <c r="N185" s="178">
        <f t="shared" si="320"/>
        <v>2.592987804878049</v>
      </c>
      <c r="O185" s="178">
        <f t="shared" si="257"/>
        <v>1.875</v>
      </c>
      <c r="P185" s="223">
        <f t="shared" si="321"/>
        <v>0.51859756097560983</v>
      </c>
      <c r="Q185" s="223">
        <f t="shared" si="322"/>
        <v>5</v>
      </c>
      <c r="R185" s="223"/>
      <c r="S185" s="178">
        <f t="shared" si="323"/>
        <v>8.6405979670471105</v>
      </c>
      <c r="T185" s="554">
        <f t="shared" si="324"/>
        <v>5</v>
      </c>
      <c r="U185" s="223">
        <f t="shared" si="325"/>
        <v>0.54232804232804233</v>
      </c>
      <c r="V185" s="223">
        <f t="shared" si="326"/>
        <v>1.5908289241622573</v>
      </c>
      <c r="W185" s="223">
        <f t="shared" si="327"/>
        <v>1.5150751658688164</v>
      </c>
      <c r="X185" s="203">
        <f t="shared" si="328"/>
        <v>350</v>
      </c>
      <c r="Y185" s="454">
        <f t="shared" si="302"/>
        <v>321.96744362122115</v>
      </c>
      <c r="AA185" s="223">
        <f t="shared" si="329"/>
        <v>0.4988913525498892</v>
      </c>
      <c r="AB185" s="179">
        <f t="shared" si="330"/>
        <v>1.3937282229965158</v>
      </c>
      <c r="AC185" s="179">
        <f t="shared" si="331"/>
        <v>0.36504245308528482</v>
      </c>
      <c r="AD185" s="179"/>
      <c r="AE185" s="179">
        <f t="shared" si="332"/>
        <v>0.419047619047619</v>
      </c>
      <c r="AF185" s="563">
        <f t="shared" si="333"/>
        <v>3977.2727272727279</v>
      </c>
      <c r="AG185" s="546">
        <f t="shared" si="334"/>
        <v>3.2999999999999995E-2</v>
      </c>
      <c r="AI185" s="179">
        <f t="shared" si="335"/>
        <v>0.50564989684743156</v>
      </c>
      <c r="AJ185" s="179">
        <f t="shared" si="336"/>
        <v>0.54232804232804233</v>
      </c>
      <c r="AK185" s="179">
        <f t="shared" si="337"/>
        <v>1.4906133646874387</v>
      </c>
      <c r="AM185" s="563">
        <f t="shared" si="338"/>
        <v>375</v>
      </c>
      <c r="AN185" s="472">
        <f t="shared" si="339"/>
        <v>321.96744362122115</v>
      </c>
      <c r="AP185">
        <f t="shared" si="340"/>
        <v>375</v>
      </c>
      <c r="AQ185">
        <f t="shared" si="341"/>
        <v>321.96744362122115</v>
      </c>
      <c r="AS185" s="6">
        <f t="shared" si="258"/>
        <v>3.1059040900310744</v>
      </c>
      <c r="AT185" s="6">
        <f t="shared" si="342"/>
        <v>1.5908289241622573</v>
      </c>
      <c r="AU185" s="6">
        <f t="shared" si="303"/>
        <v>1.5150751658688171</v>
      </c>
      <c r="AV185" s="6"/>
      <c r="AW185" s="179">
        <f t="shared" si="304"/>
        <v>0.51219512195121941</v>
      </c>
      <c r="AX185" s="179">
        <f t="shared" si="254"/>
        <v>2.0833333333333335</v>
      </c>
      <c r="AY185" s="179">
        <f t="shared" si="255"/>
        <v>0.39682539682539691</v>
      </c>
      <c r="AZ185" s="179">
        <f t="shared" si="259"/>
        <v>5.2499999999999991</v>
      </c>
      <c r="BA185" s="472">
        <f t="shared" si="343"/>
        <v>28.298334324806667</v>
      </c>
      <c r="BB185" s="472">
        <f t="shared" si="344"/>
        <v>15.182180851063832</v>
      </c>
      <c r="BC185" s="6">
        <f t="shared" si="356"/>
        <v>0.17535592197555752</v>
      </c>
      <c r="BD185" s="563">
        <f t="shared" si="345"/>
        <v>56.136337806328775</v>
      </c>
      <c r="BF185" s="179">
        <f t="shared" si="260"/>
        <v>0.22408828500128855</v>
      </c>
      <c r="BG185" s="179">
        <f t="shared" si="256"/>
        <v>0.65606332103900766</v>
      </c>
      <c r="BI185" s="546">
        <f t="shared" si="305"/>
        <v>1.7575445816186554E-2</v>
      </c>
      <c r="BJ185" s="546">
        <f t="shared" si="306"/>
        <v>4.0269886363636362E-2</v>
      </c>
      <c r="BK185" s="546">
        <f t="shared" si="307"/>
        <v>4.0245930452652637E-3</v>
      </c>
      <c r="BL185" s="546">
        <f t="shared" si="308"/>
        <v>1.5222017045454549E-2</v>
      </c>
      <c r="BM185">
        <f t="shared" si="309"/>
        <v>4.3499999999999997E-3</v>
      </c>
      <c r="BO185" s="472">
        <f t="shared" si="310"/>
        <v>81.441942270542739</v>
      </c>
      <c r="BP185" s="546">
        <f t="shared" si="346"/>
        <v>0.11249999999999999</v>
      </c>
      <c r="BS185" s="472">
        <f t="shared" si="311"/>
        <v>112.49999999999999</v>
      </c>
      <c r="BT185" s="546">
        <f t="shared" si="347"/>
        <v>1.0043111894963746E-2</v>
      </c>
      <c r="BU185" s="546">
        <f t="shared" si="348"/>
        <v>1.7216763248509282E-2</v>
      </c>
      <c r="BV185" s="546">
        <f t="shared" si="349"/>
        <v>2.0144433365049164E-2</v>
      </c>
      <c r="BW185" s="546"/>
      <c r="BX185" s="546">
        <f t="shared" si="350"/>
        <v>4.7348484848484862E-2</v>
      </c>
      <c r="BY185" s="472">
        <f t="shared" si="312"/>
        <v>94.75279335700705</v>
      </c>
      <c r="BZ185" s="179">
        <f t="shared" si="351"/>
        <v>0.28869473562754977</v>
      </c>
      <c r="CA185" s="6">
        <f t="shared" si="352"/>
        <v>1.875</v>
      </c>
      <c r="CB185" s="179">
        <f t="shared" si="313"/>
        <v>0.8665732596775868</v>
      </c>
      <c r="CC185" s="6">
        <f t="shared" si="314"/>
        <v>86.65732596775868</v>
      </c>
      <c r="CF185" s="581">
        <f t="shared" si="353"/>
        <v>-50</v>
      </c>
      <c r="CG185">
        <f t="shared" si="354"/>
        <v>-50</v>
      </c>
    </row>
    <row r="186" spans="5:85" x14ac:dyDescent="0.2">
      <c r="E186" s="176">
        <v>76</v>
      </c>
      <c r="F186" s="223">
        <f t="shared" si="355"/>
        <v>0.38</v>
      </c>
      <c r="G186" s="223"/>
      <c r="H186" s="223">
        <f t="shared" si="315"/>
        <v>1.9</v>
      </c>
      <c r="I186" s="559">
        <f t="shared" si="316"/>
        <v>15</v>
      </c>
      <c r="J186" s="454">
        <f t="shared" si="317"/>
        <v>15.75</v>
      </c>
      <c r="K186" s="454">
        <f t="shared" si="318"/>
        <v>30.75</v>
      </c>
      <c r="L186" s="454"/>
      <c r="M186" s="223">
        <f t="shared" si="319"/>
        <v>0.51219512195121952</v>
      </c>
      <c r="N186" s="178">
        <f t="shared" si="320"/>
        <v>2.592987804878049</v>
      </c>
      <c r="O186" s="178">
        <f t="shared" si="257"/>
        <v>1.9</v>
      </c>
      <c r="P186" s="223">
        <f t="shared" si="321"/>
        <v>0.51859756097560983</v>
      </c>
      <c r="Q186" s="223">
        <f t="shared" si="322"/>
        <v>5</v>
      </c>
      <c r="R186" s="223"/>
      <c r="S186" s="178">
        <f t="shared" si="323"/>
        <v>8.4657863468998631</v>
      </c>
      <c r="T186" s="554">
        <f t="shared" si="324"/>
        <v>5</v>
      </c>
      <c r="U186" s="223">
        <f t="shared" si="325"/>
        <v>0.54955908289241617</v>
      </c>
      <c r="V186" s="223">
        <f t="shared" si="326"/>
        <v>1.6120399764844209</v>
      </c>
      <c r="W186" s="223">
        <f t="shared" si="327"/>
        <v>1.5352761680804008</v>
      </c>
      <c r="X186" s="203">
        <f t="shared" si="328"/>
        <v>350</v>
      </c>
      <c r="Y186" s="454">
        <f t="shared" si="302"/>
        <v>317.73102988936301</v>
      </c>
      <c r="AA186" s="223">
        <f t="shared" si="329"/>
        <v>0.4988913525498892</v>
      </c>
      <c r="AB186" s="179">
        <f t="shared" si="330"/>
        <v>1.3937282229965158</v>
      </c>
      <c r="AC186" s="179">
        <f t="shared" si="331"/>
        <v>0.36504245308528482</v>
      </c>
      <c r="AD186" s="179"/>
      <c r="AE186" s="179">
        <f t="shared" si="332"/>
        <v>0.419047619047619</v>
      </c>
      <c r="AF186" s="563">
        <f t="shared" si="333"/>
        <v>4030.3030303030314</v>
      </c>
      <c r="AG186" s="546">
        <f t="shared" si="334"/>
        <v>3.2999999999999995E-2</v>
      </c>
      <c r="AI186" s="179">
        <f t="shared" si="335"/>
        <v>0.50900973378797887</v>
      </c>
      <c r="AJ186" s="179">
        <f t="shared" si="336"/>
        <v>0.54955908289241617</v>
      </c>
      <c r="AK186" s="179">
        <f t="shared" si="337"/>
        <v>1.4959696910314193</v>
      </c>
      <c r="AM186" s="563">
        <f t="shared" si="338"/>
        <v>380</v>
      </c>
      <c r="AN186" s="472">
        <f t="shared" si="339"/>
        <v>317.73102988936301</v>
      </c>
      <c r="AP186">
        <f t="shared" si="340"/>
        <v>380</v>
      </c>
      <c r="AQ186">
        <f t="shared" si="341"/>
        <v>317.73102988936301</v>
      </c>
      <c r="AS186" s="6">
        <f t="shared" si="258"/>
        <v>3.1473161445648214</v>
      </c>
      <c r="AT186" s="6">
        <f t="shared" si="342"/>
        <v>1.6120399764844209</v>
      </c>
      <c r="AU186" s="6">
        <f t="shared" si="303"/>
        <v>1.5352761680804006</v>
      </c>
      <c r="AV186" s="6"/>
      <c r="AW186" s="179">
        <f t="shared" si="304"/>
        <v>0.51219512195121952</v>
      </c>
      <c r="AX186" s="179">
        <f t="shared" si="254"/>
        <v>2.1111111111111107</v>
      </c>
      <c r="AY186" s="179">
        <f t="shared" si="255"/>
        <v>0.40211640211640209</v>
      </c>
      <c r="AZ186" s="179">
        <f t="shared" si="259"/>
        <v>5.2499999999999991</v>
      </c>
      <c r="BA186" s="472">
        <f t="shared" si="343"/>
        <v>28.298334324806667</v>
      </c>
      <c r="BB186" s="472">
        <f t="shared" si="344"/>
        <v>15.574538061465722</v>
      </c>
      <c r="BC186" s="6">
        <f t="shared" si="356"/>
        <v>0.18006325428103462</v>
      </c>
      <c r="BD186" s="563">
        <f t="shared" si="345"/>
        <v>57.206065584898809</v>
      </c>
      <c r="BF186" s="179">
        <f t="shared" si="260"/>
        <v>0.22707612880130573</v>
      </c>
      <c r="BG186" s="179">
        <f t="shared" si="256"/>
        <v>0.66481083198619428</v>
      </c>
      <c r="BI186" s="546">
        <f t="shared" si="305"/>
        <v>1.8047248894985515E-2</v>
      </c>
      <c r="BJ186" s="546">
        <f t="shared" si="306"/>
        <v>4.0269886363636369E-2</v>
      </c>
      <c r="BK186" s="546">
        <f t="shared" si="307"/>
        <v>3.9716378736170373E-3</v>
      </c>
      <c r="BL186" s="546">
        <f t="shared" si="308"/>
        <v>1.5021727347488042E-2</v>
      </c>
      <c r="BM186">
        <f t="shared" si="309"/>
        <v>4.3499999999999997E-3</v>
      </c>
      <c r="BO186" s="472">
        <f t="shared" si="310"/>
        <v>81.660500479726949</v>
      </c>
      <c r="BP186" s="546">
        <f t="shared" si="346"/>
        <v>0.11399999999999999</v>
      </c>
      <c r="BS186" s="472">
        <f t="shared" si="311"/>
        <v>113.99999999999999</v>
      </c>
      <c r="BT186" s="546">
        <f t="shared" si="347"/>
        <v>1.0312713654277439E-2</v>
      </c>
      <c r="BU186" s="546">
        <f t="shared" si="348"/>
        <v>1.7678937693047035E-2</v>
      </c>
      <c r="BV186" s="546">
        <f t="shared" si="349"/>
        <v>2.0144433365049126E-2</v>
      </c>
      <c r="BW186" s="546"/>
      <c r="BX186" s="546">
        <f t="shared" si="350"/>
        <v>4.7979797979797977E-2</v>
      </c>
      <c r="BY186" s="472">
        <f t="shared" si="312"/>
        <v>96.115882692171581</v>
      </c>
      <c r="BZ186" s="179">
        <f t="shared" si="351"/>
        <v>0.29177638317189852</v>
      </c>
      <c r="CA186" s="6">
        <f t="shared" si="352"/>
        <v>1.9</v>
      </c>
      <c r="CB186" s="179">
        <f t="shared" si="313"/>
        <v>0.86687675557957911</v>
      </c>
      <c r="CC186" s="6">
        <f t="shared" si="314"/>
        <v>86.687675557957917</v>
      </c>
      <c r="CF186" s="581">
        <f t="shared" si="353"/>
        <v>-50</v>
      </c>
      <c r="CG186">
        <f t="shared" si="354"/>
        <v>-50</v>
      </c>
    </row>
    <row r="187" spans="5:85" x14ac:dyDescent="0.2">
      <c r="E187" s="176">
        <v>77</v>
      </c>
      <c r="F187" s="223">
        <f t="shared" si="355"/>
        <v>0.38500000000000001</v>
      </c>
      <c r="G187" s="223"/>
      <c r="H187" s="223">
        <f t="shared" si="315"/>
        <v>1.925</v>
      </c>
      <c r="I187" s="559">
        <f t="shared" si="316"/>
        <v>15</v>
      </c>
      <c r="J187" s="454">
        <f t="shared" si="317"/>
        <v>15.75</v>
      </c>
      <c r="K187" s="454">
        <f t="shared" si="318"/>
        <v>30.75</v>
      </c>
      <c r="L187" s="454"/>
      <c r="M187" s="223">
        <f t="shared" si="319"/>
        <v>0.51219512195121952</v>
      </c>
      <c r="N187" s="178">
        <f t="shared" si="320"/>
        <v>2.592987804878049</v>
      </c>
      <c r="O187" s="178">
        <f t="shared" si="257"/>
        <v>1.925</v>
      </c>
      <c r="P187" s="223">
        <f t="shared" si="321"/>
        <v>0.51859756097560983</v>
      </c>
      <c r="Q187" s="223">
        <f t="shared" si="322"/>
        <v>5</v>
      </c>
      <c r="R187" s="223"/>
      <c r="S187" s="178">
        <f t="shared" si="323"/>
        <v>8.2956243387212556</v>
      </c>
      <c r="T187" s="554">
        <f t="shared" si="324"/>
        <v>5</v>
      </c>
      <c r="U187" s="223">
        <f t="shared" si="325"/>
        <v>0.55679012345679013</v>
      </c>
      <c r="V187" s="223">
        <f t="shared" si="326"/>
        <v>1.6332510288065842</v>
      </c>
      <c r="W187" s="223">
        <f t="shared" si="327"/>
        <v>1.5554771702919852</v>
      </c>
      <c r="X187" s="203">
        <f t="shared" si="328"/>
        <v>350</v>
      </c>
      <c r="Y187" s="454">
        <f t="shared" si="302"/>
        <v>313.60465287781278</v>
      </c>
      <c r="AA187" s="223">
        <f t="shared" si="329"/>
        <v>0.4988913525498892</v>
      </c>
      <c r="AB187" s="179">
        <f t="shared" si="330"/>
        <v>1.3937282229965158</v>
      </c>
      <c r="AC187" s="179">
        <f t="shared" si="331"/>
        <v>0.36504245308528482</v>
      </c>
      <c r="AD187" s="179"/>
      <c r="AE187" s="179">
        <f t="shared" si="332"/>
        <v>0.419047619047619</v>
      </c>
      <c r="AF187" s="563">
        <f t="shared" si="333"/>
        <v>4083.3333333333344</v>
      </c>
      <c r="AG187" s="546">
        <f t="shared" si="334"/>
        <v>3.2999999999999995E-2</v>
      </c>
      <c r="AI187" s="179">
        <f t="shared" si="335"/>
        <v>0.51234753829797997</v>
      </c>
      <c r="AJ187" s="179">
        <f t="shared" si="336"/>
        <v>0.55679012345679013</v>
      </c>
      <c r="AK187" s="179">
        <f t="shared" si="337"/>
        <v>1.5013260173753999</v>
      </c>
      <c r="AM187" s="563">
        <f t="shared" si="338"/>
        <v>385</v>
      </c>
      <c r="AN187" s="472">
        <f t="shared" si="339"/>
        <v>313.60465287781278</v>
      </c>
      <c r="AP187">
        <f t="shared" si="340"/>
        <v>385</v>
      </c>
      <c r="AQ187">
        <f t="shared" si="341"/>
        <v>313.60465287781278</v>
      </c>
      <c r="AS187" s="6">
        <f t="shared" si="258"/>
        <v>3.1887281990985699</v>
      </c>
      <c r="AT187" s="6">
        <f t="shared" si="342"/>
        <v>1.6332510288065842</v>
      </c>
      <c r="AU187" s="6">
        <f t="shared" si="303"/>
        <v>1.5554771702919856</v>
      </c>
      <c r="AV187" s="6"/>
      <c r="AW187" s="179">
        <f t="shared" si="304"/>
        <v>0.51219512195121941</v>
      </c>
      <c r="AX187" s="179">
        <f t="shared" si="254"/>
        <v>2.1388888888888888</v>
      </c>
      <c r="AY187" s="179">
        <f t="shared" si="255"/>
        <v>0.40740740740740755</v>
      </c>
      <c r="AZ187" s="179">
        <f t="shared" si="259"/>
        <v>5.2499999999999982</v>
      </c>
      <c r="BA187" s="472">
        <f t="shared" si="343"/>
        <v>28.298334324806667</v>
      </c>
      <c r="BB187" s="472">
        <f t="shared" si="344"/>
        <v>15.971893380614658</v>
      </c>
      <c r="BC187" s="6">
        <f t="shared" si="356"/>
        <v>0.18483293535876985</v>
      </c>
      <c r="BD187" s="563">
        <f t="shared" si="345"/>
        <v>58.28686499393654</v>
      </c>
      <c r="BF187" s="179">
        <f t="shared" si="260"/>
        <v>0.23006397260132291</v>
      </c>
      <c r="BG187" s="179">
        <f t="shared" si="256"/>
        <v>0.67355834293338135</v>
      </c>
      <c r="BI187" s="546">
        <f t="shared" si="305"/>
        <v>1.852530102118579E-2</v>
      </c>
      <c r="BJ187" s="546">
        <f t="shared" si="306"/>
        <v>4.0269886363636362E-2</v>
      </c>
      <c r="BK187" s="546">
        <f t="shared" si="307"/>
        <v>3.9200581609726594E-3</v>
      </c>
      <c r="BL187" s="546">
        <f t="shared" si="308"/>
        <v>1.4826639979338845E-2</v>
      </c>
      <c r="BM187">
        <f t="shared" si="309"/>
        <v>4.3499999999999997E-3</v>
      </c>
      <c r="BO187" s="472">
        <f t="shared" si="310"/>
        <v>81.891885525133659</v>
      </c>
      <c r="BP187" s="546">
        <f t="shared" si="346"/>
        <v>0.11549999999999999</v>
      </c>
      <c r="BS187" s="472">
        <f t="shared" si="311"/>
        <v>115.49999999999999</v>
      </c>
      <c r="BT187" s="546">
        <f t="shared" si="347"/>
        <v>1.0585886297820452E-2</v>
      </c>
      <c r="BU187" s="546">
        <f t="shared" si="348"/>
        <v>1.8147233653406505E-2</v>
      </c>
      <c r="BV187" s="546">
        <f t="shared" si="349"/>
        <v>2.0144433365049137E-2</v>
      </c>
      <c r="BW187" s="546"/>
      <c r="BX187" s="546">
        <f t="shared" si="350"/>
        <v>4.8611111111111119E-2</v>
      </c>
      <c r="BY187" s="472">
        <f t="shared" si="312"/>
        <v>97.488664427387207</v>
      </c>
      <c r="BZ187" s="179">
        <f t="shared" si="351"/>
        <v>0.29488054995252089</v>
      </c>
      <c r="CA187" s="6">
        <f t="shared" si="352"/>
        <v>1.925</v>
      </c>
      <c r="CB187" s="179">
        <f t="shared" si="313"/>
        <v>0.86716377601541328</v>
      </c>
      <c r="CC187" s="6">
        <f t="shared" si="314"/>
        <v>86.716377601541325</v>
      </c>
      <c r="CF187" s="581">
        <f t="shared" si="353"/>
        <v>-50</v>
      </c>
      <c r="CG187">
        <f t="shared" si="354"/>
        <v>-50</v>
      </c>
    </row>
    <row r="188" spans="5:85" x14ac:dyDescent="0.2">
      <c r="E188" s="176">
        <v>78</v>
      </c>
      <c r="F188" s="223">
        <f t="shared" si="355"/>
        <v>0.39</v>
      </c>
      <c r="G188" s="223"/>
      <c r="H188" s="223">
        <f t="shared" si="315"/>
        <v>1.9500000000000002</v>
      </c>
      <c r="I188" s="559">
        <f t="shared" si="316"/>
        <v>15</v>
      </c>
      <c r="J188" s="454">
        <f t="shared" si="317"/>
        <v>15.75</v>
      </c>
      <c r="K188" s="454">
        <f t="shared" si="318"/>
        <v>30.75</v>
      </c>
      <c r="L188" s="454"/>
      <c r="M188" s="223">
        <f t="shared" si="319"/>
        <v>0.51219512195121952</v>
      </c>
      <c r="N188" s="178">
        <f t="shared" si="320"/>
        <v>2.592987804878049</v>
      </c>
      <c r="O188" s="178">
        <f t="shared" si="257"/>
        <v>1.9500000000000002</v>
      </c>
      <c r="P188" s="223">
        <f t="shared" si="321"/>
        <v>0.51859756097560983</v>
      </c>
      <c r="Q188" s="223">
        <f t="shared" si="322"/>
        <v>5</v>
      </c>
      <c r="R188" s="223"/>
      <c r="S188" s="178">
        <f t="shared" si="323"/>
        <v>8.1299350644406907</v>
      </c>
      <c r="T188" s="554">
        <f t="shared" si="324"/>
        <v>5</v>
      </c>
      <c r="U188" s="223">
        <f t="shared" si="325"/>
        <v>0.56402116402116409</v>
      </c>
      <c r="V188" s="223">
        <f t="shared" si="326"/>
        <v>1.654462081128748</v>
      </c>
      <c r="W188" s="223">
        <f t="shared" si="327"/>
        <v>1.5756781725035696</v>
      </c>
      <c r="X188" s="203">
        <f t="shared" si="328"/>
        <v>350</v>
      </c>
      <c r="Y188" s="454">
        <f t="shared" si="302"/>
        <v>309.5840804050203</v>
      </c>
      <c r="AA188" s="223">
        <f t="shared" si="329"/>
        <v>0.4988913525498892</v>
      </c>
      <c r="AB188" s="179">
        <f t="shared" si="330"/>
        <v>1.3937282229965158</v>
      </c>
      <c r="AC188" s="179">
        <f t="shared" si="331"/>
        <v>0.36504245308528482</v>
      </c>
      <c r="AD188" s="179"/>
      <c r="AE188" s="179">
        <f t="shared" si="332"/>
        <v>0.419047619047619</v>
      </c>
      <c r="AF188" s="563">
        <f t="shared" si="333"/>
        <v>4136.3636363636369</v>
      </c>
      <c r="AG188" s="546">
        <f t="shared" si="334"/>
        <v>3.2999999999999995E-2</v>
      </c>
      <c r="AI188" s="179">
        <f t="shared" si="335"/>
        <v>0.51566373821424638</v>
      </c>
      <c r="AJ188" s="179">
        <f t="shared" si="336"/>
        <v>0.56402116402116409</v>
      </c>
      <c r="AK188" s="179">
        <f t="shared" si="337"/>
        <v>1.5066823437193808</v>
      </c>
      <c r="AM188" s="563">
        <f t="shared" si="338"/>
        <v>390</v>
      </c>
      <c r="AN188" s="472">
        <f t="shared" si="339"/>
        <v>309.5840804050203</v>
      </c>
      <c r="AP188">
        <f t="shared" si="340"/>
        <v>390</v>
      </c>
      <c r="AQ188">
        <f t="shared" si="341"/>
        <v>309.5840804050203</v>
      </c>
      <c r="AS188" s="6">
        <f t="shared" si="258"/>
        <v>3.2301402536323174</v>
      </c>
      <c r="AT188" s="6">
        <f t="shared" si="342"/>
        <v>1.654462081128748</v>
      </c>
      <c r="AU188" s="6">
        <f t="shared" si="303"/>
        <v>1.5756781725035693</v>
      </c>
      <c r="AV188" s="6"/>
      <c r="AW188" s="179">
        <f t="shared" si="304"/>
        <v>0.51219512195121952</v>
      </c>
      <c r="AX188" s="179">
        <f t="shared" si="254"/>
        <v>2.166666666666667</v>
      </c>
      <c r="AY188" s="179">
        <f t="shared" si="255"/>
        <v>0.41269841269841273</v>
      </c>
      <c r="AZ188" s="179">
        <f t="shared" si="259"/>
        <v>5.25</v>
      </c>
      <c r="BA188" s="472">
        <f t="shared" si="343"/>
        <v>28.298334324806667</v>
      </c>
      <c r="BB188" s="472">
        <f t="shared" si="344"/>
        <v>16.374246808510641</v>
      </c>
      <c r="BC188" s="6">
        <f t="shared" si="356"/>
        <v>0.18966496520876297</v>
      </c>
      <c r="BD188" s="563">
        <f t="shared" si="345"/>
        <v>59.378736033441882</v>
      </c>
      <c r="BF188" s="179">
        <f t="shared" si="260"/>
        <v>0.23305181640134015</v>
      </c>
      <c r="BG188" s="179">
        <f t="shared" si="256"/>
        <v>0.68230585388056797</v>
      </c>
      <c r="BI188" s="546">
        <f t="shared" si="305"/>
        <v>1.9009602194787385E-2</v>
      </c>
      <c r="BJ188" s="546">
        <f t="shared" si="306"/>
        <v>4.0269886363636362E-2</v>
      </c>
      <c r="BK188" s="546">
        <f t="shared" si="307"/>
        <v>3.8698010050627531E-3</v>
      </c>
      <c r="BL188" s="546">
        <f t="shared" si="308"/>
        <v>1.4636554851398602E-2</v>
      </c>
      <c r="BM188">
        <f t="shared" si="309"/>
        <v>4.3499999999999997E-3</v>
      </c>
      <c r="BO188" s="472">
        <f t="shared" si="310"/>
        <v>82.135844414885085</v>
      </c>
      <c r="BP188" s="546">
        <f t="shared" si="346"/>
        <v>0.11699999999999999</v>
      </c>
      <c r="BS188" s="472">
        <f t="shared" si="311"/>
        <v>117</v>
      </c>
      <c r="BT188" s="546">
        <f t="shared" si="347"/>
        <v>1.0862629825592792E-2</v>
      </c>
      <c r="BU188" s="546">
        <f t="shared" si="348"/>
        <v>1.8621651129587639E-2</v>
      </c>
      <c r="BV188" s="546">
        <f t="shared" si="349"/>
        <v>2.0144433365049168E-2</v>
      </c>
      <c r="BW188" s="546"/>
      <c r="BX188" s="546">
        <f t="shared" si="350"/>
        <v>4.9242424242424261E-2</v>
      </c>
      <c r="BY188" s="472">
        <f t="shared" si="312"/>
        <v>98.871138562653869</v>
      </c>
      <c r="BZ188" s="179">
        <f t="shared" si="351"/>
        <v>0.29800698297753897</v>
      </c>
      <c r="CA188" s="6">
        <f t="shared" si="352"/>
        <v>1.9500000000000002</v>
      </c>
      <c r="CB188" s="179">
        <f t="shared" si="313"/>
        <v>0.86743502790066007</v>
      </c>
      <c r="CC188" s="6">
        <f t="shared" si="314"/>
        <v>86.743502790066003</v>
      </c>
      <c r="CF188" s="581">
        <f t="shared" si="353"/>
        <v>-50</v>
      </c>
      <c r="CG188">
        <f t="shared" si="354"/>
        <v>-50</v>
      </c>
    </row>
    <row r="189" spans="5:85" x14ac:dyDescent="0.2">
      <c r="E189" s="176">
        <v>79</v>
      </c>
      <c r="F189" s="223">
        <f t="shared" si="355"/>
        <v>0.39500000000000002</v>
      </c>
      <c r="G189" s="223"/>
      <c r="H189" s="223">
        <f t="shared" si="315"/>
        <v>1.9750000000000001</v>
      </c>
      <c r="I189" s="559">
        <f t="shared" si="316"/>
        <v>15</v>
      </c>
      <c r="J189" s="454">
        <f t="shared" si="317"/>
        <v>15.75</v>
      </c>
      <c r="K189" s="454">
        <f t="shared" si="318"/>
        <v>30.75</v>
      </c>
      <c r="L189" s="454"/>
      <c r="M189" s="223">
        <f t="shared" si="319"/>
        <v>0.51219512195121952</v>
      </c>
      <c r="N189" s="178">
        <f t="shared" si="320"/>
        <v>2.592987804878049</v>
      </c>
      <c r="O189" s="178">
        <f t="shared" si="257"/>
        <v>1.9750000000000001</v>
      </c>
      <c r="P189" s="223">
        <f t="shared" si="321"/>
        <v>0.51859756097560983</v>
      </c>
      <c r="Q189" s="223">
        <f t="shared" si="322"/>
        <v>5</v>
      </c>
      <c r="R189" s="223"/>
      <c r="S189" s="178">
        <f t="shared" si="323"/>
        <v>7.9685506402762689</v>
      </c>
      <c r="T189" s="554">
        <f t="shared" si="324"/>
        <v>5</v>
      </c>
      <c r="U189" s="223">
        <f t="shared" si="325"/>
        <v>0.57125220458553794</v>
      </c>
      <c r="V189" s="223">
        <f t="shared" si="326"/>
        <v>1.6756731334509114</v>
      </c>
      <c r="W189" s="223">
        <f t="shared" si="327"/>
        <v>1.5958791747151535</v>
      </c>
      <c r="X189" s="203">
        <f t="shared" si="328"/>
        <v>350</v>
      </c>
      <c r="Y189" s="454">
        <f t="shared" si="302"/>
        <v>305.66529457710868</v>
      </c>
      <c r="AA189" s="223">
        <f t="shared" si="329"/>
        <v>0.4988913525498892</v>
      </c>
      <c r="AB189" s="179">
        <f t="shared" si="330"/>
        <v>1.3937282229965158</v>
      </c>
      <c r="AC189" s="179">
        <f t="shared" si="331"/>
        <v>0.36504245308528482</v>
      </c>
      <c r="AD189" s="179"/>
      <c r="AE189" s="179">
        <f t="shared" si="332"/>
        <v>0.419047619047619</v>
      </c>
      <c r="AF189" s="563">
        <f t="shared" si="333"/>
        <v>4189.3939393939399</v>
      </c>
      <c r="AG189" s="546">
        <f t="shared" si="334"/>
        <v>3.2999999999999995E-2</v>
      </c>
      <c r="AI189" s="179">
        <f t="shared" si="335"/>
        <v>0.51895874770368966</v>
      </c>
      <c r="AJ189" s="179">
        <f t="shared" si="336"/>
        <v>0.57125220458553794</v>
      </c>
      <c r="AK189" s="179">
        <f t="shared" si="337"/>
        <v>1.5120386700633615</v>
      </c>
      <c r="AM189" s="563">
        <f t="shared" si="338"/>
        <v>395</v>
      </c>
      <c r="AN189" s="472">
        <f t="shared" si="339"/>
        <v>305.66529457710868</v>
      </c>
      <c r="AP189">
        <f t="shared" si="340"/>
        <v>395</v>
      </c>
      <c r="AQ189">
        <f t="shared" si="341"/>
        <v>305.66529457710868</v>
      </c>
      <c r="AS189" s="6">
        <f t="shared" si="258"/>
        <v>3.2715523081660649</v>
      </c>
      <c r="AT189" s="6">
        <f t="shared" si="342"/>
        <v>1.6756731334509114</v>
      </c>
      <c r="AU189" s="6">
        <f t="shared" si="303"/>
        <v>1.5958791747151535</v>
      </c>
      <c r="AV189" s="6"/>
      <c r="AW189" s="179">
        <f t="shared" si="304"/>
        <v>0.51219512195121952</v>
      </c>
      <c r="AX189" s="179">
        <f t="shared" si="254"/>
        <v>2.1944444444444446</v>
      </c>
      <c r="AY189" s="179">
        <f t="shared" si="255"/>
        <v>0.41798941798941797</v>
      </c>
      <c r="AZ189" s="179">
        <f t="shared" si="259"/>
        <v>5.2500000000000009</v>
      </c>
      <c r="BA189" s="472">
        <f t="shared" si="343"/>
        <v>28.298334324806667</v>
      </c>
      <c r="BB189" s="472">
        <f t="shared" si="344"/>
        <v>16.781598345153668</v>
      </c>
      <c r="BC189" s="6">
        <f t="shared" si="356"/>
        <v>0.19455934383101409</v>
      </c>
      <c r="BD189" s="563">
        <f t="shared" si="345"/>
        <v>60.481678703414822</v>
      </c>
      <c r="BF189" s="179">
        <f t="shared" si="260"/>
        <v>0.2360396602013573</v>
      </c>
      <c r="BG189" s="179">
        <f t="shared" si="256"/>
        <v>0.6910533648277547</v>
      </c>
      <c r="BI189" s="546">
        <f t="shared" si="305"/>
        <v>1.9500152415790274E-2</v>
      </c>
      <c r="BJ189" s="546">
        <f t="shared" si="306"/>
        <v>4.0269886363636369E-2</v>
      </c>
      <c r="BK189" s="546">
        <f t="shared" si="307"/>
        <v>3.8208161822138585E-3</v>
      </c>
      <c r="BL189" s="546">
        <f t="shared" si="308"/>
        <v>1.4451282005178367E-2</v>
      </c>
      <c r="BM189">
        <f t="shared" si="309"/>
        <v>4.3499999999999997E-3</v>
      </c>
      <c r="BO189" s="472">
        <f t="shared" si="310"/>
        <v>82.392136966818882</v>
      </c>
      <c r="BP189" s="546">
        <f t="shared" si="346"/>
        <v>0.11849999999999999</v>
      </c>
      <c r="BS189" s="472">
        <f t="shared" si="311"/>
        <v>118.5</v>
      </c>
      <c r="BT189" s="546">
        <f t="shared" si="347"/>
        <v>1.1142944237594444E-2</v>
      </c>
      <c r="BU189" s="546">
        <f t="shared" si="348"/>
        <v>1.9102190121590475E-2</v>
      </c>
      <c r="BV189" s="546">
        <f t="shared" si="349"/>
        <v>2.0144433365049137E-2</v>
      </c>
      <c r="BW189" s="546"/>
      <c r="BX189" s="546">
        <f t="shared" si="350"/>
        <v>4.987373737373739E-2</v>
      </c>
      <c r="BY189" s="472">
        <f t="shared" si="312"/>
        <v>100.26330509797145</v>
      </c>
      <c r="BZ189" s="179">
        <f t="shared" si="351"/>
        <v>0.30115544206479034</v>
      </c>
      <c r="CA189" s="6">
        <f t="shared" si="352"/>
        <v>1.9750000000000001</v>
      </c>
      <c r="CB189" s="179">
        <f t="shared" si="313"/>
        <v>0.86769117938992768</v>
      </c>
      <c r="CC189" s="6">
        <f t="shared" si="314"/>
        <v>86.769117938992764</v>
      </c>
      <c r="CF189" s="581">
        <f t="shared" si="353"/>
        <v>-50</v>
      </c>
      <c r="CG189">
        <f t="shared" si="354"/>
        <v>-50</v>
      </c>
    </row>
    <row r="190" spans="5:85" x14ac:dyDescent="0.2">
      <c r="E190" s="176">
        <v>80</v>
      </c>
      <c r="F190" s="223">
        <f t="shared" si="355"/>
        <v>0.4</v>
      </c>
      <c r="G190" s="223"/>
      <c r="H190" s="223">
        <f t="shared" si="315"/>
        <v>2</v>
      </c>
      <c r="I190" s="559">
        <f t="shared" si="316"/>
        <v>15</v>
      </c>
      <c r="J190" s="454">
        <f t="shared" si="317"/>
        <v>15.75</v>
      </c>
      <c r="K190" s="454">
        <f t="shared" si="318"/>
        <v>30.75</v>
      </c>
      <c r="L190" s="454"/>
      <c r="M190" s="223">
        <f t="shared" si="319"/>
        <v>0.51219512195121952</v>
      </c>
      <c r="N190" s="178">
        <f t="shared" si="320"/>
        <v>2.592987804878049</v>
      </c>
      <c r="O190" s="178">
        <f t="shared" si="257"/>
        <v>2</v>
      </c>
      <c r="P190" s="223">
        <f t="shared" si="321"/>
        <v>0.51859756097560983</v>
      </c>
      <c r="Q190" s="223">
        <f t="shared" si="322"/>
        <v>5</v>
      </c>
      <c r="R190" s="223"/>
      <c r="S190" s="178">
        <f t="shared" si="323"/>
        <v>7.8113116152385276</v>
      </c>
      <c r="T190" s="554">
        <f t="shared" si="324"/>
        <v>5</v>
      </c>
      <c r="U190" s="223">
        <f t="shared" si="325"/>
        <v>0.57848324514991178</v>
      </c>
      <c r="V190" s="223">
        <f t="shared" si="326"/>
        <v>1.6968841857730745</v>
      </c>
      <c r="W190" s="223">
        <f t="shared" si="327"/>
        <v>1.6160801769267377</v>
      </c>
      <c r="X190" s="203">
        <f t="shared" si="328"/>
        <v>350</v>
      </c>
      <c r="Y190" s="454">
        <f t="shared" si="302"/>
        <v>301.84447839489479</v>
      </c>
      <c r="AA190" s="223">
        <f t="shared" si="329"/>
        <v>0.4988913525498892</v>
      </c>
      <c r="AB190" s="179">
        <f t="shared" si="330"/>
        <v>1.3937282229965158</v>
      </c>
      <c r="AC190" s="179">
        <f t="shared" si="331"/>
        <v>0.36504245308528482</v>
      </c>
      <c r="AD190" s="179"/>
      <c r="AE190" s="179">
        <f t="shared" si="332"/>
        <v>0.419047619047619</v>
      </c>
      <c r="AF190" s="563">
        <f t="shared" si="333"/>
        <v>4242.4242424242429</v>
      </c>
      <c r="AG190" s="546">
        <f t="shared" si="334"/>
        <v>3.2999999999999995E-2</v>
      </c>
      <c r="AI190" s="179">
        <f t="shared" si="335"/>
        <v>0.5222329678670935</v>
      </c>
      <c r="AJ190" s="179">
        <f t="shared" si="336"/>
        <v>0.57848324514991178</v>
      </c>
      <c r="AK190" s="179">
        <f t="shared" si="337"/>
        <v>1.5173949964073419</v>
      </c>
      <c r="AM190" s="563">
        <f t="shared" si="338"/>
        <v>400</v>
      </c>
      <c r="AN190" s="472">
        <f t="shared" si="339"/>
        <v>301.84447839489479</v>
      </c>
      <c r="AP190">
        <f t="shared" si="340"/>
        <v>400</v>
      </c>
      <c r="AQ190">
        <f t="shared" si="341"/>
        <v>301.84447839489479</v>
      </c>
      <c r="AS190" s="6">
        <f t="shared" si="258"/>
        <v>3.3129643626998129</v>
      </c>
      <c r="AT190" s="6">
        <f t="shared" si="342"/>
        <v>1.6968841857730745</v>
      </c>
      <c r="AU190" s="6">
        <f t="shared" si="303"/>
        <v>1.6160801769267383</v>
      </c>
      <c r="AV190" s="6"/>
      <c r="AW190" s="179">
        <f t="shared" si="304"/>
        <v>0.51219512195121941</v>
      </c>
      <c r="AX190" s="179">
        <f t="shared" si="254"/>
        <v>2.2222222222222219</v>
      </c>
      <c r="AY190" s="179">
        <f t="shared" si="255"/>
        <v>0.42328042328042337</v>
      </c>
      <c r="AZ190" s="179">
        <f t="shared" si="259"/>
        <v>5.2499999999999982</v>
      </c>
      <c r="BA190" s="472">
        <f t="shared" si="343"/>
        <v>28.298334324806667</v>
      </c>
      <c r="BB190" s="472">
        <f t="shared" si="344"/>
        <v>17.193947990543741</v>
      </c>
      <c r="BC190" s="6">
        <f t="shared" si="356"/>
        <v>0.19951607122552326</v>
      </c>
      <c r="BD190" s="563">
        <f t="shared" si="345"/>
        <v>61.595693003855409</v>
      </c>
      <c r="BF190" s="179">
        <f t="shared" si="260"/>
        <v>0.23902750400137443</v>
      </c>
      <c r="BG190" s="179">
        <f t="shared" si="256"/>
        <v>0.69980087577494154</v>
      </c>
      <c r="BI190" s="546">
        <f t="shared" si="305"/>
        <v>1.9996951684194474E-2</v>
      </c>
      <c r="BJ190" s="546">
        <f t="shared" si="306"/>
        <v>4.0269886363636355E-2</v>
      </c>
      <c r="BK190" s="546">
        <f t="shared" si="307"/>
        <v>3.7730559799361847E-3</v>
      </c>
      <c r="BL190" s="546">
        <f t="shared" si="308"/>
        <v>1.4270640980113637E-2</v>
      </c>
      <c r="BM190">
        <f t="shared" si="309"/>
        <v>4.3499999999999997E-3</v>
      </c>
      <c r="BO190" s="472">
        <f t="shared" si="310"/>
        <v>82.660535007880654</v>
      </c>
      <c r="BP190" s="546">
        <f t="shared" si="346"/>
        <v>0.12</v>
      </c>
      <c r="BS190" s="472">
        <f t="shared" si="311"/>
        <v>120</v>
      </c>
      <c r="BT190" s="546">
        <f t="shared" si="347"/>
        <v>1.1426829533825414E-2</v>
      </c>
      <c r="BU190" s="546">
        <f t="shared" si="348"/>
        <v>1.9588850629415008E-2</v>
      </c>
      <c r="BV190" s="546">
        <f t="shared" si="349"/>
        <v>2.0144433365049164E-2</v>
      </c>
      <c r="BW190" s="546"/>
      <c r="BX190" s="546">
        <f t="shared" si="350"/>
        <v>5.0505050505050504E-2</v>
      </c>
      <c r="BY190" s="472">
        <f t="shared" si="312"/>
        <v>101.66516403334008</v>
      </c>
      <c r="BZ190" s="179">
        <f t="shared" si="351"/>
        <v>0.30432569904122075</v>
      </c>
      <c r="CA190" s="6">
        <f t="shared" si="352"/>
        <v>2</v>
      </c>
      <c r="CB190" s="179">
        <f t="shared" si="313"/>
        <v>0.8679328624560998</v>
      </c>
      <c r="CC190" s="6">
        <f t="shared" si="314"/>
        <v>86.793286245609977</v>
      </c>
      <c r="CF190" s="581">
        <f t="shared" si="353"/>
        <v>-50</v>
      </c>
      <c r="CG190">
        <f t="shared" si="354"/>
        <v>-50</v>
      </c>
    </row>
    <row r="191" spans="5:85" x14ac:dyDescent="0.2">
      <c r="E191" s="176">
        <v>81</v>
      </c>
      <c r="F191" s="223">
        <f t="shared" si="355"/>
        <v>0.40500000000000003</v>
      </c>
      <c r="G191" s="223"/>
      <c r="H191" s="223">
        <f t="shared" si="315"/>
        <v>2.0250000000000004</v>
      </c>
      <c r="I191" s="559">
        <f t="shared" si="316"/>
        <v>15</v>
      </c>
      <c r="J191" s="454">
        <f t="shared" si="317"/>
        <v>15.75</v>
      </c>
      <c r="K191" s="454">
        <f t="shared" si="318"/>
        <v>30.75</v>
      </c>
      <c r="L191" s="454"/>
      <c r="M191" s="223">
        <f t="shared" si="319"/>
        <v>0.51219512195121952</v>
      </c>
      <c r="N191" s="178">
        <f t="shared" si="320"/>
        <v>2.592987804878049</v>
      </c>
      <c r="O191" s="178">
        <f t="shared" si="257"/>
        <v>2.0250000000000004</v>
      </c>
      <c r="P191" s="223">
        <f t="shared" si="321"/>
        <v>0.51859756097560983</v>
      </c>
      <c r="Q191" s="223">
        <f t="shared" si="322"/>
        <v>5</v>
      </c>
      <c r="R191" s="223"/>
      <c r="S191" s="178">
        <f t="shared" si="323"/>
        <v>7.6580664512254195</v>
      </c>
      <c r="T191" s="554">
        <f t="shared" si="324"/>
        <v>5</v>
      </c>
      <c r="U191" s="223">
        <f t="shared" si="325"/>
        <v>0.58571428571428574</v>
      </c>
      <c r="V191" s="223">
        <f t="shared" si="326"/>
        <v>1.7180952380952381</v>
      </c>
      <c r="W191" s="223">
        <f t="shared" si="327"/>
        <v>1.6362811791383218</v>
      </c>
      <c r="X191" s="203">
        <f t="shared" si="328"/>
        <v>350</v>
      </c>
      <c r="Y191" s="454">
        <f t="shared" si="302"/>
        <v>298.11800335298256</v>
      </c>
      <c r="AA191" s="223">
        <f t="shared" si="329"/>
        <v>0.4988913525498892</v>
      </c>
      <c r="AB191" s="179">
        <f t="shared" si="330"/>
        <v>1.3937282229965158</v>
      </c>
      <c r="AC191" s="179">
        <f t="shared" si="331"/>
        <v>0.36504245308528482</v>
      </c>
      <c r="AD191" s="179"/>
      <c r="AE191" s="179">
        <f t="shared" si="332"/>
        <v>0.419047619047619</v>
      </c>
      <c r="AF191" s="563">
        <f t="shared" si="333"/>
        <v>4295.4545454545469</v>
      </c>
      <c r="AG191" s="546">
        <f t="shared" si="334"/>
        <v>3.2999999999999995E-2</v>
      </c>
      <c r="AI191" s="179">
        <f t="shared" si="335"/>
        <v>0.52548678730902798</v>
      </c>
      <c r="AJ191" s="179">
        <f t="shared" si="336"/>
        <v>0.58571428571428574</v>
      </c>
      <c r="AK191" s="179">
        <f t="shared" si="337"/>
        <v>1.5227513227513227</v>
      </c>
      <c r="AM191" s="563">
        <f t="shared" si="338"/>
        <v>405</v>
      </c>
      <c r="AN191" s="472">
        <f t="shared" si="339"/>
        <v>298.11800335298256</v>
      </c>
      <c r="AP191">
        <f t="shared" si="340"/>
        <v>405</v>
      </c>
      <c r="AQ191">
        <f t="shared" si="341"/>
        <v>298.11800335298256</v>
      </c>
      <c r="AS191" s="6">
        <f t="shared" si="258"/>
        <v>3.3543764172335599</v>
      </c>
      <c r="AT191" s="6">
        <f t="shared" si="342"/>
        <v>1.7180952380952381</v>
      </c>
      <c r="AU191" s="6">
        <f t="shared" si="303"/>
        <v>1.6362811791383218</v>
      </c>
      <c r="AV191" s="6"/>
      <c r="AW191" s="179">
        <f t="shared" si="304"/>
        <v>0.51219512195121952</v>
      </c>
      <c r="AX191" s="179">
        <f t="shared" si="254"/>
        <v>2.2500000000000009</v>
      </c>
      <c r="AY191" s="179">
        <f t="shared" si="255"/>
        <v>0.42857142857142855</v>
      </c>
      <c r="AZ191" s="179">
        <f t="shared" si="259"/>
        <v>5.2500000000000027</v>
      </c>
      <c r="BA191" s="472">
        <f t="shared" si="343"/>
        <v>28.298334324806667</v>
      </c>
      <c r="BB191" s="472">
        <f t="shared" si="344"/>
        <v>17.611295744680856</v>
      </c>
      <c r="BC191" s="6">
        <f t="shared" si="356"/>
        <v>0.20453514739229023</v>
      </c>
      <c r="BD191" s="563">
        <f t="shared" si="345"/>
        <v>62.720778934763629</v>
      </c>
      <c r="BF191" s="179">
        <f t="shared" si="260"/>
        <v>0.24201534780139167</v>
      </c>
      <c r="BG191" s="179">
        <f t="shared" si="256"/>
        <v>0.70854838672212817</v>
      </c>
      <c r="BI191" s="546">
        <f t="shared" si="305"/>
        <v>2.0500000000000001E-2</v>
      </c>
      <c r="BJ191" s="546">
        <f t="shared" si="306"/>
        <v>4.0269886363636362E-2</v>
      </c>
      <c r="BK191" s="546">
        <f t="shared" si="307"/>
        <v>3.7264750419122817E-3</v>
      </c>
      <c r="BL191" s="546">
        <f t="shared" si="308"/>
        <v>1.409446022727273E-2</v>
      </c>
      <c r="BM191">
        <f t="shared" si="309"/>
        <v>4.3499999999999997E-3</v>
      </c>
      <c r="BO191" s="472">
        <f t="shared" si="310"/>
        <v>82.940821632821383</v>
      </c>
      <c r="BP191" s="546">
        <f t="shared" si="346"/>
        <v>0.1215</v>
      </c>
      <c r="BS191" s="472">
        <f t="shared" si="311"/>
        <v>121.5</v>
      </c>
      <c r="BT191" s="546">
        <f t="shared" si="347"/>
        <v>1.1714285714285715E-2</v>
      </c>
      <c r="BU191" s="546">
        <f t="shared" si="348"/>
        <v>2.0081632653061222E-2</v>
      </c>
      <c r="BV191" s="546">
        <f t="shared" si="349"/>
        <v>2.014443336504915E-2</v>
      </c>
      <c r="BW191" s="546"/>
      <c r="BX191" s="546">
        <f t="shared" si="350"/>
        <v>5.113636363636366E-2</v>
      </c>
      <c r="BY191" s="472">
        <f t="shared" si="312"/>
        <v>103.07671536875975</v>
      </c>
      <c r="BZ191" s="179">
        <f t="shared" si="351"/>
        <v>0.30751753700158113</v>
      </c>
      <c r="CA191" s="6">
        <f t="shared" si="352"/>
        <v>2.0250000000000004</v>
      </c>
      <c r="CB191" s="179">
        <f t="shared" si="313"/>
        <v>0.86816067526896679</v>
      </c>
      <c r="CC191" s="6">
        <f t="shared" si="314"/>
        <v>86.816067526896674</v>
      </c>
      <c r="CF191" s="581">
        <f t="shared" si="353"/>
        <v>-50</v>
      </c>
      <c r="CG191">
        <f t="shared" si="354"/>
        <v>-50</v>
      </c>
    </row>
    <row r="192" spans="5:85" x14ac:dyDescent="0.2">
      <c r="E192" s="176">
        <v>82</v>
      </c>
      <c r="F192" s="223">
        <f t="shared" si="355"/>
        <v>0.41</v>
      </c>
      <c r="G192" s="223"/>
      <c r="H192" s="223">
        <f t="shared" si="315"/>
        <v>2.0499999999999998</v>
      </c>
      <c r="I192" s="559">
        <f t="shared" si="316"/>
        <v>15</v>
      </c>
      <c r="J192" s="454">
        <f t="shared" si="317"/>
        <v>15.75</v>
      </c>
      <c r="K192" s="454">
        <f t="shared" si="318"/>
        <v>30.75</v>
      </c>
      <c r="L192" s="454"/>
      <c r="M192" s="223">
        <f t="shared" si="319"/>
        <v>0.51219512195121952</v>
      </c>
      <c r="N192" s="178">
        <f t="shared" si="320"/>
        <v>2.592987804878049</v>
      </c>
      <c r="O192" s="178">
        <f t="shared" si="257"/>
        <v>2.0499999999999998</v>
      </c>
      <c r="P192" s="223">
        <f t="shared" si="321"/>
        <v>0.51859756097560983</v>
      </c>
      <c r="Q192" s="223">
        <f t="shared" si="322"/>
        <v>5</v>
      </c>
      <c r="R192" s="223"/>
      <c r="S192" s="178">
        <f t="shared" si="323"/>
        <v>7.5086710411569619</v>
      </c>
      <c r="T192" s="554">
        <f t="shared" si="324"/>
        <v>5</v>
      </c>
      <c r="U192" s="223">
        <f t="shared" si="325"/>
        <v>0.59294532627865948</v>
      </c>
      <c r="V192" s="223">
        <f t="shared" si="326"/>
        <v>1.739306290417401</v>
      </c>
      <c r="W192" s="223">
        <f t="shared" si="327"/>
        <v>1.6564821813499058</v>
      </c>
      <c r="X192" s="203">
        <f t="shared" si="328"/>
        <v>350</v>
      </c>
      <c r="Y192" s="454">
        <f t="shared" si="302"/>
        <v>294.48241794623891</v>
      </c>
      <c r="AA192" s="223">
        <f t="shared" si="329"/>
        <v>0.4988913525498892</v>
      </c>
      <c r="AB192" s="179">
        <f t="shared" si="330"/>
        <v>1.3937282229965158</v>
      </c>
      <c r="AC192" s="179">
        <f t="shared" si="331"/>
        <v>0.36504245308528482</v>
      </c>
      <c r="AD192" s="179"/>
      <c r="AE192" s="179">
        <f t="shared" si="332"/>
        <v>0.419047619047619</v>
      </c>
      <c r="AF192" s="563">
        <f t="shared" si="333"/>
        <v>4348.484848484849</v>
      </c>
      <c r="AG192" s="546">
        <f t="shared" si="334"/>
        <v>3.2999999999999995E-2</v>
      </c>
      <c r="AI192" s="179">
        <f t="shared" si="335"/>
        <v>0.52872058267619437</v>
      </c>
      <c r="AJ192" s="179">
        <f t="shared" si="336"/>
        <v>0.59294532627865948</v>
      </c>
      <c r="AK192" s="179">
        <f t="shared" si="337"/>
        <v>1.5281076490953032</v>
      </c>
      <c r="AM192" s="563">
        <f t="shared" si="338"/>
        <v>410</v>
      </c>
      <c r="AN192" s="472">
        <f t="shared" si="339"/>
        <v>294.48241794623891</v>
      </c>
      <c r="AP192">
        <f t="shared" si="340"/>
        <v>410</v>
      </c>
      <c r="AQ192">
        <f t="shared" si="341"/>
        <v>294.48241794623891</v>
      </c>
      <c r="AS192" s="6">
        <f t="shared" si="258"/>
        <v>3.395788471767307</v>
      </c>
      <c r="AT192" s="6">
        <f t="shared" si="342"/>
        <v>1.739306290417401</v>
      </c>
      <c r="AU192" s="6">
        <f t="shared" si="303"/>
        <v>1.656482181349906</v>
      </c>
      <c r="AV192" s="6"/>
      <c r="AW192" s="179">
        <f t="shared" si="304"/>
        <v>0.51219512195121952</v>
      </c>
      <c r="AX192" s="179">
        <f t="shared" si="254"/>
        <v>2.2777777777777772</v>
      </c>
      <c r="AY192" s="179">
        <f t="shared" si="255"/>
        <v>0.43386243386243378</v>
      </c>
      <c r="AZ192" s="179">
        <f t="shared" si="259"/>
        <v>5.25</v>
      </c>
      <c r="BA192" s="472">
        <f t="shared" si="343"/>
        <v>28.298334324806667</v>
      </c>
      <c r="BB192" s="472">
        <f t="shared" si="344"/>
        <v>18.033641607565009</v>
      </c>
      <c r="BC192" s="6">
        <f t="shared" si="356"/>
        <v>0.20961657233131525</v>
      </c>
      <c r="BD192" s="563">
        <f t="shared" si="345"/>
        <v>63.856936496139468</v>
      </c>
      <c r="BF192" s="179">
        <f t="shared" si="260"/>
        <v>0.24500319160140879</v>
      </c>
      <c r="BG192" s="179">
        <f t="shared" si="256"/>
        <v>0.71729589766931479</v>
      </c>
      <c r="BI192" s="546">
        <f t="shared" si="305"/>
        <v>2.1009297363206818E-2</v>
      </c>
      <c r="BJ192" s="546">
        <f t="shared" si="306"/>
        <v>4.0269886363636362E-2</v>
      </c>
      <c r="BK192" s="546">
        <f t="shared" si="307"/>
        <v>3.6810302243279864E-3</v>
      </c>
      <c r="BL192" s="546">
        <f t="shared" si="308"/>
        <v>1.3922576565964528E-2</v>
      </c>
      <c r="BM192">
        <f t="shared" si="309"/>
        <v>4.3499999999999997E-3</v>
      </c>
      <c r="BO192" s="472">
        <f t="shared" si="310"/>
        <v>83.232790517135697</v>
      </c>
      <c r="BP192" s="546">
        <f t="shared" si="346"/>
        <v>0.12299999999999998</v>
      </c>
      <c r="BS192" s="472">
        <f t="shared" si="311"/>
        <v>122.99999999999999</v>
      </c>
      <c r="BT192" s="546">
        <f t="shared" si="347"/>
        <v>1.2005312778975326E-2</v>
      </c>
      <c r="BU192" s="546">
        <f t="shared" si="348"/>
        <v>2.0580536192529128E-2</v>
      </c>
      <c r="BV192" s="546">
        <f t="shared" si="349"/>
        <v>2.0144433365049168E-2</v>
      </c>
      <c r="BW192" s="546"/>
      <c r="BX192" s="546">
        <f t="shared" si="350"/>
        <v>5.1767676767676775E-2</v>
      </c>
      <c r="BY192" s="472">
        <f t="shared" si="312"/>
        <v>104.4979591042304</v>
      </c>
      <c r="BZ192" s="179">
        <f t="shared" si="351"/>
        <v>0.3107307496213661</v>
      </c>
      <c r="CA192" s="6">
        <f t="shared" si="352"/>
        <v>2.0499999999999998</v>
      </c>
      <c r="CB192" s="179">
        <f t="shared" si="313"/>
        <v>0.86837518439101791</v>
      </c>
      <c r="CC192" s="6">
        <f t="shared" si="314"/>
        <v>86.837518439101785</v>
      </c>
      <c r="CF192" s="581">
        <f t="shared" si="353"/>
        <v>-50</v>
      </c>
      <c r="CG192">
        <f t="shared" si="354"/>
        <v>-50</v>
      </c>
    </row>
    <row r="193" spans="5:85" x14ac:dyDescent="0.2">
      <c r="E193" s="176">
        <v>83</v>
      </c>
      <c r="F193" s="223">
        <f t="shared" si="355"/>
        <v>0.41499999999999998</v>
      </c>
      <c r="G193" s="223"/>
      <c r="H193" s="223">
        <f t="shared" si="315"/>
        <v>2.0749999999999997</v>
      </c>
      <c r="I193" s="559">
        <f t="shared" si="316"/>
        <v>15</v>
      </c>
      <c r="J193" s="454">
        <f t="shared" si="317"/>
        <v>15.75</v>
      </c>
      <c r="K193" s="454">
        <f t="shared" si="318"/>
        <v>30.75</v>
      </c>
      <c r="L193" s="454"/>
      <c r="M193" s="223">
        <f t="shared" si="319"/>
        <v>0.51219512195121952</v>
      </c>
      <c r="N193" s="178">
        <f t="shared" si="320"/>
        <v>2.592987804878049</v>
      </c>
      <c r="O193" s="178">
        <f t="shared" si="257"/>
        <v>2.0749999999999997</v>
      </c>
      <c r="P193" s="223">
        <f t="shared" si="321"/>
        <v>0.51859756097560983</v>
      </c>
      <c r="Q193" s="223">
        <f t="shared" si="322"/>
        <v>5</v>
      </c>
      <c r="R193" s="223"/>
      <c r="S193" s="178">
        <f t="shared" si="323"/>
        <v>7.3629882619403082</v>
      </c>
      <c r="T193" s="554">
        <f t="shared" si="324"/>
        <v>5</v>
      </c>
      <c r="U193" s="223">
        <f t="shared" si="325"/>
        <v>0.60017636684303344</v>
      </c>
      <c r="V193" s="223">
        <f t="shared" si="326"/>
        <v>1.7605173427395646</v>
      </c>
      <c r="W193" s="223">
        <f t="shared" si="327"/>
        <v>1.6766831835614904</v>
      </c>
      <c r="X193" s="203">
        <f t="shared" si="328"/>
        <v>350</v>
      </c>
      <c r="Y193" s="454">
        <f t="shared" si="302"/>
        <v>290.93443700712754</v>
      </c>
      <c r="AA193" s="223">
        <f t="shared" si="329"/>
        <v>0.4988913525498892</v>
      </c>
      <c r="AB193" s="179">
        <f t="shared" si="330"/>
        <v>1.3937282229965158</v>
      </c>
      <c r="AC193" s="179">
        <f t="shared" si="331"/>
        <v>0.36504245308528482</v>
      </c>
      <c r="AD193" s="179"/>
      <c r="AE193" s="179">
        <f t="shared" si="332"/>
        <v>0.419047619047619</v>
      </c>
      <c r="AF193" s="563">
        <f t="shared" si="333"/>
        <v>4401.515151515152</v>
      </c>
      <c r="AG193" s="546">
        <f t="shared" si="334"/>
        <v>3.2999999999999995E-2</v>
      </c>
      <c r="AI193" s="179">
        <f t="shared" si="335"/>
        <v>0.53193471916631407</v>
      </c>
      <c r="AJ193" s="179">
        <f t="shared" si="336"/>
        <v>0.60017636684303344</v>
      </c>
      <c r="AK193" s="179">
        <f t="shared" si="337"/>
        <v>1.533463975439284</v>
      </c>
      <c r="AM193" s="563">
        <f t="shared" si="338"/>
        <v>415</v>
      </c>
      <c r="AN193" s="472">
        <f t="shared" si="339"/>
        <v>290.93443700712754</v>
      </c>
      <c r="AP193">
        <f t="shared" si="340"/>
        <v>415</v>
      </c>
      <c r="AQ193">
        <f t="shared" si="341"/>
        <v>290.93443700712754</v>
      </c>
      <c r="AS193" s="6">
        <f t="shared" si="258"/>
        <v>3.4372005263010554</v>
      </c>
      <c r="AT193" s="6">
        <f t="shared" si="342"/>
        <v>1.7605173427395646</v>
      </c>
      <c r="AU193" s="6">
        <f t="shared" si="303"/>
        <v>1.6766831835614908</v>
      </c>
      <c r="AV193" s="6"/>
      <c r="AW193" s="179">
        <f t="shared" si="304"/>
        <v>0.51219512195121941</v>
      </c>
      <c r="AX193" s="179">
        <f t="shared" si="254"/>
        <v>2.3055555555555554</v>
      </c>
      <c r="AY193" s="179">
        <f t="shared" si="255"/>
        <v>0.43915343915343918</v>
      </c>
      <c r="AZ193" s="179">
        <f t="shared" si="259"/>
        <v>5.2499999999999991</v>
      </c>
      <c r="BA193" s="472">
        <f t="shared" si="343"/>
        <v>28.298334324806667</v>
      </c>
      <c r="BB193" s="472">
        <f t="shared" si="344"/>
        <v>18.460985579196219</v>
      </c>
      <c r="BC193" s="6">
        <f t="shared" si="356"/>
        <v>0.21476034604259833</v>
      </c>
      <c r="BD193" s="563">
        <f t="shared" si="345"/>
        <v>65.004165687982947</v>
      </c>
      <c r="BF193" s="179">
        <f t="shared" si="260"/>
        <v>0.24799103540142597</v>
      </c>
      <c r="BG193" s="179">
        <f t="shared" si="256"/>
        <v>0.72604340861650174</v>
      </c>
      <c r="BI193" s="546">
        <f t="shared" si="305"/>
        <v>2.1524843773814955E-2</v>
      </c>
      <c r="BJ193" s="546">
        <f t="shared" si="306"/>
        <v>4.0269886363636362E-2</v>
      </c>
      <c r="BK193" s="546">
        <f t="shared" si="307"/>
        <v>3.636680462589094E-3</v>
      </c>
      <c r="BL193" s="546">
        <f t="shared" si="308"/>
        <v>1.3754834679627605E-2</v>
      </c>
      <c r="BM193">
        <f t="shared" si="309"/>
        <v>4.3499999999999997E-3</v>
      </c>
      <c r="BO193" s="472">
        <f t="shared" si="310"/>
        <v>83.536245279668023</v>
      </c>
      <c r="BP193" s="546">
        <f t="shared" si="346"/>
        <v>0.12449999999999999</v>
      </c>
      <c r="BS193" s="472">
        <f t="shared" si="311"/>
        <v>124.49999999999999</v>
      </c>
      <c r="BT193" s="546">
        <f t="shared" si="347"/>
        <v>1.2299910727894263E-2</v>
      </c>
      <c r="BU193" s="546">
        <f t="shared" si="348"/>
        <v>2.1085561247818744E-2</v>
      </c>
      <c r="BV193" s="546">
        <f t="shared" si="349"/>
        <v>2.0144433365049182E-2</v>
      </c>
      <c r="BW193" s="546"/>
      <c r="BX193" s="546">
        <f t="shared" si="350"/>
        <v>5.2398989898989896E-2</v>
      </c>
      <c r="BY193" s="472">
        <f t="shared" si="312"/>
        <v>105.92889523975209</v>
      </c>
      <c r="BZ193" s="179">
        <f t="shared" si="351"/>
        <v>0.31396514051942009</v>
      </c>
      <c r="CA193" s="6">
        <f t="shared" si="352"/>
        <v>2.0749999999999997</v>
      </c>
      <c r="CB193" s="179">
        <f t="shared" si="313"/>
        <v>0.86857692680640941</v>
      </c>
      <c r="CC193" s="6">
        <f t="shared" si="314"/>
        <v>86.857692680640938</v>
      </c>
      <c r="CF193" s="581">
        <f t="shared" si="353"/>
        <v>-50</v>
      </c>
      <c r="CG193">
        <f t="shared" si="354"/>
        <v>-50</v>
      </c>
    </row>
    <row r="194" spans="5:85" x14ac:dyDescent="0.2">
      <c r="E194" s="176">
        <v>84</v>
      </c>
      <c r="F194" s="223">
        <f t="shared" si="355"/>
        <v>0.42</v>
      </c>
      <c r="G194" s="223"/>
      <c r="H194" s="223">
        <f t="shared" si="315"/>
        <v>2.1</v>
      </c>
      <c r="I194" s="559">
        <f t="shared" si="316"/>
        <v>15</v>
      </c>
      <c r="J194" s="454">
        <f t="shared" si="317"/>
        <v>15.75</v>
      </c>
      <c r="K194" s="454">
        <f t="shared" si="318"/>
        <v>30.75</v>
      </c>
      <c r="L194" s="454"/>
      <c r="M194" s="223">
        <f t="shared" si="319"/>
        <v>0.51219512195121952</v>
      </c>
      <c r="N194" s="178">
        <f t="shared" si="320"/>
        <v>2.592987804878049</v>
      </c>
      <c r="O194" s="178">
        <f t="shared" si="257"/>
        <v>2.1</v>
      </c>
      <c r="P194" s="223">
        <f t="shared" si="321"/>
        <v>0.51859756097560983</v>
      </c>
      <c r="Q194" s="223">
        <f t="shared" si="322"/>
        <v>5</v>
      </c>
      <c r="R194" s="223"/>
      <c r="S194" s="178">
        <f t="shared" si="323"/>
        <v>7.2208875593614961</v>
      </c>
      <c r="T194" s="554">
        <f t="shared" si="324"/>
        <v>5</v>
      </c>
      <c r="U194" s="223">
        <f t="shared" si="325"/>
        <v>0.6074074074074074</v>
      </c>
      <c r="V194" s="223">
        <f t="shared" si="326"/>
        <v>1.7817283950617282</v>
      </c>
      <c r="W194" s="223">
        <f t="shared" si="327"/>
        <v>1.6968841857730745</v>
      </c>
      <c r="X194" s="203">
        <f t="shared" si="328"/>
        <v>350</v>
      </c>
      <c r="Y194" s="454">
        <f t="shared" si="302"/>
        <v>287.47093180466175</v>
      </c>
      <c r="AA194" s="223">
        <f t="shared" si="329"/>
        <v>0.4988913525498892</v>
      </c>
      <c r="AB194" s="179">
        <f t="shared" si="330"/>
        <v>1.3937282229965158</v>
      </c>
      <c r="AC194" s="179">
        <f t="shared" si="331"/>
        <v>0.36504245308528482</v>
      </c>
      <c r="AD194" s="179"/>
      <c r="AE194" s="179">
        <f t="shared" si="332"/>
        <v>0.419047619047619</v>
      </c>
      <c r="AF194" s="563">
        <f t="shared" si="333"/>
        <v>4454.545454545455</v>
      </c>
      <c r="AG194" s="546">
        <f t="shared" si="334"/>
        <v>3.2999999999999995E-2</v>
      </c>
      <c r="AI194" s="179">
        <f t="shared" si="335"/>
        <v>0.53512955100950677</v>
      </c>
      <c r="AJ194" s="179">
        <f t="shared" si="336"/>
        <v>0.6074074074074074</v>
      </c>
      <c r="AK194" s="179">
        <f t="shared" si="337"/>
        <v>1.5388203017832647</v>
      </c>
      <c r="AM194" s="563">
        <f t="shared" si="338"/>
        <v>420</v>
      </c>
      <c r="AN194" s="472">
        <f t="shared" si="339"/>
        <v>287.47093180466175</v>
      </c>
      <c r="AP194">
        <f t="shared" si="340"/>
        <v>420</v>
      </c>
      <c r="AQ194">
        <f t="shared" si="341"/>
        <v>287.47093180466175</v>
      </c>
      <c r="AS194" s="6">
        <f t="shared" si="258"/>
        <v>3.478612580834803</v>
      </c>
      <c r="AT194" s="6">
        <f t="shared" si="342"/>
        <v>1.7817283950617282</v>
      </c>
      <c r="AU194" s="6">
        <f t="shared" si="303"/>
        <v>1.6968841857730748</v>
      </c>
      <c r="AV194" s="6"/>
      <c r="AW194" s="179">
        <f t="shared" si="304"/>
        <v>0.51219512195121952</v>
      </c>
      <c r="AX194" s="179">
        <f t="shared" si="254"/>
        <v>2.333333333333333</v>
      </c>
      <c r="AY194" s="179">
        <f t="shared" si="255"/>
        <v>0.44444444444444442</v>
      </c>
      <c r="AZ194" s="179">
        <f t="shared" si="259"/>
        <v>5.25</v>
      </c>
      <c r="BA194" s="472">
        <f t="shared" si="343"/>
        <v>28.298334324806667</v>
      </c>
      <c r="BB194" s="472">
        <f t="shared" si="344"/>
        <v>18.893327659574471</v>
      </c>
      <c r="BC194" s="6">
        <f t="shared" si="356"/>
        <v>0.2199664685261393</v>
      </c>
      <c r="BD194" s="563">
        <f t="shared" si="345"/>
        <v>66.162466510294038</v>
      </c>
      <c r="BF194" s="179">
        <f t="shared" si="260"/>
        <v>0.25097887920144318</v>
      </c>
      <c r="BG194" s="179">
        <f t="shared" si="256"/>
        <v>0.73479091956368847</v>
      </c>
      <c r="BI194" s="546">
        <f t="shared" si="305"/>
        <v>2.204663923182441E-2</v>
      </c>
      <c r="BJ194" s="546">
        <f t="shared" si="306"/>
        <v>4.0269886363636362E-2</v>
      </c>
      <c r="BK194" s="546">
        <f t="shared" si="307"/>
        <v>3.5933866475582714E-3</v>
      </c>
      <c r="BL194" s="546">
        <f t="shared" si="308"/>
        <v>1.3591086647727275E-2</v>
      </c>
      <c r="BM194">
        <f t="shared" si="309"/>
        <v>4.3499999999999997E-3</v>
      </c>
      <c r="BO194" s="472">
        <f t="shared" si="310"/>
        <v>83.850998890746325</v>
      </c>
      <c r="BP194" s="546">
        <f t="shared" si="346"/>
        <v>0.126</v>
      </c>
      <c r="BS194" s="472">
        <f t="shared" si="311"/>
        <v>126</v>
      </c>
      <c r="BT194" s="546">
        <f t="shared" si="347"/>
        <v>1.2598079561042523E-2</v>
      </c>
      <c r="BU194" s="546">
        <f t="shared" si="348"/>
        <v>2.1596707818930035E-2</v>
      </c>
      <c r="BV194" s="546">
        <f t="shared" si="349"/>
        <v>2.0144433365049161E-2</v>
      </c>
      <c r="BW194" s="546"/>
      <c r="BX194" s="546">
        <f t="shared" si="350"/>
        <v>5.3030303030303039E-2</v>
      </c>
      <c r="BY194" s="472">
        <f t="shared" si="312"/>
        <v>107.36952377532475</v>
      </c>
      <c r="BZ194" s="179">
        <f t="shared" si="351"/>
        <v>0.31722052266607109</v>
      </c>
      <c r="CA194" s="6">
        <f t="shared" si="352"/>
        <v>2.1</v>
      </c>
      <c r="CB194" s="179">
        <f t="shared" si="313"/>
        <v>0.86876641179754954</v>
      </c>
      <c r="CC194" s="6">
        <f t="shared" si="314"/>
        <v>86.876641179754955</v>
      </c>
      <c r="CF194" s="581">
        <f t="shared" si="353"/>
        <v>-50</v>
      </c>
      <c r="CG194">
        <f t="shared" si="354"/>
        <v>-50</v>
      </c>
    </row>
    <row r="195" spans="5:85" x14ac:dyDescent="0.2">
      <c r="E195" s="176">
        <v>85</v>
      </c>
      <c r="F195" s="223">
        <f t="shared" si="355"/>
        <v>0.42499999999999999</v>
      </c>
      <c r="G195" s="223"/>
      <c r="H195" s="223">
        <f t="shared" si="315"/>
        <v>2.125</v>
      </c>
      <c r="I195" s="559">
        <f t="shared" si="316"/>
        <v>15</v>
      </c>
      <c r="J195" s="454">
        <f t="shared" si="317"/>
        <v>15.75</v>
      </c>
      <c r="K195" s="454">
        <f t="shared" si="318"/>
        <v>30.75</v>
      </c>
      <c r="L195" s="454"/>
      <c r="M195" s="223">
        <f t="shared" si="319"/>
        <v>0.51219512195121952</v>
      </c>
      <c r="N195" s="178">
        <f t="shared" si="320"/>
        <v>2.592987804878049</v>
      </c>
      <c r="O195" s="178">
        <f t="shared" si="257"/>
        <v>2.125</v>
      </c>
      <c r="P195" s="223">
        <f t="shared" si="321"/>
        <v>0.51859756097560983</v>
      </c>
      <c r="Q195" s="223">
        <f t="shared" si="322"/>
        <v>5</v>
      </c>
      <c r="R195" s="223"/>
      <c r="S195" s="178">
        <f t="shared" si="323"/>
        <v>7.0822445622733472</v>
      </c>
      <c r="T195" s="554">
        <f t="shared" si="324"/>
        <v>5</v>
      </c>
      <c r="U195" s="223">
        <f t="shared" si="325"/>
        <v>0.61463844797178124</v>
      </c>
      <c r="V195" s="223">
        <f t="shared" si="326"/>
        <v>1.8029394473838916</v>
      </c>
      <c r="W195" s="223">
        <f t="shared" si="327"/>
        <v>1.7170851879846587</v>
      </c>
      <c r="X195" s="203">
        <f t="shared" si="328"/>
        <v>350</v>
      </c>
      <c r="Y195" s="454">
        <f t="shared" si="302"/>
        <v>284.08892084225403</v>
      </c>
      <c r="AA195" s="223">
        <f t="shared" si="329"/>
        <v>0.4988913525498892</v>
      </c>
      <c r="AB195" s="179">
        <f t="shared" si="330"/>
        <v>1.3937282229965158</v>
      </c>
      <c r="AC195" s="179">
        <f t="shared" si="331"/>
        <v>0.36504245308528482</v>
      </c>
      <c r="AD195" s="179"/>
      <c r="AE195" s="179">
        <f t="shared" si="332"/>
        <v>0.419047619047619</v>
      </c>
      <c r="AF195" s="563">
        <f t="shared" si="333"/>
        <v>4507.5757575757589</v>
      </c>
      <c r="AG195" s="546">
        <f t="shared" si="334"/>
        <v>3.2999999999999995E-2</v>
      </c>
      <c r="AI195" s="179">
        <f t="shared" si="335"/>
        <v>0.53830542192395503</v>
      </c>
      <c r="AJ195" s="179">
        <f t="shared" si="336"/>
        <v>0.61463844797178124</v>
      </c>
      <c r="AK195" s="179">
        <f t="shared" si="337"/>
        <v>1.5441766281272453</v>
      </c>
      <c r="AM195" s="563">
        <f t="shared" si="338"/>
        <v>425</v>
      </c>
      <c r="AN195" s="472">
        <f t="shared" si="339"/>
        <v>284.08892084225403</v>
      </c>
      <c r="AP195">
        <f t="shared" si="340"/>
        <v>425</v>
      </c>
      <c r="AQ195">
        <f t="shared" si="341"/>
        <v>284.08892084225403</v>
      </c>
      <c r="AS195" s="6">
        <f t="shared" si="258"/>
        <v>3.5200246353685496</v>
      </c>
      <c r="AT195" s="6">
        <f t="shared" si="342"/>
        <v>1.8029394473838916</v>
      </c>
      <c r="AU195" s="6">
        <f t="shared" si="303"/>
        <v>1.717085187984658</v>
      </c>
      <c r="AV195" s="6"/>
      <c r="AW195" s="179">
        <f t="shared" si="304"/>
        <v>0.51219512195121963</v>
      </c>
      <c r="AX195" s="179">
        <f t="shared" si="254"/>
        <v>2.3611111111111112</v>
      </c>
      <c r="AY195" s="179">
        <f t="shared" si="255"/>
        <v>0.4497354497354496</v>
      </c>
      <c r="AZ195" s="179">
        <f t="shared" si="259"/>
        <v>5.2500000000000018</v>
      </c>
      <c r="BA195" s="472">
        <f t="shared" si="343"/>
        <v>28.298334324806667</v>
      </c>
      <c r="BB195" s="472">
        <f t="shared" si="344"/>
        <v>19.330667848699765</v>
      </c>
      <c r="BC195" s="6">
        <f t="shared" si="356"/>
        <v>0.22523493978193815</v>
      </c>
      <c r="BD195" s="563">
        <f t="shared" si="345"/>
        <v>67.331838963072769</v>
      </c>
      <c r="BF195" s="179">
        <f t="shared" si="260"/>
        <v>0.25396672300146039</v>
      </c>
      <c r="BG195" s="179">
        <f t="shared" si="256"/>
        <v>0.7435384305108752</v>
      </c>
      <c r="BI195" s="546">
        <f t="shared" si="305"/>
        <v>2.2574683737235177E-2</v>
      </c>
      <c r="BJ195" s="546">
        <f t="shared" si="306"/>
        <v>4.0269886363636369E-2</v>
      </c>
      <c r="BK195" s="546">
        <f t="shared" si="307"/>
        <v>3.5511115105281753E-3</v>
      </c>
      <c r="BL195" s="546">
        <f t="shared" si="308"/>
        <v>1.3431191510695193E-2</v>
      </c>
      <c r="BM195">
        <f t="shared" si="309"/>
        <v>4.3499999999999997E-3</v>
      </c>
      <c r="BO195" s="472">
        <f t="shared" si="310"/>
        <v>84.176873122094904</v>
      </c>
      <c r="BP195" s="546">
        <f t="shared" si="346"/>
        <v>0.1275</v>
      </c>
      <c r="BS195" s="472">
        <f t="shared" si="311"/>
        <v>127.5</v>
      </c>
      <c r="BT195" s="546">
        <f t="shared" si="347"/>
        <v>1.2899819278420103E-2</v>
      </c>
      <c r="BU195" s="546">
        <f t="shared" si="348"/>
        <v>2.2113975905863024E-2</v>
      </c>
      <c r="BV195" s="546">
        <f t="shared" si="349"/>
        <v>2.0144433365049185E-2</v>
      </c>
      <c r="BW195" s="546"/>
      <c r="BX195" s="546">
        <f t="shared" si="350"/>
        <v>5.3661616161616174E-2</v>
      </c>
      <c r="BY195" s="472">
        <f t="shared" si="312"/>
        <v>108.81984471094849</v>
      </c>
      <c r="BZ195" s="179">
        <f t="shared" si="351"/>
        <v>0.3204967178330434</v>
      </c>
      <c r="CA195" s="6">
        <f t="shared" si="352"/>
        <v>2.125</v>
      </c>
      <c r="CB195" s="179">
        <f t="shared" si="313"/>
        <v>0.86894412268234977</v>
      </c>
      <c r="CC195" s="6">
        <f t="shared" si="314"/>
        <v>86.894412268234973</v>
      </c>
      <c r="CF195" s="581">
        <f t="shared" si="353"/>
        <v>-50</v>
      </c>
      <c r="CG195">
        <f t="shared" si="354"/>
        <v>-50</v>
      </c>
    </row>
    <row r="196" spans="5:85" x14ac:dyDescent="0.2">
      <c r="E196" s="176">
        <v>86</v>
      </c>
      <c r="F196" s="223">
        <f t="shared" si="355"/>
        <v>0.43</v>
      </c>
      <c r="G196" s="223"/>
      <c r="H196" s="223">
        <f t="shared" si="315"/>
        <v>2.15</v>
      </c>
      <c r="I196" s="559">
        <f t="shared" si="316"/>
        <v>15</v>
      </c>
      <c r="J196" s="454">
        <f t="shared" si="317"/>
        <v>15.75</v>
      </c>
      <c r="K196" s="454">
        <f t="shared" si="318"/>
        <v>30.75</v>
      </c>
      <c r="L196" s="454"/>
      <c r="M196" s="223">
        <f t="shared" si="319"/>
        <v>0.51219512195121952</v>
      </c>
      <c r="N196" s="178">
        <f t="shared" si="320"/>
        <v>2.592987804878049</v>
      </c>
      <c r="O196" s="178">
        <f t="shared" si="257"/>
        <v>2.15</v>
      </c>
      <c r="P196" s="223">
        <f t="shared" si="321"/>
        <v>0.51859756097560983</v>
      </c>
      <c r="Q196" s="223">
        <f t="shared" si="322"/>
        <v>5</v>
      </c>
      <c r="R196" s="223"/>
      <c r="S196" s="178">
        <f t="shared" si="323"/>
        <v>6.9469407236936478</v>
      </c>
      <c r="T196" s="554">
        <f t="shared" si="324"/>
        <v>5</v>
      </c>
      <c r="U196" s="223">
        <f t="shared" si="325"/>
        <v>0.62186948853615509</v>
      </c>
      <c r="V196" s="223">
        <f t="shared" si="326"/>
        <v>1.8241504997060549</v>
      </c>
      <c r="W196" s="223">
        <f t="shared" si="327"/>
        <v>1.7372861901962426</v>
      </c>
      <c r="X196" s="203">
        <f t="shared" si="328"/>
        <v>350</v>
      </c>
      <c r="Y196" s="454">
        <f t="shared" si="302"/>
        <v>280.78556129757663</v>
      </c>
      <c r="AA196" s="223">
        <f t="shared" si="329"/>
        <v>0.4988913525498892</v>
      </c>
      <c r="AB196" s="179">
        <f t="shared" si="330"/>
        <v>1.3937282229965158</v>
      </c>
      <c r="AC196" s="179">
        <f t="shared" si="331"/>
        <v>0.36504245308528482</v>
      </c>
      <c r="AD196" s="179"/>
      <c r="AE196" s="179">
        <f t="shared" si="332"/>
        <v>0.419047619047619</v>
      </c>
      <c r="AF196" s="563">
        <f t="shared" si="333"/>
        <v>4560.6060606060619</v>
      </c>
      <c r="AG196" s="546">
        <f t="shared" si="334"/>
        <v>3.2999999999999995E-2</v>
      </c>
      <c r="AI196" s="179">
        <f t="shared" si="335"/>
        <v>0.54146266554751321</v>
      </c>
      <c r="AJ196" s="179">
        <f t="shared" si="336"/>
        <v>0.62186948853615509</v>
      </c>
      <c r="AK196" s="179">
        <f t="shared" si="337"/>
        <v>1.549532954471226</v>
      </c>
      <c r="AM196" s="563">
        <f t="shared" si="338"/>
        <v>430</v>
      </c>
      <c r="AN196" s="472">
        <f t="shared" si="339"/>
        <v>280.78556129757663</v>
      </c>
      <c r="AP196">
        <f t="shared" si="340"/>
        <v>430</v>
      </c>
      <c r="AQ196">
        <f t="shared" si="341"/>
        <v>280.78556129757663</v>
      </c>
      <c r="AS196" s="6">
        <f t="shared" si="258"/>
        <v>3.5614366899022976</v>
      </c>
      <c r="AT196" s="6">
        <f t="shared" si="342"/>
        <v>1.8241504997060549</v>
      </c>
      <c r="AU196" s="6">
        <f t="shared" si="303"/>
        <v>1.7372861901962426</v>
      </c>
      <c r="AV196" s="6"/>
      <c r="AW196" s="179">
        <f t="shared" si="304"/>
        <v>0.51219512195121952</v>
      </c>
      <c r="AX196" s="179">
        <f t="shared" si="254"/>
        <v>2.3888888888888884</v>
      </c>
      <c r="AY196" s="179">
        <f t="shared" si="255"/>
        <v>0.45502645502645495</v>
      </c>
      <c r="AZ196" s="179">
        <f t="shared" si="259"/>
        <v>5.25</v>
      </c>
      <c r="BA196" s="472">
        <f t="shared" si="343"/>
        <v>28.298334324806667</v>
      </c>
      <c r="BB196" s="472">
        <f t="shared" si="344"/>
        <v>19.773006146572101</v>
      </c>
      <c r="BC196" s="6">
        <f t="shared" si="356"/>
        <v>0.23056575980999514</v>
      </c>
      <c r="BD196" s="563">
        <f t="shared" si="345"/>
        <v>68.512283046319126</v>
      </c>
      <c r="BF196" s="179">
        <f t="shared" si="260"/>
        <v>0.25695456680147755</v>
      </c>
      <c r="BG196" s="179">
        <f t="shared" si="256"/>
        <v>0.75228594145806194</v>
      </c>
      <c r="BI196" s="546">
        <f t="shared" si="305"/>
        <v>2.3108977290047242E-2</v>
      </c>
      <c r="BJ196" s="546">
        <f t="shared" si="306"/>
        <v>4.0269886363636362E-2</v>
      </c>
      <c r="BK196" s="546">
        <f t="shared" si="307"/>
        <v>3.509819516219708E-3</v>
      </c>
      <c r="BL196" s="546">
        <f t="shared" si="308"/>
        <v>1.3275014865221991E-2</v>
      </c>
      <c r="BM196">
        <f t="shared" si="309"/>
        <v>4.3499999999999997E-3</v>
      </c>
      <c r="BO196" s="472">
        <f t="shared" si="310"/>
        <v>84.513698035125287</v>
      </c>
      <c r="BP196" s="546">
        <f t="shared" si="346"/>
        <v>0.129</v>
      </c>
      <c r="BS196" s="472">
        <f t="shared" si="311"/>
        <v>129</v>
      </c>
      <c r="BT196" s="546">
        <f t="shared" si="347"/>
        <v>1.3205129880026999E-2</v>
      </c>
      <c r="BU196" s="546">
        <f t="shared" si="348"/>
        <v>2.2637365508617703E-2</v>
      </c>
      <c r="BV196" s="546">
        <f t="shared" si="349"/>
        <v>2.0144433365049178E-2</v>
      </c>
      <c r="BW196" s="546"/>
      <c r="BX196" s="546">
        <f t="shared" si="350"/>
        <v>5.4292929292929289E-2</v>
      </c>
      <c r="BY196" s="472">
        <f t="shared" si="312"/>
        <v>110.27985804662316</v>
      </c>
      <c r="BZ196" s="179">
        <f t="shared" si="351"/>
        <v>0.32379355608174848</v>
      </c>
      <c r="CA196" s="6">
        <f t="shared" si="352"/>
        <v>2.15</v>
      </c>
      <c r="CB196" s="179">
        <f t="shared" si="313"/>
        <v>0.86911051842393572</v>
      </c>
      <c r="CC196" s="6">
        <f t="shared" si="314"/>
        <v>86.911051842393576</v>
      </c>
      <c r="CF196" s="581">
        <f t="shared" si="353"/>
        <v>-50</v>
      </c>
      <c r="CG196">
        <f t="shared" si="354"/>
        <v>-50</v>
      </c>
    </row>
    <row r="197" spans="5:85" x14ac:dyDescent="0.2">
      <c r="E197" s="176">
        <v>87</v>
      </c>
      <c r="F197" s="223">
        <f t="shared" si="355"/>
        <v>0.435</v>
      </c>
      <c r="G197" s="223"/>
      <c r="H197" s="223">
        <f t="shared" si="315"/>
        <v>2.1749999999999998</v>
      </c>
      <c r="I197" s="559">
        <f t="shared" si="316"/>
        <v>15</v>
      </c>
      <c r="J197" s="454">
        <f t="shared" si="317"/>
        <v>15.75</v>
      </c>
      <c r="K197" s="454">
        <f t="shared" si="318"/>
        <v>30.75</v>
      </c>
      <c r="L197" s="454"/>
      <c r="M197" s="223">
        <f t="shared" si="319"/>
        <v>0.51219512195121952</v>
      </c>
      <c r="N197" s="178">
        <f t="shared" si="320"/>
        <v>2.592987804878049</v>
      </c>
      <c r="O197" s="178">
        <f t="shared" si="257"/>
        <v>2.1749999999999998</v>
      </c>
      <c r="P197" s="223">
        <f t="shared" si="321"/>
        <v>0.51859756097560983</v>
      </c>
      <c r="Q197" s="223">
        <f t="shared" si="322"/>
        <v>5</v>
      </c>
      <c r="R197" s="223"/>
      <c r="S197" s="178">
        <f t="shared" si="323"/>
        <v>6.8148629866469523</v>
      </c>
      <c r="T197" s="554">
        <f t="shared" si="324"/>
        <v>5</v>
      </c>
      <c r="U197" s="223">
        <f t="shared" si="325"/>
        <v>0.62910052910052905</v>
      </c>
      <c r="V197" s="223">
        <f t="shared" si="326"/>
        <v>1.8453615520282185</v>
      </c>
      <c r="W197" s="223">
        <f t="shared" si="327"/>
        <v>1.757487192407827</v>
      </c>
      <c r="X197" s="203">
        <f t="shared" si="328"/>
        <v>350</v>
      </c>
      <c r="Y197" s="454">
        <f t="shared" si="302"/>
        <v>277.55814105277688</v>
      </c>
      <c r="AA197" s="223">
        <f t="shared" si="329"/>
        <v>0.4988913525498892</v>
      </c>
      <c r="AB197" s="179">
        <f t="shared" si="330"/>
        <v>1.3937282229965158</v>
      </c>
      <c r="AC197" s="179">
        <f t="shared" si="331"/>
        <v>0.36504245308528482</v>
      </c>
      <c r="AD197" s="179"/>
      <c r="AE197" s="179">
        <f t="shared" si="332"/>
        <v>0.419047619047619</v>
      </c>
      <c r="AF197" s="563">
        <f t="shared" si="333"/>
        <v>4613.636363636364</v>
      </c>
      <c r="AG197" s="546">
        <f t="shared" si="334"/>
        <v>3.2999999999999995E-2</v>
      </c>
      <c r="AI197" s="179">
        <f t="shared" si="335"/>
        <v>0.54460160584679607</v>
      </c>
      <c r="AJ197" s="179">
        <f t="shared" si="336"/>
        <v>0.62910052910052905</v>
      </c>
      <c r="AK197" s="179">
        <f t="shared" si="337"/>
        <v>1.5548892808152066</v>
      </c>
      <c r="AM197" s="563">
        <f t="shared" si="338"/>
        <v>435</v>
      </c>
      <c r="AN197" s="472">
        <f t="shared" si="339"/>
        <v>277.55814105277688</v>
      </c>
      <c r="AP197">
        <f t="shared" si="340"/>
        <v>435</v>
      </c>
      <c r="AQ197">
        <f t="shared" si="341"/>
        <v>277.55814105277688</v>
      </c>
      <c r="AS197" s="6">
        <f t="shared" si="258"/>
        <v>3.6028487444360455</v>
      </c>
      <c r="AT197" s="6">
        <f t="shared" si="342"/>
        <v>1.8453615520282185</v>
      </c>
      <c r="AU197" s="6">
        <f t="shared" si="303"/>
        <v>1.757487192407827</v>
      </c>
      <c r="AV197" s="6"/>
      <c r="AW197" s="179">
        <f t="shared" si="304"/>
        <v>0.51219512195121952</v>
      </c>
      <c r="AX197" s="179">
        <f t="shared" ref="AX197:AX210" si="357">0.5*L*AJ197^2*AN197*1000</f>
        <v>2.416666666666667</v>
      </c>
      <c r="AY197" s="179">
        <f t="shared" ref="AY197:AY210" si="358">AJ197*Nps/2*(1-AW197)</f>
        <v>0.46031746031746029</v>
      </c>
      <c r="AZ197" s="179">
        <f t="shared" si="259"/>
        <v>5.2500000000000009</v>
      </c>
      <c r="BA197" s="472">
        <f t="shared" si="343"/>
        <v>28.298334324806667</v>
      </c>
      <c r="BB197" s="472">
        <f t="shared" si="344"/>
        <v>20.22034255319149</v>
      </c>
      <c r="BC197" s="6">
        <f t="shared" si="356"/>
        <v>0.23595892861031004</v>
      </c>
      <c r="BD197" s="563">
        <f t="shared" si="345"/>
        <v>69.703798760033095</v>
      </c>
      <c r="BF197" s="179">
        <f t="shared" si="260"/>
        <v>0.25994241060149476</v>
      </c>
      <c r="BG197" s="179">
        <f t="shared" ref="BG197:BG210" si="359">AJ197*Nps*SQRT((1-AW197)/3)</f>
        <v>0.76103345240524878</v>
      </c>
      <c r="BI197" s="546">
        <f t="shared" si="305"/>
        <v>2.364951989026063E-2</v>
      </c>
      <c r="BJ197" s="546">
        <f t="shared" si="306"/>
        <v>4.0269886363636362E-2</v>
      </c>
      <c r="BK197" s="546">
        <f t="shared" si="307"/>
        <v>3.4694767631597108E-3</v>
      </c>
      <c r="BL197" s="546">
        <f t="shared" si="308"/>
        <v>1.3122428487460818E-2</v>
      </c>
      <c r="BM197">
        <f t="shared" si="309"/>
        <v>4.3499999999999997E-3</v>
      </c>
      <c r="BO197" s="472">
        <f t="shared" si="310"/>
        <v>84.861311504517531</v>
      </c>
      <c r="BP197" s="546">
        <f t="shared" si="346"/>
        <v>0.1305</v>
      </c>
      <c r="BS197" s="472">
        <f t="shared" si="311"/>
        <v>130.5</v>
      </c>
      <c r="BT197" s="546">
        <f t="shared" si="347"/>
        <v>1.3514011365863219E-2</v>
      </c>
      <c r="BU197" s="546">
        <f t="shared" si="348"/>
        <v>2.3166876627194081E-2</v>
      </c>
      <c r="BV197" s="546">
        <f t="shared" si="349"/>
        <v>2.0144433365049126E-2</v>
      </c>
      <c r="BW197" s="546"/>
      <c r="BX197" s="546">
        <f t="shared" si="350"/>
        <v>5.4924242424242438E-2</v>
      </c>
      <c r="BY197" s="472">
        <f t="shared" si="312"/>
        <v>111.74956378234886</v>
      </c>
      <c r="BZ197" s="179">
        <f t="shared" si="351"/>
        <v>0.32711087528686639</v>
      </c>
      <c r="CA197" s="6">
        <f t="shared" si="352"/>
        <v>2.1749999999999998</v>
      </c>
      <c r="CB197" s="179">
        <f t="shared" si="313"/>
        <v>0.8692660351234982</v>
      </c>
      <c r="CC197" s="6">
        <f t="shared" si="314"/>
        <v>86.926603512349814</v>
      </c>
      <c r="CF197" s="581">
        <f t="shared" si="353"/>
        <v>-50</v>
      </c>
      <c r="CG197">
        <f t="shared" si="354"/>
        <v>-50</v>
      </c>
    </row>
    <row r="198" spans="5:85" x14ac:dyDescent="0.2">
      <c r="E198" s="176">
        <v>88</v>
      </c>
      <c r="F198" s="223">
        <f t="shared" si="355"/>
        <v>0.44</v>
      </c>
      <c r="G198" s="223"/>
      <c r="H198" s="223">
        <f t="shared" si="315"/>
        <v>2.2000000000000002</v>
      </c>
      <c r="I198" s="559">
        <f t="shared" si="316"/>
        <v>15</v>
      </c>
      <c r="J198" s="454">
        <f t="shared" si="317"/>
        <v>15.75</v>
      </c>
      <c r="K198" s="454">
        <f t="shared" si="318"/>
        <v>30.75</v>
      </c>
      <c r="L198" s="454"/>
      <c r="M198" s="223">
        <f t="shared" si="319"/>
        <v>0.51219512195121952</v>
      </c>
      <c r="N198" s="178">
        <f t="shared" si="320"/>
        <v>2.592987804878049</v>
      </c>
      <c r="O198" s="178">
        <f t="shared" ref="O198:O261" si="360">T198*F198</f>
        <v>2.2000000000000002</v>
      </c>
      <c r="P198" s="223">
        <f t="shared" si="321"/>
        <v>0.51859756097560983</v>
      </c>
      <c r="Q198" s="223">
        <f t="shared" si="322"/>
        <v>5</v>
      </c>
      <c r="R198" s="223"/>
      <c r="S198" s="178">
        <f t="shared" si="323"/>
        <v>6.6859034727803248</v>
      </c>
      <c r="T198" s="554">
        <f t="shared" si="324"/>
        <v>5</v>
      </c>
      <c r="U198" s="223">
        <f t="shared" si="325"/>
        <v>0.63633156966490301</v>
      </c>
      <c r="V198" s="223">
        <f t="shared" si="326"/>
        <v>1.8665726043503821</v>
      </c>
      <c r="W198" s="223">
        <f t="shared" si="327"/>
        <v>1.7776881946194116</v>
      </c>
      <c r="X198" s="203">
        <f t="shared" si="328"/>
        <v>350</v>
      </c>
      <c r="Y198" s="454">
        <f t="shared" si="302"/>
        <v>274.40407126808617</v>
      </c>
      <c r="AA198" s="223">
        <f t="shared" si="329"/>
        <v>0.4988913525498892</v>
      </c>
      <c r="AB198" s="179">
        <f t="shared" si="330"/>
        <v>1.3937282229965158</v>
      </c>
      <c r="AC198" s="179">
        <f t="shared" si="331"/>
        <v>0.36504245308528482</v>
      </c>
      <c r="AD198" s="179"/>
      <c r="AE198" s="179">
        <f t="shared" si="332"/>
        <v>0.419047619047619</v>
      </c>
      <c r="AF198" s="563">
        <f t="shared" si="333"/>
        <v>4666.6666666666679</v>
      </c>
      <c r="AG198" s="546">
        <f t="shared" si="334"/>
        <v>3.2999999999999995E-2</v>
      </c>
      <c r="AI198" s="179">
        <f t="shared" si="335"/>
        <v>0.54772255750516607</v>
      </c>
      <c r="AJ198" s="179">
        <f t="shared" si="336"/>
        <v>0.63633156966490301</v>
      </c>
      <c r="AK198" s="179">
        <f t="shared" si="337"/>
        <v>1.5602456071591875</v>
      </c>
      <c r="AM198" s="563">
        <f t="shared" si="338"/>
        <v>440</v>
      </c>
      <c r="AN198" s="472">
        <f t="shared" si="339"/>
        <v>274.40407126808617</v>
      </c>
      <c r="AP198">
        <f t="shared" si="340"/>
        <v>440</v>
      </c>
      <c r="AQ198">
        <f t="shared" si="341"/>
        <v>274.40407126808617</v>
      </c>
      <c r="AS198" s="6">
        <f t="shared" ref="AS198:AS262" si="361">1/AN198*1000</f>
        <v>3.6442607989697939</v>
      </c>
      <c r="AT198" s="6">
        <f t="shared" si="342"/>
        <v>1.8665726043503821</v>
      </c>
      <c r="AU198" s="6">
        <f t="shared" si="303"/>
        <v>1.7776881946194119</v>
      </c>
      <c r="AV198" s="6"/>
      <c r="AW198" s="179">
        <f t="shared" si="304"/>
        <v>0.51219512195121941</v>
      </c>
      <c r="AX198" s="179">
        <f t="shared" si="357"/>
        <v>2.4444444444444442</v>
      </c>
      <c r="AY198" s="179">
        <f t="shared" si="358"/>
        <v>0.46560846560846569</v>
      </c>
      <c r="AZ198" s="179">
        <f t="shared" ref="AZ198:AZ210" si="362">AX198/AY198</f>
        <v>5.2499999999999982</v>
      </c>
      <c r="BA198" s="472">
        <f t="shared" si="343"/>
        <v>28.298334324806667</v>
      </c>
      <c r="BB198" s="472">
        <f t="shared" si="344"/>
        <v>20.67267706855792</v>
      </c>
      <c r="BC198" s="6">
        <f t="shared" si="356"/>
        <v>0.24141444618288307</v>
      </c>
      <c r="BD198" s="563">
        <f t="shared" si="345"/>
        <v>70.906386104214704</v>
      </c>
      <c r="BF198" s="179">
        <f t="shared" ref="BF198:BF210" si="363">AJ198*SQRT(AW198/3)</f>
        <v>0.26293025440151191</v>
      </c>
      <c r="BG198" s="179">
        <f t="shared" si="359"/>
        <v>0.76978096335243573</v>
      </c>
      <c r="BI198" s="546">
        <f t="shared" si="305"/>
        <v>2.4196311537875319E-2</v>
      </c>
      <c r="BJ198" s="546">
        <f t="shared" si="306"/>
        <v>4.0269886363636355E-2</v>
      </c>
      <c r="BK198" s="546">
        <f t="shared" si="307"/>
        <v>3.430050890851077E-3</v>
      </c>
      <c r="BL198" s="546">
        <f t="shared" si="308"/>
        <v>1.2973309981921489E-2</v>
      </c>
      <c r="BM198">
        <f t="shared" si="309"/>
        <v>4.3499999999999997E-3</v>
      </c>
      <c r="BO198" s="472">
        <f t="shared" si="310"/>
        <v>85.219558774284252</v>
      </c>
      <c r="BP198" s="546">
        <f t="shared" si="346"/>
        <v>0.13200000000000001</v>
      </c>
      <c r="BS198" s="472">
        <f t="shared" si="311"/>
        <v>132</v>
      </c>
      <c r="BT198" s="546">
        <f t="shared" si="347"/>
        <v>1.3826463735928754E-2</v>
      </c>
      <c r="BU198" s="546">
        <f t="shared" si="348"/>
        <v>2.3702509261592161E-2</v>
      </c>
      <c r="BV198" s="546">
        <f t="shared" si="349"/>
        <v>2.0144433365049126E-2</v>
      </c>
      <c r="BW198" s="546"/>
      <c r="BX198" s="546">
        <f t="shared" si="350"/>
        <v>5.5555555555555559E-2</v>
      </c>
      <c r="BY198" s="472">
        <f t="shared" si="312"/>
        <v>113.22896191812559</v>
      </c>
      <c r="BZ198" s="179">
        <f t="shared" si="351"/>
        <v>0.33044852069240988</v>
      </c>
      <c r="CA198" s="6">
        <f t="shared" si="352"/>
        <v>2.2000000000000002</v>
      </c>
      <c r="CB198" s="179">
        <f t="shared" si="313"/>
        <v>0.86941108740596362</v>
      </c>
      <c r="CC198" s="6">
        <f t="shared" si="314"/>
        <v>86.941108740596363</v>
      </c>
      <c r="CF198" s="581">
        <f t="shared" si="353"/>
        <v>-50</v>
      </c>
      <c r="CG198">
        <f t="shared" si="354"/>
        <v>-50</v>
      </c>
    </row>
    <row r="199" spans="5:85" x14ac:dyDescent="0.2">
      <c r="E199" s="176">
        <v>89</v>
      </c>
      <c r="F199" s="223">
        <f t="shared" si="355"/>
        <v>0.44500000000000001</v>
      </c>
      <c r="G199" s="223"/>
      <c r="H199" s="223">
        <f t="shared" si="315"/>
        <v>2.2250000000000001</v>
      </c>
      <c r="I199" s="559">
        <f t="shared" si="316"/>
        <v>15</v>
      </c>
      <c r="J199" s="454">
        <f t="shared" si="317"/>
        <v>15.75</v>
      </c>
      <c r="K199" s="454">
        <f t="shared" si="318"/>
        <v>30.75</v>
      </c>
      <c r="L199" s="454"/>
      <c r="M199" s="223">
        <f t="shared" si="319"/>
        <v>0.51219512195121952</v>
      </c>
      <c r="N199" s="178">
        <f t="shared" si="320"/>
        <v>2.592987804878049</v>
      </c>
      <c r="O199" s="178">
        <f t="shared" si="360"/>
        <v>2.2250000000000001</v>
      </c>
      <c r="P199" s="223">
        <f t="shared" si="321"/>
        <v>0.51859756097560983</v>
      </c>
      <c r="Q199" s="223">
        <f t="shared" si="322"/>
        <v>5</v>
      </c>
      <c r="R199" s="223"/>
      <c r="S199" s="178">
        <f t="shared" si="323"/>
        <v>6.5599591919602016</v>
      </c>
      <c r="T199" s="554">
        <f t="shared" si="324"/>
        <v>5</v>
      </c>
      <c r="U199" s="223">
        <f t="shared" si="325"/>
        <v>0.64356261022927685</v>
      </c>
      <c r="V199" s="223">
        <f t="shared" si="326"/>
        <v>1.8877836566725454</v>
      </c>
      <c r="W199" s="223">
        <f t="shared" si="327"/>
        <v>1.7978891968309956</v>
      </c>
      <c r="X199" s="203">
        <f t="shared" si="328"/>
        <v>350</v>
      </c>
      <c r="Y199" s="454">
        <f t="shared" si="302"/>
        <v>271.32087945608527</v>
      </c>
      <c r="AA199" s="223">
        <f t="shared" si="329"/>
        <v>0.4988913525498892</v>
      </c>
      <c r="AB199" s="179">
        <f t="shared" si="330"/>
        <v>1.3937282229965158</v>
      </c>
      <c r="AC199" s="179">
        <f t="shared" si="331"/>
        <v>0.36504245308528482</v>
      </c>
      <c r="AD199" s="179"/>
      <c r="AE199" s="179">
        <f t="shared" si="332"/>
        <v>0.419047619047619</v>
      </c>
      <c r="AF199" s="563">
        <f t="shared" si="333"/>
        <v>4719.6969696969709</v>
      </c>
      <c r="AG199" s="546">
        <f t="shared" si="334"/>
        <v>3.2999999999999995E-2</v>
      </c>
      <c r="AI199" s="179">
        <f t="shared" si="335"/>
        <v>0.55082582629093468</v>
      </c>
      <c r="AJ199" s="179">
        <f t="shared" si="336"/>
        <v>0.64356261022927685</v>
      </c>
      <c r="AK199" s="179">
        <f t="shared" si="337"/>
        <v>1.5656019335031679</v>
      </c>
      <c r="AM199" s="563">
        <f t="shared" si="338"/>
        <v>445</v>
      </c>
      <c r="AN199" s="472">
        <f t="shared" si="339"/>
        <v>271.32087945608527</v>
      </c>
      <c r="AP199">
        <f t="shared" si="340"/>
        <v>445</v>
      </c>
      <c r="AQ199">
        <f t="shared" si="341"/>
        <v>271.32087945608527</v>
      </c>
      <c r="AS199" s="6">
        <f t="shared" si="361"/>
        <v>3.685672853503541</v>
      </c>
      <c r="AT199" s="6">
        <f t="shared" si="342"/>
        <v>1.8877836566725454</v>
      </c>
      <c r="AU199" s="6">
        <f t="shared" si="303"/>
        <v>1.7978891968309956</v>
      </c>
      <c r="AV199" s="6"/>
      <c r="AW199" s="179">
        <f t="shared" si="304"/>
        <v>0.51219512195121952</v>
      </c>
      <c r="AX199" s="179">
        <f t="shared" si="357"/>
        <v>2.4722222222222219</v>
      </c>
      <c r="AY199" s="179">
        <f t="shared" si="358"/>
        <v>0.47089947089947087</v>
      </c>
      <c r="AZ199" s="179">
        <f t="shared" si="362"/>
        <v>5.25</v>
      </c>
      <c r="BA199" s="472">
        <f t="shared" si="343"/>
        <v>28.298334324806667</v>
      </c>
      <c r="BB199" s="472">
        <f t="shared" si="344"/>
        <v>21.130009692671393</v>
      </c>
      <c r="BC199" s="6">
        <f t="shared" si="356"/>
        <v>0.24693231252771389</v>
      </c>
      <c r="BD199" s="563">
        <f t="shared" si="345"/>
        <v>72.120045078863967</v>
      </c>
      <c r="BF199" s="179">
        <f t="shared" si="363"/>
        <v>0.26591809820152912</v>
      </c>
      <c r="BG199" s="179">
        <f t="shared" si="359"/>
        <v>0.77852847429962235</v>
      </c>
      <c r="BI199" s="546">
        <f t="shared" si="305"/>
        <v>2.4749352232891327E-2</v>
      </c>
      <c r="BJ199" s="546">
        <f t="shared" si="306"/>
        <v>4.0269886363636369E-2</v>
      </c>
      <c r="BK199" s="546">
        <f t="shared" si="307"/>
        <v>3.3915109932010656E-3</v>
      </c>
      <c r="BL199" s="546">
        <f t="shared" si="308"/>
        <v>1.2827542454034732E-2</v>
      </c>
      <c r="BM199">
        <f t="shared" si="309"/>
        <v>4.3499999999999997E-3</v>
      </c>
      <c r="BO199" s="472">
        <f t="shared" si="310"/>
        <v>85.588292043763502</v>
      </c>
      <c r="BP199" s="546">
        <f t="shared" si="346"/>
        <v>0.13350000000000001</v>
      </c>
      <c r="BS199" s="472">
        <f t="shared" si="311"/>
        <v>133.5</v>
      </c>
      <c r="BT199" s="546">
        <f t="shared" si="347"/>
        <v>1.4142486990223616E-2</v>
      </c>
      <c r="BU199" s="546">
        <f t="shared" si="348"/>
        <v>2.4244263411811909E-2</v>
      </c>
      <c r="BV199" s="546">
        <f t="shared" si="349"/>
        <v>2.0144433365049175E-2</v>
      </c>
      <c r="BW199" s="546"/>
      <c r="BX199" s="546">
        <f t="shared" si="350"/>
        <v>5.6186868686868695E-2</v>
      </c>
      <c r="BY199" s="472">
        <f t="shared" si="312"/>
        <v>114.71805245395339</v>
      </c>
      <c r="BZ199" s="179">
        <f t="shared" si="351"/>
        <v>0.3338063444977169</v>
      </c>
      <c r="CA199" s="6">
        <f t="shared" si="352"/>
        <v>2.2250000000000001</v>
      </c>
      <c r="CB199" s="179">
        <f t="shared" si="313"/>
        <v>0.86954606970726356</v>
      </c>
      <c r="CC199" s="6">
        <f t="shared" si="314"/>
        <v>86.95460697072636</v>
      </c>
      <c r="CF199" s="581">
        <f t="shared" si="353"/>
        <v>-50</v>
      </c>
      <c r="CG199">
        <f t="shared" si="354"/>
        <v>-50</v>
      </c>
    </row>
    <row r="200" spans="5:85" x14ac:dyDescent="0.2">
      <c r="E200" s="176">
        <v>90</v>
      </c>
      <c r="F200" s="223">
        <f t="shared" si="355"/>
        <v>0.45</v>
      </c>
      <c r="G200" s="223"/>
      <c r="H200" s="223">
        <f t="shared" si="315"/>
        <v>2.25</v>
      </c>
      <c r="I200" s="559">
        <f t="shared" si="316"/>
        <v>15</v>
      </c>
      <c r="J200" s="454">
        <f t="shared" si="317"/>
        <v>15.75</v>
      </c>
      <c r="K200" s="454">
        <f t="shared" si="318"/>
        <v>30.75</v>
      </c>
      <c r="L200" s="454"/>
      <c r="M200" s="223">
        <f t="shared" si="319"/>
        <v>0.51219512195121952</v>
      </c>
      <c r="N200" s="178">
        <f t="shared" si="320"/>
        <v>2.592987804878049</v>
      </c>
      <c r="O200" s="178">
        <f t="shared" si="360"/>
        <v>2.25</v>
      </c>
      <c r="P200" s="223">
        <f t="shared" si="321"/>
        <v>0.51859756097560983</v>
      </c>
      <c r="Q200" s="223">
        <f t="shared" si="322"/>
        <v>5</v>
      </c>
      <c r="R200" s="223"/>
      <c r="S200" s="178">
        <f t="shared" si="323"/>
        <v>6.4369317712168801</v>
      </c>
      <c r="T200" s="554">
        <f t="shared" si="324"/>
        <v>5</v>
      </c>
      <c r="U200" s="223">
        <f t="shared" si="325"/>
        <v>0.65079365079365081</v>
      </c>
      <c r="V200" s="223">
        <f t="shared" si="326"/>
        <v>1.908994708994709</v>
      </c>
      <c r="W200" s="223">
        <f t="shared" si="327"/>
        <v>1.81809019904258</v>
      </c>
      <c r="X200" s="203">
        <f t="shared" si="328"/>
        <v>350</v>
      </c>
      <c r="Y200" s="454">
        <f t="shared" si="302"/>
        <v>268.30620301768425</v>
      </c>
      <c r="AA200" s="223">
        <f t="shared" si="329"/>
        <v>0.4988913525498892</v>
      </c>
      <c r="AB200" s="179">
        <f t="shared" si="330"/>
        <v>1.3937282229965158</v>
      </c>
      <c r="AC200" s="179">
        <f t="shared" si="331"/>
        <v>0.36504245308528482</v>
      </c>
      <c r="AD200" s="179"/>
      <c r="AE200" s="179">
        <f t="shared" si="332"/>
        <v>0.419047619047619</v>
      </c>
      <c r="AF200" s="563">
        <f t="shared" si="333"/>
        <v>4772.727272727273</v>
      </c>
      <c r="AG200" s="546">
        <f t="shared" si="334"/>
        <v>3.2999999999999995E-2</v>
      </c>
      <c r="AI200" s="179">
        <f t="shared" si="335"/>
        <v>0.5539117094069973</v>
      </c>
      <c r="AJ200" s="179">
        <f t="shared" si="336"/>
        <v>0.65079365079365081</v>
      </c>
      <c r="AK200" s="179">
        <f t="shared" si="337"/>
        <v>1.5709582598471488</v>
      </c>
      <c r="AM200" s="563">
        <f t="shared" si="338"/>
        <v>450</v>
      </c>
      <c r="AN200" s="472">
        <f t="shared" si="339"/>
        <v>268.30620301768425</v>
      </c>
      <c r="AP200">
        <f t="shared" si="340"/>
        <v>450</v>
      </c>
      <c r="AQ200">
        <f t="shared" si="341"/>
        <v>268.30620301768425</v>
      </c>
      <c r="AS200" s="6">
        <f t="shared" si="361"/>
        <v>3.7270849080372894</v>
      </c>
      <c r="AT200" s="6">
        <f t="shared" si="342"/>
        <v>1.908994708994709</v>
      </c>
      <c r="AU200" s="6">
        <f t="shared" si="303"/>
        <v>1.8180901990425804</v>
      </c>
      <c r="AV200" s="6"/>
      <c r="AW200" s="179">
        <f t="shared" si="304"/>
        <v>0.51219512195121941</v>
      </c>
      <c r="AX200" s="179">
        <f t="shared" si="357"/>
        <v>2.5</v>
      </c>
      <c r="AY200" s="179">
        <f t="shared" si="358"/>
        <v>0.47619047619047633</v>
      </c>
      <c r="AZ200" s="179">
        <f t="shared" si="362"/>
        <v>5.2499999999999982</v>
      </c>
      <c r="BA200" s="472">
        <f t="shared" si="343"/>
        <v>28.298334324806667</v>
      </c>
      <c r="BB200" s="472">
        <f t="shared" si="344"/>
        <v>21.592340425531923</v>
      </c>
      <c r="BC200" s="6">
        <f t="shared" si="356"/>
        <v>0.25251252764480275</v>
      </c>
      <c r="BD200" s="563">
        <f t="shared" si="345"/>
        <v>73.344775683980842</v>
      </c>
      <c r="BF200" s="179">
        <f t="shared" si="363"/>
        <v>0.26890594200154627</v>
      </c>
      <c r="BG200" s="179">
        <f t="shared" si="359"/>
        <v>0.78727598524680931</v>
      </c>
      <c r="BI200" s="546">
        <f t="shared" si="305"/>
        <v>2.5308641975308639E-2</v>
      </c>
      <c r="BJ200" s="546">
        <f t="shared" si="306"/>
        <v>4.0269886363636362E-2</v>
      </c>
      <c r="BK200" s="546">
        <f t="shared" si="307"/>
        <v>3.3538275377210532E-3</v>
      </c>
      <c r="BL200" s="546">
        <f t="shared" si="308"/>
        <v>1.2685014204545455E-2</v>
      </c>
      <c r="BM200">
        <f t="shared" si="309"/>
        <v>4.3499999999999997E-3</v>
      </c>
      <c r="BO200" s="472">
        <f t="shared" si="310"/>
        <v>85.967370081211527</v>
      </c>
      <c r="BP200" s="546">
        <f t="shared" si="346"/>
        <v>0.13500000000000001</v>
      </c>
      <c r="BS200" s="472">
        <f t="shared" si="311"/>
        <v>135</v>
      </c>
      <c r="BT200" s="546">
        <f t="shared" si="347"/>
        <v>1.4462081128747795E-2</v>
      </c>
      <c r="BU200" s="546">
        <f t="shared" si="348"/>
        <v>2.4792139077853374E-2</v>
      </c>
      <c r="BV200" s="546">
        <f t="shared" si="349"/>
        <v>2.0144433365049157E-2</v>
      </c>
      <c r="BW200" s="546"/>
      <c r="BX200" s="546">
        <f t="shared" si="350"/>
        <v>5.6818181818181823E-2</v>
      </c>
      <c r="BY200" s="472">
        <f t="shared" si="312"/>
        <v>116.21683538983216</v>
      </c>
      <c r="BZ200" s="179">
        <f t="shared" si="351"/>
        <v>0.33718420547104372</v>
      </c>
      <c r="CA200" s="6">
        <f t="shared" si="352"/>
        <v>2.25</v>
      </c>
      <c r="CB200" s="179">
        <f t="shared" si="313"/>
        <v>0.86967135747118041</v>
      </c>
      <c r="CC200" s="6">
        <f t="shared" si="314"/>
        <v>86.967135747118036</v>
      </c>
      <c r="CF200" s="581">
        <f t="shared" si="353"/>
        <v>-50</v>
      </c>
      <c r="CG200">
        <f t="shared" si="354"/>
        <v>-50</v>
      </c>
    </row>
    <row r="201" spans="5:85" x14ac:dyDescent="0.2">
      <c r="E201" s="176">
        <v>91</v>
      </c>
      <c r="F201" s="223">
        <f t="shared" si="355"/>
        <v>0.45500000000000002</v>
      </c>
      <c r="G201" s="223"/>
      <c r="H201" s="223">
        <f t="shared" si="315"/>
        <v>2.2749999999999999</v>
      </c>
      <c r="I201" s="559">
        <f t="shared" si="316"/>
        <v>15</v>
      </c>
      <c r="J201" s="454">
        <f t="shared" si="317"/>
        <v>15.75</v>
      </c>
      <c r="K201" s="454">
        <f t="shared" si="318"/>
        <v>30.75</v>
      </c>
      <c r="L201" s="454"/>
      <c r="M201" s="223">
        <f t="shared" si="319"/>
        <v>0.51219512195121952</v>
      </c>
      <c r="N201" s="178">
        <f t="shared" si="320"/>
        <v>2.592987804878049</v>
      </c>
      <c r="O201" s="178">
        <f t="shared" si="360"/>
        <v>2.2749999999999999</v>
      </c>
      <c r="P201" s="223">
        <f t="shared" si="321"/>
        <v>0.51859756097560983</v>
      </c>
      <c r="Q201" s="223">
        <f t="shared" si="322"/>
        <v>5</v>
      </c>
      <c r="R201" s="223"/>
      <c r="S201" s="178">
        <f t="shared" si="323"/>
        <v>6.3167272015465983</v>
      </c>
      <c r="T201" s="554">
        <f t="shared" si="324"/>
        <v>5</v>
      </c>
      <c r="U201" s="223">
        <f t="shared" si="325"/>
        <v>0.65802469135802466</v>
      </c>
      <c r="V201" s="223">
        <f t="shared" si="326"/>
        <v>1.9302057613168724</v>
      </c>
      <c r="W201" s="223">
        <f t="shared" si="327"/>
        <v>1.8382912012541641</v>
      </c>
      <c r="X201" s="203">
        <f t="shared" si="328"/>
        <v>350</v>
      </c>
      <c r="Y201" s="454">
        <f t="shared" si="302"/>
        <v>265.35778320430313</v>
      </c>
      <c r="AA201" s="223">
        <f t="shared" si="329"/>
        <v>0.4988913525498892</v>
      </c>
      <c r="AB201" s="179">
        <f t="shared" si="330"/>
        <v>1.3937282229965158</v>
      </c>
      <c r="AC201" s="179">
        <f t="shared" si="331"/>
        <v>0.36504245308528482</v>
      </c>
      <c r="AD201" s="179"/>
      <c r="AE201" s="179">
        <f t="shared" si="332"/>
        <v>0.419047619047619</v>
      </c>
      <c r="AF201" s="563">
        <f t="shared" si="333"/>
        <v>4825.7575757575769</v>
      </c>
      <c r="AG201" s="546">
        <f t="shared" si="334"/>
        <v>3.2999999999999995E-2</v>
      </c>
      <c r="AI201" s="179">
        <f t="shared" si="335"/>
        <v>0.55698049582303399</v>
      </c>
      <c r="AJ201" s="179">
        <f t="shared" si="336"/>
        <v>0.65802469135802466</v>
      </c>
      <c r="AK201" s="179">
        <f t="shared" si="337"/>
        <v>1.5763145861911294</v>
      </c>
      <c r="AM201" s="563">
        <f t="shared" si="338"/>
        <v>455</v>
      </c>
      <c r="AN201" s="472">
        <f t="shared" si="339"/>
        <v>265.35778320430313</v>
      </c>
      <c r="AP201">
        <f t="shared" si="340"/>
        <v>455</v>
      </c>
      <c r="AQ201">
        <f t="shared" si="341"/>
        <v>265.35778320430313</v>
      </c>
      <c r="AS201" s="6">
        <f t="shared" si="361"/>
        <v>3.7684969625710369</v>
      </c>
      <c r="AT201" s="6">
        <f t="shared" si="342"/>
        <v>1.9302057613168724</v>
      </c>
      <c r="AU201" s="6">
        <f t="shared" si="303"/>
        <v>1.8382912012541646</v>
      </c>
      <c r="AV201" s="6"/>
      <c r="AW201" s="179">
        <f t="shared" si="304"/>
        <v>0.51219512195121941</v>
      </c>
      <c r="AX201" s="179">
        <f t="shared" si="357"/>
        <v>2.5277777777777772</v>
      </c>
      <c r="AY201" s="179">
        <f t="shared" si="358"/>
        <v>0.48148148148148151</v>
      </c>
      <c r="AZ201" s="179">
        <f t="shared" si="362"/>
        <v>5.2499999999999982</v>
      </c>
      <c r="BA201" s="472">
        <f t="shared" si="343"/>
        <v>28.298334324806667</v>
      </c>
      <c r="BB201" s="472">
        <f t="shared" si="344"/>
        <v>22.05966926713948</v>
      </c>
      <c r="BC201" s="6">
        <f t="shared" si="356"/>
        <v>0.25815509153414962</v>
      </c>
      <c r="BD201" s="563">
        <f t="shared" si="345"/>
        <v>74.580577919565329</v>
      </c>
      <c r="BF201" s="179">
        <f t="shared" si="363"/>
        <v>0.27189378580156343</v>
      </c>
      <c r="BG201" s="179">
        <f t="shared" si="359"/>
        <v>0.79602349619399593</v>
      </c>
      <c r="BI201" s="546">
        <f t="shared" si="305"/>
        <v>2.5874180765127257E-2</v>
      </c>
      <c r="BJ201" s="546">
        <f t="shared" si="306"/>
        <v>4.0269886363636355E-2</v>
      </c>
      <c r="BK201" s="546">
        <f t="shared" si="307"/>
        <v>3.3169722900537888E-3</v>
      </c>
      <c r="BL201" s="546">
        <f t="shared" si="308"/>
        <v>1.2545618444055944E-2</v>
      </c>
      <c r="BM201">
        <f t="shared" si="309"/>
        <v>4.3499999999999997E-3</v>
      </c>
      <c r="BO201" s="472">
        <f t="shared" si="310"/>
        <v>86.356657862873334</v>
      </c>
      <c r="BP201" s="546">
        <f t="shared" si="346"/>
        <v>0.13650000000000001</v>
      </c>
      <c r="BS201" s="472">
        <f t="shared" si="311"/>
        <v>136.5</v>
      </c>
      <c r="BT201" s="546">
        <f t="shared" si="347"/>
        <v>1.4785246151501293E-2</v>
      </c>
      <c r="BU201" s="546">
        <f t="shared" si="348"/>
        <v>2.5346136259716507E-2</v>
      </c>
      <c r="BV201" s="546">
        <f t="shared" si="349"/>
        <v>2.0144433365049182E-2</v>
      </c>
      <c r="BW201" s="546"/>
      <c r="BX201" s="546">
        <f t="shared" si="350"/>
        <v>5.7449494949494945E-2</v>
      </c>
      <c r="BY201" s="472">
        <f t="shared" si="312"/>
        <v>117.72531072576193</v>
      </c>
      <c r="BZ201" s="179">
        <f t="shared" si="351"/>
        <v>0.34058196858863521</v>
      </c>
      <c r="CA201" s="6">
        <f t="shared" si="352"/>
        <v>2.2749999999999999</v>
      </c>
      <c r="CB201" s="179">
        <f t="shared" si="313"/>
        <v>0.86978730826301998</v>
      </c>
      <c r="CC201" s="6">
        <f t="shared" si="314"/>
        <v>86.978730826301998</v>
      </c>
      <c r="CF201" s="581">
        <f t="shared" si="353"/>
        <v>-50</v>
      </c>
      <c r="CG201">
        <f t="shared" si="354"/>
        <v>-50</v>
      </c>
    </row>
    <row r="202" spans="5:85" x14ac:dyDescent="0.2">
      <c r="E202" s="176">
        <v>92</v>
      </c>
      <c r="F202" s="223">
        <f t="shared" si="355"/>
        <v>0.46</v>
      </c>
      <c r="G202" s="223"/>
      <c r="H202" s="223">
        <f t="shared" si="315"/>
        <v>2.3000000000000003</v>
      </c>
      <c r="I202" s="559">
        <f t="shared" si="316"/>
        <v>15</v>
      </c>
      <c r="J202" s="454">
        <f t="shared" si="317"/>
        <v>15.75</v>
      </c>
      <c r="K202" s="454">
        <f t="shared" si="318"/>
        <v>30.75</v>
      </c>
      <c r="L202" s="454"/>
      <c r="M202" s="223">
        <f t="shared" si="319"/>
        <v>0.51219512195121952</v>
      </c>
      <c r="N202" s="178">
        <f t="shared" si="320"/>
        <v>2.592987804878049</v>
      </c>
      <c r="O202" s="178">
        <f t="shared" si="360"/>
        <v>2.3000000000000003</v>
      </c>
      <c r="P202" s="223">
        <f t="shared" si="321"/>
        <v>0.51859756097560983</v>
      </c>
      <c r="Q202" s="223">
        <f t="shared" si="322"/>
        <v>5</v>
      </c>
      <c r="R202" s="223"/>
      <c r="S202" s="178">
        <f t="shared" si="323"/>
        <v>6.199255601210667</v>
      </c>
      <c r="T202" s="554">
        <f t="shared" si="324"/>
        <v>5</v>
      </c>
      <c r="U202" s="223">
        <f t="shared" si="325"/>
        <v>0.66525573192239862</v>
      </c>
      <c r="V202" s="223">
        <f t="shared" si="326"/>
        <v>1.951416813639036</v>
      </c>
      <c r="W202" s="223">
        <f t="shared" si="327"/>
        <v>1.8584922034657485</v>
      </c>
      <c r="X202" s="203">
        <f t="shared" si="328"/>
        <v>350</v>
      </c>
      <c r="Y202" s="454">
        <f t="shared" si="302"/>
        <v>262.47345947382155</v>
      </c>
      <c r="AA202" s="223">
        <f t="shared" si="329"/>
        <v>0.4988913525498892</v>
      </c>
      <c r="AB202" s="179">
        <f t="shared" si="330"/>
        <v>1.3937282229965158</v>
      </c>
      <c r="AC202" s="179">
        <f t="shared" si="331"/>
        <v>0.36504245308528482</v>
      </c>
      <c r="AD202" s="179"/>
      <c r="AE202" s="179">
        <f t="shared" si="332"/>
        <v>0.419047619047619</v>
      </c>
      <c r="AF202" s="563">
        <f t="shared" si="333"/>
        <v>4878.7878787878799</v>
      </c>
      <c r="AG202" s="546">
        <f t="shared" si="334"/>
        <v>3.2999999999999995E-2</v>
      </c>
      <c r="AI202" s="179">
        <f t="shared" si="335"/>
        <v>0.560032466591325</v>
      </c>
      <c r="AJ202" s="179">
        <f t="shared" si="336"/>
        <v>0.66525573192239862</v>
      </c>
      <c r="AK202" s="179">
        <f t="shared" si="337"/>
        <v>1.5816709125351101</v>
      </c>
      <c r="AM202" s="563">
        <f t="shared" si="338"/>
        <v>460</v>
      </c>
      <c r="AN202" s="472">
        <f t="shared" si="339"/>
        <v>262.47345947382155</v>
      </c>
      <c r="AP202">
        <f t="shared" si="340"/>
        <v>460</v>
      </c>
      <c r="AQ202">
        <f t="shared" si="341"/>
        <v>262.47345947382155</v>
      </c>
      <c r="AS202" s="6">
        <f t="shared" si="361"/>
        <v>3.8099090171047849</v>
      </c>
      <c r="AT202" s="6">
        <f t="shared" si="342"/>
        <v>1.951416813639036</v>
      </c>
      <c r="AU202" s="6">
        <f t="shared" si="303"/>
        <v>1.8584922034657489</v>
      </c>
      <c r="AV202" s="6"/>
      <c r="AW202" s="179">
        <f t="shared" si="304"/>
        <v>0.51219512195121941</v>
      </c>
      <c r="AX202" s="179">
        <f t="shared" si="357"/>
        <v>2.5555555555555558</v>
      </c>
      <c r="AY202" s="179">
        <f t="shared" si="358"/>
        <v>0.48677248677248691</v>
      </c>
      <c r="AZ202" s="179">
        <f t="shared" si="362"/>
        <v>5.2499999999999991</v>
      </c>
      <c r="BA202" s="472">
        <f t="shared" si="343"/>
        <v>28.298334324806667</v>
      </c>
      <c r="BB202" s="472">
        <f t="shared" si="344"/>
        <v>22.53199621749409</v>
      </c>
      <c r="BC202" s="6">
        <f t="shared" si="356"/>
        <v>0.26386000419575445</v>
      </c>
      <c r="BD202" s="563">
        <f t="shared" si="345"/>
        <v>75.82745178561747</v>
      </c>
      <c r="BF202" s="179">
        <f t="shared" si="363"/>
        <v>0.27488162960158063</v>
      </c>
      <c r="BG202" s="179">
        <f t="shared" si="359"/>
        <v>0.80477100714118288</v>
      </c>
      <c r="BI202" s="546">
        <f t="shared" si="305"/>
        <v>2.6445968602347197E-2</v>
      </c>
      <c r="BJ202" s="546">
        <f t="shared" si="306"/>
        <v>4.0269886363636362E-2</v>
      </c>
      <c r="BK202" s="546">
        <f t="shared" si="307"/>
        <v>3.2809182434227692E-3</v>
      </c>
      <c r="BL202" s="546">
        <f t="shared" si="308"/>
        <v>1.2409253026185771E-2</v>
      </c>
      <c r="BM202">
        <f t="shared" si="309"/>
        <v>4.3499999999999997E-3</v>
      </c>
      <c r="BO202" s="472">
        <f t="shared" si="310"/>
        <v>86.756026235592117</v>
      </c>
      <c r="BP202" s="546">
        <f t="shared" si="346"/>
        <v>0.13800000000000001</v>
      </c>
      <c r="BS202" s="472">
        <f t="shared" si="311"/>
        <v>138</v>
      </c>
      <c r="BT202" s="546">
        <f t="shared" si="347"/>
        <v>1.5111982058484115E-2</v>
      </c>
      <c r="BU202" s="546">
        <f t="shared" si="348"/>
        <v>2.5906254957401353E-2</v>
      </c>
      <c r="BV202" s="546">
        <f t="shared" si="349"/>
        <v>2.0144433365049143E-2</v>
      </c>
      <c r="BW202" s="546"/>
      <c r="BX202" s="546">
        <f t="shared" si="350"/>
        <v>5.8080808080808094E-2</v>
      </c>
      <c r="BY202" s="472">
        <f t="shared" si="312"/>
        <v>119.2434784617427</v>
      </c>
      <c r="BZ202" s="179">
        <f t="shared" si="351"/>
        <v>0.34399950469733476</v>
      </c>
      <c r="CA202" s="6">
        <f t="shared" si="352"/>
        <v>2.3000000000000003</v>
      </c>
      <c r="CB202" s="179">
        <f t="shared" si="313"/>
        <v>0.86989426280671212</v>
      </c>
      <c r="CC202" s="6">
        <f t="shared" si="314"/>
        <v>86.989426280671211</v>
      </c>
      <c r="CF202" s="581">
        <f t="shared" si="353"/>
        <v>-50</v>
      </c>
      <c r="CG202">
        <f t="shared" si="354"/>
        <v>-50</v>
      </c>
    </row>
    <row r="203" spans="5:85" x14ac:dyDescent="0.2">
      <c r="E203" s="176">
        <v>93</v>
      </c>
      <c r="F203" s="223">
        <f t="shared" si="355"/>
        <v>0.46500000000000002</v>
      </c>
      <c r="G203" s="223"/>
      <c r="H203" s="223">
        <f t="shared" si="315"/>
        <v>2.3250000000000002</v>
      </c>
      <c r="I203" s="559">
        <f t="shared" si="316"/>
        <v>15</v>
      </c>
      <c r="J203" s="454">
        <f t="shared" si="317"/>
        <v>15.75</v>
      </c>
      <c r="K203" s="454">
        <f t="shared" si="318"/>
        <v>30.75</v>
      </c>
      <c r="L203" s="454"/>
      <c r="M203" s="223">
        <f t="shared" si="319"/>
        <v>0.51219512195121952</v>
      </c>
      <c r="N203" s="178">
        <f t="shared" si="320"/>
        <v>2.592987804878049</v>
      </c>
      <c r="O203" s="178">
        <f t="shared" si="360"/>
        <v>2.3250000000000002</v>
      </c>
      <c r="P203" s="223">
        <f t="shared" si="321"/>
        <v>0.51859756097560983</v>
      </c>
      <c r="Q203" s="223">
        <f t="shared" si="322"/>
        <v>5</v>
      </c>
      <c r="R203" s="223"/>
      <c r="S203" s="178">
        <f t="shared" si="323"/>
        <v>6.0844309942880068</v>
      </c>
      <c r="T203" s="554">
        <f t="shared" si="324"/>
        <v>5</v>
      </c>
      <c r="U203" s="223">
        <f t="shared" si="325"/>
        <v>0.67248677248677247</v>
      </c>
      <c r="V203" s="223">
        <f t="shared" si="326"/>
        <v>1.9726278659611991</v>
      </c>
      <c r="W203" s="223">
        <f t="shared" si="327"/>
        <v>1.8786932056773327</v>
      </c>
      <c r="X203" s="203">
        <f t="shared" si="328"/>
        <v>350</v>
      </c>
      <c r="Y203" s="454">
        <f t="shared" si="302"/>
        <v>259.65116421066222</v>
      </c>
      <c r="AA203" s="223">
        <f t="shared" si="329"/>
        <v>0.4988913525498892</v>
      </c>
      <c r="AB203" s="179">
        <f t="shared" si="330"/>
        <v>1.3937282229965158</v>
      </c>
      <c r="AC203" s="179">
        <f t="shared" si="331"/>
        <v>0.36504245308528482</v>
      </c>
      <c r="AD203" s="179"/>
      <c r="AE203" s="179">
        <f t="shared" si="332"/>
        <v>0.419047619047619</v>
      </c>
      <c r="AF203" s="563">
        <f t="shared" si="333"/>
        <v>4931.8181818181829</v>
      </c>
      <c r="AG203" s="546">
        <f t="shared" si="334"/>
        <v>3.2999999999999995E-2</v>
      </c>
      <c r="AI203" s="179">
        <f t="shared" si="335"/>
        <v>0.56306789514716116</v>
      </c>
      <c r="AJ203" s="179">
        <f t="shared" si="336"/>
        <v>0.67248677248677247</v>
      </c>
      <c r="AK203" s="179">
        <f t="shared" si="337"/>
        <v>1.5870272388790907</v>
      </c>
      <c r="AM203" s="563">
        <f t="shared" si="338"/>
        <v>465</v>
      </c>
      <c r="AN203" s="472">
        <f t="shared" si="339"/>
        <v>259.65116421066222</v>
      </c>
      <c r="AP203">
        <f t="shared" si="340"/>
        <v>465</v>
      </c>
      <c r="AQ203">
        <f t="shared" si="341"/>
        <v>259.65116421066222</v>
      </c>
      <c r="AS203" s="6">
        <f t="shared" si="361"/>
        <v>3.851321071638532</v>
      </c>
      <c r="AT203" s="6">
        <f t="shared" si="342"/>
        <v>1.9726278659611991</v>
      </c>
      <c r="AU203" s="6">
        <f t="shared" si="303"/>
        <v>1.8786932056773329</v>
      </c>
      <c r="AV203" s="6"/>
      <c r="AW203" s="179">
        <f t="shared" si="304"/>
        <v>0.51219512195121941</v>
      </c>
      <c r="AX203" s="179">
        <f t="shared" si="357"/>
        <v>2.5833333333333335</v>
      </c>
      <c r="AY203" s="179">
        <f t="shared" si="358"/>
        <v>0.49206349206349215</v>
      </c>
      <c r="AZ203" s="179">
        <f t="shared" si="362"/>
        <v>5.2499999999999991</v>
      </c>
      <c r="BA203" s="472">
        <f t="shared" si="343"/>
        <v>28.298334324806667</v>
      </c>
      <c r="BB203" s="472">
        <f t="shared" si="344"/>
        <v>23.009321276595749</v>
      </c>
      <c r="BC203" s="6">
        <f t="shared" si="356"/>
        <v>0.26962726562961714</v>
      </c>
      <c r="BD203" s="563">
        <f t="shared" si="345"/>
        <v>77.085397282137208</v>
      </c>
      <c r="BF203" s="179">
        <f t="shared" si="363"/>
        <v>0.27786947340159779</v>
      </c>
      <c r="BG203" s="179">
        <f t="shared" si="359"/>
        <v>0.8135185180883695</v>
      </c>
      <c r="BI203" s="546">
        <f t="shared" si="305"/>
        <v>2.7024005486968442E-2</v>
      </c>
      <c r="BJ203" s="546">
        <f t="shared" si="306"/>
        <v>4.0269886363636362E-2</v>
      </c>
      <c r="BK203" s="546">
        <f t="shared" si="307"/>
        <v>3.2456395526332775E-3</v>
      </c>
      <c r="BL203" s="546">
        <f t="shared" si="308"/>
        <v>1.2275820197947216E-2</v>
      </c>
      <c r="BM203">
        <f t="shared" si="309"/>
        <v>4.3499999999999997E-3</v>
      </c>
      <c r="BO203" s="472">
        <f t="shared" si="310"/>
        <v>87.165351601185293</v>
      </c>
      <c r="BP203" s="546">
        <f t="shared" si="346"/>
        <v>0.13950000000000001</v>
      </c>
      <c r="BS203" s="472">
        <f t="shared" si="311"/>
        <v>139.5</v>
      </c>
      <c r="BT203" s="546">
        <f t="shared" si="347"/>
        <v>1.5442288849696255E-2</v>
      </c>
      <c r="BU203" s="546">
        <f t="shared" si="348"/>
        <v>2.647249517090787E-2</v>
      </c>
      <c r="BV203" s="546">
        <f t="shared" si="349"/>
        <v>2.0144433365049164E-2</v>
      </c>
      <c r="BW203" s="546"/>
      <c r="BX203" s="546">
        <f t="shared" si="350"/>
        <v>5.8712121212121222E-2</v>
      </c>
      <c r="BY203" s="472">
        <f t="shared" si="312"/>
        <v>120.7713385977745</v>
      </c>
      <c r="BZ203" s="179">
        <f t="shared" si="351"/>
        <v>0.34743669019895984</v>
      </c>
      <c r="CA203" s="6">
        <f t="shared" si="352"/>
        <v>2.3250000000000002</v>
      </c>
      <c r="CB203" s="179">
        <f t="shared" si="313"/>
        <v>0.86999254595135289</v>
      </c>
      <c r="CC203" s="6">
        <f t="shared" si="314"/>
        <v>86.999254595135284</v>
      </c>
      <c r="CF203" s="581">
        <f t="shared" si="353"/>
        <v>-50</v>
      </c>
      <c r="CG203">
        <f t="shared" si="354"/>
        <v>-50</v>
      </c>
    </row>
    <row r="204" spans="5:85" x14ac:dyDescent="0.2">
      <c r="E204" s="176">
        <v>94</v>
      </c>
      <c r="F204" s="223">
        <f t="shared" si="355"/>
        <v>0.47</v>
      </c>
      <c r="G204" s="223"/>
      <c r="H204" s="223">
        <f t="shared" si="315"/>
        <v>2.3499999999999996</v>
      </c>
      <c r="I204" s="559">
        <f t="shared" si="316"/>
        <v>15</v>
      </c>
      <c r="J204" s="454">
        <f t="shared" si="317"/>
        <v>15.75</v>
      </c>
      <c r="K204" s="454">
        <f t="shared" si="318"/>
        <v>30.75</v>
      </c>
      <c r="L204" s="454"/>
      <c r="M204" s="223">
        <f t="shared" si="319"/>
        <v>0.51219512195121952</v>
      </c>
      <c r="N204" s="178">
        <f t="shared" si="320"/>
        <v>2.592987804878049</v>
      </c>
      <c r="O204" s="178">
        <f t="shared" si="360"/>
        <v>2.3499999999999996</v>
      </c>
      <c r="P204" s="223">
        <f t="shared" si="321"/>
        <v>0.51859756097560983</v>
      </c>
      <c r="Q204" s="223">
        <f t="shared" si="322"/>
        <v>5</v>
      </c>
      <c r="R204" s="223"/>
      <c r="S204" s="178">
        <f t="shared" si="323"/>
        <v>5.9721711033432214</v>
      </c>
      <c r="T204" s="554">
        <f t="shared" si="324"/>
        <v>5</v>
      </c>
      <c r="U204" s="223">
        <f t="shared" si="325"/>
        <v>0.6797178130511462</v>
      </c>
      <c r="V204" s="223">
        <f t="shared" si="326"/>
        <v>1.9938389182833625</v>
      </c>
      <c r="W204" s="223">
        <f t="shared" si="327"/>
        <v>1.8988942078889164</v>
      </c>
      <c r="X204" s="203">
        <f t="shared" si="328"/>
        <v>350</v>
      </c>
      <c r="Y204" s="454">
        <f t="shared" si="302"/>
        <v>256.88891778288922</v>
      </c>
      <c r="AA204" s="223">
        <f t="shared" si="329"/>
        <v>0.4988913525498892</v>
      </c>
      <c r="AB204" s="179">
        <f t="shared" si="330"/>
        <v>1.3937282229965158</v>
      </c>
      <c r="AC204" s="179">
        <f t="shared" si="331"/>
        <v>0.36504245308528482</v>
      </c>
      <c r="AD204" s="179"/>
      <c r="AE204" s="179">
        <f t="shared" si="332"/>
        <v>0.419047619047619</v>
      </c>
      <c r="AF204" s="563">
        <f t="shared" si="333"/>
        <v>4984.848484848485</v>
      </c>
      <c r="AG204" s="546">
        <f t="shared" si="334"/>
        <v>3.2999999999999995E-2</v>
      </c>
      <c r="AI204" s="179">
        <f t="shared" si="335"/>
        <v>0.56608704759475414</v>
      </c>
      <c r="AJ204" s="179">
        <f t="shared" si="336"/>
        <v>0.6797178130511462</v>
      </c>
      <c r="AK204" s="179">
        <f t="shared" si="337"/>
        <v>1.5923835652230711</v>
      </c>
      <c r="AM204" s="563">
        <f t="shared" si="338"/>
        <v>470</v>
      </c>
      <c r="AN204" s="472">
        <f t="shared" si="339"/>
        <v>256.88891778288922</v>
      </c>
      <c r="AP204">
        <f t="shared" si="340"/>
        <v>470</v>
      </c>
      <c r="AQ204">
        <f t="shared" si="341"/>
        <v>256.88891778288922</v>
      </c>
      <c r="AS204" s="6">
        <f t="shared" si="361"/>
        <v>3.8927331261722795</v>
      </c>
      <c r="AT204" s="6">
        <f t="shared" si="342"/>
        <v>1.9938389182833625</v>
      </c>
      <c r="AU204" s="6">
        <f t="shared" si="303"/>
        <v>1.8988942078889171</v>
      </c>
      <c r="AV204" s="6"/>
      <c r="AW204" s="179">
        <f t="shared" si="304"/>
        <v>0.51219512195121941</v>
      </c>
      <c r="AX204" s="179">
        <f t="shared" si="357"/>
        <v>2.6111111111111098</v>
      </c>
      <c r="AY204" s="179">
        <f t="shared" si="358"/>
        <v>0.49735449735449733</v>
      </c>
      <c r="AZ204" s="179">
        <f t="shared" si="362"/>
        <v>5.2499999999999973</v>
      </c>
      <c r="BA204" s="472">
        <f t="shared" si="343"/>
        <v>28.298334324806667</v>
      </c>
      <c r="BB204" s="472">
        <f t="shared" si="344"/>
        <v>23.491644444444447</v>
      </c>
      <c r="BC204" s="6">
        <f t="shared" si="356"/>
        <v>0.27545687583573786</v>
      </c>
      <c r="BD204" s="563">
        <f t="shared" si="345"/>
        <v>78.354414409124573</v>
      </c>
      <c r="BF204" s="179">
        <f t="shared" si="363"/>
        <v>0.28085731720161489</v>
      </c>
      <c r="BG204" s="179">
        <f t="shared" si="359"/>
        <v>0.82226602903555612</v>
      </c>
      <c r="BI204" s="546">
        <f t="shared" si="305"/>
        <v>2.7608291418990981E-2</v>
      </c>
      <c r="BJ204" s="546">
        <f t="shared" si="306"/>
        <v>4.0269886363636348E-2</v>
      </c>
      <c r="BK204" s="546">
        <f t="shared" si="307"/>
        <v>3.2111114722861152E-3</v>
      </c>
      <c r="BL204" s="546">
        <f t="shared" si="308"/>
        <v>1.2145226366054161E-2</v>
      </c>
      <c r="BM204">
        <f t="shared" si="309"/>
        <v>4.3499999999999997E-3</v>
      </c>
      <c r="BO204" s="472">
        <f t="shared" si="310"/>
        <v>87.584515620967608</v>
      </c>
      <c r="BP204" s="546">
        <f t="shared" si="346"/>
        <v>0.14099999999999999</v>
      </c>
      <c r="BS204" s="472">
        <f t="shared" si="311"/>
        <v>141</v>
      </c>
      <c r="BT204" s="546">
        <f t="shared" si="347"/>
        <v>1.5776166525137705E-2</v>
      </c>
      <c r="BU204" s="546">
        <f t="shared" si="348"/>
        <v>2.7044856900236083E-2</v>
      </c>
      <c r="BV204" s="546">
        <f t="shared" si="349"/>
        <v>2.0144433365049147E-2</v>
      </c>
      <c r="BW204" s="546"/>
      <c r="BX204" s="546">
        <f t="shared" si="350"/>
        <v>5.9343434343434323E-2</v>
      </c>
      <c r="BY204" s="472">
        <f t="shared" si="312"/>
        <v>122.30889113385726</v>
      </c>
      <c r="BZ204" s="179">
        <f t="shared" si="351"/>
        <v>0.35089340675482478</v>
      </c>
      <c r="CA204" s="6">
        <f t="shared" si="352"/>
        <v>2.3499999999999996</v>
      </c>
      <c r="CB204" s="179">
        <f t="shared" si="313"/>
        <v>0.8700824675726726</v>
      </c>
      <c r="CC204" s="6">
        <f t="shared" si="314"/>
        <v>87.008246757267258</v>
      </c>
      <c r="CF204" s="581">
        <f t="shared" si="353"/>
        <v>-50</v>
      </c>
      <c r="CG204">
        <f t="shared" si="354"/>
        <v>-50</v>
      </c>
    </row>
    <row r="205" spans="5:85" x14ac:dyDescent="0.2">
      <c r="E205" s="176">
        <v>95</v>
      </c>
      <c r="F205" s="223">
        <f t="shared" si="355"/>
        <v>0.47499999999999998</v>
      </c>
      <c r="G205" s="223"/>
      <c r="H205" s="223">
        <f t="shared" si="315"/>
        <v>2.375</v>
      </c>
      <c r="I205" s="559">
        <f t="shared" si="316"/>
        <v>15</v>
      </c>
      <c r="J205" s="454">
        <f t="shared" si="317"/>
        <v>15.75</v>
      </c>
      <c r="K205" s="454">
        <f t="shared" si="318"/>
        <v>30.75</v>
      </c>
      <c r="L205" s="454"/>
      <c r="M205" s="223">
        <f t="shared" si="319"/>
        <v>0.51219512195121952</v>
      </c>
      <c r="N205" s="178">
        <f t="shared" si="320"/>
        <v>2.592987804878049</v>
      </c>
      <c r="O205" s="178">
        <f t="shared" si="360"/>
        <v>2.375</v>
      </c>
      <c r="P205" s="223">
        <f t="shared" si="321"/>
        <v>0.51859756097560983</v>
      </c>
      <c r="Q205" s="223">
        <f t="shared" si="322"/>
        <v>5</v>
      </c>
      <c r="R205" s="223"/>
      <c r="S205" s="178">
        <f t="shared" si="323"/>
        <v>5.8623971551679723</v>
      </c>
      <c r="T205" s="554">
        <f t="shared" si="324"/>
        <v>5</v>
      </c>
      <c r="U205" s="223">
        <f t="shared" si="325"/>
        <v>0.68694885361552027</v>
      </c>
      <c r="V205" s="223">
        <f t="shared" si="326"/>
        <v>2.015049970605526</v>
      </c>
      <c r="W205" s="223">
        <f t="shared" si="327"/>
        <v>1.919095210100501</v>
      </c>
      <c r="X205" s="203">
        <f t="shared" si="328"/>
        <v>350</v>
      </c>
      <c r="Y205" s="454">
        <f t="shared" si="302"/>
        <v>254.18482391149038</v>
      </c>
      <c r="AA205" s="223">
        <f t="shared" si="329"/>
        <v>0.4988913525498892</v>
      </c>
      <c r="AB205" s="179">
        <f t="shared" si="330"/>
        <v>1.3937282229965158</v>
      </c>
      <c r="AC205" s="179">
        <f t="shared" si="331"/>
        <v>0.36504245308528482</v>
      </c>
      <c r="AD205" s="179"/>
      <c r="AE205" s="179">
        <f t="shared" si="332"/>
        <v>0.419047619047619</v>
      </c>
      <c r="AF205" s="563">
        <f t="shared" si="333"/>
        <v>5037.8787878787889</v>
      </c>
      <c r="AG205" s="546">
        <f t="shared" si="334"/>
        <v>3.2999999999999995E-2</v>
      </c>
      <c r="AI205" s="179">
        <f t="shared" si="335"/>
        <v>0.5690901829794961</v>
      </c>
      <c r="AJ205" s="179">
        <f t="shared" si="336"/>
        <v>0.68694885361552027</v>
      </c>
      <c r="AK205" s="179">
        <f t="shared" si="337"/>
        <v>1.597739891567052</v>
      </c>
      <c r="AM205" s="563">
        <f t="shared" si="338"/>
        <v>475</v>
      </c>
      <c r="AN205" s="472">
        <f t="shared" si="339"/>
        <v>254.18482391149038</v>
      </c>
      <c r="AP205">
        <f t="shared" si="340"/>
        <v>475</v>
      </c>
      <c r="AQ205">
        <f t="shared" si="341"/>
        <v>254.18482391149038</v>
      </c>
      <c r="AS205" s="6">
        <f t="shared" si="361"/>
        <v>3.9341451807060275</v>
      </c>
      <c r="AT205" s="6">
        <f t="shared" si="342"/>
        <v>2.015049970605526</v>
      </c>
      <c r="AU205" s="6">
        <f t="shared" si="303"/>
        <v>1.9190952101005014</v>
      </c>
      <c r="AV205" s="6"/>
      <c r="AW205" s="179">
        <f t="shared" si="304"/>
        <v>0.51219512195121941</v>
      </c>
      <c r="AX205" s="179">
        <f t="shared" si="357"/>
        <v>2.6388888888888888</v>
      </c>
      <c r="AY205" s="179">
        <f t="shared" si="358"/>
        <v>0.50264550264550278</v>
      </c>
      <c r="AZ205" s="179">
        <f t="shared" si="362"/>
        <v>5.2499999999999982</v>
      </c>
      <c r="BA205" s="472">
        <f t="shared" si="343"/>
        <v>28.298334324806667</v>
      </c>
      <c r="BB205" s="472">
        <f t="shared" si="344"/>
        <v>23.97896572104019</v>
      </c>
      <c r="BC205" s="6">
        <f t="shared" si="356"/>
        <v>0.28134883481411671</v>
      </c>
      <c r="BD205" s="563">
        <f t="shared" si="345"/>
        <v>79.634503166579606</v>
      </c>
      <c r="BF205" s="179">
        <f t="shared" si="363"/>
        <v>0.28384516100163215</v>
      </c>
      <c r="BG205" s="179">
        <f t="shared" si="359"/>
        <v>0.83101353998274308</v>
      </c>
      <c r="BI205" s="546">
        <f t="shared" si="305"/>
        <v>2.8198826398414863E-2</v>
      </c>
      <c r="BJ205" s="546">
        <f t="shared" si="306"/>
        <v>4.0269886363636362E-2</v>
      </c>
      <c r="BK205" s="546">
        <f t="shared" si="307"/>
        <v>3.1773102988936299E-3</v>
      </c>
      <c r="BL205" s="546">
        <f t="shared" si="308"/>
        <v>1.2017381877990433E-2</v>
      </c>
      <c r="BM205">
        <f t="shared" si="309"/>
        <v>4.3499999999999997E-3</v>
      </c>
      <c r="BO205" s="472">
        <f t="shared" si="310"/>
        <v>88.013404938935309</v>
      </c>
      <c r="BP205" s="546">
        <f t="shared" si="346"/>
        <v>0.14249999999999999</v>
      </c>
      <c r="BS205" s="472">
        <f t="shared" si="311"/>
        <v>142.5</v>
      </c>
      <c r="BT205" s="546">
        <f t="shared" si="347"/>
        <v>1.6113615084808495E-2</v>
      </c>
      <c r="BU205" s="546">
        <f t="shared" si="348"/>
        <v>2.7623340145386005E-2</v>
      </c>
      <c r="BV205" s="546">
        <f t="shared" si="349"/>
        <v>2.0144433365049143E-2</v>
      </c>
      <c r="BW205" s="546"/>
      <c r="BX205" s="546">
        <f t="shared" si="350"/>
        <v>5.9974747474747486E-2</v>
      </c>
      <c r="BY205" s="472">
        <f t="shared" si="312"/>
        <v>123.85613606999112</v>
      </c>
      <c r="BZ205" s="179">
        <f t="shared" si="351"/>
        <v>0.35436954100892637</v>
      </c>
      <c r="CA205" s="6">
        <f t="shared" si="352"/>
        <v>2.375</v>
      </c>
      <c r="CB205" s="179">
        <f t="shared" si="313"/>
        <v>0.87016432341443528</v>
      </c>
      <c r="CC205" s="6">
        <f t="shared" si="314"/>
        <v>87.016432341443533</v>
      </c>
      <c r="CF205" s="581">
        <f t="shared" si="353"/>
        <v>-50</v>
      </c>
      <c r="CG205">
        <f t="shared" si="354"/>
        <v>-50</v>
      </c>
    </row>
    <row r="206" spans="5:85" x14ac:dyDescent="0.2">
      <c r="E206" s="176">
        <v>96</v>
      </c>
      <c r="F206" s="223">
        <f t="shared" si="355"/>
        <v>0.48</v>
      </c>
      <c r="G206" s="223"/>
      <c r="H206" s="223">
        <f t="shared" ref="H206:H210" si="364">F206*Vout</f>
        <v>2.4</v>
      </c>
      <c r="I206" s="559">
        <f t="shared" si="316"/>
        <v>15</v>
      </c>
      <c r="J206" s="454">
        <f t="shared" si="317"/>
        <v>15.75</v>
      </c>
      <c r="K206" s="454">
        <f t="shared" si="318"/>
        <v>30.75</v>
      </c>
      <c r="L206" s="454"/>
      <c r="M206" s="223">
        <f t="shared" si="319"/>
        <v>0.51219512195121952</v>
      </c>
      <c r="N206" s="178">
        <f t="shared" ref="N206:N210" si="365">M206*I206*Isw_max*0.5*Efficiency</f>
        <v>2.592987804878049</v>
      </c>
      <c r="O206" s="178">
        <f t="shared" si="360"/>
        <v>2.4</v>
      </c>
      <c r="P206" s="223">
        <f t="shared" ref="P206:P210" si="366">N206/Vout</f>
        <v>0.51859756097560983</v>
      </c>
      <c r="Q206" s="223">
        <f t="shared" si="322"/>
        <v>5</v>
      </c>
      <c r="R206" s="223"/>
      <c r="S206" s="178">
        <f t="shared" si="323"/>
        <v>5.7550336986402817</v>
      </c>
      <c r="T206" s="554">
        <f t="shared" ref="T206:T210" si="367">MIN(Vout, S206)</f>
        <v>5</v>
      </c>
      <c r="U206" s="223">
        <f t="shared" si="325"/>
        <v>0.69417989417989412</v>
      </c>
      <c r="V206" s="223">
        <f t="shared" ref="V206:V210" si="368">L*U206/I206*1000000</f>
        <v>2.0362610229276892</v>
      </c>
      <c r="W206" s="223">
        <f t="shared" si="327"/>
        <v>1.9392962123120852</v>
      </c>
      <c r="X206" s="203">
        <f t="shared" si="328"/>
        <v>350</v>
      </c>
      <c r="Y206" s="454">
        <f t="shared" si="302"/>
        <v>251.53706532907904</v>
      </c>
      <c r="AA206" s="223">
        <f t="shared" si="329"/>
        <v>0.4988913525498892</v>
      </c>
      <c r="AB206" s="179">
        <f t="shared" ref="AB206:AB210" si="369">L*AA206/J206*1000000</f>
        <v>1.3937282229965158</v>
      </c>
      <c r="AC206" s="179">
        <f t="shared" ref="AC206:AC210" si="370">0.5*AB206*AA206*Nps*X206/1000</f>
        <v>0.36504245308528482</v>
      </c>
      <c r="AD206" s="179"/>
      <c r="AE206" s="179">
        <f t="shared" si="332"/>
        <v>0.419047619047619</v>
      </c>
      <c r="AF206" s="563">
        <f t="shared" ref="AF206:AF210" si="371">MAX(10000,F206/(0.5*AE206/1000000*Isw_min*Nps))/1000</f>
        <v>5090.9090909090919</v>
      </c>
      <c r="AG206" s="546">
        <f t="shared" si="334"/>
        <v>3.2999999999999995E-2</v>
      </c>
      <c r="AI206" s="179">
        <f t="shared" si="335"/>
        <v>0.57207755354735534</v>
      </c>
      <c r="AJ206" s="179">
        <f t="shared" ref="AJ206:AJ210" si="372">MAX(IF(F206&gt;AC206,U206,AI206),Isw_min)</f>
        <v>0.69417989417989412</v>
      </c>
      <c r="AK206" s="179">
        <f t="shared" ref="AK206:AK210" si="373">IF(F206&gt;AG206, (AJ206-Isw_min)/1.08*0.8+1.2, AF206*0.2/350+1)</f>
        <v>1.6030962179110326</v>
      </c>
      <c r="AM206" s="563">
        <f t="shared" si="338"/>
        <v>480</v>
      </c>
      <c r="AN206" s="472">
        <f t="shared" si="339"/>
        <v>251.53706532907904</v>
      </c>
      <c r="AP206">
        <f t="shared" si="340"/>
        <v>480</v>
      </c>
      <c r="AQ206">
        <f t="shared" si="341"/>
        <v>251.53706532907904</v>
      </c>
      <c r="AS206" s="6">
        <f t="shared" si="361"/>
        <v>3.9755572352397741</v>
      </c>
      <c r="AT206" s="6">
        <f t="shared" si="342"/>
        <v>2.0362610229276892</v>
      </c>
      <c r="AU206" s="6">
        <f t="shared" si="303"/>
        <v>1.9392962123120849</v>
      </c>
      <c r="AV206" s="6"/>
      <c r="AW206" s="179">
        <f t="shared" si="304"/>
        <v>0.51219512195121952</v>
      </c>
      <c r="AX206" s="179">
        <f t="shared" si="357"/>
        <v>2.6666666666666661</v>
      </c>
      <c r="AY206" s="179">
        <f t="shared" si="358"/>
        <v>0.50793650793650791</v>
      </c>
      <c r="AZ206" s="179">
        <f t="shared" si="362"/>
        <v>5.2499999999999991</v>
      </c>
      <c r="BA206" s="472">
        <f t="shared" si="343"/>
        <v>28.298334324806667</v>
      </c>
      <c r="BB206" s="472">
        <f t="shared" si="344"/>
        <v>24.471285106382979</v>
      </c>
      <c r="BC206" s="6">
        <f t="shared" si="356"/>
        <v>0.28730314256475326</v>
      </c>
      <c r="BD206" s="563">
        <f t="shared" si="345"/>
        <v>80.925663554502236</v>
      </c>
      <c r="BF206" s="179">
        <f t="shared" si="363"/>
        <v>0.28683300480164936</v>
      </c>
      <c r="BG206" s="179">
        <f t="shared" si="359"/>
        <v>0.83976105092992959</v>
      </c>
      <c r="BI206" s="546">
        <f t="shared" si="305"/>
        <v>2.8795610425240047E-2</v>
      </c>
      <c r="BJ206" s="546">
        <f t="shared" si="306"/>
        <v>4.0269886363636362E-2</v>
      </c>
      <c r="BK206" s="546">
        <f t="shared" si="307"/>
        <v>3.1442133166134875E-3</v>
      </c>
      <c r="BL206" s="546">
        <f t="shared" si="308"/>
        <v>1.1892200816761367E-2</v>
      </c>
      <c r="BM206">
        <f t="shared" si="309"/>
        <v>4.3499999999999997E-3</v>
      </c>
      <c r="BO206" s="472">
        <f t="shared" si="310"/>
        <v>88.451910922251272</v>
      </c>
      <c r="BP206" s="546">
        <f t="shared" si="346"/>
        <v>0.14399999999999999</v>
      </c>
      <c r="BS206" s="472">
        <f t="shared" si="311"/>
        <v>144</v>
      </c>
      <c r="BT206" s="546">
        <f t="shared" si="347"/>
        <v>1.64546345287086E-2</v>
      </c>
      <c r="BU206" s="546">
        <f t="shared" si="348"/>
        <v>2.8207944906357595E-2</v>
      </c>
      <c r="BV206" s="546">
        <f t="shared" si="349"/>
        <v>2.014443336504915E-2</v>
      </c>
      <c r="BW206" s="546"/>
      <c r="BX206" s="546">
        <f t="shared" si="350"/>
        <v>6.0606060606060608E-2</v>
      </c>
      <c r="BY206" s="472">
        <f t="shared" si="312"/>
        <v>125.41307340617597</v>
      </c>
      <c r="BZ206" s="179">
        <f t="shared" si="351"/>
        <v>0.35786498432842723</v>
      </c>
      <c r="CA206" s="6">
        <f t="shared" si="352"/>
        <v>2.4</v>
      </c>
      <c r="CB206" s="179">
        <f t="shared" si="313"/>
        <v>0.87023839587434637</v>
      </c>
      <c r="CC206" s="6">
        <f t="shared" si="314"/>
        <v>87.023839587434637</v>
      </c>
      <c r="CF206" s="581">
        <f t="shared" si="353"/>
        <v>-50</v>
      </c>
      <c r="CG206">
        <f t="shared" si="354"/>
        <v>-50</v>
      </c>
    </row>
    <row r="207" spans="5:85" x14ac:dyDescent="0.2">
      <c r="E207" s="176">
        <v>97</v>
      </c>
      <c r="F207" s="223">
        <f t="shared" ref="F207:F210" si="374">IF(PLOT_TYPE=1, E207/100*Iout_max, min_I*EXP(N207*rr/100))</f>
        <v>0.48499999999999999</v>
      </c>
      <c r="G207" s="223"/>
      <c r="H207" s="223">
        <f t="shared" si="364"/>
        <v>2.4249999999999998</v>
      </c>
      <c r="I207" s="559">
        <f t="shared" si="316"/>
        <v>15</v>
      </c>
      <c r="J207" s="454">
        <f t="shared" si="317"/>
        <v>15.75</v>
      </c>
      <c r="K207" s="454">
        <f t="shared" si="318"/>
        <v>30.75</v>
      </c>
      <c r="L207" s="454"/>
      <c r="M207" s="223">
        <f t="shared" si="319"/>
        <v>0.51219512195121952</v>
      </c>
      <c r="N207" s="178">
        <f t="shared" si="365"/>
        <v>2.592987804878049</v>
      </c>
      <c r="O207" s="178">
        <f t="shared" si="360"/>
        <v>2.4249999999999998</v>
      </c>
      <c r="P207" s="223">
        <f t="shared" si="366"/>
        <v>0.51859756097560983</v>
      </c>
      <c r="Q207" s="223">
        <f t="shared" si="322"/>
        <v>5</v>
      </c>
      <c r="R207" s="223"/>
      <c r="S207" s="178">
        <f t="shared" si="323"/>
        <v>5.6500084338249144</v>
      </c>
      <c r="T207" s="554">
        <f t="shared" si="367"/>
        <v>5</v>
      </c>
      <c r="U207" s="223">
        <f t="shared" si="325"/>
        <v>0.70141093474426797</v>
      </c>
      <c r="V207" s="223">
        <f t="shared" si="368"/>
        <v>2.0574720752498523</v>
      </c>
      <c r="W207" s="223">
        <f t="shared" si="327"/>
        <v>1.9594972145236691</v>
      </c>
      <c r="X207" s="203">
        <f t="shared" si="328"/>
        <v>350</v>
      </c>
      <c r="Y207" s="454">
        <f t="shared" si="302"/>
        <v>248.94389970712982</v>
      </c>
      <c r="AA207" s="223">
        <f t="shared" si="329"/>
        <v>0.4988913525498892</v>
      </c>
      <c r="AB207" s="179">
        <f t="shared" si="369"/>
        <v>1.3937282229965158</v>
      </c>
      <c r="AC207" s="179">
        <f t="shared" si="370"/>
        <v>0.36504245308528482</v>
      </c>
      <c r="AD207" s="179"/>
      <c r="AE207" s="179">
        <f t="shared" si="332"/>
        <v>0.419047619047619</v>
      </c>
      <c r="AF207" s="563">
        <f t="shared" si="371"/>
        <v>5143.9393939393949</v>
      </c>
      <c r="AG207" s="546">
        <f t="shared" si="334"/>
        <v>3.2999999999999995E-2</v>
      </c>
      <c r="AI207" s="179">
        <f t="shared" si="335"/>
        <v>0.57504940499214341</v>
      </c>
      <c r="AJ207" s="179">
        <f t="shared" si="372"/>
        <v>0.70141093474426797</v>
      </c>
      <c r="AK207" s="179">
        <f t="shared" si="373"/>
        <v>1.6084525442550133</v>
      </c>
      <c r="AM207" s="563">
        <f t="shared" si="338"/>
        <v>485</v>
      </c>
      <c r="AN207" s="472">
        <f t="shared" si="339"/>
        <v>248.94389970712982</v>
      </c>
      <c r="AP207">
        <f t="shared" si="340"/>
        <v>485</v>
      </c>
      <c r="AQ207">
        <f t="shared" si="341"/>
        <v>248.94389970712982</v>
      </c>
      <c r="AS207" s="6">
        <f t="shared" si="361"/>
        <v>4.0169692897735212</v>
      </c>
      <c r="AT207" s="6">
        <f t="shared" si="342"/>
        <v>2.0574720752498523</v>
      </c>
      <c r="AU207" s="6">
        <f t="shared" si="303"/>
        <v>1.9594972145236689</v>
      </c>
      <c r="AV207" s="6"/>
      <c r="AW207" s="179">
        <f t="shared" si="304"/>
        <v>0.51219512195121952</v>
      </c>
      <c r="AX207" s="179">
        <f t="shared" si="357"/>
        <v>2.6944444444444442</v>
      </c>
      <c r="AY207" s="179">
        <f t="shared" si="358"/>
        <v>0.51322751322751314</v>
      </c>
      <c r="AZ207" s="179">
        <f t="shared" si="362"/>
        <v>5.25</v>
      </c>
      <c r="BA207" s="472">
        <f t="shared" si="343"/>
        <v>28.298334324806667</v>
      </c>
      <c r="BB207" s="472">
        <f t="shared" si="344"/>
        <v>24.968602600472821</v>
      </c>
      <c r="BC207" s="6">
        <f t="shared" si="356"/>
        <v>0.29331979908764788</v>
      </c>
      <c r="BD207" s="563">
        <f t="shared" si="345"/>
        <v>82.227895572892507</v>
      </c>
      <c r="BF207" s="179">
        <f t="shared" si="363"/>
        <v>0.28982084860166651</v>
      </c>
      <c r="BG207" s="179">
        <f t="shared" si="359"/>
        <v>0.84850856187711643</v>
      </c>
      <c r="BI207" s="546">
        <f t="shared" si="305"/>
        <v>2.9398643499466536E-2</v>
      </c>
      <c r="BJ207" s="546">
        <f t="shared" si="306"/>
        <v>4.0269886363636362E-2</v>
      </c>
      <c r="BK207" s="546">
        <f t="shared" si="307"/>
        <v>3.1117987463391227E-3</v>
      </c>
      <c r="BL207" s="546">
        <f t="shared" si="308"/>
        <v>1.1769600808341147E-2</v>
      </c>
      <c r="BM207">
        <f t="shared" si="309"/>
        <v>4.3499999999999997E-3</v>
      </c>
      <c r="BO207" s="472">
        <f t="shared" si="310"/>
        <v>88.899929417783184</v>
      </c>
      <c r="BP207" s="546">
        <f t="shared" si="346"/>
        <v>0.14549999999999999</v>
      </c>
      <c r="BS207" s="472">
        <f t="shared" si="311"/>
        <v>145.5</v>
      </c>
      <c r="BT207" s="546">
        <f t="shared" si="347"/>
        <v>1.6799224856838022E-2</v>
      </c>
      <c r="BU207" s="546">
        <f t="shared" si="348"/>
        <v>2.8798671183150892E-2</v>
      </c>
      <c r="BV207" s="546">
        <f t="shared" si="349"/>
        <v>2.0144433365049147E-2</v>
      </c>
      <c r="BW207" s="546"/>
      <c r="BX207" s="546">
        <f t="shared" si="350"/>
        <v>6.1237373737373743E-2</v>
      </c>
      <c r="BY207" s="472">
        <f t="shared" si="312"/>
        <v>126.97970314241181</v>
      </c>
      <c r="BZ207" s="179">
        <f t="shared" si="351"/>
        <v>0.36137963256019495</v>
      </c>
      <c r="CA207" s="6">
        <f t="shared" si="352"/>
        <v>2.4249999999999998</v>
      </c>
      <c r="CB207" s="179">
        <f t="shared" si="313"/>
        <v>0.87030495473865122</v>
      </c>
      <c r="CC207" s="6">
        <f t="shared" si="314"/>
        <v>87.030495473865116</v>
      </c>
      <c r="CF207" s="581">
        <f t="shared" si="353"/>
        <v>-50</v>
      </c>
      <c r="CG207">
        <f t="shared" si="354"/>
        <v>-50</v>
      </c>
    </row>
    <row r="208" spans="5:85" x14ac:dyDescent="0.2">
      <c r="E208" s="176">
        <v>98</v>
      </c>
      <c r="F208" s="223">
        <f t="shared" si="374"/>
        <v>0.49</v>
      </c>
      <c r="G208" s="223"/>
      <c r="H208" s="223">
        <f t="shared" si="364"/>
        <v>2.4500000000000002</v>
      </c>
      <c r="I208" s="559">
        <f t="shared" si="316"/>
        <v>15</v>
      </c>
      <c r="J208" s="454">
        <f t="shared" si="317"/>
        <v>15.75</v>
      </c>
      <c r="K208" s="454">
        <f t="shared" si="318"/>
        <v>30.75</v>
      </c>
      <c r="L208" s="454"/>
      <c r="M208" s="223">
        <f t="shared" si="319"/>
        <v>0.51219512195121952</v>
      </c>
      <c r="N208" s="178">
        <f t="shared" si="365"/>
        <v>2.592987804878049</v>
      </c>
      <c r="O208" s="178">
        <f t="shared" si="360"/>
        <v>2.4500000000000002</v>
      </c>
      <c r="P208" s="223">
        <f t="shared" si="366"/>
        <v>0.51859756097560983</v>
      </c>
      <c r="Q208" s="223">
        <f t="shared" si="322"/>
        <v>5</v>
      </c>
      <c r="R208" s="223"/>
      <c r="S208" s="178">
        <f t="shared" si="323"/>
        <v>5.5472520515095818</v>
      </c>
      <c r="T208" s="554">
        <f t="shared" si="367"/>
        <v>5</v>
      </c>
      <c r="U208" s="223">
        <f t="shared" si="325"/>
        <v>0.70864197530864204</v>
      </c>
      <c r="V208" s="223">
        <f t="shared" si="368"/>
        <v>2.0786831275720168</v>
      </c>
      <c r="W208" s="223">
        <f t="shared" si="327"/>
        <v>1.9796982167352539</v>
      </c>
      <c r="X208" s="203">
        <f t="shared" si="328"/>
        <v>350</v>
      </c>
      <c r="Y208" s="454">
        <f t="shared" si="302"/>
        <v>246.40365583256718</v>
      </c>
      <c r="AA208" s="223">
        <f t="shared" si="329"/>
        <v>0.4988913525498892</v>
      </c>
      <c r="AB208" s="179">
        <f t="shared" si="369"/>
        <v>1.3937282229965158</v>
      </c>
      <c r="AC208" s="179">
        <f t="shared" si="370"/>
        <v>0.36504245308528482</v>
      </c>
      <c r="AD208" s="179"/>
      <c r="AE208" s="179">
        <f t="shared" si="332"/>
        <v>0.419047619047619</v>
      </c>
      <c r="AF208" s="563">
        <f t="shared" si="371"/>
        <v>5196.9696969696979</v>
      </c>
      <c r="AG208" s="546">
        <f t="shared" si="334"/>
        <v>3.2999999999999995E-2</v>
      </c>
      <c r="AI208" s="179">
        <f t="shared" si="335"/>
        <v>0.57800597669133924</v>
      </c>
      <c r="AJ208" s="179">
        <f t="shared" si="372"/>
        <v>0.70864197530864204</v>
      </c>
      <c r="AK208" s="179">
        <f t="shared" si="373"/>
        <v>1.6138088705989941</v>
      </c>
      <c r="AM208" s="563">
        <f t="shared" si="338"/>
        <v>490</v>
      </c>
      <c r="AN208" s="472">
        <f t="shared" si="339"/>
        <v>246.40365583256718</v>
      </c>
      <c r="AP208">
        <f t="shared" si="340"/>
        <v>490</v>
      </c>
      <c r="AQ208">
        <f t="shared" si="341"/>
        <v>246.40365583256718</v>
      </c>
      <c r="AS208" s="6">
        <f t="shared" si="361"/>
        <v>4.0583813443072705</v>
      </c>
      <c r="AT208" s="6">
        <f t="shared" si="342"/>
        <v>2.0786831275720168</v>
      </c>
      <c r="AU208" s="6">
        <f t="shared" si="303"/>
        <v>1.9796982167352537</v>
      </c>
      <c r="AV208" s="6"/>
      <c r="AW208" s="179">
        <f t="shared" si="304"/>
        <v>0.51219512195121952</v>
      </c>
      <c r="AX208" s="179">
        <f t="shared" si="357"/>
        <v>2.7222222222222228</v>
      </c>
      <c r="AY208" s="179">
        <f t="shared" si="358"/>
        <v>0.5185185185185186</v>
      </c>
      <c r="AZ208" s="179">
        <f t="shared" si="362"/>
        <v>5.25</v>
      </c>
      <c r="BA208" s="472">
        <f t="shared" si="343"/>
        <v>28.298334324806667</v>
      </c>
      <c r="BB208" s="472">
        <f t="shared" si="344"/>
        <v>25.47091820330969</v>
      </c>
      <c r="BC208" s="6">
        <f t="shared" si="356"/>
        <v>0.2993988043828007</v>
      </c>
      <c r="BD208" s="563">
        <f t="shared" si="345"/>
        <v>83.541199221750404</v>
      </c>
      <c r="BF208" s="179">
        <f t="shared" si="363"/>
        <v>0.29280869240168378</v>
      </c>
      <c r="BG208" s="179">
        <f t="shared" si="359"/>
        <v>0.85725607282430338</v>
      </c>
      <c r="BI208" s="546">
        <f t="shared" si="305"/>
        <v>3.0007925621094351E-2</v>
      </c>
      <c r="BJ208" s="546">
        <f t="shared" si="306"/>
        <v>4.0269886363636362E-2</v>
      </c>
      <c r="BK208" s="546">
        <f t="shared" si="307"/>
        <v>3.0800456979070893E-3</v>
      </c>
      <c r="BL208" s="546">
        <f t="shared" si="308"/>
        <v>1.1649502840909091E-2</v>
      </c>
      <c r="BM208">
        <f t="shared" si="309"/>
        <v>4.3499999999999997E-3</v>
      </c>
      <c r="BO208" s="472">
        <f t="shared" si="310"/>
        <v>89.357360523546873</v>
      </c>
      <c r="BP208" s="546">
        <f t="shared" si="346"/>
        <v>0.14699999999999999</v>
      </c>
      <c r="BS208" s="472">
        <f t="shared" si="311"/>
        <v>147</v>
      </c>
      <c r="BT208" s="546">
        <f t="shared" si="347"/>
        <v>1.7147386069196774E-2</v>
      </c>
      <c r="BU208" s="546">
        <f t="shared" si="348"/>
        <v>2.9395518975765894E-2</v>
      </c>
      <c r="BV208" s="546">
        <f t="shared" si="349"/>
        <v>2.0144433365049116E-2</v>
      </c>
      <c r="BW208" s="546"/>
      <c r="BX208" s="546">
        <f t="shared" si="350"/>
        <v>6.1868686868686885E-2</v>
      </c>
      <c r="BY208" s="472">
        <f t="shared" si="312"/>
        <v>128.55602527869866</v>
      </c>
      <c r="BZ208" s="179">
        <f t="shared" si="351"/>
        <v>0.36491338580224558</v>
      </c>
      <c r="CA208" s="6">
        <f t="shared" si="352"/>
        <v>2.4500000000000002</v>
      </c>
      <c r="CB208" s="179">
        <f t="shared" si="313"/>
        <v>0.87036425786925375</v>
      </c>
      <c r="CC208" s="6">
        <f t="shared" si="314"/>
        <v>87.036425786925378</v>
      </c>
      <c r="CF208" s="581">
        <f t="shared" si="353"/>
        <v>-50</v>
      </c>
      <c r="CG208">
        <f t="shared" si="354"/>
        <v>-50</v>
      </c>
    </row>
    <row r="209" spans="5:87" x14ac:dyDescent="0.2">
      <c r="E209" s="176">
        <v>99</v>
      </c>
      <c r="F209" s="223">
        <f t="shared" si="374"/>
        <v>0.495</v>
      </c>
      <c r="G209" s="223"/>
      <c r="H209" s="223">
        <f t="shared" si="364"/>
        <v>2.4750000000000001</v>
      </c>
      <c r="I209" s="559">
        <f t="shared" si="316"/>
        <v>15</v>
      </c>
      <c r="J209" s="454">
        <f t="shared" si="317"/>
        <v>15.75</v>
      </c>
      <c r="K209" s="454">
        <f t="shared" si="318"/>
        <v>30.75</v>
      </c>
      <c r="L209" s="454"/>
      <c r="M209" s="223">
        <f t="shared" si="319"/>
        <v>0.51219512195121952</v>
      </c>
      <c r="N209" s="178">
        <f t="shared" si="365"/>
        <v>2.592987804878049</v>
      </c>
      <c r="O209" s="178">
        <f t="shared" si="360"/>
        <v>2.4750000000000001</v>
      </c>
      <c r="P209" s="223">
        <f t="shared" si="366"/>
        <v>0.51859756097560983</v>
      </c>
      <c r="Q209" s="223">
        <f t="shared" si="322"/>
        <v>5</v>
      </c>
      <c r="R209" s="223"/>
      <c r="S209" s="178">
        <f t="shared" si="323"/>
        <v>5.4466980824366003</v>
      </c>
      <c r="T209" s="554">
        <f t="shared" si="367"/>
        <v>5</v>
      </c>
      <c r="U209" s="223">
        <f t="shared" si="325"/>
        <v>0.71587301587301588</v>
      </c>
      <c r="V209" s="223">
        <f t="shared" si="368"/>
        <v>2.0998941798941799</v>
      </c>
      <c r="W209" s="223">
        <f t="shared" si="327"/>
        <v>1.9998992189468381</v>
      </c>
      <c r="X209" s="203">
        <f t="shared" si="328"/>
        <v>350</v>
      </c>
      <c r="Y209" s="454">
        <f t="shared" si="302"/>
        <v>243.91473001607662</v>
      </c>
      <c r="AA209" s="223">
        <f t="shared" si="329"/>
        <v>0.4988913525498892</v>
      </c>
      <c r="AB209" s="179">
        <f t="shared" si="369"/>
        <v>1.3937282229965158</v>
      </c>
      <c r="AC209" s="179">
        <f t="shared" si="370"/>
        <v>0.36504245308528482</v>
      </c>
      <c r="AD209" s="179"/>
      <c r="AE209" s="179">
        <f t="shared" si="332"/>
        <v>0.419047619047619</v>
      </c>
      <c r="AF209" s="563">
        <f t="shared" si="371"/>
        <v>5250.0000000000009</v>
      </c>
      <c r="AG209" s="546">
        <f t="shared" si="334"/>
        <v>3.2999999999999995E-2</v>
      </c>
      <c r="AI209" s="179">
        <f t="shared" si="335"/>
        <v>0.58094750193111255</v>
      </c>
      <c r="AJ209" s="179">
        <f t="shared" si="372"/>
        <v>0.71587301587301588</v>
      </c>
      <c r="AK209" s="179">
        <f t="shared" si="373"/>
        <v>1.6191651969429746</v>
      </c>
      <c r="AM209" s="563">
        <f t="shared" si="338"/>
        <v>495</v>
      </c>
      <c r="AN209" s="472">
        <f t="shared" si="339"/>
        <v>243.91473001607662</v>
      </c>
      <c r="AP209">
        <f t="shared" si="340"/>
        <v>495</v>
      </c>
      <c r="AQ209">
        <f t="shared" si="341"/>
        <v>243.91473001607662</v>
      </c>
      <c r="AS209" s="6">
        <f t="shared" si="361"/>
        <v>4.0997933988410171</v>
      </c>
      <c r="AT209" s="6">
        <f t="shared" si="342"/>
        <v>2.0998941798941799</v>
      </c>
      <c r="AU209" s="6">
        <f t="shared" si="303"/>
        <v>1.9998992189468372</v>
      </c>
      <c r="AV209" s="6"/>
      <c r="AW209" s="179">
        <f t="shared" si="304"/>
        <v>0.51219512195121963</v>
      </c>
      <c r="AX209" s="179">
        <f t="shared" si="357"/>
        <v>2.7500000000000004</v>
      </c>
      <c r="AY209" s="179">
        <f t="shared" si="358"/>
        <v>0.52380952380952361</v>
      </c>
      <c r="AZ209" s="179">
        <f t="shared" si="362"/>
        <v>5.2500000000000027</v>
      </c>
      <c r="BA209" s="472">
        <f t="shared" si="343"/>
        <v>28.298334324806667</v>
      </c>
      <c r="BB209" s="472">
        <f t="shared" si="344"/>
        <v>25.97823191489362</v>
      </c>
      <c r="BC209" s="6">
        <f t="shared" si="356"/>
        <v>0.30554015845021115</v>
      </c>
      <c r="BD209" s="563">
        <f t="shared" si="345"/>
        <v>84.865574501075926</v>
      </c>
      <c r="BF209" s="179">
        <f t="shared" si="363"/>
        <v>0.29579653620170099</v>
      </c>
      <c r="BG209" s="179">
        <f t="shared" si="359"/>
        <v>0.86600358377149</v>
      </c>
      <c r="BI209" s="546">
        <f t="shared" si="305"/>
        <v>3.062345679012347E-2</v>
      </c>
      <c r="BJ209" s="546">
        <f t="shared" si="306"/>
        <v>4.0269886363636362E-2</v>
      </c>
      <c r="BK209" s="546">
        <f t="shared" si="307"/>
        <v>3.0489341252009573E-3</v>
      </c>
      <c r="BL209" s="546">
        <f t="shared" si="308"/>
        <v>1.1531831095041323E-2</v>
      </c>
      <c r="BM209">
        <f t="shared" si="309"/>
        <v>4.3499999999999997E-3</v>
      </c>
      <c r="BO209" s="472">
        <f t="shared" si="310"/>
        <v>89.824108374002122</v>
      </c>
      <c r="BP209" s="546">
        <f t="shared" si="346"/>
        <v>0.14849999999999999</v>
      </c>
      <c r="BS209" s="472">
        <f t="shared" si="311"/>
        <v>148.5</v>
      </c>
      <c r="BT209" s="546">
        <f t="shared" si="347"/>
        <v>1.7499118165784842E-2</v>
      </c>
      <c r="BU209" s="546">
        <f t="shared" si="348"/>
        <v>2.9998488284202564E-2</v>
      </c>
      <c r="BV209" s="546">
        <f t="shared" si="349"/>
        <v>2.0144433365049147E-2</v>
      </c>
      <c r="BW209" s="546"/>
      <c r="BX209" s="546">
        <f t="shared" si="350"/>
        <v>6.2500000000000014E-2</v>
      </c>
      <c r="BY209" s="472">
        <f t="shared" si="312"/>
        <v>130.14203981503658</v>
      </c>
      <c r="BZ209" s="179">
        <f t="shared" si="351"/>
        <v>0.36846614818903867</v>
      </c>
      <c r="CA209" s="6">
        <f t="shared" si="352"/>
        <v>2.4750000000000001</v>
      </c>
      <c r="CB209" s="179">
        <f t="shared" si="313"/>
        <v>0.87041655184686861</v>
      </c>
      <c r="CC209" s="6">
        <f t="shared" si="314"/>
        <v>87.04165518468686</v>
      </c>
      <c r="CF209" s="581">
        <f t="shared" si="353"/>
        <v>-50</v>
      </c>
      <c r="CG209">
        <f t="shared" si="354"/>
        <v>-50</v>
      </c>
    </row>
    <row r="210" spans="5:87" x14ac:dyDescent="0.2">
      <c r="E210" s="176">
        <v>100</v>
      </c>
      <c r="F210" s="223">
        <f t="shared" si="374"/>
        <v>0.5</v>
      </c>
      <c r="G210" s="223"/>
      <c r="H210" s="223">
        <f t="shared" si="364"/>
        <v>2.5</v>
      </c>
      <c r="I210" s="559">
        <f t="shared" si="316"/>
        <v>15</v>
      </c>
      <c r="J210" s="454">
        <f t="shared" si="317"/>
        <v>15.75</v>
      </c>
      <c r="K210" s="454">
        <f t="shared" si="318"/>
        <v>30.75</v>
      </c>
      <c r="L210" s="454"/>
      <c r="M210" s="223">
        <f t="shared" si="319"/>
        <v>0.51219512195121952</v>
      </c>
      <c r="N210" s="178">
        <f t="shared" si="365"/>
        <v>2.592987804878049</v>
      </c>
      <c r="O210" s="178">
        <f t="shared" si="360"/>
        <v>2.5</v>
      </c>
      <c r="P210" s="223">
        <f t="shared" si="366"/>
        <v>0.51859756097560983</v>
      </c>
      <c r="Q210" s="223">
        <f t="shared" si="322"/>
        <v>5</v>
      </c>
      <c r="R210" s="223"/>
      <c r="S210" s="178">
        <f t="shared" si="323"/>
        <v>5.3482827555487544</v>
      </c>
      <c r="T210" s="554">
        <f t="shared" si="367"/>
        <v>5</v>
      </c>
      <c r="U210" s="223">
        <f t="shared" si="325"/>
        <v>0.72310405643738973</v>
      </c>
      <c r="V210" s="223">
        <f t="shared" si="368"/>
        <v>2.1211052322163431</v>
      </c>
      <c r="W210" s="223">
        <f t="shared" si="327"/>
        <v>2.020100221158422</v>
      </c>
      <c r="X210" s="203">
        <f t="shared" si="328"/>
        <v>350</v>
      </c>
      <c r="Y210" s="454">
        <f t="shared" si="302"/>
        <v>241.47558271591589</v>
      </c>
      <c r="AA210" s="223">
        <f t="shared" si="329"/>
        <v>0.4988913525498892</v>
      </c>
      <c r="AB210" s="179">
        <f t="shared" si="369"/>
        <v>1.3937282229965158</v>
      </c>
      <c r="AC210" s="179">
        <f t="shared" si="370"/>
        <v>0.36504245308528482</v>
      </c>
      <c r="AD210" s="179"/>
      <c r="AE210" s="179">
        <f t="shared" si="332"/>
        <v>0.419047619047619</v>
      </c>
      <c r="AF210" s="563">
        <f t="shared" si="371"/>
        <v>5303.0303030303039</v>
      </c>
      <c r="AG210" s="546">
        <f t="shared" si="334"/>
        <v>3.2999999999999995E-2</v>
      </c>
      <c r="AI210" s="179">
        <f t="shared" si="335"/>
        <v>0.58387420812114221</v>
      </c>
      <c r="AJ210" s="179">
        <f t="shared" si="372"/>
        <v>0.72310405643738973</v>
      </c>
      <c r="AK210" s="179">
        <f t="shared" si="373"/>
        <v>1.6245215232869552</v>
      </c>
      <c r="AM210" s="563">
        <f t="shared" si="338"/>
        <v>500</v>
      </c>
      <c r="AN210" s="472">
        <f t="shared" si="339"/>
        <v>241.47558271591589</v>
      </c>
      <c r="AP210">
        <f t="shared" si="340"/>
        <v>500</v>
      </c>
      <c r="AQ210">
        <f t="shared" si="341"/>
        <v>241.47558271591589</v>
      </c>
      <c r="AS210" s="6">
        <f t="shared" si="361"/>
        <v>4.1412054533747646</v>
      </c>
      <c r="AT210" s="6">
        <f t="shared" si="342"/>
        <v>2.1211052322163431</v>
      </c>
      <c r="AU210" s="6">
        <f t="shared" si="303"/>
        <v>2.0201002211584216</v>
      </c>
      <c r="AV210" s="6"/>
      <c r="AW210" s="179">
        <f t="shared" si="304"/>
        <v>0.51219512195121952</v>
      </c>
      <c r="AX210" s="179">
        <f t="shared" si="357"/>
        <v>2.7777777777777777</v>
      </c>
      <c r="AY210" s="179">
        <f t="shared" si="358"/>
        <v>0.52910052910052907</v>
      </c>
      <c r="AZ210" s="179">
        <f t="shared" si="362"/>
        <v>5.25</v>
      </c>
      <c r="BA210" s="472">
        <f t="shared" si="343"/>
        <v>28.298334324806667</v>
      </c>
      <c r="BB210" s="472">
        <f t="shared" si="344"/>
        <v>26.490543735224591</v>
      </c>
      <c r="BC210" s="6">
        <f t="shared" si="356"/>
        <v>0.3117438612898798</v>
      </c>
      <c r="BD210" s="563">
        <f t="shared" si="345"/>
        <v>86.201021410869103</v>
      </c>
      <c r="BF210" s="179">
        <f t="shared" si="363"/>
        <v>0.29878438000171809</v>
      </c>
      <c r="BG210" s="179">
        <f t="shared" si="359"/>
        <v>0.87475109471867685</v>
      </c>
      <c r="BI210" s="546">
        <f t="shared" si="305"/>
        <v>3.1245237006553874E-2</v>
      </c>
      <c r="BJ210" s="546">
        <f t="shared" si="306"/>
        <v>4.0269886363636362E-2</v>
      </c>
      <c r="BK210" s="546">
        <f t="shared" si="307"/>
        <v>3.0184447839489486E-3</v>
      </c>
      <c r="BL210" s="546">
        <f t="shared" si="308"/>
        <v>1.1416512784090912E-2</v>
      </c>
      <c r="BM210">
        <f t="shared" si="309"/>
        <v>4.3499999999999997E-3</v>
      </c>
      <c r="BO210" s="472">
        <f t="shared" si="310"/>
        <v>90.300080938230082</v>
      </c>
      <c r="BP210" s="546">
        <f t="shared" si="346"/>
        <v>0.15</v>
      </c>
      <c r="BS210" s="472">
        <f t="shared" si="311"/>
        <v>150</v>
      </c>
      <c r="BT210" s="546">
        <f t="shared" si="347"/>
        <v>1.7854421146602215E-2</v>
      </c>
      <c r="BU210" s="546">
        <f t="shared" si="348"/>
        <v>3.0607579108460944E-2</v>
      </c>
      <c r="BV210" s="546">
        <f t="shared" si="349"/>
        <v>2.0144433365049178E-2</v>
      </c>
      <c r="BW210" s="546"/>
      <c r="BX210" s="546">
        <f t="shared" si="350"/>
        <v>6.3131313131313149E-2</v>
      </c>
      <c r="BY210" s="472">
        <f t="shared" si="312"/>
        <v>131.73774675142548</v>
      </c>
      <c r="BZ210" s="179">
        <f t="shared" si="351"/>
        <v>0.3720378276896556</v>
      </c>
      <c r="CA210" s="6">
        <f t="shared" si="352"/>
        <v>2.5</v>
      </c>
      <c r="CB210" s="179">
        <f t="shared" si="313"/>
        <v>0.87046207257341979</v>
      </c>
      <c r="CC210" s="6">
        <f t="shared" si="314"/>
        <v>87.046207257341976</v>
      </c>
      <c r="CF210" s="581">
        <f t="shared" si="353"/>
        <v>-50</v>
      </c>
      <c r="CG210">
        <f t="shared" si="354"/>
        <v>-50</v>
      </c>
    </row>
    <row r="211" spans="5:87" x14ac:dyDescent="0.2">
      <c r="E211" s="176"/>
      <c r="F211" s="223"/>
      <c r="G211" s="223"/>
      <c r="H211" s="223"/>
      <c r="I211" s="559"/>
      <c r="J211" s="454"/>
      <c r="K211" s="454"/>
      <c r="L211" s="454"/>
      <c r="M211" s="223"/>
      <c r="N211" s="178"/>
      <c r="O211" s="178"/>
      <c r="P211" s="223"/>
      <c r="Q211" s="223"/>
      <c r="R211" s="223"/>
      <c r="S211" s="178"/>
      <c r="T211" s="554"/>
      <c r="U211" s="223"/>
      <c r="V211" s="223"/>
      <c r="W211" s="223"/>
      <c r="X211" s="203"/>
      <c r="Y211" s="454"/>
      <c r="AA211" s="223"/>
      <c r="AB211" s="179"/>
      <c r="AC211" s="179"/>
      <c r="AD211" s="179"/>
      <c r="AE211" s="179"/>
      <c r="AF211" s="563"/>
      <c r="AG211" s="546"/>
      <c r="AI211" s="179"/>
      <c r="AJ211" s="179"/>
      <c r="AK211" s="179"/>
      <c r="AM211" s="563"/>
      <c r="AN211" s="472"/>
      <c r="AS211" s="6"/>
      <c r="AT211" s="6"/>
      <c r="AU211" s="6"/>
      <c r="AV211" s="6"/>
      <c r="AW211" s="179"/>
      <c r="AX211" s="179"/>
      <c r="BA211" s="472"/>
      <c r="BB211" s="472"/>
      <c r="BC211" s="6"/>
      <c r="BD211" s="563"/>
      <c r="CF211" s="581"/>
      <c r="CH211" s="548">
        <f>MAX(CG110:CG210)</f>
        <v>-50</v>
      </c>
      <c r="CI211" s="78" t="s">
        <v>45</v>
      </c>
    </row>
    <row r="212" spans="5:87" x14ac:dyDescent="0.2">
      <c r="E212" s="665">
        <v>101</v>
      </c>
      <c r="F212" s="666">
        <f>Ioutmax_Vinmin</f>
        <v>0.51859756097560983</v>
      </c>
      <c r="H212" s="223">
        <f t="shared" ref="H212" si="375">F212*Vout</f>
        <v>2.592987804878049</v>
      </c>
      <c r="I212" s="559">
        <f t="shared" si="316"/>
        <v>15</v>
      </c>
      <c r="J212" s="454">
        <f t="shared" ref="J212" si="376">(T212+Vfwd1)*Nps</f>
        <v>15.749999999999993</v>
      </c>
      <c r="K212" s="454">
        <f t="shared" ref="K212" si="377">(Vout+Vfwd1)*Nps+I212</f>
        <v>30.75</v>
      </c>
      <c r="L212" s="454"/>
      <c r="M212" s="223">
        <f t="shared" ref="M212" si="378">(Vout+Vfwd1)*Nps/((Vout+Vfwd1)*Nps+I212)</f>
        <v>0.51219512195121952</v>
      </c>
      <c r="N212" s="178">
        <f t="shared" ref="N212" si="379">M212*I212*Isw_max*0.5*Efficiency</f>
        <v>2.592987804878049</v>
      </c>
      <c r="O212" s="178">
        <f t="shared" ref="O212" si="380">T212*F212</f>
        <v>2.5929878048780477</v>
      </c>
      <c r="P212" s="223">
        <f t="shared" ref="P212" si="381">N212/Vout</f>
        <v>0.51859756097560983</v>
      </c>
      <c r="Q212" s="223">
        <f t="shared" ref="Q212" si="382">MIN(Vout,N212/F212)</f>
        <v>5</v>
      </c>
      <c r="R212" s="223"/>
      <c r="S212" s="178">
        <f t="shared" ref="S212" si="383">(SQRT(Isw_max^2*Nps^2*I212^2+4*Isw_max*F212/Efficiency*(Nps^2*Vfwd1*I212-Nps*I212^2)+4*(F212/Efficiency)^2*Nps^2*Vfwd1^2+8*(F212/Efficiency)^2*Nps*Vfwd1*I212+4*(F212/Efficiency)^2*I212^2)-2*F212/Efficiency*I212-2*F212/Efficiency*Nps*Vfwd1+Isw_max*Nps*I212)/(4*F212/Efficiency*Nps)</f>
        <v>4.9999999999999973</v>
      </c>
      <c r="T212" s="554">
        <f t="shared" ref="T212" si="384">MIN(Vout, S212)</f>
        <v>4.9999999999999973</v>
      </c>
      <c r="U212" s="223">
        <f t="shared" ref="U212" si="385">MIN(2*Vout*F212/(Efficiency*I212*M212), Isw_max)</f>
        <v>0.75</v>
      </c>
      <c r="V212" s="223">
        <f t="shared" ref="V212" si="386">L*U212/I212*1000000</f>
        <v>2.2000000000000002</v>
      </c>
      <c r="W212" s="223">
        <f t="shared" ref="W212" si="387">L*U212/J212*1000000</f>
        <v>2.0952380952380962</v>
      </c>
      <c r="X212" s="203">
        <f t="shared" ref="X212" si="388">IF(1/((350000*L)*(1/I212+1/J212))&gt;Isw_min, 350, 0.001/((Isw_min*L)*(1/I212+1/J212)))</f>
        <v>350</v>
      </c>
      <c r="Y212" s="454">
        <f t="shared" ref="Y212" si="389">MIN(1/(V212+W212)*1000, 350)</f>
        <v>232.81596452328154</v>
      </c>
      <c r="AA212" s="223">
        <f t="shared" ref="AA212" si="390">1/((X212*1000*L)*(1/I212+1/J212))</f>
        <v>0.49889135254988898</v>
      </c>
      <c r="AB212" s="179">
        <f t="shared" ref="AB212" si="391">L*AA212/J212*1000000</f>
        <v>1.3937282229965158</v>
      </c>
      <c r="AC212" s="179">
        <f t="shared" ref="AC212" si="392">0.5*AB212*AA212*Nps*X212/1000</f>
        <v>0.36504245308528466</v>
      </c>
      <c r="AD212" s="179"/>
      <c r="AE212" s="179">
        <f t="shared" ref="AE212" si="393">L*Isw_min/J212*1000000</f>
        <v>0.41904761904761922</v>
      </c>
      <c r="AF212" s="563">
        <f t="shared" ref="AF212" si="394">MAX(10000,F212/(0.5*AE212/1000000*Isw_min*Nps))/1000</f>
        <v>5500.2771618625256</v>
      </c>
      <c r="AG212" s="546">
        <f t="shared" ref="AG212" si="395">0.5*AE212/1000000*Isw_min*Nps*X212*1000</f>
        <v>3.3000000000000008E-2</v>
      </c>
      <c r="AI212" s="179">
        <f t="shared" ref="AI212" si="396">SQRT(F212/(0.5*L/J212*Fsw_DCM*Nps))</f>
        <v>0.59463370752063316</v>
      </c>
      <c r="AJ212" s="179">
        <f t="shared" ref="AJ212" si="397">MAX(IF(F212&gt;AC212,U212,AI212),Isw_min)</f>
        <v>0.75</v>
      </c>
      <c r="AK212" s="179">
        <f t="shared" ref="AK212" si="398">IF(F212&gt;AG212, (AJ212-Isw_min)/1.08*0.8+1.2, AF212*0.2/350+1)</f>
        <v>1.6444444444444444</v>
      </c>
      <c r="AM212" s="563">
        <f t="shared" ref="AM212" si="399">F212*1000</f>
        <v>518.59756097560978</v>
      </c>
      <c r="AN212" s="472">
        <f t="shared" ref="AN212" si="400">IF(F212&gt;AG212, Y212, AF212)</f>
        <v>232.81596452328154</v>
      </c>
      <c r="AS212" s="6">
        <f t="shared" ref="AS212" si="401">1/AN212*1000</f>
        <v>4.2952380952380969</v>
      </c>
      <c r="AT212" s="6">
        <f t="shared" ref="AT212" si="402">L*AJ212/I212*1000000</f>
        <v>2.2000000000000002</v>
      </c>
      <c r="AU212" s="6">
        <f t="shared" si="303"/>
        <v>2.0952380952380967</v>
      </c>
      <c r="AV212" s="6"/>
      <c r="AW212" s="179"/>
      <c r="AX212" s="179"/>
      <c r="BA212" s="472">
        <f>L*Isw_max^2/(2*Vout_ripple*Vout)*1000000000*((1+M212)/2)^2</f>
        <v>28.298334324806667</v>
      </c>
      <c r="BB212" s="472"/>
      <c r="BC212" s="6"/>
      <c r="BD212" s="563"/>
      <c r="CF212" s="581"/>
    </row>
    <row r="213" spans="5:87" x14ac:dyDescent="0.2">
      <c r="H213" s="223"/>
      <c r="I213" s="559"/>
      <c r="J213" s="454"/>
      <c r="K213" s="454"/>
      <c r="L213" s="454"/>
      <c r="M213" s="223"/>
      <c r="N213" s="178"/>
      <c r="O213" s="178"/>
      <c r="P213" s="223"/>
      <c r="Q213" s="223"/>
      <c r="R213" s="223"/>
      <c r="S213" s="178"/>
      <c r="T213" s="178"/>
      <c r="U213" s="223"/>
      <c r="V213" s="223"/>
      <c r="W213" s="223"/>
      <c r="X213" s="203"/>
      <c r="Y213" s="454"/>
      <c r="AA213" s="223"/>
      <c r="AB213" s="179"/>
      <c r="AC213" s="179"/>
      <c r="AD213" s="179"/>
      <c r="AE213" s="179"/>
      <c r="AF213" s="563"/>
      <c r="AI213" s="179"/>
      <c r="AJ213" s="179"/>
      <c r="AK213" s="179"/>
      <c r="AM213" s="563"/>
      <c r="AN213" s="472"/>
      <c r="AS213" s="6"/>
      <c r="AT213" s="6"/>
      <c r="AU213" s="6"/>
      <c r="AV213" s="6"/>
      <c r="AW213" s="179"/>
      <c r="AX213" s="179"/>
      <c r="BA213" s="472"/>
      <c r="BB213" s="472"/>
      <c r="BC213" s="6"/>
      <c r="BD213" s="563"/>
      <c r="CF213" s="581"/>
    </row>
    <row r="214" spans="5:87" x14ac:dyDescent="0.2">
      <c r="E214" s="456" t="s">
        <v>447</v>
      </c>
      <c r="H214" s="223"/>
      <c r="I214" s="559"/>
      <c r="J214" s="454"/>
      <c r="K214" s="454"/>
      <c r="L214" s="454"/>
      <c r="M214" s="223"/>
      <c r="N214" s="178"/>
      <c r="O214" s="178"/>
      <c r="P214" s="223"/>
      <c r="Q214" s="223"/>
      <c r="R214" s="223"/>
      <c r="S214" s="178"/>
      <c r="T214" s="178"/>
      <c r="U214" s="223"/>
      <c r="V214" s="223"/>
      <c r="W214" s="223"/>
      <c r="X214" s="203"/>
      <c r="Y214" s="454"/>
      <c r="AA214" s="223"/>
      <c r="AB214" s="179"/>
      <c r="AC214" s="179"/>
      <c r="AD214" s="179"/>
      <c r="AE214" s="179"/>
      <c r="AF214" s="563"/>
      <c r="AI214" s="179"/>
      <c r="AJ214" s="179"/>
      <c r="AK214" s="179"/>
      <c r="AM214" s="563"/>
      <c r="AN214" s="472"/>
      <c r="AS214" s="6"/>
      <c r="AT214" s="6"/>
      <c r="AU214" s="6"/>
      <c r="AV214" s="6"/>
      <c r="AW214" s="179"/>
      <c r="AX214" s="179"/>
      <c r="BA214" s="472"/>
      <c r="BB214" s="472"/>
      <c r="BC214" s="6"/>
      <c r="BD214" s="563"/>
      <c r="CF214" s="581"/>
    </row>
    <row r="215" spans="5:87" ht="45" customHeight="1" thickBot="1" x14ac:dyDescent="0.25">
      <c r="E215" s="247" t="s">
        <v>25</v>
      </c>
      <c r="F215" s="455" t="s">
        <v>195</v>
      </c>
      <c r="G215" s="266"/>
      <c r="H215" s="545" t="s">
        <v>224</v>
      </c>
      <c r="I215" s="248" t="s">
        <v>424</v>
      </c>
      <c r="J215" s="249" t="s">
        <v>430</v>
      </c>
      <c r="K215" s="545" t="s">
        <v>425</v>
      </c>
      <c r="L215" s="545"/>
      <c r="M215" s="250" t="s">
        <v>48</v>
      </c>
      <c r="N215" s="545" t="s">
        <v>414</v>
      </c>
      <c r="O215" s="178"/>
      <c r="P215" s="545" t="s">
        <v>415</v>
      </c>
      <c r="Q215" s="545" t="s">
        <v>445</v>
      </c>
      <c r="R215" s="545"/>
      <c r="S215" s="178"/>
      <c r="T215" s="178"/>
      <c r="U215" s="545" t="s">
        <v>426</v>
      </c>
      <c r="V215" s="545" t="s">
        <v>478</v>
      </c>
      <c r="W215" s="545" t="s">
        <v>477</v>
      </c>
      <c r="X215" s="565" t="s">
        <v>432</v>
      </c>
      <c r="Y215" s="560" t="s">
        <v>437</v>
      </c>
      <c r="AA215" s="251" t="s">
        <v>429</v>
      </c>
      <c r="AB215" s="251" t="s">
        <v>476</v>
      </c>
      <c r="AC215" s="251" t="s">
        <v>435</v>
      </c>
      <c r="AD215" s="562"/>
      <c r="AE215" s="251" t="s">
        <v>475</v>
      </c>
      <c r="AF215" s="251" t="s">
        <v>438</v>
      </c>
      <c r="AG215" s="251" t="s">
        <v>439</v>
      </c>
      <c r="AH215" s="562"/>
      <c r="AI215" s="251" t="s">
        <v>441</v>
      </c>
      <c r="AJ215" s="566" t="s">
        <v>442</v>
      </c>
      <c r="AK215" s="566" t="s">
        <v>443</v>
      </c>
      <c r="AM215" s="561" t="s">
        <v>276</v>
      </c>
      <c r="AN215" s="561" t="s">
        <v>444</v>
      </c>
      <c r="AP215" s="251" t="s">
        <v>276</v>
      </c>
      <c r="AQ215" s="251" t="s">
        <v>444</v>
      </c>
      <c r="AR215" s="567"/>
      <c r="AS215" s="251" t="s">
        <v>479</v>
      </c>
      <c r="AT215" s="251" t="s">
        <v>473</v>
      </c>
      <c r="AU215" s="251" t="s">
        <v>474</v>
      </c>
      <c r="AV215" s="251" t="s">
        <v>679</v>
      </c>
      <c r="AW215" s="251" t="s">
        <v>48</v>
      </c>
      <c r="AX215" s="567" t="s">
        <v>677</v>
      </c>
      <c r="AY215" s="562" t="s">
        <v>676</v>
      </c>
      <c r="AZ215" s="562" t="s">
        <v>678</v>
      </c>
      <c r="BA215" s="251" t="s">
        <v>494</v>
      </c>
      <c r="BB215" s="251" t="s">
        <v>709</v>
      </c>
      <c r="BC215" s="251" t="s">
        <v>529</v>
      </c>
      <c r="BD215" s="251" t="s">
        <v>710</v>
      </c>
      <c r="BE215" s="562"/>
      <c r="BF215" s="576" t="s">
        <v>468</v>
      </c>
      <c r="BG215" s="251" t="s">
        <v>469</v>
      </c>
      <c r="BH215" s="562"/>
      <c r="BI215" s="576" t="s">
        <v>486</v>
      </c>
      <c r="BJ215" s="251" t="s">
        <v>487</v>
      </c>
      <c r="BK215" s="251" t="s">
        <v>485</v>
      </c>
      <c r="BL215" s="251" t="s">
        <v>481</v>
      </c>
      <c r="BM215" s="251" t="s">
        <v>490</v>
      </c>
      <c r="BN215" s="251"/>
      <c r="BO215" s="251" t="s">
        <v>504</v>
      </c>
      <c r="BP215" s="576" t="s">
        <v>488</v>
      </c>
      <c r="BQ215" s="251" t="s">
        <v>489</v>
      </c>
      <c r="BR215" s="251" t="s">
        <v>496</v>
      </c>
      <c r="BS215" s="251" t="s">
        <v>500</v>
      </c>
      <c r="BT215" s="576" t="s">
        <v>470</v>
      </c>
      <c r="BU215" s="251" t="s">
        <v>471</v>
      </c>
      <c r="BV215" s="251" t="s">
        <v>480</v>
      </c>
      <c r="BW215" s="251"/>
      <c r="BX215" s="251" t="s">
        <v>497</v>
      </c>
      <c r="BY215" s="251" t="s">
        <v>499</v>
      </c>
      <c r="BZ215" s="576" t="s">
        <v>495</v>
      </c>
      <c r="CA215" s="251" t="s">
        <v>224</v>
      </c>
      <c r="CB215" s="251" t="s">
        <v>47</v>
      </c>
      <c r="CC215" s="251" t="s">
        <v>498</v>
      </c>
      <c r="CD215" s="251"/>
      <c r="CF215" s="581"/>
    </row>
    <row r="216" spans="5:87" x14ac:dyDescent="0.2">
      <c r="E216" s="176">
        <v>0.1</v>
      </c>
      <c r="F216" s="223">
        <v>1.0000000000000001E-9</v>
      </c>
      <c r="G216" s="223"/>
      <c r="H216" s="223">
        <f t="shared" ref="H216:H247" si="403">F216*Vout</f>
        <v>5.0000000000000001E-9</v>
      </c>
      <c r="I216" s="559">
        <f t="shared" ref="I216:I247" si="404">VIN_max</f>
        <v>48</v>
      </c>
      <c r="J216" s="454">
        <f t="shared" ref="J216:J247" si="405">(T216+Vfwd1)*Nps</f>
        <v>15.75</v>
      </c>
      <c r="K216" s="454">
        <f t="shared" ref="K216:K247" si="406">(Vout+Vfwd1)*Nps+I216</f>
        <v>63.75</v>
      </c>
      <c r="L216" s="454"/>
      <c r="M216" s="223">
        <f t="shared" ref="M216:M247" si="407">(Vout+Vfwd1)*Nps/((Vout+Vfwd1)*Nps+I216)</f>
        <v>0.24705882352941178</v>
      </c>
      <c r="N216" s="178">
        <f t="shared" ref="N216:N247" si="408">M216*I216*Isw_max*0.5*Efficiency</f>
        <v>4.0023529411764711</v>
      </c>
      <c r="O216" s="178">
        <f t="shared" si="360"/>
        <v>5.0000000000000001E-9</v>
      </c>
      <c r="P216" s="223">
        <f t="shared" ref="P216:P247" si="409">N216/Vout</f>
        <v>0.80047058823529427</v>
      </c>
      <c r="Q216" s="223">
        <f t="shared" ref="Q216:Q247" si="410">MIN(Vout,N216/F216)</f>
        <v>5</v>
      </c>
      <c r="R216" s="223"/>
      <c r="S216" s="178">
        <f t="shared" ref="S216:S247" si="411">(SQRT(Isw_max^2*Nps^2*I216^2+4*Isw_max*F216/Efficiency*(Nps^2*Vfwd1*I216-Nps*I216^2)+4*(F216/Efficiency)^2*Nps^2*Vfwd1^2+8*(F216/Efficiency)^2*Nps*Vfwd1*I216+4*(F216/Efficiency)^2*I216^2)-2*F216/Efficiency*I216-2*F216/Efficiency*Nps*Vfwd1+Isw_max*Nps*I216)/(4*F216/Efficiency*Nps)</f>
        <v>16199999984</v>
      </c>
      <c r="T216" s="178">
        <f t="shared" ref="T216:T247" si="412">MIN(Vout, S216)</f>
        <v>5</v>
      </c>
      <c r="U216" s="223">
        <f t="shared" ref="U216:U247" si="413">MIN(2*Vout*F216/(Efficiency*I216*M216), Isw_max)</f>
        <v>9.3694885361552023E-10</v>
      </c>
      <c r="V216" s="223">
        <f t="shared" ref="V216:V247" si="414">L*U216/I216*1000000</f>
        <v>8.5886978248089354E-10</v>
      </c>
      <c r="W216" s="223">
        <f t="shared" ref="W216:W247" si="415">L*U216/J216*1000000</f>
        <v>2.6175079085131995E-9</v>
      </c>
      <c r="X216" s="203">
        <f t="shared" ref="X216:X247" si="416">IF(1/((350000*L)*(1/I216+1/J216))&gt;Isw_min, 350, 0.001/((Isw_min*L)*(1/I216+1/J216)))</f>
        <v>350</v>
      </c>
      <c r="Y216" s="454">
        <f t="shared" ref="Y216:Y275" si="417">MIN(1/(V216+W216)*1000, 350)</f>
        <v>350</v>
      </c>
      <c r="AA216" s="223">
        <f t="shared" ref="AA216:AA247" si="418">1/((X216*1000*L)*(1/I216+1/J216))</f>
        <v>0.77005347593582896</v>
      </c>
      <c r="AB216" s="179">
        <f t="shared" ref="AB216:AB247" si="419">L*AA216/J216*1000000</f>
        <v>2.151260504201681</v>
      </c>
      <c r="AC216" s="179">
        <f t="shared" ref="AC216:AC247" si="420">0.5*AB216*AA216*Nps*X216/1000</f>
        <v>0.86970745517458337</v>
      </c>
      <c r="AD216" s="179"/>
      <c r="AE216" s="179">
        <f t="shared" ref="AE216:AE247" si="421">L*Isw_min/J216*1000000</f>
        <v>0.419047619047619</v>
      </c>
      <c r="AF216" s="563">
        <f t="shared" ref="AF216:AF247" si="422">MAX(10000,F216/(0.5*AE216/1000000*Isw_min*Nps))/1000</f>
        <v>10</v>
      </c>
      <c r="AG216" s="546">
        <f t="shared" ref="AG216:AG247" si="423">0.5*AE216/1000000*Isw_min*Nps*X216*1000</f>
        <v>3.2999999999999995E-2</v>
      </c>
      <c r="AI216" s="179">
        <f t="shared" ref="AI216:AI247" si="424">SQRT(F216/(0.5*L/J216*Fsw_DCM*Nps))</f>
        <v>2.6111648393354678E-5</v>
      </c>
      <c r="AJ216" s="179">
        <f t="shared" ref="AJ216:AJ247" si="425">MAX(IF(F216&gt;AC216,U216,AI216),Isw_min)</f>
        <v>0.15</v>
      </c>
      <c r="AK216" s="179">
        <f t="shared" ref="AK216:AK247" si="426">IF(F216&gt;AG216, (AJ216-Isw_min)/1.08*0.8+1.2, AF216*0.2/350+1)</f>
        <v>1.0057142857142858</v>
      </c>
      <c r="AM216" s="563">
        <f t="shared" ref="AM216:AM247" si="427">F216*1000</f>
        <v>1.0000000000000002E-6</v>
      </c>
      <c r="AN216" s="472">
        <f t="shared" ref="AN216:AN247" si="428">IF(F216&gt;AG216, Y216, AF216)</f>
        <v>10</v>
      </c>
      <c r="AP216">
        <f t="shared" ref="AP216:AP247" si="429">IF(H216&gt;N216, "",AM216)</f>
        <v>1.0000000000000002E-6</v>
      </c>
      <c r="AQ216">
        <f t="shared" ref="AQ216:AQ247" si="430">IF(H216&gt;N216, "",AN216)</f>
        <v>10</v>
      </c>
      <c r="AS216" s="6">
        <f t="shared" si="361"/>
        <v>100</v>
      </c>
      <c r="AT216" s="6">
        <f t="shared" ref="AT216:AT247" si="431">L*AJ216/I216*1000000</f>
        <v>0.13749999999999998</v>
      </c>
      <c r="AU216" s="6">
        <f t="shared" si="303"/>
        <v>99.862499999999997</v>
      </c>
      <c r="AV216" s="6"/>
      <c r="AW216" s="179">
        <f t="shared" si="304"/>
        <v>1.3749999999999999E-3</v>
      </c>
      <c r="AX216" s="179"/>
      <c r="BA216" s="472">
        <f t="shared" ref="BA216:BA247" si="432">L*Isw_max^2/(2*Vout_ripple*Vout)*1000000000*((1+M216)/2)^2</f>
        <v>19.245051903114188</v>
      </c>
      <c r="BB216" s="472">
        <f t="shared" ref="BB216:BB247" si="433">L*F216^2/(2*Cout*Vout*Nps^2)*1000000000*((1+M216)/(1-M216))^2+F216*RCoutEsr</f>
        <v>3.0000000285340948E-9</v>
      </c>
      <c r="BC216" s="6">
        <f t="shared" si="356"/>
        <v>9.6317997685185172E-9</v>
      </c>
      <c r="BD216" s="563">
        <f t="shared" ref="BD216:BD247" si="434">((CA216/I216/Efficiency)*AU216/Cin+(BY216/I216/Efficiency)*RCinEsr)*1000</f>
        <v>0</v>
      </c>
      <c r="CF216" s="581">
        <f t="shared" ref="CF216:CF247" si="435">IF(ABS(F216-Ioutmax_Vinmax)&lt;Iout/200, AN216, -50)</f>
        <v>-50</v>
      </c>
      <c r="CG216">
        <f t="shared" ref="CG216:CG247" si="436">IF(ABS(F216-Ioutmax_Vinmin)&lt;Iout/200, N216*CB216, -50)</f>
        <v>-50</v>
      </c>
    </row>
    <row r="217" spans="5:87" x14ac:dyDescent="0.2">
      <c r="E217" s="176">
        <v>1</v>
      </c>
      <c r="F217" s="223">
        <f t="shared" ref="F217:F248" si="437">IF(PLOT_TYPE=1, E217/100*Iout_max, min_I*EXP(N217*rr/100))</f>
        <v>5.0000000000000001E-3</v>
      </c>
      <c r="G217" s="223"/>
      <c r="H217" s="223">
        <f t="shared" si="403"/>
        <v>2.5000000000000001E-2</v>
      </c>
      <c r="I217" s="559">
        <f t="shared" si="404"/>
        <v>48</v>
      </c>
      <c r="J217" s="454">
        <f t="shared" si="405"/>
        <v>15.75</v>
      </c>
      <c r="K217" s="454">
        <f t="shared" si="406"/>
        <v>63.75</v>
      </c>
      <c r="L217" s="454"/>
      <c r="M217" s="223">
        <f t="shared" si="407"/>
        <v>0.24705882352941178</v>
      </c>
      <c r="N217" s="178">
        <f t="shared" si="408"/>
        <v>4.0023529411764711</v>
      </c>
      <c r="O217" s="178">
        <f t="shared" si="360"/>
        <v>2.5000000000000001E-2</v>
      </c>
      <c r="P217" s="223">
        <f t="shared" si="409"/>
        <v>0.80047058823529427</v>
      </c>
      <c r="Q217" s="223">
        <f t="shared" si="410"/>
        <v>5</v>
      </c>
      <c r="R217" s="223"/>
      <c r="S217" s="178">
        <f t="shared" si="411"/>
        <v>3224.0012405981115</v>
      </c>
      <c r="T217" s="178">
        <f t="shared" si="412"/>
        <v>5</v>
      </c>
      <c r="U217" s="223">
        <f t="shared" si="413"/>
        <v>4.6847442680776012E-3</v>
      </c>
      <c r="V217" s="223">
        <f t="shared" si="414"/>
        <v>4.2943489124044679E-3</v>
      </c>
      <c r="W217" s="223">
        <f t="shared" si="415"/>
        <v>1.3087539542565998E-2</v>
      </c>
      <c r="X217" s="203">
        <f t="shared" si="416"/>
        <v>350</v>
      </c>
      <c r="Y217" s="454">
        <f t="shared" si="417"/>
        <v>350</v>
      </c>
      <c r="AA217" s="223">
        <f t="shared" si="418"/>
        <v>0.77005347593582896</v>
      </c>
      <c r="AB217" s="179">
        <f t="shared" si="419"/>
        <v>2.151260504201681</v>
      </c>
      <c r="AC217" s="179">
        <f t="shared" si="420"/>
        <v>0.86970745517458337</v>
      </c>
      <c r="AD217" s="179"/>
      <c r="AE217" s="179">
        <f t="shared" si="421"/>
        <v>0.419047619047619</v>
      </c>
      <c r="AF217" s="563">
        <f t="shared" si="422"/>
        <v>53.030303030303038</v>
      </c>
      <c r="AG217" s="546">
        <f t="shared" si="423"/>
        <v>3.2999999999999995E-2</v>
      </c>
      <c r="AI217" s="179">
        <f t="shared" si="424"/>
        <v>5.8387420812114219E-2</v>
      </c>
      <c r="AJ217" s="179">
        <f t="shared" si="425"/>
        <v>0.15</v>
      </c>
      <c r="AK217" s="179">
        <f t="shared" si="426"/>
        <v>1.0303030303030303</v>
      </c>
      <c r="AM217" s="563">
        <f t="shared" si="427"/>
        <v>5</v>
      </c>
      <c r="AN217" s="472">
        <f t="shared" si="428"/>
        <v>53.030303030303038</v>
      </c>
      <c r="AP217">
        <f t="shared" si="429"/>
        <v>5</v>
      </c>
      <c r="AQ217">
        <f t="shared" si="430"/>
        <v>53.030303030303038</v>
      </c>
      <c r="AS217" s="6">
        <f t="shared" si="361"/>
        <v>18.857142857142854</v>
      </c>
      <c r="AT217" s="6">
        <f t="shared" si="431"/>
        <v>0.13749999999999998</v>
      </c>
      <c r="AU217" s="6">
        <f t="shared" si="303"/>
        <v>18.719642857142855</v>
      </c>
      <c r="AV217" s="6"/>
      <c r="AW217" s="179">
        <f t="shared" si="304"/>
        <v>7.2916666666666668E-3</v>
      </c>
      <c r="AX217" s="179"/>
      <c r="BA217" s="472">
        <f t="shared" si="432"/>
        <v>19.245051903114188</v>
      </c>
      <c r="BB217" s="472">
        <f t="shared" si="433"/>
        <v>1.5713352356678485E-2</v>
      </c>
      <c r="BC217" s="6">
        <f t="shared" si="356"/>
        <v>9.0276055445326266E-3</v>
      </c>
      <c r="BD217" s="563">
        <f t="shared" si="434"/>
        <v>0</v>
      </c>
      <c r="CF217" s="581">
        <f t="shared" si="435"/>
        <v>-50</v>
      </c>
      <c r="CG217">
        <f t="shared" si="436"/>
        <v>-50</v>
      </c>
    </row>
    <row r="218" spans="5:87" x14ac:dyDescent="0.2">
      <c r="E218" s="176">
        <v>2</v>
      </c>
      <c r="F218" s="223">
        <f t="shared" si="437"/>
        <v>0.01</v>
      </c>
      <c r="G218" s="223"/>
      <c r="H218" s="223">
        <f t="shared" si="403"/>
        <v>0.05</v>
      </c>
      <c r="I218" s="559">
        <f t="shared" si="404"/>
        <v>48</v>
      </c>
      <c r="J218" s="454">
        <f t="shared" si="405"/>
        <v>15.75</v>
      </c>
      <c r="K218" s="454">
        <f t="shared" si="406"/>
        <v>63.75</v>
      </c>
      <c r="L218" s="454"/>
      <c r="M218" s="223">
        <f t="shared" si="407"/>
        <v>0.24705882352941178</v>
      </c>
      <c r="N218" s="178">
        <f t="shared" si="408"/>
        <v>4.0023529411764711</v>
      </c>
      <c r="O218" s="178">
        <f t="shared" si="360"/>
        <v>0.05</v>
      </c>
      <c r="P218" s="223">
        <f t="shared" si="409"/>
        <v>0.80047058823529427</v>
      </c>
      <c r="Q218" s="223">
        <f t="shared" si="410"/>
        <v>5</v>
      </c>
      <c r="R218" s="223"/>
      <c r="S218" s="178">
        <f t="shared" si="411"/>
        <v>1604.0024933730922</v>
      </c>
      <c r="T218" s="178">
        <f t="shared" si="412"/>
        <v>5</v>
      </c>
      <c r="U218" s="223">
        <f t="shared" si="413"/>
        <v>9.3694885361552023E-3</v>
      </c>
      <c r="V218" s="223">
        <f t="shared" si="414"/>
        <v>8.5886978248089357E-3</v>
      </c>
      <c r="W218" s="223">
        <f t="shared" si="415"/>
        <v>2.6175079085131996E-2</v>
      </c>
      <c r="X218" s="203">
        <f t="shared" si="416"/>
        <v>350</v>
      </c>
      <c r="Y218" s="454">
        <f t="shared" si="417"/>
        <v>350</v>
      </c>
      <c r="AA218" s="223">
        <f t="shared" si="418"/>
        <v>0.77005347593582896</v>
      </c>
      <c r="AB218" s="179">
        <f t="shared" si="419"/>
        <v>2.151260504201681</v>
      </c>
      <c r="AC218" s="179">
        <f t="shared" si="420"/>
        <v>0.86970745517458337</v>
      </c>
      <c r="AD218" s="179"/>
      <c r="AE218" s="179">
        <f t="shared" si="421"/>
        <v>0.419047619047619</v>
      </c>
      <c r="AF218" s="563">
        <f t="shared" si="422"/>
        <v>106.06060606060608</v>
      </c>
      <c r="AG218" s="546">
        <f t="shared" si="423"/>
        <v>3.2999999999999995E-2</v>
      </c>
      <c r="AI218" s="179">
        <f t="shared" si="424"/>
        <v>8.2572282384477044E-2</v>
      </c>
      <c r="AJ218" s="179">
        <f t="shared" si="425"/>
        <v>0.15</v>
      </c>
      <c r="AK218" s="179">
        <f t="shared" si="426"/>
        <v>1.0606060606060606</v>
      </c>
      <c r="AM218" s="563">
        <f t="shared" si="427"/>
        <v>10</v>
      </c>
      <c r="AN218" s="472">
        <f t="shared" si="428"/>
        <v>106.06060606060608</v>
      </c>
      <c r="AP218">
        <f t="shared" si="429"/>
        <v>10</v>
      </c>
      <c r="AQ218">
        <f t="shared" si="430"/>
        <v>106.06060606060608</v>
      </c>
      <c r="AS218" s="6">
        <f t="shared" si="361"/>
        <v>9.428571428571427</v>
      </c>
      <c r="AT218" s="6">
        <f t="shared" si="431"/>
        <v>0.13749999999999998</v>
      </c>
      <c r="AU218" s="6">
        <f t="shared" si="303"/>
        <v>9.2910714285714278</v>
      </c>
      <c r="AV218" s="6"/>
      <c r="AW218" s="179">
        <f t="shared" si="304"/>
        <v>1.4583333333333334E-2</v>
      </c>
      <c r="AX218" s="179"/>
      <c r="BA218" s="472">
        <f t="shared" si="432"/>
        <v>19.245051903114188</v>
      </c>
      <c r="BB218" s="472">
        <f t="shared" si="433"/>
        <v>3.2853409426713949E-2</v>
      </c>
      <c r="BC218" s="6">
        <f t="shared" si="356"/>
        <v>8.9612957451499116E-3</v>
      </c>
      <c r="BD218" s="563">
        <f t="shared" si="434"/>
        <v>0</v>
      </c>
      <c r="CF218" s="581">
        <f t="shared" si="435"/>
        <v>-50</v>
      </c>
      <c r="CG218">
        <f t="shared" si="436"/>
        <v>-50</v>
      </c>
    </row>
    <row r="219" spans="5:87" x14ac:dyDescent="0.2">
      <c r="E219" s="176">
        <v>3</v>
      </c>
      <c r="F219" s="223">
        <f t="shared" si="437"/>
        <v>1.4999999999999999E-2</v>
      </c>
      <c r="G219" s="223"/>
      <c r="H219" s="223">
        <f t="shared" si="403"/>
        <v>7.4999999999999997E-2</v>
      </c>
      <c r="I219" s="559">
        <f t="shared" si="404"/>
        <v>48</v>
      </c>
      <c r="J219" s="454">
        <f t="shared" si="405"/>
        <v>15.75</v>
      </c>
      <c r="K219" s="454">
        <f t="shared" si="406"/>
        <v>63.75</v>
      </c>
      <c r="L219" s="454"/>
      <c r="M219" s="223">
        <f t="shared" si="407"/>
        <v>0.24705882352941178</v>
      </c>
      <c r="N219" s="178">
        <f t="shared" si="408"/>
        <v>4.0023529411764711</v>
      </c>
      <c r="O219" s="178">
        <f t="shared" si="360"/>
        <v>7.4999999999999997E-2</v>
      </c>
      <c r="P219" s="223">
        <f t="shared" si="409"/>
        <v>0.80047058823529427</v>
      </c>
      <c r="Q219" s="223">
        <f t="shared" si="410"/>
        <v>5</v>
      </c>
      <c r="R219" s="223"/>
      <c r="S219" s="178">
        <f t="shared" si="411"/>
        <v>1064.0037585021128</v>
      </c>
      <c r="T219" s="178">
        <f t="shared" si="412"/>
        <v>5</v>
      </c>
      <c r="U219" s="223">
        <f t="shared" si="413"/>
        <v>1.4054232804232803E-2</v>
      </c>
      <c r="V219" s="223">
        <f t="shared" si="414"/>
        <v>1.2883046737213404E-2</v>
      </c>
      <c r="W219" s="223">
        <f t="shared" si="415"/>
        <v>3.926261862769799E-2</v>
      </c>
      <c r="X219" s="203">
        <f t="shared" si="416"/>
        <v>350</v>
      </c>
      <c r="Y219" s="454">
        <f t="shared" si="417"/>
        <v>350</v>
      </c>
      <c r="AA219" s="223">
        <f t="shared" si="418"/>
        <v>0.77005347593582896</v>
      </c>
      <c r="AB219" s="179">
        <f t="shared" si="419"/>
        <v>2.151260504201681</v>
      </c>
      <c r="AC219" s="179">
        <f t="shared" si="420"/>
        <v>0.86970745517458337</v>
      </c>
      <c r="AD219" s="179"/>
      <c r="AE219" s="179">
        <f t="shared" si="421"/>
        <v>0.419047619047619</v>
      </c>
      <c r="AF219" s="563">
        <f t="shared" si="422"/>
        <v>159.09090909090912</v>
      </c>
      <c r="AG219" s="546">
        <f t="shared" si="423"/>
        <v>3.2999999999999995E-2</v>
      </c>
      <c r="AI219" s="179">
        <f t="shared" si="424"/>
        <v>0.1011299793694863</v>
      </c>
      <c r="AJ219" s="179">
        <f t="shared" si="425"/>
        <v>0.15</v>
      </c>
      <c r="AK219" s="179">
        <f t="shared" si="426"/>
        <v>1.0909090909090908</v>
      </c>
      <c r="AM219" s="563">
        <f t="shared" si="427"/>
        <v>15</v>
      </c>
      <c r="AN219" s="472">
        <f t="shared" si="428"/>
        <v>159.09090909090912</v>
      </c>
      <c r="AP219">
        <f t="shared" si="429"/>
        <v>15</v>
      </c>
      <c r="AQ219">
        <f t="shared" si="430"/>
        <v>159.09090909090912</v>
      </c>
      <c r="AS219" s="6">
        <f t="shared" si="361"/>
        <v>6.2857142857142838</v>
      </c>
      <c r="AT219" s="6">
        <f t="shared" si="431"/>
        <v>0.13749999999999998</v>
      </c>
      <c r="AU219" s="6">
        <f t="shared" si="303"/>
        <v>6.1482142857142836</v>
      </c>
      <c r="AV219" s="6"/>
      <c r="AW219" s="179">
        <f t="shared" si="304"/>
        <v>2.1875000000000006E-2</v>
      </c>
      <c r="AX219" s="179"/>
      <c r="BA219" s="472">
        <f t="shared" si="432"/>
        <v>19.245051903114188</v>
      </c>
      <c r="BB219" s="472">
        <f t="shared" si="433"/>
        <v>5.1420171210106377E-2</v>
      </c>
      <c r="BC219" s="6">
        <f t="shared" si="356"/>
        <v>8.8949859457671896E-3</v>
      </c>
      <c r="BD219" s="563">
        <f t="shared" si="434"/>
        <v>0</v>
      </c>
      <c r="CF219" s="581">
        <f t="shared" si="435"/>
        <v>-50</v>
      </c>
      <c r="CG219">
        <f t="shared" si="436"/>
        <v>-50</v>
      </c>
    </row>
    <row r="220" spans="5:87" x14ac:dyDescent="0.2">
      <c r="E220" s="176">
        <v>4</v>
      </c>
      <c r="F220" s="223">
        <f t="shared" si="437"/>
        <v>0.02</v>
      </c>
      <c r="G220" s="223"/>
      <c r="H220" s="223">
        <f t="shared" si="403"/>
        <v>0.1</v>
      </c>
      <c r="I220" s="559">
        <f t="shared" si="404"/>
        <v>48</v>
      </c>
      <c r="J220" s="454">
        <f t="shared" si="405"/>
        <v>15.75</v>
      </c>
      <c r="K220" s="454">
        <f t="shared" si="406"/>
        <v>63.75</v>
      </c>
      <c r="L220" s="454"/>
      <c r="M220" s="223">
        <f t="shared" si="407"/>
        <v>0.24705882352941178</v>
      </c>
      <c r="N220" s="178">
        <f t="shared" si="408"/>
        <v>4.0023529411764711</v>
      </c>
      <c r="O220" s="178">
        <f t="shared" si="360"/>
        <v>0.1</v>
      </c>
      <c r="P220" s="223">
        <f t="shared" si="409"/>
        <v>0.80047058823529427</v>
      </c>
      <c r="Q220" s="223">
        <f t="shared" si="410"/>
        <v>5</v>
      </c>
      <c r="R220" s="223"/>
      <c r="S220" s="178">
        <f t="shared" si="411"/>
        <v>794.00503616573747</v>
      </c>
      <c r="T220" s="178">
        <f t="shared" si="412"/>
        <v>5</v>
      </c>
      <c r="U220" s="223">
        <f t="shared" si="413"/>
        <v>1.8738977072310405E-2</v>
      </c>
      <c r="V220" s="223">
        <f t="shared" si="414"/>
        <v>1.7177395649617871E-2</v>
      </c>
      <c r="W220" s="223">
        <f t="shared" si="415"/>
        <v>5.2350158170263991E-2</v>
      </c>
      <c r="X220" s="203">
        <f t="shared" si="416"/>
        <v>350</v>
      </c>
      <c r="Y220" s="454">
        <f t="shared" si="417"/>
        <v>350</v>
      </c>
      <c r="AA220" s="223">
        <f t="shared" si="418"/>
        <v>0.77005347593582896</v>
      </c>
      <c r="AB220" s="179">
        <f t="shared" si="419"/>
        <v>2.151260504201681</v>
      </c>
      <c r="AC220" s="179">
        <f t="shared" si="420"/>
        <v>0.86970745517458337</v>
      </c>
      <c r="AD220" s="179"/>
      <c r="AE220" s="179">
        <f t="shared" si="421"/>
        <v>0.419047619047619</v>
      </c>
      <c r="AF220" s="563">
        <f t="shared" si="422"/>
        <v>212.12121212121215</v>
      </c>
      <c r="AG220" s="546">
        <f t="shared" si="423"/>
        <v>3.2999999999999995E-2</v>
      </c>
      <c r="AI220" s="179">
        <f t="shared" si="424"/>
        <v>0.11677484162422844</v>
      </c>
      <c r="AJ220" s="179">
        <f t="shared" si="425"/>
        <v>0.15</v>
      </c>
      <c r="AK220" s="179">
        <f t="shared" si="426"/>
        <v>1.1212121212121213</v>
      </c>
      <c r="AM220" s="563">
        <f t="shared" si="427"/>
        <v>20</v>
      </c>
      <c r="AN220" s="472">
        <f t="shared" si="428"/>
        <v>212.12121212121215</v>
      </c>
      <c r="AP220">
        <f t="shared" si="429"/>
        <v>20</v>
      </c>
      <c r="AQ220">
        <f t="shared" si="430"/>
        <v>212.12121212121215</v>
      </c>
      <c r="AS220" s="6">
        <f t="shared" si="361"/>
        <v>4.7142857142857135</v>
      </c>
      <c r="AT220" s="6">
        <f t="shared" si="431"/>
        <v>0.13749999999999998</v>
      </c>
      <c r="AU220" s="6">
        <f t="shared" si="303"/>
        <v>4.5767857142857133</v>
      </c>
      <c r="AV220" s="6"/>
      <c r="AW220" s="179">
        <f t="shared" si="304"/>
        <v>2.9166666666666667E-2</v>
      </c>
      <c r="AX220" s="179"/>
      <c r="BA220" s="472">
        <f t="shared" si="432"/>
        <v>19.245051903114188</v>
      </c>
      <c r="BB220" s="472">
        <f t="shared" si="433"/>
        <v>7.1413637706855784E-2</v>
      </c>
      <c r="BC220" s="6">
        <f t="shared" si="356"/>
        <v>8.828676146384478E-3</v>
      </c>
      <c r="BD220" s="563">
        <f t="shared" si="434"/>
        <v>0</v>
      </c>
      <c r="CF220" s="581">
        <f t="shared" si="435"/>
        <v>-50</v>
      </c>
      <c r="CG220">
        <f t="shared" si="436"/>
        <v>-50</v>
      </c>
    </row>
    <row r="221" spans="5:87" x14ac:dyDescent="0.2">
      <c r="E221" s="176">
        <v>5</v>
      </c>
      <c r="F221" s="223">
        <f t="shared" si="437"/>
        <v>2.5000000000000001E-2</v>
      </c>
      <c r="G221" s="223"/>
      <c r="H221" s="223">
        <f t="shared" si="403"/>
        <v>0.125</v>
      </c>
      <c r="I221" s="559">
        <f t="shared" si="404"/>
        <v>48</v>
      </c>
      <c r="J221" s="454">
        <f t="shared" si="405"/>
        <v>15.75</v>
      </c>
      <c r="K221" s="454">
        <f t="shared" si="406"/>
        <v>63.75</v>
      </c>
      <c r="L221" s="454"/>
      <c r="M221" s="223">
        <f t="shared" si="407"/>
        <v>0.24705882352941178</v>
      </c>
      <c r="N221" s="178">
        <f t="shared" si="408"/>
        <v>4.0023529411764711</v>
      </c>
      <c r="O221" s="178">
        <f t="shared" si="360"/>
        <v>0.125</v>
      </c>
      <c r="P221" s="223">
        <f t="shared" si="409"/>
        <v>0.80047058823529427</v>
      </c>
      <c r="Q221" s="223">
        <f t="shared" si="410"/>
        <v>5</v>
      </c>
      <c r="R221" s="223"/>
      <c r="S221" s="178">
        <f t="shared" si="411"/>
        <v>632.00632654800279</v>
      </c>
      <c r="T221" s="178">
        <f t="shared" si="412"/>
        <v>5</v>
      </c>
      <c r="U221" s="223">
        <f t="shared" si="413"/>
        <v>2.3423721340388004E-2</v>
      </c>
      <c r="V221" s="223">
        <f t="shared" si="414"/>
        <v>2.1471744562022339E-2</v>
      </c>
      <c r="W221" s="223">
        <f t="shared" si="415"/>
        <v>6.5437697712829979E-2</v>
      </c>
      <c r="X221" s="203">
        <f t="shared" si="416"/>
        <v>350</v>
      </c>
      <c r="Y221" s="454">
        <f t="shared" si="417"/>
        <v>350</v>
      </c>
      <c r="AA221" s="223">
        <f t="shared" si="418"/>
        <v>0.77005347593582896</v>
      </c>
      <c r="AB221" s="179">
        <f t="shared" si="419"/>
        <v>2.151260504201681</v>
      </c>
      <c r="AC221" s="179">
        <f t="shared" si="420"/>
        <v>0.86970745517458337</v>
      </c>
      <c r="AD221" s="179"/>
      <c r="AE221" s="179">
        <f t="shared" si="421"/>
        <v>0.419047619047619</v>
      </c>
      <c r="AF221" s="563">
        <f t="shared" si="422"/>
        <v>265.15151515151518</v>
      </c>
      <c r="AG221" s="546">
        <f t="shared" si="423"/>
        <v>3.2999999999999995E-2</v>
      </c>
      <c r="AI221" s="179">
        <f t="shared" si="424"/>
        <v>0.13055824196677338</v>
      </c>
      <c r="AJ221" s="179">
        <f t="shared" si="425"/>
        <v>0.15</v>
      </c>
      <c r="AK221" s="179">
        <f t="shared" si="426"/>
        <v>1.1515151515151516</v>
      </c>
      <c r="AM221" s="563">
        <f t="shared" si="427"/>
        <v>25</v>
      </c>
      <c r="AN221" s="472">
        <f t="shared" si="428"/>
        <v>265.15151515151518</v>
      </c>
      <c r="AP221">
        <f t="shared" si="429"/>
        <v>25</v>
      </c>
      <c r="AQ221">
        <f t="shared" si="430"/>
        <v>265.15151515151518</v>
      </c>
      <c r="AS221" s="6">
        <f t="shared" si="361"/>
        <v>3.7714285714285709</v>
      </c>
      <c r="AT221" s="6">
        <f t="shared" si="431"/>
        <v>0.13749999999999998</v>
      </c>
      <c r="AU221" s="6">
        <f t="shared" si="303"/>
        <v>3.6339285714285707</v>
      </c>
      <c r="AV221" s="6"/>
      <c r="AW221" s="179">
        <f t="shared" si="304"/>
        <v>3.6458333333333336E-2</v>
      </c>
      <c r="AX221" s="179"/>
      <c r="BA221" s="472">
        <f t="shared" si="432"/>
        <v>19.245051903114188</v>
      </c>
      <c r="BB221" s="472">
        <f t="shared" si="433"/>
        <v>9.2833808916962191E-2</v>
      </c>
      <c r="BC221" s="6">
        <f t="shared" si="356"/>
        <v>8.7623663470017613E-3</v>
      </c>
      <c r="BD221" s="563">
        <f t="shared" si="434"/>
        <v>0</v>
      </c>
      <c r="CF221" s="581">
        <f t="shared" si="435"/>
        <v>-50</v>
      </c>
      <c r="CG221">
        <f t="shared" si="436"/>
        <v>-50</v>
      </c>
    </row>
    <row r="222" spans="5:87" x14ac:dyDescent="0.2">
      <c r="E222" s="176">
        <v>6</v>
      </c>
      <c r="F222" s="223">
        <f t="shared" si="437"/>
        <v>0.03</v>
      </c>
      <c r="G222" s="223"/>
      <c r="H222" s="223">
        <f t="shared" si="403"/>
        <v>0.15</v>
      </c>
      <c r="I222" s="559">
        <f t="shared" si="404"/>
        <v>48</v>
      </c>
      <c r="J222" s="454">
        <f t="shared" si="405"/>
        <v>15.75</v>
      </c>
      <c r="K222" s="454">
        <f t="shared" si="406"/>
        <v>63.75</v>
      </c>
      <c r="L222" s="454"/>
      <c r="M222" s="223">
        <f t="shared" si="407"/>
        <v>0.24705882352941178</v>
      </c>
      <c r="N222" s="178">
        <f t="shared" si="408"/>
        <v>4.0023529411764711</v>
      </c>
      <c r="O222" s="178">
        <f t="shared" si="360"/>
        <v>0.15</v>
      </c>
      <c r="P222" s="223">
        <f t="shared" si="409"/>
        <v>0.80047058823529427</v>
      </c>
      <c r="Q222" s="223">
        <f t="shared" si="410"/>
        <v>5</v>
      </c>
      <c r="R222" s="223"/>
      <c r="S222" s="178">
        <f t="shared" si="411"/>
        <v>524.00762983650088</v>
      </c>
      <c r="T222" s="178">
        <f t="shared" si="412"/>
        <v>5</v>
      </c>
      <c r="U222" s="223">
        <f t="shared" si="413"/>
        <v>2.8108465608465607E-2</v>
      </c>
      <c r="V222" s="223">
        <f t="shared" si="414"/>
        <v>2.5766093474426807E-2</v>
      </c>
      <c r="W222" s="223">
        <f t="shared" si="415"/>
        <v>7.852523725539598E-2</v>
      </c>
      <c r="X222" s="203">
        <f t="shared" si="416"/>
        <v>350</v>
      </c>
      <c r="Y222" s="454">
        <f t="shared" si="417"/>
        <v>350</v>
      </c>
      <c r="AA222" s="223">
        <f t="shared" si="418"/>
        <v>0.77005347593582896</v>
      </c>
      <c r="AB222" s="179">
        <f t="shared" si="419"/>
        <v>2.151260504201681</v>
      </c>
      <c r="AC222" s="179">
        <f t="shared" si="420"/>
        <v>0.86970745517458337</v>
      </c>
      <c r="AD222" s="179"/>
      <c r="AE222" s="179">
        <f t="shared" si="421"/>
        <v>0.419047619047619</v>
      </c>
      <c r="AF222" s="563">
        <f t="shared" si="422"/>
        <v>318.18181818181824</v>
      </c>
      <c r="AG222" s="546">
        <f t="shared" si="423"/>
        <v>3.2999999999999995E-2</v>
      </c>
      <c r="AI222" s="179">
        <f t="shared" si="424"/>
        <v>0.14301938838683884</v>
      </c>
      <c r="AJ222" s="179">
        <f t="shared" si="425"/>
        <v>0.15</v>
      </c>
      <c r="AK222" s="179">
        <f t="shared" si="426"/>
        <v>1.1818181818181819</v>
      </c>
      <c r="AM222" s="563">
        <f t="shared" si="427"/>
        <v>30</v>
      </c>
      <c r="AN222" s="472">
        <f t="shared" si="428"/>
        <v>318.18181818181824</v>
      </c>
      <c r="AP222">
        <f t="shared" si="429"/>
        <v>30</v>
      </c>
      <c r="AQ222">
        <f t="shared" si="430"/>
        <v>318.18181818181824</v>
      </c>
      <c r="AS222" s="6">
        <f t="shared" si="361"/>
        <v>3.1428571428571419</v>
      </c>
      <c r="AT222" s="6">
        <f t="shared" si="431"/>
        <v>0.13749999999999998</v>
      </c>
      <c r="AU222" s="6">
        <f t="shared" si="303"/>
        <v>3.0053571428571417</v>
      </c>
      <c r="AV222" s="6"/>
      <c r="AW222" s="179">
        <f t="shared" si="304"/>
        <v>4.3750000000000011E-2</v>
      </c>
      <c r="AX222" s="179"/>
      <c r="BA222" s="472">
        <f t="shared" si="432"/>
        <v>19.245051903114188</v>
      </c>
      <c r="BB222" s="472">
        <f t="shared" si="433"/>
        <v>0.11568068484042553</v>
      </c>
      <c r="BC222" s="6">
        <f t="shared" si="356"/>
        <v>8.6960565476190427E-3</v>
      </c>
      <c r="BD222" s="563">
        <f t="shared" si="434"/>
        <v>0</v>
      </c>
      <c r="CF222" s="581">
        <f t="shared" si="435"/>
        <v>-50</v>
      </c>
      <c r="CG222">
        <f t="shared" si="436"/>
        <v>-50</v>
      </c>
    </row>
    <row r="223" spans="5:87" x14ac:dyDescent="0.2">
      <c r="E223" s="176">
        <v>7</v>
      </c>
      <c r="F223" s="223">
        <f t="shared" si="437"/>
        <v>3.5000000000000003E-2</v>
      </c>
      <c r="G223" s="223"/>
      <c r="H223" s="223">
        <f t="shared" si="403"/>
        <v>0.17500000000000002</v>
      </c>
      <c r="I223" s="559">
        <f t="shared" si="404"/>
        <v>48</v>
      </c>
      <c r="J223" s="454">
        <f t="shared" si="405"/>
        <v>15.75</v>
      </c>
      <c r="K223" s="454">
        <f t="shared" si="406"/>
        <v>63.75</v>
      </c>
      <c r="L223" s="454"/>
      <c r="M223" s="223">
        <f t="shared" si="407"/>
        <v>0.24705882352941178</v>
      </c>
      <c r="N223" s="178">
        <f t="shared" si="408"/>
        <v>4.0023529411764711</v>
      </c>
      <c r="O223" s="178">
        <f t="shared" si="360"/>
        <v>0.17500000000000002</v>
      </c>
      <c r="P223" s="223">
        <f t="shared" si="409"/>
        <v>0.80047058823529427</v>
      </c>
      <c r="Q223" s="223">
        <f t="shared" si="410"/>
        <v>5</v>
      </c>
      <c r="R223" s="223"/>
      <c r="S223" s="178">
        <f t="shared" si="411"/>
        <v>446.86608907960652</v>
      </c>
      <c r="T223" s="178">
        <f t="shared" si="412"/>
        <v>5</v>
      </c>
      <c r="U223" s="223">
        <f t="shared" si="413"/>
        <v>3.279320987654321E-2</v>
      </c>
      <c r="V223" s="223">
        <f t="shared" si="414"/>
        <v>3.0060442386831279E-2</v>
      </c>
      <c r="W223" s="223">
        <f t="shared" si="415"/>
        <v>9.1612776797961981E-2</v>
      </c>
      <c r="X223" s="203">
        <f t="shared" si="416"/>
        <v>350</v>
      </c>
      <c r="Y223" s="454">
        <f t="shared" si="417"/>
        <v>350</v>
      </c>
      <c r="AA223" s="223">
        <f t="shared" si="418"/>
        <v>0.77005347593582896</v>
      </c>
      <c r="AB223" s="179">
        <f t="shared" si="419"/>
        <v>2.151260504201681</v>
      </c>
      <c r="AC223" s="179">
        <f t="shared" si="420"/>
        <v>0.86970745517458337</v>
      </c>
      <c r="AD223" s="179"/>
      <c r="AE223" s="179">
        <f t="shared" si="421"/>
        <v>0.419047619047619</v>
      </c>
      <c r="AF223" s="563">
        <f t="shared" si="422"/>
        <v>371.21212121212136</v>
      </c>
      <c r="AG223" s="546">
        <f t="shared" si="423"/>
        <v>3.2999999999999995E-2</v>
      </c>
      <c r="AI223" s="179">
        <f t="shared" si="424"/>
        <v>0.15447859516333118</v>
      </c>
      <c r="AJ223" s="179">
        <f t="shared" si="425"/>
        <v>0.15447859516333118</v>
      </c>
      <c r="AK223" s="179">
        <f t="shared" si="426"/>
        <v>1.2033174778987639</v>
      </c>
      <c r="AM223" s="563">
        <f t="shared" si="427"/>
        <v>35</v>
      </c>
      <c r="AN223" s="472">
        <f t="shared" si="428"/>
        <v>350</v>
      </c>
      <c r="AP223">
        <f t="shared" si="429"/>
        <v>35</v>
      </c>
      <c r="AQ223">
        <f t="shared" si="430"/>
        <v>350</v>
      </c>
      <c r="AS223" s="6">
        <f t="shared" si="361"/>
        <v>2.8571428571428572</v>
      </c>
      <c r="AT223" s="6">
        <f t="shared" si="431"/>
        <v>0.14160537889972025</v>
      </c>
      <c r="AU223" s="6">
        <f t="shared" si="303"/>
        <v>2.715537478243137</v>
      </c>
      <c r="AV223" s="6"/>
      <c r="AW223" s="179">
        <f t="shared" si="304"/>
        <v>4.9561882614902082E-2</v>
      </c>
      <c r="AX223" s="179"/>
      <c r="BA223" s="472">
        <f t="shared" si="432"/>
        <v>19.245051903114188</v>
      </c>
      <c r="BB223" s="472">
        <f t="shared" si="433"/>
        <v>0.13995426547724588</v>
      </c>
      <c r="BC223" s="6">
        <f t="shared" si="356"/>
        <v>9.1670343111988593E-3</v>
      </c>
      <c r="BD223" s="563">
        <f t="shared" si="434"/>
        <v>0</v>
      </c>
      <c r="CF223" s="581">
        <f t="shared" si="435"/>
        <v>-50</v>
      </c>
      <c r="CG223">
        <f t="shared" si="436"/>
        <v>-50</v>
      </c>
    </row>
    <row r="224" spans="5:87" x14ac:dyDescent="0.2">
      <c r="E224" s="176">
        <v>8</v>
      </c>
      <c r="F224" s="223">
        <f t="shared" si="437"/>
        <v>0.04</v>
      </c>
      <c r="G224" s="223"/>
      <c r="H224" s="223">
        <f t="shared" si="403"/>
        <v>0.2</v>
      </c>
      <c r="I224" s="559">
        <f t="shared" si="404"/>
        <v>48</v>
      </c>
      <c r="J224" s="454">
        <f t="shared" si="405"/>
        <v>15.75</v>
      </c>
      <c r="K224" s="454">
        <f t="shared" si="406"/>
        <v>63.75</v>
      </c>
      <c r="L224" s="454"/>
      <c r="M224" s="223">
        <f t="shared" si="407"/>
        <v>0.24705882352941178</v>
      </c>
      <c r="N224" s="178">
        <f t="shared" si="408"/>
        <v>4.0023529411764711</v>
      </c>
      <c r="O224" s="178">
        <f t="shared" si="360"/>
        <v>0.2</v>
      </c>
      <c r="P224" s="223">
        <f t="shared" si="409"/>
        <v>0.80047058823529427</v>
      </c>
      <c r="Q224" s="223">
        <f t="shared" si="410"/>
        <v>5</v>
      </c>
      <c r="R224" s="223"/>
      <c r="S224" s="178">
        <f t="shared" si="411"/>
        <v>389.01027590084999</v>
      </c>
      <c r="T224" s="178">
        <f t="shared" si="412"/>
        <v>5</v>
      </c>
      <c r="U224" s="223">
        <f t="shared" si="413"/>
        <v>3.7477954144620809E-2</v>
      </c>
      <c r="V224" s="223">
        <f t="shared" si="414"/>
        <v>3.4354791299235743E-2</v>
      </c>
      <c r="W224" s="223">
        <f t="shared" si="415"/>
        <v>0.10470031634052798</v>
      </c>
      <c r="X224" s="203">
        <f t="shared" si="416"/>
        <v>350</v>
      </c>
      <c r="Y224" s="454">
        <f t="shared" si="417"/>
        <v>350</v>
      </c>
      <c r="AA224" s="223">
        <f t="shared" si="418"/>
        <v>0.77005347593582896</v>
      </c>
      <c r="AB224" s="179">
        <f t="shared" si="419"/>
        <v>2.151260504201681</v>
      </c>
      <c r="AC224" s="179">
        <f t="shared" si="420"/>
        <v>0.86970745517458337</v>
      </c>
      <c r="AD224" s="179"/>
      <c r="AE224" s="179">
        <f t="shared" si="421"/>
        <v>0.419047619047619</v>
      </c>
      <c r="AF224" s="563">
        <f t="shared" si="422"/>
        <v>424.24242424242431</v>
      </c>
      <c r="AG224" s="546">
        <f t="shared" si="423"/>
        <v>3.2999999999999995E-2</v>
      </c>
      <c r="AI224" s="179">
        <f t="shared" si="424"/>
        <v>0.16514456476895409</v>
      </c>
      <c r="AJ224" s="179">
        <f t="shared" si="425"/>
        <v>0.16514456476895409</v>
      </c>
      <c r="AK224" s="179">
        <f t="shared" si="426"/>
        <v>1.2112181961251511</v>
      </c>
      <c r="AM224" s="563">
        <f t="shared" si="427"/>
        <v>40</v>
      </c>
      <c r="AN224" s="472">
        <f t="shared" si="428"/>
        <v>350</v>
      </c>
      <c r="AP224">
        <f t="shared" si="429"/>
        <v>40</v>
      </c>
      <c r="AQ224">
        <f t="shared" si="430"/>
        <v>350</v>
      </c>
      <c r="AS224" s="6">
        <f t="shared" si="361"/>
        <v>2.8571428571428572</v>
      </c>
      <c r="AT224" s="6">
        <f t="shared" si="431"/>
        <v>0.15138251770487457</v>
      </c>
      <c r="AU224" s="6">
        <f t="shared" si="303"/>
        <v>2.7057603394379828</v>
      </c>
      <c r="AV224" s="6"/>
      <c r="AW224" s="179">
        <f t="shared" si="304"/>
        <v>5.2983881196706099E-2</v>
      </c>
      <c r="AX224" s="179"/>
      <c r="BA224" s="472">
        <f t="shared" si="432"/>
        <v>19.245051903114188</v>
      </c>
      <c r="BB224" s="472">
        <f t="shared" si="433"/>
        <v>0.16565455082742314</v>
      </c>
      <c r="BC224" s="6">
        <f t="shared" si="356"/>
        <v>1.0438890198449007E-2</v>
      </c>
      <c r="BD224" s="563">
        <f t="shared" si="434"/>
        <v>0</v>
      </c>
      <c r="CF224" s="581">
        <f t="shared" si="435"/>
        <v>-50</v>
      </c>
      <c r="CG224">
        <f t="shared" si="436"/>
        <v>-50</v>
      </c>
    </row>
    <row r="225" spans="5:85" x14ac:dyDescent="0.2">
      <c r="E225" s="176">
        <v>9</v>
      </c>
      <c r="F225" s="223">
        <f t="shared" si="437"/>
        <v>4.4999999999999998E-2</v>
      </c>
      <c r="G225" s="223"/>
      <c r="H225" s="223">
        <f t="shared" si="403"/>
        <v>0.22499999999999998</v>
      </c>
      <c r="I225" s="559">
        <f t="shared" si="404"/>
        <v>48</v>
      </c>
      <c r="J225" s="454">
        <f t="shared" si="405"/>
        <v>15.75</v>
      </c>
      <c r="K225" s="454">
        <f t="shared" si="406"/>
        <v>63.75</v>
      </c>
      <c r="L225" s="454"/>
      <c r="M225" s="223">
        <f t="shared" si="407"/>
        <v>0.24705882352941178</v>
      </c>
      <c r="N225" s="178">
        <f t="shared" si="408"/>
        <v>4.0023529411764711</v>
      </c>
      <c r="O225" s="178">
        <f t="shared" si="360"/>
        <v>0.22499999999999998</v>
      </c>
      <c r="P225" s="223">
        <f t="shared" si="409"/>
        <v>0.80047058823529427</v>
      </c>
      <c r="Q225" s="223">
        <f t="shared" si="410"/>
        <v>5</v>
      </c>
      <c r="R225" s="223"/>
      <c r="S225" s="178">
        <f t="shared" si="411"/>
        <v>344.01161907043485</v>
      </c>
      <c r="T225" s="178">
        <f t="shared" si="412"/>
        <v>5</v>
      </c>
      <c r="U225" s="223">
        <f t="shared" si="413"/>
        <v>4.2162698412698409E-2</v>
      </c>
      <c r="V225" s="223">
        <f t="shared" si="414"/>
        <v>3.8649140211640211E-2</v>
      </c>
      <c r="W225" s="223">
        <f t="shared" si="415"/>
        <v>0.11778785588309397</v>
      </c>
      <c r="X225" s="203">
        <f t="shared" si="416"/>
        <v>350</v>
      </c>
      <c r="Y225" s="454">
        <f t="shared" si="417"/>
        <v>350</v>
      </c>
      <c r="AA225" s="223">
        <f t="shared" si="418"/>
        <v>0.77005347593582896</v>
      </c>
      <c r="AB225" s="179">
        <f t="shared" si="419"/>
        <v>2.151260504201681</v>
      </c>
      <c r="AC225" s="179">
        <f t="shared" si="420"/>
        <v>0.86970745517458337</v>
      </c>
      <c r="AD225" s="179"/>
      <c r="AE225" s="179">
        <f t="shared" si="421"/>
        <v>0.419047619047619</v>
      </c>
      <c r="AF225" s="563">
        <f t="shared" si="422"/>
        <v>477.27272727272737</v>
      </c>
      <c r="AG225" s="546">
        <f t="shared" si="423"/>
        <v>3.2999999999999995E-2</v>
      </c>
      <c r="AI225" s="179">
        <f t="shared" si="424"/>
        <v>0.17516226243634267</v>
      </c>
      <c r="AJ225" s="179">
        <f t="shared" si="425"/>
        <v>0.17516226243634267</v>
      </c>
      <c r="AK225" s="179">
        <f t="shared" si="426"/>
        <v>1.2186387129158094</v>
      </c>
      <c r="AM225" s="563">
        <f t="shared" si="427"/>
        <v>45</v>
      </c>
      <c r="AN225" s="472">
        <f t="shared" si="428"/>
        <v>350</v>
      </c>
      <c r="AP225">
        <f t="shared" si="429"/>
        <v>45</v>
      </c>
      <c r="AQ225">
        <f t="shared" si="430"/>
        <v>350</v>
      </c>
      <c r="AS225" s="6">
        <f t="shared" si="361"/>
        <v>2.8571428571428572</v>
      </c>
      <c r="AT225" s="6">
        <f t="shared" si="431"/>
        <v>0.16056540723331411</v>
      </c>
      <c r="AU225" s="6">
        <f t="shared" si="303"/>
        <v>2.696577449909543</v>
      </c>
      <c r="AV225" s="6"/>
      <c r="AW225" s="179">
        <f t="shared" si="304"/>
        <v>5.6197892531659938E-2</v>
      </c>
      <c r="AX225" s="179"/>
      <c r="BA225" s="472">
        <f t="shared" si="432"/>
        <v>19.245051903114188</v>
      </c>
      <c r="BB225" s="472">
        <f t="shared" si="433"/>
        <v>0.19278154089095745</v>
      </c>
      <c r="BC225" s="6">
        <f t="shared" si="356"/>
        <v>1.1703895181899055E-2</v>
      </c>
      <c r="BD225" s="563">
        <f t="shared" si="434"/>
        <v>0</v>
      </c>
      <c r="CF225" s="581">
        <f t="shared" si="435"/>
        <v>-50</v>
      </c>
      <c r="CG225">
        <f t="shared" si="436"/>
        <v>-50</v>
      </c>
    </row>
    <row r="226" spans="5:85" x14ac:dyDescent="0.2">
      <c r="E226" s="176">
        <v>10</v>
      </c>
      <c r="F226" s="223">
        <f t="shared" si="437"/>
        <v>0.05</v>
      </c>
      <c r="G226" s="223"/>
      <c r="H226" s="223">
        <f t="shared" si="403"/>
        <v>0.25</v>
      </c>
      <c r="I226" s="559">
        <f t="shared" si="404"/>
        <v>48</v>
      </c>
      <c r="J226" s="454">
        <f t="shared" si="405"/>
        <v>15.75</v>
      </c>
      <c r="K226" s="454">
        <f t="shared" si="406"/>
        <v>63.75</v>
      </c>
      <c r="L226" s="454"/>
      <c r="M226" s="223">
        <f t="shared" si="407"/>
        <v>0.24705882352941178</v>
      </c>
      <c r="N226" s="178">
        <f t="shared" si="408"/>
        <v>4.0023529411764711</v>
      </c>
      <c r="O226" s="178">
        <f t="shared" si="360"/>
        <v>0.25</v>
      </c>
      <c r="P226" s="223">
        <f t="shared" si="409"/>
        <v>0.80047058823529427</v>
      </c>
      <c r="Q226" s="223">
        <f t="shared" si="410"/>
        <v>5</v>
      </c>
      <c r="R226" s="223"/>
      <c r="S226" s="178">
        <f t="shared" si="411"/>
        <v>308.01297593390149</v>
      </c>
      <c r="T226" s="178">
        <f t="shared" si="412"/>
        <v>5</v>
      </c>
      <c r="U226" s="223">
        <f t="shared" si="413"/>
        <v>4.6847442680776008E-2</v>
      </c>
      <c r="V226" s="223">
        <f t="shared" si="414"/>
        <v>4.2943489124044679E-2</v>
      </c>
      <c r="W226" s="223">
        <f t="shared" si="415"/>
        <v>0.13087539542565996</v>
      </c>
      <c r="X226" s="203">
        <f t="shared" si="416"/>
        <v>350</v>
      </c>
      <c r="Y226" s="454">
        <f t="shared" si="417"/>
        <v>350</v>
      </c>
      <c r="AA226" s="223">
        <f t="shared" si="418"/>
        <v>0.77005347593582896</v>
      </c>
      <c r="AB226" s="179">
        <f t="shared" si="419"/>
        <v>2.151260504201681</v>
      </c>
      <c r="AC226" s="179">
        <f t="shared" si="420"/>
        <v>0.86970745517458337</v>
      </c>
      <c r="AD226" s="179"/>
      <c r="AE226" s="179">
        <f t="shared" si="421"/>
        <v>0.419047619047619</v>
      </c>
      <c r="AF226" s="563">
        <f t="shared" si="422"/>
        <v>530.30303030303037</v>
      </c>
      <c r="AG226" s="546">
        <f t="shared" si="423"/>
        <v>3.2999999999999995E-2</v>
      </c>
      <c r="AI226" s="179">
        <f t="shared" si="424"/>
        <v>0.1846372364689991</v>
      </c>
      <c r="AJ226" s="179">
        <f t="shared" si="425"/>
        <v>0.1846372364689991</v>
      </c>
      <c r="AK226" s="179">
        <f t="shared" si="426"/>
        <v>1.2256572121992586</v>
      </c>
      <c r="AM226" s="563">
        <f t="shared" si="427"/>
        <v>50</v>
      </c>
      <c r="AN226" s="472">
        <f t="shared" si="428"/>
        <v>350</v>
      </c>
      <c r="AP226">
        <f t="shared" si="429"/>
        <v>50</v>
      </c>
      <c r="AQ226">
        <f t="shared" si="430"/>
        <v>350</v>
      </c>
      <c r="AS226" s="6">
        <f t="shared" si="361"/>
        <v>2.8571428571428572</v>
      </c>
      <c r="AT226" s="6">
        <f t="shared" si="431"/>
        <v>0.16925080009658247</v>
      </c>
      <c r="AU226" s="6">
        <f t="shared" si="303"/>
        <v>2.6878920570462745</v>
      </c>
      <c r="AV226" s="6"/>
      <c r="AW226" s="179">
        <f t="shared" si="304"/>
        <v>5.9237780033803866E-2</v>
      </c>
      <c r="AX226" s="179"/>
      <c r="BA226" s="472">
        <f t="shared" si="432"/>
        <v>19.245051903114188</v>
      </c>
      <c r="BB226" s="472">
        <f t="shared" si="433"/>
        <v>0.22133523566784874</v>
      </c>
      <c r="BC226" s="6">
        <f t="shared" si="356"/>
        <v>1.2962442404737049E-2</v>
      </c>
      <c r="BD226" s="563">
        <f t="shared" si="434"/>
        <v>0</v>
      </c>
      <c r="CF226" s="581">
        <f t="shared" si="435"/>
        <v>-50</v>
      </c>
      <c r="CG226">
        <f t="shared" si="436"/>
        <v>-50</v>
      </c>
    </row>
    <row r="227" spans="5:85" x14ac:dyDescent="0.2">
      <c r="E227" s="176">
        <v>11</v>
      </c>
      <c r="F227" s="223">
        <f t="shared" si="437"/>
        <v>5.5E-2</v>
      </c>
      <c r="G227" s="223"/>
      <c r="H227" s="223">
        <f t="shared" si="403"/>
        <v>0.27500000000000002</v>
      </c>
      <c r="I227" s="559">
        <f t="shared" si="404"/>
        <v>48</v>
      </c>
      <c r="J227" s="454">
        <f t="shared" si="405"/>
        <v>15.75</v>
      </c>
      <c r="K227" s="454">
        <f t="shared" si="406"/>
        <v>63.75</v>
      </c>
      <c r="L227" s="454"/>
      <c r="M227" s="223">
        <f t="shared" si="407"/>
        <v>0.24705882352941178</v>
      </c>
      <c r="N227" s="178">
        <f t="shared" si="408"/>
        <v>4.0023529411764711</v>
      </c>
      <c r="O227" s="178">
        <f t="shared" si="360"/>
        <v>0.27500000000000002</v>
      </c>
      <c r="P227" s="223">
        <f t="shared" si="409"/>
        <v>0.80047058823529427</v>
      </c>
      <c r="Q227" s="223">
        <f t="shared" si="410"/>
        <v>5</v>
      </c>
      <c r="R227" s="223"/>
      <c r="S227" s="178">
        <f t="shared" si="411"/>
        <v>278.55980124339044</v>
      </c>
      <c r="T227" s="178">
        <f t="shared" si="412"/>
        <v>5</v>
      </c>
      <c r="U227" s="223">
        <f t="shared" si="413"/>
        <v>5.1532186948853614E-2</v>
      </c>
      <c r="V227" s="223">
        <f t="shared" si="414"/>
        <v>4.723783803644914E-2</v>
      </c>
      <c r="W227" s="223">
        <f t="shared" si="415"/>
        <v>0.14396293496822599</v>
      </c>
      <c r="X227" s="203">
        <f t="shared" si="416"/>
        <v>350</v>
      </c>
      <c r="Y227" s="454">
        <f t="shared" si="417"/>
        <v>350</v>
      </c>
      <c r="AA227" s="223">
        <f t="shared" si="418"/>
        <v>0.77005347593582896</v>
      </c>
      <c r="AB227" s="179">
        <f t="shared" si="419"/>
        <v>2.151260504201681</v>
      </c>
      <c r="AC227" s="179">
        <f t="shared" si="420"/>
        <v>0.86970745517458337</v>
      </c>
      <c r="AD227" s="179"/>
      <c r="AE227" s="179">
        <f t="shared" si="421"/>
        <v>0.419047619047619</v>
      </c>
      <c r="AF227" s="563">
        <f t="shared" si="422"/>
        <v>583.33333333333348</v>
      </c>
      <c r="AG227" s="546">
        <f t="shared" si="423"/>
        <v>3.2999999999999995E-2</v>
      </c>
      <c r="AI227" s="179">
        <f t="shared" si="424"/>
        <v>0.19364916731037085</v>
      </c>
      <c r="AJ227" s="179">
        <f t="shared" si="425"/>
        <v>0.19364916731037085</v>
      </c>
      <c r="AK227" s="179">
        <f t="shared" si="426"/>
        <v>1.2323327165262006</v>
      </c>
      <c r="AM227" s="563">
        <f t="shared" si="427"/>
        <v>55</v>
      </c>
      <c r="AN227" s="472">
        <f t="shared" si="428"/>
        <v>350</v>
      </c>
      <c r="AP227">
        <f t="shared" si="429"/>
        <v>55</v>
      </c>
      <c r="AQ227">
        <f t="shared" si="430"/>
        <v>350</v>
      </c>
      <c r="AS227" s="6">
        <f t="shared" si="361"/>
        <v>2.8571428571428572</v>
      </c>
      <c r="AT227" s="6">
        <f t="shared" si="431"/>
        <v>0.17751173670117326</v>
      </c>
      <c r="AU227" s="6">
        <f t="shared" si="303"/>
        <v>2.6796311204416838</v>
      </c>
      <c r="AV227" s="6"/>
      <c r="AW227" s="179">
        <f t="shared" si="304"/>
        <v>6.212910784541064E-2</v>
      </c>
      <c r="AX227" s="179"/>
      <c r="BA227" s="472">
        <f t="shared" si="432"/>
        <v>19.245051903114188</v>
      </c>
      <c r="BB227" s="472">
        <f t="shared" si="433"/>
        <v>0.25131563515809696</v>
      </c>
      <c r="BC227" s="6">
        <f t="shared" si="356"/>
        <v>1.4214864161293653E-2</v>
      </c>
      <c r="BD227" s="563">
        <f t="shared" si="434"/>
        <v>0</v>
      </c>
      <c r="CF227" s="581">
        <f t="shared" si="435"/>
        <v>-50</v>
      </c>
      <c r="CG227">
        <f t="shared" si="436"/>
        <v>-50</v>
      </c>
    </row>
    <row r="228" spans="5:85" x14ac:dyDescent="0.2">
      <c r="E228" s="176">
        <v>12</v>
      </c>
      <c r="F228" s="223">
        <f t="shared" si="437"/>
        <v>0.06</v>
      </c>
      <c r="G228" s="223"/>
      <c r="H228" s="223">
        <f t="shared" si="403"/>
        <v>0.3</v>
      </c>
      <c r="I228" s="559">
        <f t="shared" si="404"/>
        <v>48</v>
      </c>
      <c r="J228" s="454">
        <f t="shared" si="405"/>
        <v>15.75</v>
      </c>
      <c r="K228" s="454">
        <f t="shared" si="406"/>
        <v>63.75</v>
      </c>
      <c r="L228" s="454"/>
      <c r="M228" s="223">
        <f t="shared" si="407"/>
        <v>0.24705882352941178</v>
      </c>
      <c r="N228" s="178">
        <f t="shared" si="408"/>
        <v>4.0023529411764711</v>
      </c>
      <c r="O228" s="178">
        <f t="shared" si="360"/>
        <v>0.3</v>
      </c>
      <c r="P228" s="223">
        <f t="shared" si="409"/>
        <v>0.80047058823529427</v>
      </c>
      <c r="Q228" s="223">
        <f t="shared" si="410"/>
        <v>5</v>
      </c>
      <c r="R228" s="223"/>
      <c r="S228" s="178">
        <f t="shared" si="411"/>
        <v>254.01573157332388</v>
      </c>
      <c r="T228" s="178">
        <f t="shared" si="412"/>
        <v>5</v>
      </c>
      <c r="U228" s="223">
        <f t="shared" si="413"/>
        <v>5.6216931216931214E-2</v>
      </c>
      <c r="V228" s="223">
        <f t="shared" si="414"/>
        <v>5.1532186948853614E-2</v>
      </c>
      <c r="W228" s="223">
        <f t="shared" si="415"/>
        <v>0.15705047451079196</v>
      </c>
      <c r="X228" s="203">
        <f t="shared" si="416"/>
        <v>350</v>
      </c>
      <c r="Y228" s="454">
        <f t="shared" si="417"/>
        <v>350</v>
      </c>
      <c r="AA228" s="223">
        <f t="shared" si="418"/>
        <v>0.77005347593582896</v>
      </c>
      <c r="AB228" s="179">
        <f t="shared" si="419"/>
        <v>2.151260504201681</v>
      </c>
      <c r="AC228" s="179">
        <f t="shared" si="420"/>
        <v>0.86970745517458337</v>
      </c>
      <c r="AD228" s="179"/>
      <c r="AE228" s="179">
        <f t="shared" si="421"/>
        <v>0.419047619047619</v>
      </c>
      <c r="AF228" s="563">
        <f t="shared" si="422"/>
        <v>636.36363636363649</v>
      </c>
      <c r="AG228" s="546">
        <f t="shared" si="423"/>
        <v>3.2999999999999995E-2</v>
      </c>
      <c r="AI228" s="179">
        <f t="shared" si="424"/>
        <v>0.2022599587389726</v>
      </c>
      <c r="AJ228" s="179">
        <f t="shared" si="425"/>
        <v>0.2022599587389726</v>
      </c>
      <c r="AK228" s="179">
        <f t="shared" si="426"/>
        <v>1.2387110805473871</v>
      </c>
      <c r="AM228" s="563">
        <f t="shared" si="427"/>
        <v>60</v>
      </c>
      <c r="AN228" s="472">
        <f t="shared" si="428"/>
        <v>350</v>
      </c>
      <c r="AP228">
        <f t="shared" si="429"/>
        <v>60</v>
      </c>
      <c r="AQ228">
        <f t="shared" si="430"/>
        <v>350</v>
      </c>
      <c r="AS228" s="6">
        <f t="shared" si="361"/>
        <v>2.8571428571428572</v>
      </c>
      <c r="AT228" s="6">
        <f t="shared" si="431"/>
        <v>0.18540496217739155</v>
      </c>
      <c r="AU228" s="6">
        <f t="shared" si="303"/>
        <v>2.6717378949654655</v>
      </c>
      <c r="AV228" s="6"/>
      <c r="AW228" s="179">
        <f t="shared" si="304"/>
        <v>6.4891736762087038E-2</v>
      </c>
      <c r="AX228" s="179"/>
      <c r="BA228" s="472">
        <f t="shared" si="432"/>
        <v>19.245051903114188</v>
      </c>
      <c r="BB228" s="472">
        <f t="shared" si="433"/>
        <v>0.28272273936170211</v>
      </c>
      <c r="BC228" s="6">
        <f t="shared" si="356"/>
        <v>1.5461446151420515E-2</v>
      </c>
      <c r="BD228" s="563">
        <f t="shared" si="434"/>
        <v>0</v>
      </c>
      <c r="CF228" s="581">
        <f t="shared" si="435"/>
        <v>-50</v>
      </c>
      <c r="CG228">
        <f t="shared" si="436"/>
        <v>-50</v>
      </c>
    </row>
    <row r="229" spans="5:85" x14ac:dyDescent="0.2">
      <c r="E229" s="176">
        <v>13</v>
      </c>
      <c r="F229" s="223">
        <f t="shared" si="437"/>
        <v>6.5000000000000002E-2</v>
      </c>
      <c r="G229" s="223"/>
      <c r="H229" s="223">
        <f t="shared" si="403"/>
        <v>0.32500000000000001</v>
      </c>
      <c r="I229" s="559">
        <f t="shared" si="404"/>
        <v>48</v>
      </c>
      <c r="J229" s="454">
        <f t="shared" si="405"/>
        <v>15.75</v>
      </c>
      <c r="K229" s="454">
        <f t="shared" si="406"/>
        <v>63.75</v>
      </c>
      <c r="L229" s="454"/>
      <c r="M229" s="223">
        <f t="shared" si="407"/>
        <v>0.24705882352941178</v>
      </c>
      <c r="N229" s="178">
        <f t="shared" si="408"/>
        <v>4.0023529411764711</v>
      </c>
      <c r="O229" s="178">
        <f t="shared" si="360"/>
        <v>0.32500000000000001</v>
      </c>
      <c r="P229" s="223">
        <f t="shared" si="409"/>
        <v>0.80047058823529427</v>
      </c>
      <c r="Q229" s="223">
        <f t="shared" si="410"/>
        <v>5</v>
      </c>
      <c r="R229" s="223"/>
      <c r="S229" s="178">
        <f t="shared" si="411"/>
        <v>233.24790000582075</v>
      </c>
      <c r="T229" s="178">
        <f t="shared" si="412"/>
        <v>5</v>
      </c>
      <c r="U229" s="223">
        <f t="shared" si="413"/>
        <v>6.0901675485008813E-2</v>
      </c>
      <c r="V229" s="223">
        <f t="shared" si="414"/>
        <v>5.5826535861258075E-2</v>
      </c>
      <c r="W229" s="223">
        <f t="shared" si="415"/>
        <v>0.17013801405335796</v>
      </c>
      <c r="X229" s="203">
        <f t="shared" si="416"/>
        <v>350</v>
      </c>
      <c r="Y229" s="454">
        <f t="shared" si="417"/>
        <v>350</v>
      </c>
      <c r="AA229" s="223">
        <f t="shared" si="418"/>
        <v>0.77005347593582896</v>
      </c>
      <c r="AB229" s="179">
        <f t="shared" si="419"/>
        <v>2.151260504201681</v>
      </c>
      <c r="AC229" s="179">
        <f t="shared" si="420"/>
        <v>0.86970745517458337</v>
      </c>
      <c r="AD229" s="179"/>
      <c r="AE229" s="179">
        <f t="shared" si="421"/>
        <v>0.419047619047619</v>
      </c>
      <c r="AF229" s="563">
        <f t="shared" si="422"/>
        <v>689.3939393939396</v>
      </c>
      <c r="AG229" s="546">
        <f t="shared" si="423"/>
        <v>3.2999999999999995E-2</v>
      </c>
      <c r="AI229" s="179">
        <f t="shared" si="424"/>
        <v>0.21051883958017112</v>
      </c>
      <c r="AJ229" s="179">
        <f t="shared" si="425"/>
        <v>0.21051883958017112</v>
      </c>
      <c r="AK229" s="179">
        <f t="shared" si="426"/>
        <v>1.2448287700593861</v>
      </c>
      <c r="AM229" s="563">
        <f t="shared" si="427"/>
        <v>65</v>
      </c>
      <c r="AN229" s="472">
        <f t="shared" si="428"/>
        <v>350</v>
      </c>
      <c r="AP229">
        <f t="shared" si="429"/>
        <v>65</v>
      </c>
      <c r="AQ229">
        <f t="shared" si="430"/>
        <v>350</v>
      </c>
      <c r="AS229" s="6">
        <f t="shared" si="361"/>
        <v>2.8571428571428572</v>
      </c>
      <c r="AT229" s="6">
        <f t="shared" si="431"/>
        <v>0.19297560294849017</v>
      </c>
      <c r="AU229" s="6">
        <f t="shared" si="303"/>
        <v>2.6641672541943668</v>
      </c>
      <c r="AV229" s="6"/>
      <c r="AW229" s="179">
        <f t="shared" si="304"/>
        <v>6.7541461031971561E-2</v>
      </c>
      <c r="AX229" s="179"/>
      <c r="BA229" s="472">
        <f t="shared" si="432"/>
        <v>19.245051903114188</v>
      </c>
      <c r="BB229" s="472">
        <f t="shared" si="433"/>
        <v>0.31555654827866431</v>
      </c>
      <c r="BC229" s="6">
        <f t="shared" si="356"/>
        <v>1.6702437453957737E-2</v>
      </c>
      <c r="BD229" s="563">
        <f t="shared" si="434"/>
        <v>0</v>
      </c>
      <c r="CF229" s="581">
        <f t="shared" si="435"/>
        <v>-50</v>
      </c>
      <c r="CG229">
        <f t="shared" si="436"/>
        <v>-50</v>
      </c>
    </row>
    <row r="230" spans="5:85" x14ac:dyDescent="0.2">
      <c r="E230" s="176">
        <v>14</v>
      </c>
      <c r="F230" s="223">
        <f t="shared" si="437"/>
        <v>7.0000000000000007E-2</v>
      </c>
      <c r="G230" s="223"/>
      <c r="H230" s="223">
        <f t="shared" si="403"/>
        <v>0.35000000000000003</v>
      </c>
      <c r="I230" s="559">
        <f t="shared" si="404"/>
        <v>48</v>
      </c>
      <c r="J230" s="454">
        <f t="shared" si="405"/>
        <v>15.75</v>
      </c>
      <c r="K230" s="454">
        <f t="shared" si="406"/>
        <v>63.75</v>
      </c>
      <c r="L230" s="454"/>
      <c r="M230" s="223">
        <f t="shared" si="407"/>
        <v>0.24705882352941178</v>
      </c>
      <c r="N230" s="178">
        <f t="shared" si="408"/>
        <v>4.0023529411764711</v>
      </c>
      <c r="O230" s="178">
        <f t="shared" si="360"/>
        <v>0.35000000000000003</v>
      </c>
      <c r="P230" s="223">
        <f t="shared" si="409"/>
        <v>0.80047058823529427</v>
      </c>
      <c r="Q230" s="223">
        <f t="shared" si="410"/>
        <v>5</v>
      </c>
      <c r="R230" s="223"/>
      <c r="S230" s="178">
        <f t="shared" si="411"/>
        <v>215.44711595097897</v>
      </c>
      <c r="T230" s="178">
        <f t="shared" si="412"/>
        <v>5</v>
      </c>
      <c r="U230" s="223">
        <f t="shared" si="413"/>
        <v>6.558641975308642E-2</v>
      </c>
      <c r="V230" s="223">
        <f t="shared" si="414"/>
        <v>6.0120884773662557E-2</v>
      </c>
      <c r="W230" s="223">
        <f t="shared" si="415"/>
        <v>0.18322555359592396</v>
      </c>
      <c r="X230" s="203">
        <f t="shared" si="416"/>
        <v>350</v>
      </c>
      <c r="Y230" s="454">
        <f t="shared" si="417"/>
        <v>350</v>
      </c>
      <c r="AA230" s="223">
        <f t="shared" si="418"/>
        <v>0.77005347593582896</v>
      </c>
      <c r="AB230" s="179">
        <f t="shared" si="419"/>
        <v>2.151260504201681</v>
      </c>
      <c r="AC230" s="179">
        <f t="shared" si="420"/>
        <v>0.86970745517458337</v>
      </c>
      <c r="AD230" s="179"/>
      <c r="AE230" s="179">
        <f t="shared" si="421"/>
        <v>0.419047619047619</v>
      </c>
      <c r="AF230" s="563">
        <f t="shared" si="422"/>
        <v>742.42424242424272</v>
      </c>
      <c r="AG230" s="546">
        <f t="shared" si="423"/>
        <v>3.2999999999999995E-2</v>
      </c>
      <c r="AI230" s="179">
        <f t="shared" si="424"/>
        <v>0.21846572437632575</v>
      </c>
      <c r="AJ230" s="179">
        <f t="shared" si="425"/>
        <v>0.21846572437632575</v>
      </c>
      <c r="AK230" s="179">
        <f t="shared" si="426"/>
        <v>1.2507153513898708</v>
      </c>
      <c r="AM230" s="563">
        <f t="shared" si="427"/>
        <v>70</v>
      </c>
      <c r="AN230" s="472">
        <f t="shared" si="428"/>
        <v>350</v>
      </c>
      <c r="AP230">
        <f t="shared" si="429"/>
        <v>70</v>
      </c>
      <c r="AQ230">
        <f t="shared" si="430"/>
        <v>350</v>
      </c>
      <c r="AS230" s="6">
        <f t="shared" si="361"/>
        <v>2.8571428571428572</v>
      </c>
      <c r="AT230" s="6">
        <f t="shared" si="431"/>
        <v>0.20026024734496528</v>
      </c>
      <c r="AU230" s="6">
        <f t="shared" si="303"/>
        <v>2.6568826097978917</v>
      </c>
      <c r="AV230" s="6"/>
      <c r="AW230" s="179">
        <f t="shared" si="304"/>
        <v>7.0091086570737843E-2</v>
      </c>
      <c r="AX230" s="179"/>
      <c r="BA230" s="472">
        <f t="shared" si="432"/>
        <v>19.245051903114188</v>
      </c>
      <c r="BB230" s="472">
        <f t="shared" si="433"/>
        <v>0.34981706190898348</v>
      </c>
      <c r="BC230" s="6">
        <f t="shared" si="356"/>
        <v>1.793805774362002E-2</v>
      </c>
      <c r="BD230" s="563">
        <f t="shared" si="434"/>
        <v>0</v>
      </c>
      <c r="CF230" s="581">
        <f t="shared" si="435"/>
        <v>-50</v>
      </c>
      <c r="CG230">
        <f t="shared" si="436"/>
        <v>-50</v>
      </c>
    </row>
    <row r="231" spans="5:85" x14ac:dyDescent="0.2">
      <c r="E231" s="176">
        <v>15</v>
      </c>
      <c r="F231" s="223">
        <f t="shared" si="437"/>
        <v>7.4999999999999997E-2</v>
      </c>
      <c r="G231" s="223"/>
      <c r="H231" s="223">
        <f t="shared" si="403"/>
        <v>0.375</v>
      </c>
      <c r="I231" s="559">
        <f t="shared" si="404"/>
        <v>48</v>
      </c>
      <c r="J231" s="454">
        <f t="shared" si="405"/>
        <v>15.75</v>
      </c>
      <c r="K231" s="454">
        <f t="shared" si="406"/>
        <v>63.75</v>
      </c>
      <c r="L231" s="454"/>
      <c r="M231" s="223">
        <f t="shared" si="407"/>
        <v>0.24705882352941178</v>
      </c>
      <c r="N231" s="178">
        <f t="shared" si="408"/>
        <v>4.0023529411764711</v>
      </c>
      <c r="O231" s="178">
        <f t="shared" si="360"/>
        <v>0.375</v>
      </c>
      <c r="P231" s="223">
        <f t="shared" si="409"/>
        <v>0.80047058823529427</v>
      </c>
      <c r="Q231" s="223">
        <f t="shared" si="410"/>
        <v>5</v>
      </c>
      <c r="R231" s="223"/>
      <c r="S231" s="178">
        <f t="shared" si="411"/>
        <v>200.01997303908968</v>
      </c>
      <c r="T231" s="178">
        <f t="shared" si="412"/>
        <v>5</v>
      </c>
      <c r="U231" s="223">
        <f t="shared" si="413"/>
        <v>7.0271164021164012E-2</v>
      </c>
      <c r="V231" s="223">
        <f t="shared" si="414"/>
        <v>6.4415233686067011E-2</v>
      </c>
      <c r="W231" s="223">
        <f t="shared" si="415"/>
        <v>0.19631309313848994</v>
      </c>
      <c r="X231" s="203">
        <f t="shared" si="416"/>
        <v>350</v>
      </c>
      <c r="Y231" s="454">
        <f t="shared" si="417"/>
        <v>350</v>
      </c>
      <c r="AA231" s="223">
        <f t="shared" si="418"/>
        <v>0.77005347593582896</v>
      </c>
      <c r="AB231" s="179">
        <f t="shared" si="419"/>
        <v>2.151260504201681</v>
      </c>
      <c r="AC231" s="179">
        <f t="shared" si="420"/>
        <v>0.86970745517458337</v>
      </c>
      <c r="AD231" s="179"/>
      <c r="AE231" s="179">
        <f t="shared" si="421"/>
        <v>0.419047619047619</v>
      </c>
      <c r="AF231" s="563">
        <f t="shared" si="422"/>
        <v>795.4545454545455</v>
      </c>
      <c r="AG231" s="546">
        <f t="shared" si="423"/>
        <v>3.2999999999999995E-2</v>
      </c>
      <c r="AI231" s="179">
        <f t="shared" si="424"/>
        <v>0.22613350843332272</v>
      </c>
      <c r="AJ231" s="179">
        <f t="shared" si="425"/>
        <v>0.22613350843332272</v>
      </c>
      <c r="AK231" s="179">
        <f t="shared" si="426"/>
        <v>1.2563951914320908</v>
      </c>
      <c r="AM231" s="563">
        <f t="shared" si="427"/>
        <v>75</v>
      </c>
      <c r="AN231" s="472">
        <f t="shared" si="428"/>
        <v>350</v>
      </c>
      <c r="AP231">
        <f t="shared" si="429"/>
        <v>75</v>
      </c>
      <c r="AQ231">
        <f t="shared" si="430"/>
        <v>350</v>
      </c>
      <c r="AS231" s="6">
        <f t="shared" si="361"/>
        <v>2.8571428571428572</v>
      </c>
      <c r="AT231" s="6">
        <f t="shared" si="431"/>
        <v>0.20728904939721249</v>
      </c>
      <c r="AU231" s="6">
        <f t="shared" si="303"/>
        <v>2.6498538077456448</v>
      </c>
      <c r="AV231" s="6"/>
      <c r="AW231" s="179">
        <f t="shared" si="304"/>
        <v>7.2551167289024374E-2</v>
      </c>
      <c r="AX231" s="179"/>
      <c r="BA231" s="472">
        <f t="shared" si="432"/>
        <v>19.245051903114188</v>
      </c>
      <c r="BB231" s="472">
        <f t="shared" si="433"/>
        <v>0.38550428025265954</v>
      </c>
      <c r="BC231" s="6">
        <f t="shared" si="356"/>
        <v>1.9168502660197078E-2</v>
      </c>
      <c r="BD231" s="563">
        <f t="shared" si="434"/>
        <v>0</v>
      </c>
      <c r="CF231" s="581">
        <f t="shared" si="435"/>
        <v>-50</v>
      </c>
      <c r="CG231">
        <f t="shared" si="436"/>
        <v>-50</v>
      </c>
    </row>
    <row r="232" spans="5:85" x14ac:dyDescent="0.2">
      <c r="E232" s="176">
        <v>16</v>
      </c>
      <c r="F232" s="223">
        <f t="shared" si="437"/>
        <v>0.08</v>
      </c>
      <c r="G232" s="223"/>
      <c r="H232" s="223">
        <f t="shared" si="403"/>
        <v>0.4</v>
      </c>
      <c r="I232" s="559">
        <f t="shared" si="404"/>
        <v>48</v>
      </c>
      <c r="J232" s="454">
        <f t="shared" si="405"/>
        <v>15.75</v>
      </c>
      <c r="K232" s="454">
        <f t="shared" si="406"/>
        <v>63.75</v>
      </c>
      <c r="L232" s="454"/>
      <c r="M232" s="223">
        <f t="shared" si="407"/>
        <v>0.24705882352941178</v>
      </c>
      <c r="N232" s="178">
        <f t="shared" si="408"/>
        <v>4.0023529411764711</v>
      </c>
      <c r="O232" s="178">
        <f t="shared" si="360"/>
        <v>0.4</v>
      </c>
      <c r="P232" s="223">
        <f t="shared" si="409"/>
        <v>0.80047058823529427</v>
      </c>
      <c r="Q232" s="223">
        <f t="shared" si="410"/>
        <v>5</v>
      </c>
      <c r="R232" s="223"/>
      <c r="S232" s="178">
        <f t="shared" si="411"/>
        <v>186.52141655331323</v>
      </c>
      <c r="T232" s="178">
        <f t="shared" si="412"/>
        <v>5</v>
      </c>
      <c r="U232" s="223">
        <f t="shared" si="413"/>
        <v>7.4955908289241618E-2</v>
      </c>
      <c r="V232" s="223">
        <f t="shared" si="414"/>
        <v>6.8709582598471486E-2</v>
      </c>
      <c r="W232" s="223">
        <f t="shared" si="415"/>
        <v>0.20940063268105596</v>
      </c>
      <c r="X232" s="203">
        <f t="shared" si="416"/>
        <v>350</v>
      </c>
      <c r="Y232" s="454">
        <f t="shared" si="417"/>
        <v>350</v>
      </c>
      <c r="AA232" s="223">
        <f t="shared" si="418"/>
        <v>0.77005347593582896</v>
      </c>
      <c r="AB232" s="179">
        <f t="shared" si="419"/>
        <v>2.151260504201681</v>
      </c>
      <c r="AC232" s="179">
        <f t="shared" si="420"/>
        <v>0.86970745517458337</v>
      </c>
      <c r="AD232" s="179"/>
      <c r="AE232" s="179">
        <f t="shared" si="421"/>
        <v>0.419047619047619</v>
      </c>
      <c r="AF232" s="563">
        <f t="shared" si="422"/>
        <v>848.48484848484861</v>
      </c>
      <c r="AG232" s="546">
        <f t="shared" si="423"/>
        <v>3.2999999999999995E-2</v>
      </c>
      <c r="AI232" s="179">
        <f t="shared" si="424"/>
        <v>0.23354968324845687</v>
      </c>
      <c r="AJ232" s="179">
        <f t="shared" si="425"/>
        <v>0.23354968324845687</v>
      </c>
      <c r="AK232" s="179">
        <f t="shared" si="426"/>
        <v>1.2618886542581162</v>
      </c>
      <c r="AM232" s="563">
        <f t="shared" si="427"/>
        <v>80</v>
      </c>
      <c r="AN232" s="472">
        <f t="shared" si="428"/>
        <v>350</v>
      </c>
      <c r="AP232">
        <f t="shared" si="429"/>
        <v>80</v>
      </c>
      <c r="AQ232">
        <f t="shared" si="430"/>
        <v>350</v>
      </c>
      <c r="AS232" s="6">
        <f t="shared" si="361"/>
        <v>2.8571428571428572</v>
      </c>
      <c r="AT232" s="6">
        <f t="shared" si="431"/>
        <v>0.2140872096444188</v>
      </c>
      <c r="AU232" s="6">
        <f t="shared" si="303"/>
        <v>2.6430556474984384</v>
      </c>
      <c r="AV232" s="6"/>
      <c r="AW232" s="179">
        <f t="shared" si="304"/>
        <v>7.4930523375546579E-2</v>
      </c>
      <c r="AX232" s="179"/>
      <c r="BA232" s="472">
        <f t="shared" si="432"/>
        <v>19.245051903114188</v>
      </c>
      <c r="BB232" s="472">
        <f t="shared" si="433"/>
        <v>0.42261820330969263</v>
      </c>
      <c r="BC232" s="6">
        <f t="shared" si="356"/>
        <v>2.0393947897364491E-2</v>
      </c>
      <c r="BD232" s="563">
        <f t="shared" si="434"/>
        <v>0</v>
      </c>
      <c r="CF232" s="581">
        <f t="shared" si="435"/>
        <v>-50</v>
      </c>
      <c r="CG232">
        <f t="shared" si="436"/>
        <v>-50</v>
      </c>
    </row>
    <row r="233" spans="5:85" x14ac:dyDescent="0.2">
      <c r="E233" s="176">
        <v>17</v>
      </c>
      <c r="F233" s="223">
        <f t="shared" si="437"/>
        <v>8.5000000000000006E-2</v>
      </c>
      <c r="G233" s="223"/>
      <c r="H233" s="223">
        <f t="shared" si="403"/>
        <v>0.42500000000000004</v>
      </c>
      <c r="I233" s="559">
        <f t="shared" si="404"/>
        <v>48</v>
      </c>
      <c r="J233" s="454">
        <f t="shared" si="405"/>
        <v>15.75</v>
      </c>
      <c r="K233" s="454">
        <f t="shared" si="406"/>
        <v>63.75</v>
      </c>
      <c r="L233" s="454"/>
      <c r="M233" s="223">
        <f t="shared" si="407"/>
        <v>0.24705882352941178</v>
      </c>
      <c r="N233" s="178">
        <f t="shared" si="408"/>
        <v>4.0023529411764711</v>
      </c>
      <c r="O233" s="178">
        <f t="shared" si="360"/>
        <v>0.42500000000000004</v>
      </c>
      <c r="P233" s="223">
        <f t="shared" si="409"/>
        <v>0.80047058823529427</v>
      </c>
      <c r="Q233" s="223">
        <f t="shared" si="410"/>
        <v>5</v>
      </c>
      <c r="R233" s="223"/>
      <c r="S233" s="178">
        <f t="shared" si="411"/>
        <v>174.611110592041</v>
      </c>
      <c r="T233" s="178">
        <f t="shared" si="412"/>
        <v>5</v>
      </c>
      <c r="U233" s="223">
        <f t="shared" si="413"/>
        <v>7.9640652557319225E-2</v>
      </c>
      <c r="V233" s="223">
        <f t="shared" si="414"/>
        <v>7.3003931510875961E-2</v>
      </c>
      <c r="W233" s="223">
        <f t="shared" si="415"/>
        <v>0.22248817222362197</v>
      </c>
      <c r="X233" s="203">
        <f t="shared" si="416"/>
        <v>350</v>
      </c>
      <c r="Y233" s="454">
        <f t="shared" si="417"/>
        <v>350</v>
      </c>
      <c r="AA233" s="223">
        <f t="shared" si="418"/>
        <v>0.77005347593582896</v>
      </c>
      <c r="AB233" s="179">
        <f t="shared" si="419"/>
        <v>2.151260504201681</v>
      </c>
      <c r="AC233" s="179">
        <f t="shared" si="420"/>
        <v>0.86970745517458337</v>
      </c>
      <c r="AD233" s="179"/>
      <c r="AE233" s="179">
        <f t="shared" si="421"/>
        <v>0.419047619047619</v>
      </c>
      <c r="AF233" s="563">
        <f t="shared" si="422"/>
        <v>901.51515151515173</v>
      </c>
      <c r="AG233" s="546">
        <f t="shared" si="423"/>
        <v>3.2999999999999995E-2</v>
      </c>
      <c r="AI233" s="179">
        <f t="shared" si="424"/>
        <v>0.24073750321573381</v>
      </c>
      <c r="AJ233" s="179">
        <f t="shared" si="425"/>
        <v>0.24073750321573381</v>
      </c>
      <c r="AK233" s="179">
        <f t="shared" si="426"/>
        <v>1.267212965344988</v>
      </c>
      <c r="AM233" s="563">
        <f t="shared" si="427"/>
        <v>85</v>
      </c>
      <c r="AN233" s="472">
        <f t="shared" si="428"/>
        <v>350</v>
      </c>
      <c r="AP233">
        <f t="shared" si="429"/>
        <v>85</v>
      </c>
      <c r="AQ233">
        <f t="shared" si="430"/>
        <v>350</v>
      </c>
      <c r="AS233" s="6">
        <f t="shared" si="361"/>
        <v>2.8571428571428572</v>
      </c>
      <c r="AT233" s="6">
        <f t="shared" si="431"/>
        <v>0.22067604461442264</v>
      </c>
      <c r="AU233" s="6">
        <f t="shared" si="303"/>
        <v>2.6364668125284347</v>
      </c>
      <c r="AV233" s="6"/>
      <c r="AW233" s="179">
        <f t="shared" si="304"/>
        <v>7.7236615615047924E-2</v>
      </c>
      <c r="AX233" s="179"/>
      <c r="BA233" s="472">
        <f t="shared" si="432"/>
        <v>19.245051903114188</v>
      </c>
      <c r="BB233" s="472">
        <f t="shared" si="433"/>
        <v>0.46115883108008282</v>
      </c>
      <c r="BC233" s="6">
        <f t="shared" si="356"/>
        <v>2.1614552378946463E-2</v>
      </c>
      <c r="BD233" s="563">
        <f t="shared" si="434"/>
        <v>0</v>
      </c>
      <c r="CF233" s="581">
        <f t="shared" si="435"/>
        <v>-50</v>
      </c>
      <c r="CG233">
        <f t="shared" si="436"/>
        <v>-50</v>
      </c>
    </row>
    <row r="234" spans="5:85" x14ac:dyDescent="0.2">
      <c r="E234" s="176">
        <v>18</v>
      </c>
      <c r="F234" s="223">
        <f t="shared" si="437"/>
        <v>0.09</v>
      </c>
      <c r="G234" s="223"/>
      <c r="H234" s="223">
        <f t="shared" si="403"/>
        <v>0.44999999999999996</v>
      </c>
      <c r="I234" s="559">
        <f t="shared" si="404"/>
        <v>48</v>
      </c>
      <c r="J234" s="454">
        <f t="shared" si="405"/>
        <v>15.75</v>
      </c>
      <c r="K234" s="454">
        <f t="shared" si="406"/>
        <v>63.75</v>
      </c>
      <c r="L234" s="454"/>
      <c r="M234" s="223">
        <f t="shared" si="407"/>
        <v>0.24705882352941178</v>
      </c>
      <c r="N234" s="178">
        <f t="shared" si="408"/>
        <v>4.0023529411764711</v>
      </c>
      <c r="O234" s="178">
        <f t="shared" si="360"/>
        <v>0.44999999999999996</v>
      </c>
      <c r="P234" s="223">
        <f t="shared" si="409"/>
        <v>0.80047058823529427</v>
      </c>
      <c r="Q234" s="223">
        <f t="shared" si="410"/>
        <v>5</v>
      </c>
      <c r="R234" s="223"/>
      <c r="S234" s="178">
        <f t="shared" si="411"/>
        <v>164.02434951051043</v>
      </c>
      <c r="T234" s="178">
        <f t="shared" si="412"/>
        <v>5</v>
      </c>
      <c r="U234" s="223">
        <f t="shared" si="413"/>
        <v>8.4325396825396817E-2</v>
      </c>
      <c r="V234" s="223">
        <f t="shared" si="414"/>
        <v>7.7298280423280422E-2</v>
      </c>
      <c r="W234" s="223">
        <f t="shared" si="415"/>
        <v>0.23557571176618794</v>
      </c>
      <c r="X234" s="203">
        <f t="shared" si="416"/>
        <v>350</v>
      </c>
      <c r="Y234" s="454">
        <f t="shared" si="417"/>
        <v>350</v>
      </c>
      <c r="AA234" s="223">
        <f t="shared" si="418"/>
        <v>0.77005347593582896</v>
      </c>
      <c r="AB234" s="179">
        <f t="shared" si="419"/>
        <v>2.151260504201681</v>
      </c>
      <c r="AC234" s="179">
        <f t="shared" si="420"/>
        <v>0.86970745517458337</v>
      </c>
      <c r="AD234" s="179"/>
      <c r="AE234" s="179">
        <f t="shared" si="421"/>
        <v>0.419047619047619</v>
      </c>
      <c r="AF234" s="563">
        <f t="shared" si="422"/>
        <v>954.54545454545473</v>
      </c>
      <c r="AG234" s="546">
        <f t="shared" si="423"/>
        <v>3.2999999999999995E-2</v>
      </c>
      <c r="AI234" s="179">
        <f t="shared" si="424"/>
        <v>0.24771684715343112</v>
      </c>
      <c r="AJ234" s="179">
        <f t="shared" si="425"/>
        <v>0.24771684715343112</v>
      </c>
      <c r="AK234" s="179">
        <f t="shared" si="426"/>
        <v>1.2723828497432823</v>
      </c>
      <c r="AM234" s="563">
        <f t="shared" si="427"/>
        <v>90</v>
      </c>
      <c r="AN234" s="472">
        <f t="shared" si="428"/>
        <v>350</v>
      </c>
      <c r="AP234">
        <f t="shared" si="429"/>
        <v>90</v>
      </c>
      <c r="AQ234">
        <f t="shared" si="430"/>
        <v>350</v>
      </c>
      <c r="AS234" s="6">
        <f t="shared" si="361"/>
        <v>2.8571428571428572</v>
      </c>
      <c r="AT234" s="6">
        <f t="shared" si="431"/>
        <v>0.22707377655731187</v>
      </c>
      <c r="AU234" s="6">
        <f t="shared" ref="AU234:AU297" si="438">AS234-AT234</f>
        <v>2.6300690805855451</v>
      </c>
      <c r="AV234" s="6"/>
      <c r="AW234" s="179">
        <f t="shared" ref="AW234:AW297" si="439">AT234/AS234</f>
        <v>7.9475821795059146E-2</v>
      </c>
      <c r="AX234" s="179"/>
      <c r="BA234" s="472">
        <f t="shared" si="432"/>
        <v>19.245051903114188</v>
      </c>
      <c r="BB234" s="472">
        <f t="shared" si="433"/>
        <v>0.50112616356382977</v>
      </c>
      <c r="BC234" s="6">
        <f t="shared" si="356"/>
        <v>2.2830460768971741E-2</v>
      </c>
      <c r="BD234" s="563">
        <f t="shared" si="434"/>
        <v>0</v>
      </c>
      <c r="CF234" s="581">
        <f t="shared" si="435"/>
        <v>-50</v>
      </c>
      <c r="CG234">
        <f t="shared" si="436"/>
        <v>-50</v>
      </c>
    </row>
    <row r="235" spans="5:85" x14ac:dyDescent="0.2">
      <c r="E235" s="176">
        <v>19</v>
      </c>
      <c r="F235" s="223">
        <f t="shared" si="437"/>
        <v>9.5000000000000001E-2</v>
      </c>
      <c r="G235" s="223"/>
      <c r="H235" s="223">
        <f t="shared" si="403"/>
        <v>0.47499999999999998</v>
      </c>
      <c r="I235" s="559">
        <f t="shared" si="404"/>
        <v>48</v>
      </c>
      <c r="J235" s="454">
        <f t="shared" si="405"/>
        <v>15.75</v>
      </c>
      <c r="K235" s="454">
        <f t="shared" si="406"/>
        <v>63.75</v>
      </c>
      <c r="L235" s="454"/>
      <c r="M235" s="223">
        <f t="shared" si="407"/>
        <v>0.24705882352941178</v>
      </c>
      <c r="N235" s="178">
        <f t="shared" si="408"/>
        <v>4.0023529411764711</v>
      </c>
      <c r="O235" s="178">
        <f t="shared" si="360"/>
        <v>0.47499999999999998</v>
      </c>
      <c r="P235" s="223">
        <f t="shared" si="409"/>
        <v>0.80047058823529427</v>
      </c>
      <c r="Q235" s="223">
        <f t="shared" si="410"/>
        <v>5</v>
      </c>
      <c r="R235" s="223"/>
      <c r="S235" s="178">
        <f t="shared" si="411"/>
        <v>154.5521552230025</v>
      </c>
      <c r="T235" s="178">
        <f t="shared" si="412"/>
        <v>5</v>
      </c>
      <c r="U235" s="223">
        <f t="shared" si="413"/>
        <v>8.901014109347441E-2</v>
      </c>
      <c r="V235" s="223">
        <f t="shared" si="414"/>
        <v>8.1592629335684869E-2</v>
      </c>
      <c r="W235" s="223">
        <f t="shared" si="415"/>
        <v>0.24866325130875394</v>
      </c>
      <c r="X235" s="203">
        <f t="shared" si="416"/>
        <v>350</v>
      </c>
      <c r="Y235" s="454">
        <f t="shared" si="417"/>
        <v>350</v>
      </c>
      <c r="AA235" s="223">
        <f t="shared" si="418"/>
        <v>0.77005347593582896</v>
      </c>
      <c r="AB235" s="179">
        <f t="shared" si="419"/>
        <v>2.151260504201681</v>
      </c>
      <c r="AC235" s="179">
        <f t="shared" si="420"/>
        <v>0.86970745517458337</v>
      </c>
      <c r="AD235" s="179"/>
      <c r="AE235" s="179">
        <f t="shared" si="421"/>
        <v>0.419047619047619</v>
      </c>
      <c r="AF235" s="563">
        <f t="shared" si="422"/>
        <v>1007.5757575757578</v>
      </c>
      <c r="AG235" s="546">
        <f t="shared" si="423"/>
        <v>3.2999999999999995E-2</v>
      </c>
      <c r="AI235" s="179">
        <f t="shared" si="424"/>
        <v>0.25450486689398943</v>
      </c>
      <c r="AJ235" s="179">
        <f t="shared" si="425"/>
        <v>0.25450486689398943</v>
      </c>
      <c r="AK235" s="179">
        <f t="shared" si="426"/>
        <v>1.2774110125140663</v>
      </c>
      <c r="AM235" s="563">
        <f t="shared" si="427"/>
        <v>95</v>
      </c>
      <c r="AN235" s="472">
        <f t="shared" si="428"/>
        <v>350</v>
      </c>
      <c r="AP235">
        <f t="shared" si="429"/>
        <v>95</v>
      </c>
      <c r="AQ235">
        <f t="shared" si="430"/>
        <v>350</v>
      </c>
      <c r="AS235" s="6">
        <f t="shared" si="361"/>
        <v>2.8571428571428572</v>
      </c>
      <c r="AT235" s="6">
        <f t="shared" si="431"/>
        <v>0.23329612798615695</v>
      </c>
      <c r="AU235" s="6">
        <f t="shared" si="438"/>
        <v>2.6238467291567003</v>
      </c>
      <c r="AV235" s="6"/>
      <c r="AW235" s="179">
        <f t="shared" si="439"/>
        <v>8.1653644795154925E-2</v>
      </c>
      <c r="AX235" s="179"/>
      <c r="BA235" s="472">
        <f t="shared" si="432"/>
        <v>19.245051903114188</v>
      </c>
      <c r="BB235" s="472">
        <f t="shared" si="433"/>
        <v>0.54252020076093377</v>
      </c>
      <c r="BC235" s="6">
        <f t="shared" si="356"/>
        <v>2.4041805485135657E-2</v>
      </c>
      <c r="BD235" s="563">
        <f t="shared" si="434"/>
        <v>0</v>
      </c>
      <c r="CF235" s="581">
        <f t="shared" si="435"/>
        <v>-50</v>
      </c>
      <c r="CG235">
        <f t="shared" si="436"/>
        <v>-50</v>
      </c>
    </row>
    <row r="236" spans="5:85" x14ac:dyDescent="0.2">
      <c r="E236" s="176">
        <v>20</v>
      </c>
      <c r="F236" s="223">
        <f t="shared" si="437"/>
        <v>0.1</v>
      </c>
      <c r="G236" s="223"/>
      <c r="H236" s="223">
        <f t="shared" si="403"/>
        <v>0.5</v>
      </c>
      <c r="I236" s="559">
        <f t="shared" si="404"/>
        <v>48</v>
      </c>
      <c r="J236" s="454">
        <f t="shared" si="405"/>
        <v>15.75</v>
      </c>
      <c r="K236" s="454">
        <f t="shared" si="406"/>
        <v>63.75</v>
      </c>
      <c r="L236" s="454"/>
      <c r="M236" s="223">
        <f t="shared" si="407"/>
        <v>0.24705882352941178</v>
      </c>
      <c r="N236" s="178">
        <f t="shared" si="408"/>
        <v>4.0023529411764711</v>
      </c>
      <c r="O236" s="178">
        <f t="shared" si="360"/>
        <v>0.5</v>
      </c>
      <c r="P236" s="223">
        <f t="shared" si="409"/>
        <v>0.80047058823529427</v>
      </c>
      <c r="Q236" s="223">
        <f t="shared" si="410"/>
        <v>5</v>
      </c>
      <c r="R236" s="223"/>
      <c r="S236" s="178">
        <f t="shared" si="411"/>
        <v>146.02734531441897</v>
      </c>
      <c r="T236" s="178">
        <f t="shared" si="412"/>
        <v>5</v>
      </c>
      <c r="U236" s="223">
        <f t="shared" si="413"/>
        <v>9.3694885361552016E-2</v>
      </c>
      <c r="V236" s="223">
        <f t="shared" si="414"/>
        <v>8.5886978248089357E-2</v>
      </c>
      <c r="W236" s="223">
        <f t="shared" si="415"/>
        <v>0.26175079085131991</v>
      </c>
      <c r="X236" s="203">
        <f t="shared" si="416"/>
        <v>350</v>
      </c>
      <c r="Y236" s="454">
        <f t="shared" si="417"/>
        <v>350</v>
      </c>
      <c r="AA236" s="223">
        <f t="shared" si="418"/>
        <v>0.77005347593582896</v>
      </c>
      <c r="AB236" s="179">
        <f t="shared" si="419"/>
        <v>2.151260504201681</v>
      </c>
      <c r="AC236" s="179">
        <f t="shared" si="420"/>
        <v>0.86970745517458337</v>
      </c>
      <c r="AD236" s="179"/>
      <c r="AE236" s="179">
        <f t="shared" si="421"/>
        <v>0.419047619047619</v>
      </c>
      <c r="AF236" s="563">
        <f t="shared" si="422"/>
        <v>1060.6060606060607</v>
      </c>
      <c r="AG236" s="546">
        <f t="shared" si="423"/>
        <v>3.2999999999999995E-2</v>
      </c>
      <c r="AI236" s="179">
        <f t="shared" si="424"/>
        <v>0.26111648393354675</v>
      </c>
      <c r="AJ236" s="179">
        <f t="shared" si="425"/>
        <v>0.26111648393354675</v>
      </c>
      <c r="AK236" s="179">
        <f t="shared" si="426"/>
        <v>1.282308506617442</v>
      </c>
      <c r="AM236" s="563">
        <f t="shared" si="427"/>
        <v>100</v>
      </c>
      <c r="AN236" s="472">
        <f t="shared" si="428"/>
        <v>350</v>
      </c>
      <c r="AP236">
        <f t="shared" si="429"/>
        <v>100</v>
      </c>
      <c r="AQ236">
        <f t="shared" si="430"/>
        <v>350</v>
      </c>
      <c r="AS236" s="6">
        <f t="shared" si="361"/>
        <v>2.8571428571428572</v>
      </c>
      <c r="AT236" s="6">
        <f t="shared" si="431"/>
        <v>0.23935677693908453</v>
      </c>
      <c r="AU236" s="6">
        <f t="shared" si="438"/>
        <v>2.6177860802037727</v>
      </c>
      <c r="AV236" s="6"/>
      <c r="AW236" s="179">
        <f t="shared" si="439"/>
        <v>8.3774871928679578E-2</v>
      </c>
      <c r="AX236" s="179"/>
      <c r="BA236" s="472">
        <f t="shared" si="432"/>
        <v>19.245051903114188</v>
      </c>
      <c r="BB236" s="472">
        <f t="shared" si="433"/>
        <v>0.58534094267139491</v>
      </c>
      <c r="BC236" s="6">
        <f t="shared" si="356"/>
        <v>2.5248708335298731E-2</v>
      </c>
      <c r="BD236" s="563">
        <f t="shared" si="434"/>
        <v>0</v>
      </c>
      <c r="CF236" s="581">
        <f t="shared" si="435"/>
        <v>-50</v>
      </c>
      <c r="CG236">
        <f t="shared" si="436"/>
        <v>-50</v>
      </c>
    </row>
    <row r="237" spans="5:85" x14ac:dyDescent="0.2">
      <c r="E237" s="176">
        <v>21</v>
      </c>
      <c r="F237" s="223">
        <f t="shared" si="437"/>
        <v>0.105</v>
      </c>
      <c r="G237" s="223"/>
      <c r="H237" s="223">
        <f t="shared" si="403"/>
        <v>0.52500000000000002</v>
      </c>
      <c r="I237" s="559">
        <f t="shared" si="404"/>
        <v>48</v>
      </c>
      <c r="J237" s="454">
        <f t="shared" si="405"/>
        <v>15.75</v>
      </c>
      <c r="K237" s="454">
        <f t="shared" si="406"/>
        <v>63.75</v>
      </c>
      <c r="L237" s="454"/>
      <c r="M237" s="223">
        <f t="shared" si="407"/>
        <v>0.24705882352941178</v>
      </c>
      <c r="N237" s="178">
        <f t="shared" si="408"/>
        <v>4.0023529411764711</v>
      </c>
      <c r="O237" s="178">
        <f t="shared" si="360"/>
        <v>0.52500000000000002</v>
      </c>
      <c r="P237" s="223">
        <f t="shared" si="409"/>
        <v>0.80047058823529427</v>
      </c>
      <c r="Q237" s="223">
        <f t="shared" si="410"/>
        <v>5</v>
      </c>
      <c r="R237" s="223"/>
      <c r="S237" s="178">
        <f t="shared" si="411"/>
        <v>138.31458169144796</v>
      </c>
      <c r="T237" s="178">
        <f t="shared" si="412"/>
        <v>5</v>
      </c>
      <c r="U237" s="223">
        <f t="shared" si="413"/>
        <v>9.8379629629629622E-2</v>
      </c>
      <c r="V237" s="223">
        <f t="shared" si="414"/>
        <v>9.0181327160493818E-2</v>
      </c>
      <c r="W237" s="223">
        <f t="shared" si="415"/>
        <v>0.27483833039388589</v>
      </c>
      <c r="X237" s="203">
        <f t="shared" si="416"/>
        <v>350</v>
      </c>
      <c r="Y237" s="454">
        <f t="shared" si="417"/>
        <v>350</v>
      </c>
      <c r="AA237" s="223">
        <f t="shared" si="418"/>
        <v>0.77005347593582896</v>
      </c>
      <c r="AB237" s="179">
        <f t="shared" si="419"/>
        <v>2.151260504201681</v>
      </c>
      <c r="AC237" s="179">
        <f t="shared" si="420"/>
        <v>0.86970745517458337</v>
      </c>
      <c r="AD237" s="179"/>
      <c r="AE237" s="179">
        <f t="shared" si="421"/>
        <v>0.419047619047619</v>
      </c>
      <c r="AF237" s="563">
        <f t="shared" si="422"/>
        <v>1113.6363636363637</v>
      </c>
      <c r="AG237" s="546">
        <f t="shared" si="423"/>
        <v>3.2999999999999995E-2</v>
      </c>
      <c r="AI237" s="179">
        <f t="shared" si="424"/>
        <v>0.26756477550475338</v>
      </c>
      <c r="AJ237" s="179">
        <f t="shared" si="425"/>
        <v>0.26756477550475338</v>
      </c>
      <c r="AK237" s="179">
        <f t="shared" si="426"/>
        <v>1.2870850188924099</v>
      </c>
      <c r="AM237" s="563">
        <f t="shared" si="427"/>
        <v>105</v>
      </c>
      <c r="AN237" s="472">
        <f t="shared" si="428"/>
        <v>350</v>
      </c>
      <c r="AP237">
        <f t="shared" si="429"/>
        <v>105</v>
      </c>
      <c r="AQ237">
        <f t="shared" si="430"/>
        <v>350</v>
      </c>
      <c r="AS237" s="6">
        <f t="shared" si="361"/>
        <v>2.8571428571428572</v>
      </c>
      <c r="AT237" s="6">
        <f t="shared" si="431"/>
        <v>0.24526771087935723</v>
      </c>
      <c r="AU237" s="6">
        <f t="shared" si="438"/>
        <v>2.6118751462634999</v>
      </c>
      <c r="AV237" s="6"/>
      <c r="AW237" s="179">
        <f t="shared" si="439"/>
        <v>8.5843698807775023E-2</v>
      </c>
      <c r="AX237" s="179"/>
      <c r="BA237" s="472">
        <f t="shared" si="432"/>
        <v>19.245051903114188</v>
      </c>
      <c r="BB237" s="472">
        <f t="shared" si="433"/>
        <v>0.62958838929521277</v>
      </c>
      <c r="BC237" s="6">
        <f t="shared" si="356"/>
        <v>2.6451281863200952E-2</v>
      </c>
      <c r="BD237" s="563">
        <f t="shared" si="434"/>
        <v>0</v>
      </c>
      <c r="CF237" s="581">
        <f t="shared" si="435"/>
        <v>-50</v>
      </c>
      <c r="CG237">
        <f t="shared" si="436"/>
        <v>-50</v>
      </c>
    </row>
    <row r="238" spans="5:85" x14ac:dyDescent="0.2">
      <c r="E238" s="176">
        <v>22</v>
      </c>
      <c r="F238" s="223">
        <f t="shared" si="437"/>
        <v>0.11</v>
      </c>
      <c r="G238" s="223"/>
      <c r="H238" s="223">
        <f t="shared" si="403"/>
        <v>0.55000000000000004</v>
      </c>
      <c r="I238" s="559">
        <f t="shared" si="404"/>
        <v>48</v>
      </c>
      <c r="J238" s="454">
        <f t="shared" si="405"/>
        <v>15.75</v>
      </c>
      <c r="K238" s="454">
        <f t="shared" si="406"/>
        <v>63.75</v>
      </c>
      <c r="L238" s="454"/>
      <c r="M238" s="223">
        <f t="shared" si="407"/>
        <v>0.24705882352941178</v>
      </c>
      <c r="N238" s="178">
        <f t="shared" si="408"/>
        <v>4.0023529411764711</v>
      </c>
      <c r="O238" s="178">
        <f t="shared" si="360"/>
        <v>0.55000000000000004</v>
      </c>
      <c r="P238" s="223">
        <f t="shared" si="409"/>
        <v>0.80047058823529427</v>
      </c>
      <c r="Q238" s="223">
        <f t="shared" si="410"/>
        <v>5</v>
      </c>
      <c r="R238" s="223"/>
      <c r="S238" s="178">
        <f t="shared" si="411"/>
        <v>131.3031332379943</v>
      </c>
      <c r="T238" s="178">
        <f t="shared" si="412"/>
        <v>5</v>
      </c>
      <c r="U238" s="223">
        <f t="shared" si="413"/>
        <v>0.10306437389770723</v>
      </c>
      <c r="V238" s="223">
        <f t="shared" si="414"/>
        <v>9.4475676072898279E-2</v>
      </c>
      <c r="W238" s="223">
        <f t="shared" si="415"/>
        <v>0.28792586993645197</v>
      </c>
      <c r="X238" s="203">
        <f t="shared" si="416"/>
        <v>350</v>
      </c>
      <c r="Y238" s="454">
        <f t="shared" si="417"/>
        <v>350</v>
      </c>
      <c r="AA238" s="223">
        <f t="shared" si="418"/>
        <v>0.77005347593582896</v>
      </c>
      <c r="AB238" s="179">
        <f t="shared" si="419"/>
        <v>2.151260504201681</v>
      </c>
      <c r="AC238" s="179">
        <f t="shared" si="420"/>
        <v>0.86970745517458337</v>
      </c>
      <c r="AD238" s="179"/>
      <c r="AE238" s="179">
        <f t="shared" si="421"/>
        <v>0.419047619047619</v>
      </c>
      <c r="AF238" s="563">
        <f t="shared" si="422"/>
        <v>1166.666666666667</v>
      </c>
      <c r="AG238" s="546">
        <f t="shared" si="423"/>
        <v>3.2999999999999995E-2</v>
      </c>
      <c r="AI238" s="179">
        <f t="shared" si="424"/>
        <v>0.27386127875258304</v>
      </c>
      <c r="AJ238" s="179">
        <f t="shared" si="425"/>
        <v>0.27386127875258304</v>
      </c>
      <c r="AK238" s="179">
        <f t="shared" si="426"/>
        <v>1.2917490953722837</v>
      </c>
      <c r="AM238" s="563">
        <f t="shared" si="427"/>
        <v>110</v>
      </c>
      <c r="AN238" s="472">
        <f t="shared" si="428"/>
        <v>350</v>
      </c>
      <c r="AP238">
        <f t="shared" si="429"/>
        <v>110</v>
      </c>
      <c r="AQ238">
        <f t="shared" si="430"/>
        <v>350</v>
      </c>
      <c r="AS238" s="6">
        <f t="shared" si="361"/>
        <v>2.8571428571428572</v>
      </c>
      <c r="AT238" s="6">
        <f t="shared" si="431"/>
        <v>0.25103950552320115</v>
      </c>
      <c r="AU238" s="6">
        <f t="shared" si="438"/>
        <v>2.6061033516196561</v>
      </c>
      <c r="AV238" s="6"/>
      <c r="AW238" s="179">
        <f t="shared" si="439"/>
        <v>8.7863826933120392E-2</v>
      </c>
      <c r="AX238" s="179"/>
      <c r="BA238" s="472">
        <f t="shared" si="432"/>
        <v>19.245051903114188</v>
      </c>
      <c r="BB238" s="472">
        <f t="shared" si="433"/>
        <v>0.67526254063238778</v>
      </c>
      <c r="BC238" s="6">
        <f t="shared" si="356"/>
        <v>2.7649630466643725E-2</v>
      </c>
      <c r="BD238" s="563">
        <f t="shared" si="434"/>
        <v>0</v>
      </c>
      <c r="CF238" s="581">
        <f t="shared" si="435"/>
        <v>-50</v>
      </c>
      <c r="CG238">
        <f t="shared" si="436"/>
        <v>-50</v>
      </c>
    </row>
    <row r="239" spans="5:85" x14ac:dyDescent="0.2">
      <c r="E239" s="176">
        <v>23</v>
      </c>
      <c r="F239" s="223">
        <f t="shared" si="437"/>
        <v>0.115</v>
      </c>
      <c r="G239" s="223"/>
      <c r="H239" s="223">
        <f t="shared" si="403"/>
        <v>0.57500000000000007</v>
      </c>
      <c r="I239" s="559">
        <f t="shared" si="404"/>
        <v>48</v>
      </c>
      <c r="J239" s="454">
        <f t="shared" si="405"/>
        <v>15.75</v>
      </c>
      <c r="K239" s="454">
        <f t="shared" si="406"/>
        <v>63.75</v>
      </c>
      <c r="L239" s="454"/>
      <c r="M239" s="223">
        <f t="shared" si="407"/>
        <v>0.24705882352941178</v>
      </c>
      <c r="N239" s="178">
        <f t="shared" si="408"/>
        <v>4.0023529411764711</v>
      </c>
      <c r="O239" s="178">
        <f t="shared" si="360"/>
        <v>0.57500000000000007</v>
      </c>
      <c r="P239" s="223">
        <f t="shared" si="409"/>
        <v>0.80047058823529427</v>
      </c>
      <c r="Q239" s="223">
        <f t="shared" si="410"/>
        <v>5</v>
      </c>
      <c r="R239" s="223"/>
      <c r="S239" s="178">
        <f t="shared" si="411"/>
        <v>124.90152647357979</v>
      </c>
      <c r="T239" s="178">
        <f t="shared" si="412"/>
        <v>5</v>
      </c>
      <c r="U239" s="223">
        <f t="shared" si="413"/>
        <v>0.10774911816578484</v>
      </c>
      <c r="V239" s="223">
        <f t="shared" si="414"/>
        <v>9.8770024985302768E-2</v>
      </c>
      <c r="W239" s="223">
        <f t="shared" si="415"/>
        <v>0.30101340947901795</v>
      </c>
      <c r="X239" s="203">
        <f t="shared" si="416"/>
        <v>350</v>
      </c>
      <c r="Y239" s="454">
        <f t="shared" si="417"/>
        <v>350</v>
      </c>
      <c r="AA239" s="223">
        <f t="shared" si="418"/>
        <v>0.77005347593582896</v>
      </c>
      <c r="AB239" s="179">
        <f t="shared" si="419"/>
        <v>2.151260504201681</v>
      </c>
      <c r="AC239" s="179">
        <f t="shared" si="420"/>
        <v>0.86970745517458337</v>
      </c>
      <c r="AD239" s="179"/>
      <c r="AE239" s="179">
        <f t="shared" si="421"/>
        <v>0.419047619047619</v>
      </c>
      <c r="AF239" s="563">
        <f t="shared" si="422"/>
        <v>1219.69696969697</v>
      </c>
      <c r="AG239" s="546">
        <f t="shared" si="423"/>
        <v>3.2999999999999995E-2</v>
      </c>
      <c r="AI239" s="179">
        <f t="shared" si="424"/>
        <v>0.2800162332956625</v>
      </c>
      <c r="AJ239" s="179">
        <f t="shared" si="425"/>
        <v>0.2800162332956625</v>
      </c>
      <c r="AK239" s="179">
        <f t="shared" si="426"/>
        <v>1.2963083209597499</v>
      </c>
      <c r="AM239" s="563">
        <f t="shared" si="427"/>
        <v>115</v>
      </c>
      <c r="AN239" s="472">
        <f t="shared" si="428"/>
        <v>350</v>
      </c>
      <c r="AP239">
        <f t="shared" si="429"/>
        <v>115</v>
      </c>
      <c r="AQ239">
        <f t="shared" si="430"/>
        <v>350</v>
      </c>
      <c r="AS239" s="6">
        <f t="shared" si="361"/>
        <v>2.8571428571428572</v>
      </c>
      <c r="AT239" s="6">
        <f t="shared" si="431"/>
        <v>0.2566815471876906</v>
      </c>
      <c r="AU239" s="6">
        <f t="shared" si="438"/>
        <v>2.6004613099551666</v>
      </c>
      <c r="AV239" s="6"/>
      <c r="AW239" s="179">
        <f t="shared" si="439"/>
        <v>8.9838541515691706E-2</v>
      </c>
      <c r="AX239" s="179"/>
      <c r="BA239" s="472">
        <f t="shared" si="432"/>
        <v>19.245051903114188</v>
      </c>
      <c r="BB239" s="472">
        <f t="shared" si="433"/>
        <v>0.7223633966829196</v>
      </c>
      <c r="BC239" s="6">
        <f t="shared" si="356"/>
        <v>2.8843851335343767E-2</v>
      </c>
      <c r="BD239" s="563">
        <f t="shared" si="434"/>
        <v>0</v>
      </c>
      <c r="CF239" s="581">
        <f t="shared" si="435"/>
        <v>-50</v>
      </c>
      <c r="CG239">
        <f t="shared" si="436"/>
        <v>-50</v>
      </c>
    </row>
    <row r="240" spans="5:85" x14ac:dyDescent="0.2">
      <c r="E240" s="176">
        <v>24</v>
      </c>
      <c r="F240" s="223">
        <f t="shared" si="437"/>
        <v>0.12</v>
      </c>
      <c r="G240" s="223"/>
      <c r="H240" s="223">
        <f t="shared" si="403"/>
        <v>0.6</v>
      </c>
      <c r="I240" s="559">
        <f t="shared" si="404"/>
        <v>48</v>
      </c>
      <c r="J240" s="454">
        <f t="shared" si="405"/>
        <v>15.75</v>
      </c>
      <c r="K240" s="454">
        <f t="shared" si="406"/>
        <v>63.75</v>
      </c>
      <c r="L240" s="454"/>
      <c r="M240" s="223">
        <f t="shared" si="407"/>
        <v>0.24705882352941178</v>
      </c>
      <c r="N240" s="178">
        <f t="shared" si="408"/>
        <v>4.0023529411764711</v>
      </c>
      <c r="O240" s="178">
        <f t="shared" si="360"/>
        <v>0.6</v>
      </c>
      <c r="P240" s="223">
        <f t="shared" si="409"/>
        <v>0.80047058823529427</v>
      </c>
      <c r="Q240" s="223">
        <f t="shared" si="410"/>
        <v>5</v>
      </c>
      <c r="R240" s="223"/>
      <c r="S240" s="178">
        <f t="shared" si="411"/>
        <v>119.03353354718</v>
      </c>
      <c r="T240" s="178">
        <f t="shared" si="412"/>
        <v>5</v>
      </c>
      <c r="U240" s="223">
        <f t="shared" si="413"/>
        <v>0.11243386243386243</v>
      </c>
      <c r="V240" s="223">
        <f t="shared" si="414"/>
        <v>0.10306437389770723</v>
      </c>
      <c r="W240" s="223">
        <f t="shared" si="415"/>
        <v>0.31410094902158392</v>
      </c>
      <c r="X240" s="203">
        <f t="shared" si="416"/>
        <v>350</v>
      </c>
      <c r="Y240" s="454">
        <f t="shared" si="417"/>
        <v>350</v>
      </c>
      <c r="AA240" s="223">
        <f t="shared" si="418"/>
        <v>0.77005347593582896</v>
      </c>
      <c r="AB240" s="179">
        <f t="shared" si="419"/>
        <v>2.151260504201681</v>
      </c>
      <c r="AC240" s="179">
        <f t="shared" si="420"/>
        <v>0.86970745517458337</v>
      </c>
      <c r="AD240" s="179"/>
      <c r="AE240" s="179">
        <f t="shared" si="421"/>
        <v>0.419047619047619</v>
      </c>
      <c r="AF240" s="563">
        <f t="shared" si="422"/>
        <v>1272.727272727273</v>
      </c>
      <c r="AG240" s="546">
        <f t="shared" si="423"/>
        <v>3.2999999999999995E-2</v>
      </c>
      <c r="AI240" s="179">
        <f t="shared" si="424"/>
        <v>0.28603877677367767</v>
      </c>
      <c r="AJ240" s="179">
        <f t="shared" si="425"/>
        <v>0.28603877677367767</v>
      </c>
      <c r="AK240" s="179">
        <f t="shared" si="426"/>
        <v>1.3007694642767982</v>
      </c>
      <c r="AM240" s="563">
        <f t="shared" si="427"/>
        <v>120</v>
      </c>
      <c r="AN240" s="472">
        <f t="shared" si="428"/>
        <v>350</v>
      </c>
      <c r="AP240">
        <f t="shared" si="429"/>
        <v>120</v>
      </c>
      <c r="AQ240">
        <f t="shared" si="430"/>
        <v>350</v>
      </c>
      <c r="AS240" s="6">
        <f t="shared" si="361"/>
        <v>2.8571428571428572</v>
      </c>
      <c r="AT240" s="6">
        <f t="shared" si="431"/>
        <v>0.26220221204253785</v>
      </c>
      <c r="AU240" s="6">
        <f t="shared" si="438"/>
        <v>2.5949406451003192</v>
      </c>
      <c r="AV240" s="6"/>
      <c r="AW240" s="179">
        <f t="shared" si="439"/>
        <v>9.1770774214888245E-2</v>
      </c>
      <c r="AX240" s="179"/>
      <c r="BA240" s="472">
        <f t="shared" si="432"/>
        <v>19.245051903114188</v>
      </c>
      <c r="BB240" s="472">
        <f t="shared" si="433"/>
        <v>0.77089095744680847</v>
      </c>
      <c r="BC240" s="6">
        <f t="shared" si="356"/>
        <v>3.0034035244216654E-2</v>
      </c>
      <c r="BD240" s="563">
        <f t="shared" si="434"/>
        <v>0</v>
      </c>
      <c r="CF240" s="581">
        <f t="shared" si="435"/>
        <v>-50</v>
      </c>
      <c r="CG240">
        <f t="shared" si="436"/>
        <v>-50</v>
      </c>
    </row>
    <row r="241" spans="5:85" x14ac:dyDescent="0.2">
      <c r="E241" s="176">
        <v>25</v>
      </c>
      <c r="F241" s="223">
        <f t="shared" si="437"/>
        <v>0.125</v>
      </c>
      <c r="G241" s="223"/>
      <c r="H241" s="223">
        <f t="shared" si="403"/>
        <v>0.625</v>
      </c>
      <c r="I241" s="559">
        <f t="shared" si="404"/>
        <v>48</v>
      </c>
      <c r="J241" s="454">
        <f t="shared" si="405"/>
        <v>15.75</v>
      </c>
      <c r="K241" s="454">
        <f t="shared" si="406"/>
        <v>63.75</v>
      </c>
      <c r="L241" s="454"/>
      <c r="M241" s="223">
        <f t="shared" si="407"/>
        <v>0.24705882352941178</v>
      </c>
      <c r="N241" s="178">
        <f t="shared" si="408"/>
        <v>4.0023529411764711</v>
      </c>
      <c r="O241" s="178">
        <f t="shared" si="360"/>
        <v>0.625</v>
      </c>
      <c r="P241" s="223">
        <f t="shared" si="409"/>
        <v>0.80047058823529427</v>
      </c>
      <c r="Q241" s="223">
        <f t="shared" si="410"/>
        <v>5</v>
      </c>
      <c r="R241" s="223"/>
      <c r="S241" s="178">
        <f t="shared" si="411"/>
        <v>113.63512311257762</v>
      </c>
      <c r="T241" s="178">
        <f t="shared" si="412"/>
        <v>5</v>
      </c>
      <c r="U241" s="223">
        <f t="shared" si="413"/>
        <v>0.11711860670194002</v>
      </c>
      <c r="V241" s="223">
        <f t="shared" si="414"/>
        <v>0.10735872281011168</v>
      </c>
      <c r="W241" s="223">
        <f t="shared" si="415"/>
        <v>0.32718848856414984</v>
      </c>
      <c r="X241" s="203">
        <f t="shared" si="416"/>
        <v>350</v>
      </c>
      <c r="Y241" s="454">
        <f t="shared" si="417"/>
        <v>350</v>
      </c>
      <c r="AA241" s="223">
        <f t="shared" si="418"/>
        <v>0.77005347593582896</v>
      </c>
      <c r="AB241" s="179">
        <f t="shared" si="419"/>
        <v>2.151260504201681</v>
      </c>
      <c r="AC241" s="179">
        <f t="shared" si="420"/>
        <v>0.86970745517458337</v>
      </c>
      <c r="AD241" s="179"/>
      <c r="AE241" s="179">
        <f t="shared" si="421"/>
        <v>0.419047619047619</v>
      </c>
      <c r="AF241" s="563">
        <f t="shared" si="422"/>
        <v>1325.757575757576</v>
      </c>
      <c r="AG241" s="546">
        <f t="shared" si="423"/>
        <v>3.2999999999999995E-2</v>
      </c>
      <c r="AI241" s="179">
        <f t="shared" si="424"/>
        <v>0.29193710406057111</v>
      </c>
      <c r="AJ241" s="179">
        <f t="shared" si="425"/>
        <v>0.29193710406057111</v>
      </c>
      <c r="AK241" s="179">
        <f t="shared" si="426"/>
        <v>1.3051385956004231</v>
      </c>
      <c r="AM241" s="563">
        <f t="shared" si="427"/>
        <v>125</v>
      </c>
      <c r="AN241" s="472">
        <f t="shared" si="428"/>
        <v>350</v>
      </c>
      <c r="AP241">
        <f t="shared" si="429"/>
        <v>125</v>
      </c>
      <c r="AQ241">
        <f t="shared" si="430"/>
        <v>350</v>
      </c>
      <c r="AS241" s="6">
        <f t="shared" si="361"/>
        <v>2.8571428571428572</v>
      </c>
      <c r="AT241" s="6">
        <f t="shared" si="431"/>
        <v>0.26760901205552351</v>
      </c>
      <c r="AU241" s="6">
        <f t="shared" si="438"/>
        <v>2.5895338450873338</v>
      </c>
      <c r="AV241" s="6"/>
      <c r="AW241" s="179">
        <f t="shared" si="439"/>
        <v>9.366315421943322E-2</v>
      </c>
      <c r="AX241" s="179"/>
      <c r="BA241" s="472">
        <f t="shared" si="432"/>
        <v>19.245051903114188</v>
      </c>
      <c r="BB241" s="472">
        <f t="shared" si="433"/>
        <v>0.82084522292405437</v>
      </c>
      <c r="BC241" s="6">
        <f t="shared" si="356"/>
        <v>3.1220267229544435E-2</v>
      </c>
      <c r="BD241" s="563">
        <f t="shared" si="434"/>
        <v>0</v>
      </c>
      <c r="CF241" s="581">
        <f t="shared" si="435"/>
        <v>-50</v>
      </c>
      <c r="CG241">
        <f t="shared" si="436"/>
        <v>-50</v>
      </c>
    </row>
    <row r="242" spans="5:85" x14ac:dyDescent="0.2">
      <c r="E242" s="176">
        <v>26</v>
      </c>
      <c r="F242" s="223">
        <f t="shared" si="437"/>
        <v>0.13</v>
      </c>
      <c r="G242" s="223"/>
      <c r="H242" s="223">
        <f t="shared" si="403"/>
        <v>0.65</v>
      </c>
      <c r="I242" s="559">
        <f t="shared" si="404"/>
        <v>48</v>
      </c>
      <c r="J242" s="454">
        <f t="shared" si="405"/>
        <v>15.75</v>
      </c>
      <c r="K242" s="454">
        <f t="shared" si="406"/>
        <v>63.75</v>
      </c>
      <c r="L242" s="454"/>
      <c r="M242" s="223">
        <f t="shared" si="407"/>
        <v>0.24705882352941178</v>
      </c>
      <c r="N242" s="178">
        <f t="shared" si="408"/>
        <v>4.0023529411764711</v>
      </c>
      <c r="O242" s="178">
        <f t="shared" si="360"/>
        <v>0.65</v>
      </c>
      <c r="P242" s="223">
        <f t="shared" si="409"/>
        <v>0.80047058823529427</v>
      </c>
      <c r="Q242" s="223">
        <f t="shared" si="410"/>
        <v>5</v>
      </c>
      <c r="R242" s="223"/>
      <c r="S242" s="178">
        <f t="shared" si="411"/>
        <v>108.65211484790201</v>
      </c>
      <c r="T242" s="178">
        <f t="shared" si="412"/>
        <v>5</v>
      </c>
      <c r="U242" s="223">
        <f t="shared" si="413"/>
        <v>0.12180335097001763</v>
      </c>
      <c r="V242" s="223">
        <f t="shared" si="414"/>
        <v>0.11165307172251615</v>
      </c>
      <c r="W242" s="223">
        <f t="shared" si="415"/>
        <v>0.34027602810671592</v>
      </c>
      <c r="X242" s="203">
        <f t="shared" si="416"/>
        <v>350</v>
      </c>
      <c r="Y242" s="454">
        <f t="shared" si="417"/>
        <v>350</v>
      </c>
      <c r="AA242" s="223">
        <f t="shared" si="418"/>
        <v>0.77005347593582896</v>
      </c>
      <c r="AB242" s="179">
        <f t="shared" si="419"/>
        <v>2.151260504201681</v>
      </c>
      <c r="AC242" s="179">
        <f t="shared" si="420"/>
        <v>0.86970745517458337</v>
      </c>
      <c r="AD242" s="179"/>
      <c r="AE242" s="179">
        <f t="shared" si="421"/>
        <v>0.419047619047619</v>
      </c>
      <c r="AF242" s="563">
        <f t="shared" si="422"/>
        <v>1378.7878787878792</v>
      </c>
      <c r="AG242" s="546">
        <f t="shared" si="423"/>
        <v>3.2999999999999995E-2</v>
      </c>
      <c r="AI242" s="179">
        <f t="shared" si="424"/>
        <v>0.29771859806932394</v>
      </c>
      <c r="AJ242" s="179">
        <f t="shared" si="425"/>
        <v>0.29771859806932394</v>
      </c>
      <c r="AK242" s="179">
        <f t="shared" si="426"/>
        <v>1.3094211837550547</v>
      </c>
      <c r="AM242" s="563">
        <f t="shared" si="427"/>
        <v>130</v>
      </c>
      <c r="AN242" s="472">
        <f t="shared" si="428"/>
        <v>350</v>
      </c>
      <c r="AP242">
        <f t="shared" si="429"/>
        <v>130</v>
      </c>
      <c r="AQ242">
        <f t="shared" si="430"/>
        <v>350</v>
      </c>
      <c r="AS242" s="6">
        <f t="shared" si="361"/>
        <v>2.8571428571428572</v>
      </c>
      <c r="AT242" s="6">
        <f t="shared" si="431"/>
        <v>0.27290871489688029</v>
      </c>
      <c r="AU242" s="6">
        <f t="shared" si="438"/>
        <v>2.5842341422459771</v>
      </c>
      <c r="AV242" s="6"/>
      <c r="AW242" s="179">
        <f t="shared" si="439"/>
        <v>9.5518050213908093E-2</v>
      </c>
      <c r="AX242" s="179"/>
      <c r="BA242" s="472">
        <f t="shared" si="432"/>
        <v>19.245051903114188</v>
      </c>
      <c r="BB242" s="472">
        <f t="shared" si="433"/>
        <v>0.87222619311465732</v>
      </c>
      <c r="BC242" s="6">
        <f t="shared" si="356"/>
        <v>3.240262716936506E-2</v>
      </c>
      <c r="BD242" s="563">
        <f t="shared" si="434"/>
        <v>0</v>
      </c>
      <c r="CF242" s="581">
        <f t="shared" si="435"/>
        <v>-50</v>
      </c>
      <c r="CG242">
        <f t="shared" si="436"/>
        <v>-50</v>
      </c>
    </row>
    <row r="243" spans="5:85" x14ac:dyDescent="0.2">
      <c r="E243" s="176">
        <v>27</v>
      </c>
      <c r="F243" s="223">
        <f t="shared" si="437"/>
        <v>0.13500000000000001</v>
      </c>
      <c r="G243" s="223"/>
      <c r="H243" s="223">
        <f t="shared" si="403"/>
        <v>0.67500000000000004</v>
      </c>
      <c r="I243" s="559">
        <f t="shared" si="404"/>
        <v>48</v>
      </c>
      <c r="J243" s="454">
        <f t="shared" si="405"/>
        <v>15.75</v>
      </c>
      <c r="K243" s="454">
        <f t="shared" si="406"/>
        <v>63.75</v>
      </c>
      <c r="L243" s="454"/>
      <c r="M243" s="223">
        <f t="shared" si="407"/>
        <v>0.24705882352941178</v>
      </c>
      <c r="N243" s="178">
        <f t="shared" si="408"/>
        <v>4.0023529411764711</v>
      </c>
      <c r="O243" s="178">
        <f t="shared" si="360"/>
        <v>0.67500000000000004</v>
      </c>
      <c r="P243" s="223">
        <f t="shared" si="409"/>
        <v>0.80047058823529427</v>
      </c>
      <c r="Q243" s="223">
        <f t="shared" si="410"/>
        <v>5</v>
      </c>
      <c r="R243" s="223"/>
      <c r="S243" s="178">
        <f t="shared" si="411"/>
        <v>104.03835519308551</v>
      </c>
      <c r="T243" s="178">
        <f t="shared" si="412"/>
        <v>5</v>
      </c>
      <c r="U243" s="223">
        <f t="shared" si="413"/>
        <v>0.12648809523809523</v>
      </c>
      <c r="V243" s="223">
        <f t="shared" si="414"/>
        <v>0.11594742063492063</v>
      </c>
      <c r="W243" s="223">
        <f t="shared" si="415"/>
        <v>0.3533635676492819</v>
      </c>
      <c r="X243" s="203">
        <f t="shared" si="416"/>
        <v>350</v>
      </c>
      <c r="Y243" s="454">
        <f t="shared" si="417"/>
        <v>350</v>
      </c>
      <c r="AA243" s="223">
        <f t="shared" si="418"/>
        <v>0.77005347593582896</v>
      </c>
      <c r="AB243" s="179">
        <f t="shared" si="419"/>
        <v>2.151260504201681</v>
      </c>
      <c r="AC243" s="179">
        <f t="shared" si="420"/>
        <v>0.86970745517458337</v>
      </c>
      <c r="AD243" s="179"/>
      <c r="AE243" s="179">
        <f t="shared" si="421"/>
        <v>0.419047619047619</v>
      </c>
      <c r="AF243" s="563">
        <f t="shared" si="422"/>
        <v>1431.8181818181822</v>
      </c>
      <c r="AG243" s="546">
        <f t="shared" si="423"/>
        <v>3.2999999999999995E-2</v>
      </c>
      <c r="AI243" s="179">
        <f t="shared" si="424"/>
        <v>0.30338993810845893</v>
      </c>
      <c r="AJ243" s="179">
        <f t="shared" si="425"/>
        <v>0.30338993810845893</v>
      </c>
      <c r="AK243" s="179">
        <f t="shared" si="426"/>
        <v>1.3136221763766363</v>
      </c>
      <c r="AM243" s="563">
        <f t="shared" si="427"/>
        <v>135</v>
      </c>
      <c r="AN243" s="472">
        <f t="shared" si="428"/>
        <v>350</v>
      </c>
      <c r="AP243">
        <f t="shared" si="429"/>
        <v>135</v>
      </c>
      <c r="AQ243">
        <f t="shared" si="430"/>
        <v>350</v>
      </c>
      <c r="AS243" s="6">
        <f t="shared" si="361"/>
        <v>2.8571428571428572</v>
      </c>
      <c r="AT243" s="6">
        <f t="shared" si="431"/>
        <v>0.27810744326608733</v>
      </c>
      <c r="AU243" s="6">
        <f t="shared" si="438"/>
        <v>2.5790354138767699</v>
      </c>
      <c r="AV243" s="6"/>
      <c r="AW243" s="179">
        <f t="shared" si="439"/>
        <v>9.7337605143130557E-2</v>
      </c>
      <c r="AX243" s="179"/>
      <c r="BA243" s="472">
        <f t="shared" si="432"/>
        <v>19.245051903114188</v>
      </c>
      <c r="BB243" s="472">
        <f t="shared" si="433"/>
        <v>0.92503386801861709</v>
      </c>
      <c r="BC243" s="6">
        <f t="shared" si="356"/>
        <v>3.3581190284853769E-2</v>
      </c>
      <c r="BD243" s="563">
        <f t="shared" si="434"/>
        <v>0</v>
      </c>
      <c r="CF243" s="581">
        <f t="shared" si="435"/>
        <v>-50</v>
      </c>
      <c r="CG243">
        <f t="shared" si="436"/>
        <v>-50</v>
      </c>
    </row>
    <row r="244" spans="5:85" x14ac:dyDescent="0.2">
      <c r="E244" s="176">
        <v>28</v>
      </c>
      <c r="F244" s="223">
        <f t="shared" si="437"/>
        <v>0.14000000000000001</v>
      </c>
      <c r="G244" s="223"/>
      <c r="H244" s="223">
        <f t="shared" si="403"/>
        <v>0.70000000000000007</v>
      </c>
      <c r="I244" s="559">
        <f t="shared" si="404"/>
        <v>48</v>
      </c>
      <c r="J244" s="454">
        <f t="shared" si="405"/>
        <v>15.75</v>
      </c>
      <c r="K244" s="454">
        <f t="shared" si="406"/>
        <v>63.75</v>
      </c>
      <c r="L244" s="454"/>
      <c r="M244" s="223">
        <f t="shared" si="407"/>
        <v>0.24705882352941178</v>
      </c>
      <c r="N244" s="178">
        <f t="shared" si="408"/>
        <v>4.0023529411764711</v>
      </c>
      <c r="O244" s="178">
        <f t="shared" si="360"/>
        <v>0.70000000000000007</v>
      </c>
      <c r="P244" s="223">
        <f t="shared" si="409"/>
        <v>0.80047058823529427</v>
      </c>
      <c r="Q244" s="223">
        <f t="shared" si="410"/>
        <v>5</v>
      </c>
      <c r="R244" s="223"/>
      <c r="S244" s="178">
        <f t="shared" si="411"/>
        <v>99.754284000758815</v>
      </c>
      <c r="T244" s="178">
        <f t="shared" si="412"/>
        <v>5</v>
      </c>
      <c r="U244" s="223">
        <f t="shared" si="413"/>
        <v>0.13117283950617284</v>
      </c>
      <c r="V244" s="223">
        <f t="shared" si="414"/>
        <v>0.12024176954732511</v>
      </c>
      <c r="W244" s="223">
        <f t="shared" si="415"/>
        <v>0.36645110719184792</v>
      </c>
      <c r="X244" s="203">
        <f t="shared" si="416"/>
        <v>350</v>
      </c>
      <c r="Y244" s="454">
        <f t="shared" si="417"/>
        <v>350</v>
      </c>
      <c r="AA244" s="223">
        <f t="shared" si="418"/>
        <v>0.77005347593582896</v>
      </c>
      <c r="AB244" s="179">
        <f t="shared" si="419"/>
        <v>2.151260504201681</v>
      </c>
      <c r="AC244" s="179">
        <f t="shared" si="420"/>
        <v>0.86970745517458337</v>
      </c>
      <c r="AD244" s="179"/>
      <c r="AE244" s="179">
        <f t="shared" si="421"/>
        <v>0.419047619047619</v>
      </c>
      <c r="AF244" s="563">
        <f t="shared" si="422"/>
        <v>1484.8484848484854</v>
      </c>
      <c r="AG244" s="546">
        <f t="shared" si="423"/>
        <v>3.2999999999999995E-2</v>
      </c>
      <c r="AI244" s="179">
        <f t="shared" si="424"/>
        <v>0.30895719032666236</v>
      </c>
      <c r="AJ244" s="179">
        <f t="shared" si="425"/>
        <v>0.30895719032666236</v>
      </c>
      <c r="AK244" s="179">
        <f t="shared" si="426"/>
        <v>1.3177460669086387</v>
      </c>
      <c r="AM244" s="563">
        <f t="shared" si="427"/>
        <v>140</v>
      </c>
      <c r="AN244" s="472">
        <f t="shared" si="428"/>
        <v>350</v>
      </c>
      <c r="AP244">
        <f t="shared" si="429"/>
        <v>140</v>
      </c>
      <c r="AQ244">
        <f t="shared" si="430"/>
        <v>350</v>
      </c>
      <c r="AS244" s="6">
        <f t="shared" si="361"/>
        <v>2.8571428571428572</v>
      </c>
      <c r="AT244" s="6">
        <f t="shared" si="431"/>
        <v>0.28321075779944049</v>
      </c>
      <c r="AU244" s="6">
        <f t="shared" si="438"/>
        <v>2.5739320993434167</v>
      </c>
      <c r="AV244" s="6"/>
      <c r="AW244" s="179">
        <f t="shared" si="439"/>
        <v>9.9123765229804164E-2</v>
      </c>
      <c r="AX244" s="179"/>
      <c r="BA244" s="472">
        <f t="shared" si="432"/>
        <v>19.245051903114188</v>
      </c>
      <c r="BB244" s="472">
        <f t="shared" si="433"/>
        <v>0.9792682476359339</v>
      </c>
      <c r="BC244" s="6">
        <f t="shared" si="356"/>
        <v>3.4756027576010637E-2</v>
      </c>
      <c r="BD244" s="563">
        <f t="shared" si="434"/>
        <v>0</v>
      </c>
      <c r="CF244" s="581">
        <f t="shared" si="435"/>
        <v>-50</v>
      </c>
      <c r="CG244">
        <f t="shared" si="436"/>
        <v>-50</v>
      </c>
    </row>
    <row r="245" spans="5:85" x14ac:dyDescent="0.2">
      <c r="E245" s="176">
        <v>29</v>
      </c>
      <c r="F245" s="223">
        <f t="shared" si="437"/>
        <v>0.14499999999999999</v>
      </c>
      <c r="G245" s="223"/>
      <c r="H245" s="223">
        <f t="shared" si="403"/>
        <v>0.72499999999999998</v>
      </c>
      <c r="I245" s="559">
        <f t="shared" si="404"/>
        <v>48</v>
      </c>
      <c r="J245" s="454">
        <f t="shared" si="405"/>
        <v>15.75</v>
      </c>
      <c r="K245" s="454">
        <f t="shared" si="406"/>
        <v>63.75</v>
      </c>
      <c r="L245" s="454"/>
      <c r="M245" s="223">
        <f t="shared" si="407"/>
        <v>0.24705882352941178</v>
      </c>
      <c r="N245" s="178">
        <f t="shared" si="408"/>
        <v>4.0023529411764711</v>
      </c>
      <c r="O245" s="178">
        <f t="shared" si="360"/>
        <v>0.72499999999999998</v>
      </c>
      <c r="P245" s="223">
        <f t="shared" si="409"/>
        <v>0.80047058823529427</v>
      </c>
      <c r="Q245" s="223">
        <f t="shared" si="410"/>
        <v>5</v>
      </c>
      <c r="R245" s="223"/>
      <c r="S245" s="178">
        <f t="shared" si="411"/>
        <v>95.765797742170378</v>
      </c>
      <c r="T245" s="178">
        <f t="shared" si="412"/>
        <v>5</v>
      </c>
      <c r="U245" s="223">
        <f t="shared" si="413"/>
        <v>0.13585758377425042</v>
      </c>
      <c r="V245" s="223">
        <f t="shared" si="414"/>
        <v>0.12453611845972955</v>
      </c>
      <c r="W245" s="223">
        <f t="shared" si="415"/>
        <v>0.37953864673441384</v>
      </c>
      <c r="X245" s="203">
        <f t="shared" si="416"/>
        <v>350</v>
      </c>
      <c r="Y245" s="454">
        <f t="shared" si="417"/>
        <v>350</v>
      </c>
      <c r="AA245" s="223">
        <f t="shared" si="418"/>
        <v>0.77005347593582896</v>
      </c>
      <c r="AB245" s="179">
        <f t="shared" si="419"/>
        <v>2.151260504201681</v>
      </c>
      <c r="AC245" s="179">
        <f t="shared" si="420"/>
        <v>0.86970745517458337</v>
      </c>
      <c r="AD245" s="179"/>
      <c r="AE245" s="179">
        <f t="shared" si="421"/>
        <v>0.419047619047619</v>
      </c>
      <c r="AF245" s="563">
        <f t="shared" si="422"/>
        <v>1537.878787878788</v>
      </c>
      <c r="AG245" s="546">
        <f t="shared" si="423"/>
        <v>3.2999999999999995E-2</v>
      </c>
      <c r="AI245" s="179">
        <f t="shared" si="424"/>
        <v>0.31442588373675018</v>
      </c>
      <c r="AJ245" s="179">
        <f t="shared" si="425"/>
        <v>0.31442588373675018</v>
      </c>
      <c r="AK245" s="179">
        <f t="shared" si="426"/>
        <v>1.3217969509161112</v>
      </c>
      <c r="AM245" s="563">
        <f t="shared" si="427"/>
        <v>145</v>
      </c>
      <c r="AN245" s="472">
        <f t="shared" si="428"/>
        <v>350</v>
      </c>
      <c r="AP245">
        <f t="shared" si="429"/>
        <v>145</v>
      </c>
      <c r="AQ245">
        <f t="shared" si="430"/>
        <v>350</v>
      </c>
      <c r="AS245" s="6">
        <f t="shared" si="361"/>
        <v>2.8571428571428572</v>
      </c>
      <c r="AT245" s="6">
        <f t="shared" si="431"/>
        <v>0.28822372675868768</v>
      </c>
      <c r="AU245" s="6">
        <f t="shared" si="438"/>
        <v>2.5689191303841694</v>
      </c>
      <c r="AV245" s="6"/>
      <c r="AW245" s="179">
        <f t="shared" si="439"/>
        <v>0.10087830436554068</v>
      </c>
      <c r="AX245" s="179"/>
      <c r="BA245" s="472">
        <f t="shared" si="432"/>
        <v>19.245051903114188</v>
      </c>
      <c r="BB245" s="472">
        <f t="shared" si="433"/>
        <v>1.0349293319666075</v>
      </c>
      <c r="BC245" s="6">
        <f t="shared" ref="BC245:BC308" si="440">H245/Efficiency/I245*AU245/Vinripple1</f>
        <v>3.5927206202324896E-2</v>
      </c>
      <c r="BD245" s="563">
        <f t="shared" si="434"/>
        <v>0</v>
      </c>
      <c r="CF245" s="581">
        <f t="shared" si="435"/>
        <v>-50</v>
      </c>
      <c r="CG245">
        <f t="shared" si="436"/>
        <v>-50</v>
      </c>
    </row>
    <row r="246" spans="5:85" x14ac:dyDescent="0.2">
      <c r="E246" s="176">
        <v>30</v>
      </c>
      <c r="F246" s="223">
        <f t="shared" si="437"/>
        <v>0.15</v>
      </c>
      <c r="G246" s="223"/>
      <c r="H246" s="223">
        <f t="shared" si="403"/>
        <v>0.75</v>
      </c>
      <c r="I246" s="559">
        <f t="shared" si="404"/>
        <v>48</v>
      </c>
      <c r="J246" s="454">
        <f t="shared" si="405"/>
        <v>15.75</v>
      </c>
      <c r="K246" s="454">
        <f t="shared" si="406"/>
        <v>63.75</v>
      </c>
      <c r="L246" s="454"/>
      <c r="M246" s="223">
        <f t="shared" si="407"/>
        <v>0.24705882352941178</v>
      </c>
      <c r="N246" s="178">
        <f t="shared" si="408"/>
        <v>4.0023529411764711</v>
      </c>
      <c r="O246" s="178">
        <f t="shared" si="360"/>
        <v>0.75</v>
      </c>
      <c r="P246" s="223">
        <f t="shared" si="409"/>
        <v>0.80047058823529427</v>
      </c>
      <c r="Q246" s="223">
        <f t="shared" si="410"/>
        <v>5</v>
      </c>
      <c r="R246" s="223"/>
      <c r="S246" s="178">
        <f t="shared" si="411"/>
        <v>92.043340071958397</v>
      </c>
      <c r="T246" s="178">
        <f t="shared" si="412"/>
        <v>5</v>
      </c>
      <c r="U246" s="223">
        <f t="shared" si="413"/>
        <v>0.14054232804232802</v>
      </c>
      <c r="V246" s="223">
        <f t="shared" si="414"/>
        <v>0.12883046737213402</v>
      </c>
      <c r="W246" s="223">
        <f t="shared" si="415"/>
        <v>0.39262618627697987</v>
      </c>
      <c r="X246" s="203">
        <f t="shared" si="416"/>
        <v>350</v>
      </c>
      <c r="Y246" s="454">
        <f t="shared" si="417"/>
        <v>350</v>
      </c>
      <c r="AA246" s="223">
        <f t="shared" si="418"/>
        <v>0.77005347593582896</v>
      </c>
      <c r="AB246" s="179">
        <f t="shared" si="419"/>
        <v>2.151260504201681</v>
      </c>
      <c r="AC246" s="179">
        <f t="shared" si="420"/>
        <v>0.86970745517458337</v>
      </c>
      <c r="AD246" s="179"/>
      <c r="AE246" s="179">
        <f t="shared" si="421"/>
        <v>0.419047619047619</v>
      </c>
      <c r="AF246" s="563">
        <f t="shared" si="422"/>
        <v>1590.909090909091</v>
      </c>
      <c r="AG246" s="546">
        <f t="shared" si="423"/>
        <v>3.2999999999999995E-2</v>
      </c>
      <c r="AI246" s="179">
        <f t="shared" si="424"/>
        <v>0.31980107453341566</v>
      </c>
      <c r="AJ246" s="179">
        <f t="shared" si="425"/>
        <v>0.31980107453341566</v>
      </c>
      <c r="AK246" s="179">
        <f t="shared" si="426"/>
        <v>1.325778573728456</v>
      </c>
      <c r="AM246" s="563">
        <f t="shared" si="427"/>
        <v>150</v>
      </c>
      <c r="AN246" s="472">
        <f t="shared" si="428"/>
        <v>350</v>
      </c>
      <c r="AP246">
        <f t="shared" si="429"/>
        <v>150</v>
      </c>
      <c r="AQ246">
        <f t="shared" si="430"/>
        <v>350</v>
      </c>
      <c r="AS246" s="6">
        <f t="shared" si="361"/>
        <v>2.8571428571428572</v>
      </c>
      <c r="AT246" s="6">
        <f t="shared" si="431"/>
        <v>0.29315098498896436</v>
      </c>
      <c r="AU246" s="6">
        <f t="shared" si="438"/>
        <v>2.5639918721538928</v>
      </c>
      <c r="AV246" s="6"/>
      <c r="AW246" s="179">
        <f t="shared" si="439"/>
        <v>0.10260284474613753</v>
      </c>
      <c r="AX246" s="179"/>
      <c r="BA246" s="472">
        <f t="shared" si="432"/>
        <v>19.245051903114188</v>
      </c>
      <c r="BB246" s="472">
        <f t="shared" si="433"/>
        <v>1.0920171210106382</v>
      </c>
      <c r="BC246" s="6">
        <f t="shared" si="440"/>
        <v>3.7094789817041264E-2</v>
      </c>
      <c r="BD246" s="563">
        <f t="shared" si="434"/>
        <v>0</v>
      </c>
      <c r="CF246" s="581">
        <f t="shared" si="435"/>
        <v>-50</v>
      </c>
      <c r="CG246">
        <f t="shared" si="436"/>
        <v>-50</v>
      </c>
    </row>
    <row r="247" spans="5:85" x14ac:dyDescent="0.2">
      <c r="E247" s="176">
        <v>31</v>
      </c>
      <c r="F247" s="223">
        <f t="shared" si="437"/>
        <v>0.155</v>
      </c>
      <c r="G247" s="223"/>
      <c r="H247" s="223">
        <f t="shared" si="403"/>
        <v>0.77500000000000002</v>
      </c>
      <c r="I247" s="559">
        <f t="shared" si="404"/>
        <v>48</v>
      </c>
      <c r="J247" s="454">
        <f t="shared" si="405"/>
        <v>15.75</v>
      </c>
      <c r="K247" s="454">
        <f t="shared" si="406"/>
        <v>63.75</v>
      </c>
      <c r="L247" s="454"/>
      <c r="M247" s="223">
        <f t="shared" si="407"/>
        <v>0.24705882352941178</v>
      </c>
      <c r="N247" s="178">
        <f t="shared" si="408"/>
        <v>4.0023529411764711</v>
      </c>
      <c r="O247" s="178">
        <f t="shared" si="360"/>
        <v>0.77500000000000002</v>
      </c>
      <c r="P247" s="223">
        <f t="shared" si="409"/>
        <v>0.80047058823529427</v>
      </c>
      <c r="Q247" s="223">
        <f t="shared" si="410"/>
        <v>5</v>
      </c>
      <c r="R247" s="223"/>
      <c r="S247" s="178">
        <f t="shared" si="411"/>
        <v>88.561168412681624</v>
      </c>
      <c r="T247" s="178">
        <f t="shared" si="412"/>
        <v>5</v>
      </c>
      <c r="U247" s="223">
        <f t="shared" si="413"/>
        <v>0.14522707231040563</v>
      </c>
      <c r="V247" s="223">
        <f t="shared" si="414"/>
        <v>0.13312481628453848</v>
      </c>
      <c r="W247" s="223">
        <f t="shared" si="415"/>
        <v>0.40571372581954585</v>
      </c>
      <c r="X247" s="203">
        <f t="shared" si="416"/>
        <v>350</v>
      </c>
      <c r="Y247" s="454">
        <f t="shared" si="417"/>
        <v>350</v>
      </c>
      <c r="AA247" s="223">
        <f t="shared" si="418"/>
        <v>0.77005347593582896</v>
      </c>
      <c r="AB247" s="179">
        <f t="shared" si="419"/>
        <v>2.151260504201681</v>
      </c>
      <c r="AC247" s="179">
        <f t="shared" si="420"/>
        <v>0.86970745517458337</v>
      </c>
      <c r="AD247" s="179"/>
      <c r="AE247" s="179">
        <f t="shared" si="421"/>
        <v>0.419047619047619</v>
      </c>
      <c r="AF247" s="563">
        <f t="shared" si="422"/>
        <v>1643.9393939393942</v>
      </c>
      <c r="AG247" s="546">
        <f t="shared" si="423"/>
        <v>3.2999999999999995E-2</v>
      </c>
      <c r="AI247" s="179">
        <f t="shared" si="424"/>
        <v>0.32508740083524951</v>
      </c>
      <c r="AJ247" s="179">
        <f t="shared" si="425"/>
        <v>0.32508740083524951</v>
      </c>
      <c r="AK247" s="179">
        <f t="shared" si="426"/>
        <v>1.3296943709890736</v>
      </c>
      <c r="AM247" s="563">
        <f t="shared" si="427"/>
        <v>155</v>
      </c>
      <c r="AN247" s="472">
        <f t="shared" si="428"/>
        <v>350</v>
      </c>
      <c r="AP247">
        <f t="shared" si="429"/>
        <v>155</v>
      </c>
      <c r="AQ247">
        <f t="shared" si="430"/>
        <v>350</v>
      </c>
      <c r="AS247" s="6">
        <f t="shared" si="361"/>
        <v>2.8571428571428572</v>
      </c>
      <c r="AT247" s="6">
        <f t="shared" si="431"/>
        <v>0.29799678409897873</v>
      </c>
      <c r="AU247" s="6">
        <f t="shared" si="438"/>
        <v>2.5591460730438786</v>
      </c>
      <c r="AV247" s="6"/>
      <c r="AW247" s="179">
        <f t="shared" si="439"/>
        <v>0.10429887443464256</v>
      </c>
      <c r="AX247" s="179"/>
      <c r="BA247" s="472">
        <f t="shared" si="432"/>
        <v>19.245051903114188</v>
      </c>
      <c r="BB247" s="472">
        <f t="shared" si="433"/>
        <v>1.1505316147680258</v>
      </c>
      <c r="BC247" s="6">
        <f t="shared" si="440"/>
        <v>3.8258838862056437E-2</v>
      </c>
      <c r="BD247" s="563">
        <f t="shared" si="434"/>
        <v>0</v>
      </c>
      <c r="CF247" s="581">
        <f t="shared" si="435"/>
        <v>-50</v>
      </c>
      <c r="CG247">
        <f t="shared" si="436"/>
        <v>-50</v>
      </c>
    </row>
    <row r="248" spans="5:85" x14ac:dyDescent="0.2">
      <c r="E248" s="176">
        <v>32</v>
      </c>
      <c r="F248" s="223">
        <f t="shared" si="437"/>
        <v>0.16</v>
      </c>
      <c r="G248" s="223"/>
      <c r="H248" s="223">
        <f t="shared" ref="H248:H279" si="441">F248*Vout</f>
        <v>0.8</v>
      </c>
      <c r="I248" s="559">
        <f t="shared" ref="I248:I279" si="442">VIN_max</f>
        <v>48</v>
      </c>
      <c r="J248" s="454">
        <f t="shared" ref="J248:J279" si="443">(T248+Vfwd1)*Nps</f>
        <v>15.75</v>
      </c>
      <c r="K248" s="454">
        <f t="shared" ref="K248:K279" si="444">(Vout+Vfwd1)*Nps+I248</f>
        <v>63.75</v>
      </c>
      <c r="L248" s="454"/>
      <c r="M248" s="223">
        <f t="shared" ref="M248:M279" si="445">(Vout+Vfwd1)*Nps/((Vout+Vfwd1)*Nps+I248)</f>
        <v>0.24705882352941178</v>
      </c>
      <c r="N248" s="178">
        <f t="shared" ref="N248:N279" si="446">M248*I248*Isw_max*0.5*Efficiency</f>
        <v>4.0023529411764711</v>
      </c>
      <c r="O248" s="178">
        <f t="shared" si="360"/>
        <v>0.8</v>
      </c>
      <c r="P248" s="223">
        <f t="shared" ref="P248:P279" si="447">N248/Vout</f>
        <v>0.80047058823529427</v>
      </c>
      <c r="Q248" s="223">
        <f t="shared" ref="Q248:Q279" si="448">MIN(Vout,N248/F248)</f>
        <v>5</v>
      </c>
      <c r="R248" s="223"/>
      <c r="S248" s="178">
        <f t="shared" ref="S248:S279" si="449">(SQRT(Isw_max^2*Nps^2*I248^2+4*Isw_max*F248/Efficiency*(Nps^2*Vfwd1*I248-Nps*I248^2)+4*(F248/Efficiency)^2*Nps^2*Vfwd1^2+8*(F248/Efficiency)^2*Nps*Vfwd1*I248+4*(F248/Efficiency)^2*I248^2)-2*F248/Efficiency*I248-2*F248/Efficiency*Nps*Vfwd1+Isw_max*Nps*I248)/(4*F248/Efficiency*Nps)</f>
        <v>85.296758054787276</v>
      </c>
      <c r="T248" s="178">
        <f t="shared" ref="T248:T279" si="450">MIN(Vout, S248)</f>
        <v>5</v>
      </c>
      <c r="U248" s="223">
        <f t="shared" ref="U248:U279" si="451">MIN(2*Vout*F248/(Efficiency*I248*M248), Isw_max)</f>
        <v>0.14991181657848324</v>
      </c>
      <c r="V248" s="223">
        <f t="shared" ref="V248:V279" si="452">L*U248/I248*1000000</f>
        <v>0.13741916519694297</v>
      </c>
      <c r="W248" s="223">
        <f t="shared" ref="W248:W279" si="453">L*U248/J248*1000000</f>
        <v>0.41880126536211193</v>
      </c>
      <c r="X248" s="203">
        <f t="shared" ref="X248:X279" si="454">IF(1/((350000*L)*(1/I248+1/J248))&gt;Isw_min, 350, 0.001/((Isw_min*L)*(1/I248+1/J248)))</f>
        <v>350</v>
      </c>
      <c r="Y248" s="454">
        <f t="shared" si="417"/>
        <v>350</v>
      </c>
      <c r="AA248" s="223">
        <f t="shared" ref="AA248:AA279" si="455">1/((X248*1000*L)*(1/I248+1/J248))</f>
        <v>0.77005347593582896</v>
      </c>
      <c r="AB248" s="179">
        <f t="shared" ref="AB248:AB279" si="456">L*AA248/J248*1000000</f>
        <v>2.151260504201681</v>
      </c>
      <c r="AC248" s="179">
        <f t="shared" ref="AC248:AC279" si="457">0.5*AB248*AA248*Nps*X248/1000</f>
        <v>0.86970745517458337</v>
      </c>
      <c r="AD248" s="179"/>
      <c r="AE248" s="179">
        <f t="shared" ref="AE248:AE279" si="458">L*Isw_min/J248*1000000</f>
        <v>0.419047619047619</v>
      </c>
      <c r="AF248" s="563">
        <f t="shared" ref="AF248:AF279" si="459">MAX(10000,F248/(0.5*AE248/1000000*Isw_min*Nps))/1000</f>
        <v>1696.9696969696972</v>
      </c>
      <c r="AG248" s="546">
        <f t="shared" ref="AG248:AG279" si="460">0.5*AE248/1000000*Isw_min*Nps*X248*1000</f>
        <v>3.2999999999999995E-2</v>
      </c>
      <c r="AI248" s="179">
        <f t="shared" ref="AI248:AI279" si="461">SQRT(F248/(0.5*L/J248*Fsw_DCM*Nps))</f>
        <v>0.33028912953790818</v>
      </c>
      <c r="AJ248" s="179">
        <f t="shared" ref="AJ248:AJ279" si="462">MAX(IF(F248&gt;AC248,U248,AI248),Isw_min)</f>
        <v>0.33028912953790818</v>
      </c>
      <c r="AK248" s="179">
        <f t="shared" ref="AK248:AK279" si="463">IF(F248&gt;AG248, (AJ248-Isw_min)/1.08*0.8+1.2, AF248*0.2/350+1)</f>
        <v>1.3335475033614135</v>
      </c>
      <c r="AM248" s="563">
        <f t="shared" ref="AM248:AM279" si="464">F248*1000</f>
        <v>160</v>
      </c>
      <c r="AN248" s="472">
        <f t="shared" ref="AN248:AN279" si="465">IF(F248&gt;AG248, Y248, AF248)</f>
        <v>350</v>
      </c>
      <c r="AP248">
        <f t="shared" ref="AP248:AP279" si="466">IF(H248&gt;N248, "",AM248)</f>
        <v>160</v>
      </c>
      <c r="AQ248">
        <f t="shared" ref="AQ248:AQ279" si="467">IF(H248&gt;N248, "",AN248)</f>
        <v>350</v>
      </c>
      <c r="AS248" s="6">
        <f t="shared" si="361"/>
        <v>2.8571428571428572</v>
      </c>
      <c r="AT248" s="6">
        <f t="shared" ref="AT248:AT279" si="468">L*AJ248/I248*1000000</f>
        <v>0.30276503540974914</v>
      </c>
      <c r="AU248" s="6">
        <f t="shared" si="438"/>
        <v>2.5543778217331079</v>
      </c>
      <c r="AV248" s="6"/>
      <c r="AW248" s="179">
        <f t="shared" si="439"/>
        <v>0.1059677623934122</v>
      </c>
      <c r="AX248" s="179"/>
      <c r="BA248" s="472">
        <f t="shared" ref="BA248:BA279" si="469">L*Isw_max^2/(2*Vout_ripple*Vout)*1000000000*((1+M248)/2)^2</f>
        <v>19.245051903114188</v>
      </c>
      <c r="BB248" s="472">
        <f t="shared" ref="BB248:BB279" si="470">L*F248^2/(2*Cout*Vout*Nps^2)*1000000000*((1+M248)/(1-M248))^2+F248*RCoutEsr</f>
        <v>1.2104728132387705</v>
      </c>
      <c r="BC248" s="6">
        <f t="shared" si="440"/>
        <v>3.9419410829214629E-2</v>
      </c>
      <c r="BD248" s="563">
        <f t="shared" ref="BD248:BD279" si="471">((CA248/I248/Efficiency)*AU248/Cin+(BY248/I248/Efficiency)*RCinEsr)*1000</f>
        <v>0</v>
      </c>
      <c r="CF248" s="581">
        <f t="shared" ref="CF248:CF279" si="472">IF(ABS(F248-Ioutmax_Vinmax)&lt;Iout/200, AN248, -50)</f>
        <v>-50</v>
      </c>
      <c r="CG248">
        <f t="shared" ref="CG248:CG279" si="473">IF(ABS(F248-Ioutmax_Vinmin)&lt;Iout/200, N248*CB248, -50)</f>
        <v>-50</v>
      </c>
    </row>
    <row r="249" spans="5:85" x14ac:dyDescent="0.2">
      <c r="E249" s="176">
        <v>33</v>
      </c>
      <c r="F249" s="223">
        <f t="shared" ref="F249:F280" si="474">IF(PLOT_TYPE=1, E249/100*Iout_max, min_I*EXP(N249*rr/100))</f>
        <v>0.16500000000000001</v>
      </c>
      <c r="G249" s="223"/>
      <c r="H249" s="223">
        <f t="shared" si="441"/>
        <v>0.82500000000000007</v>
      </c>
      <c r="I249" s="559">
        <f t="shared" si="442"/>
        <v>48</v>
      </c>
      <c r="J249" s="454">
        <f t="shared" si="443"/>
        <v>15.75</v>
      </c>
      <c r="K249" s="454">
        <f t="shared" si="444"/>
        <v>63.75</v>
      </c>
      <c r="L249" s="454"/>
      <c r="M249" s="223">
        <f t="shared" si="445"/>
        <v>0.24705882352941178</v>
      </c>
      <c r="N249" s="178">
        <f t="shared" si="446"/>
        <v>4.0023529411764711</v>
      </c>
      <c r="O249" s="178">
        <f t="shared" si="360"/>
        <v>0.82500000000000007</v>
      </c>
      <c r="P249" s="223">
        <f t="shared" si="447"/>
        <v>0.80047058823529427</v>
      </c>
      <c r="Q249" s="223">
        <f t="shared" si="448"/>
        <v>5</v>
      </c>
      <c r="R249" s="223"/>
      <c r="S249" s="178">
        <f t="shared" si="449"/>
        <v>82.230314602076731</v>
      </c>
      <c r="T249" s="178">
        <f t="shared" si="450"/>
        <v>5</v>
      </c>
      <c r="U249" s="223">
        <f t="shared" si="451"/>
        <v>0.15459656084656084</v>
      </c>
      <c r="V249" s="223">
        <f t="shared" si="452"/>
        <v>0.14171351410934743</v>
      </c>
      <c r="W249" s="223">
        <f t="shared" si="453"/>
        <v>0.4318888049046779</v>
      </c>
      <c r="X249" s="203">
        <f t="shared" si="454"/>
        <v>350</v>
      </c>
      <c r="Y249" s="454">
        <f t="shared" si="417"/>
        <v>350</v>
      </c>
      <c r="AA249" s="223">
        <f t="shared" si="455"/>
        <v>0.77005347593582896</v>
      </c>
      <c r="AB249" s="179">
        <f t="shared" si="456"/>
        <v>2.151260504201681</v>
      </c>
      <c r="AC249" s="179">
        <f t="shared" si="457"/>
        <v>0.86970745517458337</v>
      </c>
      <c r="AD249" s="179"/>
      <c r="AE249" s="179">
        <f t="shared" si="458"/>
        <v>0.419047619047619</v>
      </c>
      <c r="AF249" s="563">
        <f t="shared" si="459"/>
        <v>1750.0000000000005</v>
      </c>
      <c r="AG249" s="546">
        <f t="shared" si="460"/>
        <v>3.2999999999999995E-2</v>
      </c>
      <c r="AI249" s="179">
        <f t="shared" si="461"/>
        <v>0.33541019662496846</v>
      </c>
      <c r="AJ249" s="179">
        <f t="shared" si="462"/>
        <v>0.33541019662496846</v>
      </c>
      <c r="AK249" s="179">
        <f t="shared" si="463"/>
        <v>1.3373408863888654</v>
      </c>
      <c r="AM249" s="563">
        <f t="shared" si="464"/>
        <v>165</v>
      </c>
      <c r="AN249" s="472">
        <f t="shared" si="465"/>
        <v>350</v>
      </c>
      <c r="AP249">
        <f t="shared" si="466"/>
        <v>165</v>
      </c>
      <c r="AQ249">
        <f t="shared" si="467"/>
        <v>350</v>
      </c>
      <c r="AS249" s="6">
        <f t="shared" si="361"/>
        <v>2.8571428571428572</v>
      </c>
      <c r="AT249" s="6">
        <f t="shared" si="468"/>
        <v>0.30745934690622106</v>
      </c>
      <c r="AU249" s="6">
        <f t="shared" si="438"/>
        <v>2.549683510236636</v>
      </c>
      <c r="AV249" s="6"/>
      <c r="AW249" s="179">
        <f t="shared" si="439"/>
        <v>0.10761077141717737</v>
      </c>
      <c r="AX249" s="179"/>
      <c r="BA249" s="472">
        <f t="shared" si="469"/>
        <v>19.245051903114188</v>
      </c>
      <c r="BB249" s="472">
        <f t="shared" si="470"/>
        <v>1.2718407164228722</v>
      </c>
      <c r="BC249" s="6">
        <f t="shared" si="440"/>
        <v>4.057656049277053E-2</v>
      </c>
      <c r="BD249" s="563">
        <f t="shared" si="471"/>
        <v>0</v>
      </c>
      <c r="CF249" s="581">
        <f t="shared" si="472"/>
        <v>-50</v>
      </c>
      <c r="CG249">
        <f t="shared" si="473"/>
        <v>-50</v>
      </c>
    </row>
    <row r="250" spans="5:85" x14ac:dyDescent="0.2">
      <c r="E250" s="176">
        <v>34</v>
      </c>
      <c r="F250" s="223">
        <f t="shared" si="474"/>
        <v>0.17</v>
      </c>
      <c r="G250" s="223"/>
      <c r="H250" s="223">
        <f t="shared" si="441"/>
        <v>0.85000000000000009</v>
      </c>
      <c r="I250" s="559">
        <f t="shared" si="442"/>
        <v>48</v>
      </c>
      <c r="J250" s="454">
        <f t="shared" si="443"/>
        <v>15.75</v>
      </c>
      <c r="K250" s="454">
        <f t="shared" si="444"/>
        <v>63.75</v>
      </c>
      <c r="L250" s="454"/>
      <c r="M250" s="223">
        <f t="shared" si="445"/>
        <v>0.24705882352941178</v>
      </c>
      <c r="N250" s="178">
        <f t="shared" si="446"/>
        <v>4.0023529411764711</v>
      </c>
      <c r="O250" s="178">
        <f t="shared" si="360"/>
        <v>0.85000000000000009</v>
      </c>
      <c r="P250" s="223">
        <f t="shared" si="447"/>
        <v>0.80047058823529427</v>
      </c>
      <c r="Q250" s="223">
        <f t="shared" si="448"/>
        <v>5</v>
      </c>
      <c r="R250" s="223"/>
      <c r="S250" s="178">
        <f t="shared" si="449"/>
        <v>79.344372456243974</v>
      </c>
      <c r="T250" s="178">
        <f t="shared" si="450"/>
        <v>5</v>
      </c>
      <c r="U250" s="223">
        <f t="shared" si="451"/>
        <v>0.15928130511463845</v>
      </c>
      <c r="V250" s="223">
        <f t="shared" si="452"/>
        <v>0.14600786302175192</v>
      </c>
      <c r="W250" s="223">
        <f t="shared" si="453"/>
        <v>0.44497634444724393</v>
      </c>
      <c r="X250" s="203">
        <f t="shared" si="454"/>
        <v>350</v>
      </c>
      <c r="Y250" s="454">
        <f t="shared" si="417"/>
        <v>350</v>
      </c>
      <c r="AA250" s="223">
        <f t="shared" si="455"/>
        <v>0.77005347593582896</v>
      </c>
      <c r="AB250" s="179">
        <f t="shared" si="456"/>
        <v>2.151260504201681</v>
      </c>
      <c r="AC250" s="179">
        <f t="shared" si="457"/>
        <v>0.86970745517458337</v>
      </c>
      <c r="AD250" s="179"/>
      <c r="AE250" s="179">
        <f t="shared" si="458"/>
        <v>0.419047619047619</v>
      </c>
      <c r="AF250" s="563">
        <f t="shared" si="459"/>
        <v>1803.0303030303035</v>
      </c>
      <c r="AG250" s="546">
        <f t="shared" si="460"/>
        <v>3.2999999999999995E-2</v>
      </c>
      <c r="AI250" s="179">
        <f t="shared" si="461"/>
        <v>0.34045424201952734</v>
      </c>
      <c r="AJ250" s="179">
        <f t="shared" si="462"/>
        <v>0.34045424201952734</v>
      </c>
      <c r="AK250" s="179">
        <f t="shared" si="463"/>
        <v>1.3410772163107609</v>
      </c>
      <c r="AM250" s="563">
        <f t="shared" si="464"/>
        <v>170</v>
      </c>
      <c r="AN250" s="472">
        <f t="shared" si="465"/>
        <v>350</v>
      </c>
      <c r="AP250">
        <f t="shared" si="466"/>
        <v>170</v>
      </c>
      <c r="AQ250">
        <f t="shared" si="467"/>
        <v>350</v>
      </c>
      <c r="AS250" s="6">
        <f t="shared" si="361"/>
        <v>2.8571428571428572</v>
      </c>
      <c r="AT250" s="6">
        <f t="shared" si="468"/>
        <v>0.31208305518456675</v>
      </c>
      <c r="AU250" s="6">
        <f t="shared" si="438"/>
        <v>2.5450598019582906</v>
      </c>
      <c r="AV250" s="6"/>
      <c r="AW250" s="179">
        <f t="shared" si="439"/>
        <v>0.10922906931459836</v>
      </c>
      <c r="AX250" s="179"/>
      <c r="BA250" s="472">
        <f t="shared" si="469"/>
        <v>19.245051903114188</v>
      </c>
      <c r="BB250" s="472">
        <f t="shared" si="470"/>
        <v>1.3346353243203313</v>
      </c>
      <c r="BC250" s="6">
        <f t="shared" si="440"/>
        <v>4.1730340116985856E-2</v>
      </c>
      <c r="BD250" s="563">
        <f t="shared" si="471"/>
        <v>0</v>
      </c>
      <c r="CF250" s="581">
        <f t="shared" si="472"/>
        <v>-50</v>
      </c>
      <c r="CG250">
        <f t="shared" si="473"/>
        <v>-50</v>
      </c>
    </row>
    <row r="251" spans="5:85" x14ac:dyDescent="0.2">
      <c r="E251" s="176">
        <v>35</v>
      </c>
      <c r="F251" s="223">
        <f t="shared" si="474"/>
        <v>0.17499999999999999</v>
      </c>
      <c r="G251" s="223"/>
      <c r="H251" s="223">
        <f t="shared" si="441"/>
        <v>0.875</v>
      </c>
      <c r="I251" s="559">
        <f t="shared" si="442"/>
        <v>48</v>
      </c>
      <c r="J251" s="454">
        <f t="shared" si="443"/>
        <v>15.75</v>
      </c>
      <c r="K251" s="454">
        <f t="shared" si="444"/>
        <v>63.75</v>
      </c>
      <c r="L251" s="454"/>
      <c r="M251" s="223">
        <f t="shared" si="445"/>
        <v>0.24705882352941178</v>
      </c>
      <c r="N251" s="178">
        <f t="shared" si="446"/>
        <v>4.0023529411764711</v>
      </c>
      <c r="O251" s="178">
        <f t="shared" si="360"/>
        <v>0.875</v>
      </c>
      <c r="P251" s="223">
        <f t="shared" si="447"/>
        <v>0.80047058823529427</v>
      </c>
      <c r="Q251" s="223">
        <f t="shared" si="448"/>
        <v>5</v>
      </c>
      <c r="R251" s="223"/>
      <c r="S251" s="178">
        <f t="shared" si="449"/>
        <v>76.623462132673637</v>
      </c>
      <c r="T251" s="178">
        <f t="shared" si="450"/>
        <v>5</v>
      </c>
      <c r="U251" s="223">
        <f t="shared" si="451"/>
        <v>0.16396604938271603</v>
      </c>
      <c r="V251" s="223">
        <f t="shared" si="452"/>
        <v>0.15030221193415635</v>
      </c>
      <c r="W251" s="223">
        <f t="shared" si="453"/>
        <v>0.45806388398980985</v>
      </c>
      <c r="X251" s="203">
        <f t="shared" si="454"/>
        <v>350</v>
      </c>
      <c r="Y251" s="454">
        <f t="shared" si="417"/>
        <v>350</v>
      </c>
      <c r="AA251" s="223">
        <f t="shared" si="455"/>
        <v>0.77005347593582896</v>
      </c>
      <c r="AB251" s="179">
        <f t="shared" si="456"/>
        <v>2.151260504201681</v>
      </c>
      <c r="AC251" s="179">
        <f t="shared" si="457"/>
        <v>0.86970745517458337</v>
      </c>
      <c r="AD251" s="179"/>
      <c r="AE251" s="179">
        <f t="shared" si="458"/>
        <v>0.419047619047619</v>
      </c>
      <c r="AF251" s="563">
        <f t="shared" si="459"/>
        <v>1856.0606060606062</v>
      </c>
      <c r="AG251" s="546">
        <f t="shared" si="460"/>
        <v>3.2999999999999995E-2</v>
      </c>
      <c r="AI251" s="179">
        <f t="shared" si="461"/>
        <v>0.34542463985387867</v>
      </c>
      <c r="AJ251" s="179">
        <f t="shared" si="462"/>
        <v>0.34542463985387867</v>
      </c>
      <c r="AK251" s="179">
        <f t="shared" si="463"/>
        <v>1.3447589924843546</v>
      </c>
      <c r="AM251" s="563">
        <f t="shared" si="464"/>
        <v>175</v>
      </c>
      <c r="AN251" s="472">
        <f t="shared" si="465"/>
        <v>350</v>
      </c>
      <c r="AP251">
        <f t="shared" si="466"/>
        <v>175</v>
      </c>
      <c r="AQ251">
        <f t="shared" si="467"/>
        <v>350</v>
      </c>
      <c r="AS251" s="6">
        <f t="shared" si="361"/>
        <v>2.8571428571428572</v>
      </c>
      <c r="AT251" s="6">
        <f t="shared" si="468"/>
        <v>0.31663925319938879</v>
      </c>
      <c r="AU251" s="6">
        <f t="shared" si="438"/>
        <v>2.5405036039434683</v>
      </c>
      <c r="AV251" s="6"/>
      <c r="AW251" s="179">
        <f t="shared" si="439"/>
        <v>0.11082373861978607</v>
      </c>
      <c r="AX251" s="179"/>
      <c r="BA251" s="472">
        <f t="shared" si="469"/>
        <v>19.245051903114188</v>
      </c>
      <c r="BB251" s="472">
        <f t="shared" si="470"/>
        <v>1.3988566369311464</v>
      </c>
      <c r="BC251" s="6">
        <f t="shared" si="440"/>
        <v>4.2880799642178523E-2</v>
      </c>
      <c r="BD251" s="563">
        <f t="shared" si="471"/>
        <v>0</v>
      </c>
      <c r="CF251" s="581">
        <f t="shared" si="472"/>
        <v>-50</v>
      </c>
      <c r="CG251">
        <f t="shared" si="473"/>
        <v>-50</v>
      </c>
    </row>
    <row r="252" spans="5:85" x14ac:dyDescent="0.2">
      <c r="E252" s="176">
        <v>36</v>
      </c>
      <c r="F252" s="223">
        <f t="shared" si="474"/>
        <v>0.18</v>
      </c>
      <c r="G252" s="223"/>
      <c r="H252" s="223">
        <f t="shared" si="441"/>
        <v>0.89999999999999991</v>
      </c>
      <c r="I252" s="559">
        <f t="shared" si="442"/>
        <v>48</v>
      </c>
      <c r="J252" s="454">
        <f t="shared" si="443"/>
        <v>15.75</v>
      </c>
      <c r="K252" s="454">
        <f t="shared" si="444"/>
        <v>63.75</v>
      </c>
      <c r="L252" s="454"/>
      <c r="M252" s="223">
        <f t="shared" si="445"/>
        <v>0.24705882352941178</v>
      </c>
      <c r="N252" s="178">
        <f t="shared" si="446"/>
        <v>4.0023529411764711</v>
      </c>
      <c r="O252" s="178">
        <f t="shared" si="360"/>
        <v>0.89999999999999991</v>
      </c>
      <c r="P252" s="223">
        <f t="shared" si="447"/>
        <v>0.80047058823529427</v>
      </c>
      <c r="Q252" s="223">
        <f t="shared" si="448"/>
        <v>5</v>
      </c>
      <c r="R252" s="223"/>
      <c r="S252" s="178">
        <f t="shared" si="449"/>
        <v>74.053833023643989</v>
      </c>
      <c r="T252" s="178">
        <f t="shared" si="450"/>
        <v>5</v>
      </c>
      <c r="U252" s="223">
        <f t="shared" si="451"/>
        <v>0.16865079365079363</v>
      </c>
      <c r="V252" s="223">
        <f t="shared" si="452"/>
        <v>0.15459656084656084</v>
      </c>
      <c r="W252" s="223">
        <f t="shared" si="453"/>
        <v>0.47115142353237588</v>
      </c>
      <c r="X252" s="203">
        <f t="shared" si="454"/>
        <v>350</v>
      </c>
      <c r="Y252" s="454">
        <f t="shared" si="417"/>
        <v>350</v>
      </c>
      <c r="AA252" s="223">
        <f t="shared" si="455"/>
        <v>0.77005347593582896</v>
      </c>
      <c r="AB252" s="179">
        <f t="shared" si="456"/>
        <v>2.151260504201681</v>
      </c>
      <c r="AC252" s="179">
        <f t="shared" si="457"/>
        <v>0.86970745517458337</v>
      </c>
      <c r="AD252" s="179"/>
      <c r="AE252" s="179">
        <f t="shared" si="458"/>
        <v>0.419047619047619</v>
      </c>
      <c r="AF252" s="563">
        <f t="shared" si="459"/>
        <v>1909.0909090909095</v>
      </c>
      <c r="AG252" s="546">
        <f t="shared" si="460"/>
        <v>3.2999999999999995E-2</v>
      </c>
      <c r="AI252" s="179">
        <f t="shared" si="461"/>
        <v>0.35032452487268534</v>
      </c>
      <c r="AJ252" s="179">
        <f t="shared" si="462"/>
        <v>0.35032452487268534</v>
      </c>
      <c r="AK252" s="179">
        <f t="shared" si="463"/>
        <v>1.3483885369427298</v>
      </c>
      <c r="AM252" s="563">
        <f t="shared" si="464"/>
        <v>180</v>
      </c>
      <c r="AN252" s="472">
        <f t="shared" si="465"/>
        <v>350</v>
      </c>
      <c r="AP252">
        <f t="shared" si="466"/>
        <v>180</v>
      </c>
      <c r="AQ252">
        <f t="shared" si="467"/>
        <v>350</v>
      </c>
      <c r="AS252" s="6">
        <f t="shared" si="361"/>
        <v>2.8571428571428572</v>
      </c>
      <c r="AT252" s="6">
        <f t="shared" si="468"/>
        <v>0.32113081446662822</v>
      </c>
      <c r="AU252" s="6">
        <f t="shared" si="438"/>
        <v>2.5360120426762292</v>
      </c>
      <c r="AV252" s="6"/>
      <c r="AW252" s="179">
        <f t="shared" si="439"/>
        <v>0.11239578506331988</v>
      </c>
      <c r="AX252" s="179"/>
      <c r="BA252" s="472">
        <f t="shared" si="469"/>
        <v>19.245051903114188</v>
      </c>
      <c r="BB252" s="472">
        <f t="shared" si="470"/>
        <v>1.4645046542553191</v>
      </c>
      <c r="BC252" s="6">
        <f t="shared" si="440"/>
        <v>4.4027986852017857E-2</v>
      </c>
      <c r="BD252" s="563">
        <f t="shared" si="471"/>
        <v>0</v>
      </c>
      <c r="CF252" s="581">
        <f t="shared" si="472"/>
        <v>-50</v>
      </c>
      <c r="CG252">
        <f t="shared" si="473"/>
        <v>-50</v>
      </c>
    </row>
    <row r="253" spans="5:85" x14ac:dyDescent="0.2">
      <c r="E253" s="176">
        <v>37</v>
      </c>
      <c r="F253" s="223">
        <f t="shared" si="474"/>
        <v>0.185</v>
      </c>
      <c r="G253" s="223"/>
      <c r="H253" s="223">
        <f t="shared" si="441"/>
        <v>0.92500000000000004</v>
      </c>
      <c r="I253" s="559">
        <f t="shared" si="442"/>
        <v>48</v>
      </c>
      <c r="J253" s="454">
        <f t="shared" si="443"/>
        <v>15.75</v>
      </c>
      <c r="K253" s="454">
        <f t="shared" si="444"/>
        <v>63.75</v>
      </c>
      <c r="L253" s="454"/>
      <c r="M253" s="223">
        <f t="shared" si="445"/>
        <v>0.24705882352941178</v>
      </c>
      <c r="N253" s="178">
        <f t="shared" si="446"/>
        <v>4.0023529411764711</v>
      </c>
      <c r="O253" s="178">
        <f t="shared" si="360"/>
        <v>0.92500000000000004</v>
      </c>
      <c r="P253" s="223">
        <f t="shared" si="447"/>
        <v>0.80047058823529427</v>
      </c>
      <c r="Q253" s="223">
        <f t="shared" si="448"/>
        <v>5</v>
      </c>
      <c r="R253" s="223"/>
      <c r="S253" s="178">
        <f t="shared" si="449"/>
        <v>71.623221118886534</v>
      </c>
      <c r="T253" s="178">
        <f t="shared" si="450"/>
        <v>5</v>
      </c>
      <c r="U253" s="223">
        <f t="shared" si="451"/>
        <v>0.17333553791887124</v>
      </c>
      <c r="V253" s="223">
        <f t="shared" si="452"/>
        <v>0.1588909097589653</v>
      </c>
      <c r="W253" s="223">
        <f t="shared" si="453"/>
        <v>0.48423896307494191</v>
      </c>
      <c r="X253" s="203">
        <f t="shared" si="454"/>
        <v>350</v>
      </c>
      <c r="Y253" s="454">
        <f t="shared" si="417"/>
        <v>350</v>
      </c>
      <c r="AA253" s="223">
        <f t="shared" si="455"/>
        <v>0.77005347593582896</v>
      </c>
      <c r="AB253" s="179">
        <f t="shared" si="456"/>
        <v>2.151260504201681</v>
      </c>
      <c r="AC253" s="179">
        <f t="shared" si="457"/>
        <v>0.86970745517458337</v>
      </c>
      <c r="AD253" s="179"/>
      <c r="AE253" s="179">
        <f t="shared" si="458"/>
        <v>0.419047619047619</v>
      </c>
      <c r="AF253" s="563">
        <f t="shared" si="459"/>
        <v>1962.1212121212125</v>
      </c>
      <c r="AG253" s="546">
        <f t="shared" si="460"/>
        <v>3.2999999999999995E-2</v>
      </c>
      <c r="AI253" s="179">
        <f t="shared" si="461"/>
        <v>0.35515681555668283</v>
      </c>
      <c r="AJ253" s="179">
        <f t="shared" si="462"/>
        <v>0.35515681555668283</v>
      </c>
      <c r="AK253" s="179">
        <f t="shared" si="463"/>
        <v>1.3519680115234687</v>
      </c>
      <c r="AM253" s="563">
        <f t="shared" si="464"/>
        <v>185</v>
      </c>
      <c r="AN253" s="472">
        <f t="shared" si="465"/>
        <v>350</v>
      </c>
      <c r="AP253">
        <f t="shared" si="466"/>
        <v>185</v>
      </c>
      <c r="AQ253">
        <f t="shared" si="467"/>
        <v>350</v>
      </c>
      <c r="AS253" s="6">
        <f t="shared" si="361"/>
        <v>2.8571428571428572</v>
      </c>
      <c r="AT253" s="6">
        <f t="shared" si="468"/>
        <v>0.32556041426029264</v>
      </c>
      <c r="AU253" s="6">
        <f t="shared" si="438"/>
        <v>2.5315824428825646</v>
      </c>
      <c r="AV253" s="6"/>
      <c r="AW253" s="179">
        <f t="shared" si="439"/>
        <v>0.11394614499110242</v>
      </c>
      <c r="AX253" s="179"/>
      <c r="BA253" s="472">
        <f t="shared" si="469"/>
        <v>19.245051903114188</v>
      </c>
      <c r="BB253" s="472">
        <f t="shared" si="470"/>
        <v>1.5315793762928485</v>
      </c>
      <c r="BC253" s="6">
        <f t="shared" si="440"/>
        <v>4.5171947524428477E-2</v>
      </c>
      <c r="BD253" s="563">
        <f t="shared" si="471"/>
        <v>0</v>
      </c>
      <c r="CF253" s="581">
        <f t="shared" si="472"/>
        <v>-50</v>
      </c>
      <c r="CG253">
        <f t="shared" si="473"/>
        <v>-50</v>
      </c>
    </row>
    <row r="254" spans="5:85" x14ac:dyDescent="0.2">
      <c r="E254" s="176">
        <v>38</v>
      </c>
      <c r="F254" s="223">
        <f t="shared" si="474"/>
        <v>0.19</v>
      </c>
      <c r="G254" s="223"/>
      <c r="H254" s="223">
        <f t="shared" si="441"/>
        <v>0.95</v>
      </c>
      <c r="I254" s="559">
        <f t="shared" si="442"/>
        <v>48</v>
      </c>
      <c r="J254" s="454">
        <f t="shared" si="443"/>
        <v>15.75</v>
      </c>
      <c r="K254" s="454">
        <f t="shared" si="444"/>
        <v>63.75</v>
      </c>
      <c r="L254" s="454"/>
      <c r="M254" s="223">
        <f t="shared" si="445"/>
        <v>0.24705882352941178</v>
      </c>
      <c r="N254" s="178">
        <f t="shared" si="446"/>
        <v>4.0023529411764711</v>
      </c>
      <c r="O254" s="178">
        <f t="shared" si="360"/>
        <v>0.95</v>
      </c>
      <c r="P254" s="223">
        <f t="shared" si="447"/>
        <v>0.80047058823529427</v>
      </c>
      <c r="Q254" s="223">
        <f t="shared" si="448"/>
        <v>5</v>
      </c>
      <c r="R254" s="223"/>
      <c r="S254" s="178">
        <f t="shared" si="449"/>
        <v>69.320653401885423</v>
      </c>
      <c r="T254" s="178">
        <f t="shared" si="450"/>
        <v>5</v>
      </c>
      <c r="U254" s="223">
        <f t="shared" si="451"/>
        <v>0.17802028218694882</v>
      </c>
      <c r="V254" s="223">
        <f t="shared" si="452"/>
        <v>0.16318525867136974</v>
      </c>
      <c r="W254" s="223">
        <f t="shared" si="453"/>
        <v>0.49732650261750788</v>
      </c>
      <c r="X254" s="203">
        <f t="shared" si="454"/>
        <v>350</v>
      </c>
      <c r="Y254" s="454">
        <f t="shared" si="417"/>
        <v>350</v>
      </c>
      <c r="AA254" s="223">
        <f t="shared" si="455"/>
        <v>0.77005347593582896</v>
      </c>
      <c r="AB254" s="179">
        <f t="shared" si="456"/>
        <v>2.151260504201681</v>
      </c>
      <c r="AC254" s="179">
        <f t="shared" si="457"/>
        <v>0.86970745517458337</v>
      </c>
      <c r="AD254" s="179"/>
      <c r="AE254" s="179">
        <f t="shared" si="458"/>
        <v>0.419047619047619</v>
      </c>
      <c r="AF254" s="563">
        <f t="shared" si="459"/>
        <v>2015.1515151515157</v>
      </c>
      <c r="AG254" s="546">
        <f t="shared" si="460"/>
        <v>3.2999999999999995E-2</v>
      </c>
      <c r="AI254" s="179">
        <f t="shared" si="461"/>
        <v>0.35992423445143917</v>
      </c>
      <c r="AJ254" s="179">
        <f t="shared" si="462"/>
        <v>0.35992423445143917</v>
      </c>
      <c r="AK254" s="179">
        <f t="shared" si="463"/>
        <v>1.355499432926992</v>
      </c>
      <c r="AM254" s="563">
        <f t="shared" si="464"/>
        <v>190</v>
      </c>
      <c r="AN254" s="472">
        <f t="shared" si="465"/>
        <v>350</v>
      </c>
      <c r="AP254">
        <f t="shared" si="466"/>
        <v>190</v>
      </c>
      <c r="AQ254">
        <f t="shared" si="467"/>
        <v>350</v>
      </c>
      <c r="AS254" s="6">
        <f t="shared" si="361"/>
        <v>2.8571428571428572</v>
      </c>
      <c r="AT254" s="6">
        <f t="shared" si="468"/>
        <v>0.32993054824715257</v>
      </c>
      <c r="AU254" s="6">
        <f t="shared" si="438"/>
        <v>2.5272123088957046</v>
      </c>
      <c r="AV254" s="6"/>
      <c r="AW254" s="179">
        <f t="shared" si="439"/>
        <v>0.11547569188650339</v>
      </c>
      <c r="AX254" s="179"/>
      <c r="BA254" s="472">
        <f t="shared" si="469"/>
        <v>19.245051903114188</v>
      </c>
      <c r="BB254" s="472">
        <f t="shared" si="470"/>
        <v>1.6000808030437352</v>
      </c>
      <c r="BC254" s="6">
        <f t="shared" si="440"/>
        <v>4.6312725568111869E-2</v>
      </c>
      <c r="BD254" s="563">
        <f t="shared" si="471"/>
        <v>0</v>
      </c>
      <c r="CF254" s="581">
        <f t="shared" si="472"/>
        <v>-50</v>
      </c>
      <c r="CG254">
        <f t="shared" si="473"/>
        <v>-50</v>
      </c>
    </row>
    <row r="255" spans="5:85" x14ac:dyDescent="0.2">
      <c r="E255" s="176">
        <v>39</v>
      </c>
      <c r="F255" s="223">
        <f t="shared" si="474"/>
        <v>0.19500000000000001</v>
      </c>
      <c r="G255" s="223"/>
      <c r="H255" s="223">
        <f t="shared" si="441"/>
        <v>0.97500000000000009</v>
      </c>
      <c r="I255" s="559">
        <f t="shared" si="442"/>
        <v>48</v>
      </c>
      <c r="J255" s="454">
        <f t="shared" si="443"/>
        <v>15.75</v>
      </c>
      <c r="K255" s="454">
        <f t="shared" si="444"/>
        <v>63.75</v>
      </c>
      <c r="L255" s="454"/>
      <c r="M255" s="223">
        <f t="shared" si="445"/>
        <v>0.24705882352941178</v>
      </c>
      <c r="N255" s="178">
        <f t="shared" si="446"/>
        <v>4.0023529411764711</v>
      </c>
      <c r="O255" s="178">
        <f t="shared" si="360"/>
        <v>0.97500000000000009</v>
      </c>
      <c r="P255" s="223">
        <f t="shared" si="447"/>
        <v>0.80047058823529427</v>
      </c>
      <c r="Q255" s="223">
        <f t="shared" si="448"/>
        <v>5</v>
      </c>
      <c r="R255" s="223"/>
      <c r="S255" s="178">
        <f t="shared" si="449"/>
        <v>67.136282339092674</v>
      </c>
      <c r="T255" s="178">
        <f t="shared" si="450"/>
        <v>5</v>
      </c>
      <c r="U255" s="223">
        <f t="shared" si="451"/>
        <v>0.18270502645502645</v>
      </c>
      <c r="V255" s="223">
        <f t="shared" si="452"/>
        <v>0.16747960758377425</v>
      </c>
      <c r="W255" s="223">
        <f t="shared" si="453"/>
        <v>0.51041404216007391</v>
      </c>
      <c r="X255" s="203">
        <f t="shared" si="454"/>
        <v>350</v>
      </c>
      <c r="Y255" s="454">
        <f t="shared" si="417"/>
        <v>350</v>
      </c>
      <c r="AA255" s="223">
        <f t="shared" si="455"/>
        <v>0.77005347593582896</v>
      </c>
      <c r="AB255" s="179">
        <f t="shared" si="456"/>
        <v>2.151260504201681</v>
      </c>
      <c r="AC255" s="179">
        <f t="shared" si="457"/>
        <v>0.86970745517458337</v>
      </c>
      <c r="AD255" s="179"/>
      <c r="AE255" s="179">
        <f t="shared" si="458"/>
        <v>0.419047619047619</v>
      </c>
      <c r="AF255" s="563">
        <f t="shared" si="459"/>
        <v>2068.1818181818185</v>
      </c>
      <c r="AG255" s="546">
        <f t="shared" si="460"/>
        <v>3.2999999999999995E-2</v>
      </c>
      <c r="AI255" s="179">
        <f t="shared" si="461"/>
        <v>0.36462932610329829</v>
      </c>
      <c r="AJ255" s="179">
        <f t="shared" si="462"/>
        <v>0.36462932610329829</v>
      </c>
      <c r="AK255" s="179">
        <f t="shared" si="463"/>
        <v>1.3589846860024433</v>
      </c>
      <c r="AM255" s="563">
        <f t="shared" si="464"/>
        <v>195</v>
      </c>
      <c r="AN255" s="472">
        <f t="shared" si="465"/>
        <v>350</v>
      </c>
      <c r="AP255">
        <f t="shared" si="466"/>
        <v>195</v>
      </c>
      <c r="AQ255">
        <f t="shared" si="467"/>
        <v>350</v>
      </c>
      <c r="AS255" s="6">
        <f t="shared" si="361"/>
        <v>2.8571428571428572</v>
      </c>
      <c r="AT255" s="6">
        <f t="shared" si="468"/>
        <v>0.33424354892802338</v>
      </c>
      <c r="AU255" s="6">
        <f t="shared" si="438"/>
        <v>2.5228993082148339</v>
      </c>
      <c r="AV255" s="6"/>
      <c r="AW255" s="179">
        <f t="shared" si="439"/>
        <v>0.11698524212480818</v>
      </c>
      <c r="AX255" s="179"/>
      <c r="BA255" s="472">
        <f t="shared" si="469"/>
        <v>19.245051903114188</v>
      </c>
      <c r="BB255" s="472">
        <f t="shared" si="470"/>
        <v>1.6700089345079787</v>
      </c>
      <c r="BC255" s="6">
        <f t="shared" si="440"/>
        <v>4.7450363146401678E-2</v>
      </c>
      <c r="BD255" s="563">
        <f t="shared" si="471"/>
        <v>0</v>
      </c>
      <c r="CF255" s="581">
        <f t="shared" si="472"/>
        <v>-50</v>
      </c>
      <c r="CG255">
        <f t="shared" si="473"/>
        <v>-50</v>
      </c>
    </row>
    <row r="256" spans="5:85" x14ac:dyDescent="0.2">
      <c r="E256" s="176">
        <v>40</v>
      </c>
      <c r="F256" s="223">
        <f t="shared" si="474"/>
        <v>0.2</v>
      </c>
      <c r="G256" s="223"/>
      <c r="H256" s="223">
        <f t="shared" si="441"/>
        <v>1</v>
      </c>
      <c r="I256" s="559">
        <f t="shared" si="442"/>
        <v>48</v>
      </c>
      <c r="J256" s="454">
        <f t="shared" si="443"/>
        <v>15.75</v>
      </c>
      <c r="K256" s="454">
        <f t="shared" si="444"/>
        <v>63.75</v>
      </c>
      <c r="L256" s="454"/>
      <c r="M256" s="223">
        <f t="shared" si="445"/>
        <v>0.24705882352941178</v>
      </c>
      <c r="N256" s="178">
        <f t="shared" si="446"/>
        <v>4.0023529411764711</v>
      </c>
      <c r="O256" s="178">
        <f t="shared" si="360"/>
        <v>1</v>
      </c>
      <c r="P256" s="223">
        <f t="shared" si="447"/>
        <v>0.80047058823529427</v>
      </c>
      <c r="Q256" s="223">
        <f t="shared" si="448"/>
        <v>5</v>
      </c>
      <c r="R256" s="223"/>
      <c r="S256" s="178">
        <f t="shared" si="449"/>
        <v>65.061245195800623</v>
      </c>
      <c r="T256" s="178">
        <f t="shared" si="450"/>
        <v>5</v>
      </c>
      <c r="U256" s="223">
        <f t="shared" si="451"/>
        <v>0.18738977072310403</v>
      </c>
      <c r="V256" s="223">
        <f t="shared" si="452"/>
        <v>0.17177395649617871</v>
      </c>
      <c r="W256" s="223">
        <f t="shared" si="453"/>
        <v>0.52350158170263983</v>
      </c>
      <c r="X256" s="203">
        <f t="shared" si="454"/>
        <v>350</v>
      </c>
      <c r="Y256" s="454">
        <f t="shared" si="417"/>
        <v>350</v>
      </c>
      <c r="AA256" s="223">
        <f t="shared" si="455"/>
        <v>0.77005347593582896</v>
      </c>
      <c r="AB256" s="179">
        <f t="shared" si="456"/>
        <v>2.151260504201681</v>
      </c>
      <c r="AC256" s="179">
        <f t="shared" si="457"/>
        <v>0.86970745517458337</v>
      </c>
      <c r="AD256" s="179"/>
      <c r="AE256" s="179">
        <f t="shared" si="458"/>
        <v>0.419047619047619</v>
      </c>
      <c r="AF256" s="563">
        <f t="shared" si="459"/>
        <v>2121.2121212121215</v>
      </c>
      <c r="AG256" s="546">
        <f t="shared" si="460"/>
        <v>3.2999999999999995E-2</v>
      </c>
      <c r="AI256" s="179">
        <f t="shared" si="461"/>
        <v>0.3692744729379982</v>
      </c>
      <c r="AJ256" s="179">
        <f t="shared" si="462"/>
        <v>0.3692744729379982</v>
      </c>
      <c r="AK256" s="179">
        <f t="shared" si="463"/>
        <v>1.3624255355096282</v>
      </c>
      <c r="AM256" s="563">
        <f t="shared" si="464"/>
        <v>200</v>
      </c>
      <c r="AN256" s="472">
        <f t="shared" si="465"/>
        <v>350</v>
      </c>
      <c r="AP256">
        <f t="shared" si="466"/>
        <v>200</v>
      </c>
      <c r="AQ256">
        <f t="shared" si="467"/>
        <v>350</v>
      </c>
      <c r="AS256" s="6">
        <f t="shared" si="361"/>
        <v>2.8571428571428572</v>
      </c>
      <c r="AT256" s="6">
        <f t="shared" si="468"/>
        <v>0.33850160019316494</v>
      </c>
      <c r="AU256" s="6">
        <f t="shared" si="438"/>
        <v>2.5186412569496923</v>
      </c>
      <c r="AV256" s="6"/>
      <c r="AW256" s="179">
        <f t="shared" si="439"/>
        <v>0.11847556006760773</v>
      </c>
      <c r="AX256" s="179"/>
      <c r="BA256" s="472">
        <f t="shared" si="469"/>
        <v>19.245051903114188</v>
      </c>
      <c r="BB256" s="472">
        <f t="shared" si="470"/>
        <v>1.7413637706855793</v>
      </c>
      <c r="BC256" s="6">
        <f t="shared" si="440"/>
        <v>4.8584900789924619E-2</v>
      </c>
      <c r="BD256" s="563">
        <f t="shared" si="471"/>
        <v>0</v>
      </c>
      <c r="CF256" s="581">
        <f t="shared" si="472"/>
        <v>-50</v>
      </c>
      <c r="CG256">
        <f t="shared" si="473"/>
        <v>-50</v>
      </c>
    </row>
    <row r="257" spans="5:85" x14ac:dyDescent="0.2">
      <c r="E257" s="176">
        <v>41</v>
      </c>
      <c r="F257" s="223">
        <f t="shared" si="474"/>
        <v>0.20499999999999999</v>
      </c>
      <c r="G257" s="223"/>
      <c r="H257" s="223">
        <f t="shared" si="441"/>
        <v>1.0249999999999999</v>
      </c>
      <c r="I257" s="559">
        <f t="shared" si="442"/>
        <v>48</v>
      </c>
      <c r="J257" s="454">
        <f t="shared" si="443"/>
        <v>15.75</v>
      </c>
      <c r="K257" s="454">
        <f t="shared" si="444"/>
        <v>63.75</v>
      </c>
      <c r="L257" s="454"/>
      <c r="M257" s="223">
        <f t="shared" si="445"/>
        <v>0.24705882352941178</v>
      </c>
      <c r="N257" s="178">
        <f t="shared" si="446"/>
        <v>4.0023529411764711</v>
      </c>
      <c r="O257" s="178">
        <f t="shared" si="360"/>
        <v>1.0249999999999999</v>
      </c>
      <c r="P257" s="223">
        <f t="shared" si="447"/>
        <v>0.80047058823529427</v>
      </c>
      <c r="Q257" s="223">
        <f t="shared" si="448"/>
        <v>5</v>
      </c>
      <c r="R257" s="223"/>
      <c r="S257" s="178">
        <f t="shared" si="449"/>
        <v>63.087543939975525</v>
      </c>
      <c r="T257" s="178">
        <f t="shared" si="450"/>
        <v>5</v>
      </c>
      <c r="U257" s="223">
        <f t="shared" si="451"/>
        <v>0.19207451499118164</v>
      </c>
      <c r="V257" s="223">
        <f t="shared" si="452"/>
        <v>0.17606830540858315</v>
      </c>
      <c r="W257" s="223">
        <f t="shared" si="453"/>
        <v>0.53658912124520575</v>
      </c>
      <c r="X257" s="203">
        <f t="shared" si="454"/>
        <v>350</v>
      </c>
      <c r="Y257" s="454">
        <f t="shared" si="417"/>
        <v>350</v>
      </c>
      <c r="AA257" s="223">
        <f t="shared" si="455"/>
        <v>0.77005347593582896</v>
      </c>
      <c r="AB257" s="179">
        <f t="shared" si="456"/>
        <v>2.151260504201681</v>
      </c>
      <c r="AC257" s="179">
        <f t="shared" si="457"/>
        <v>0.86970745517458337</v>
      </c>
      <c r="AD257" s="179"/>
      <c r="AE257" s="179">
        <f t="shared" si="458"/>
        <v>0.419047619047619</v>
      </c>
      <c r="AF257" s="563">
        <f t="shared" si="459"/>
        <v>2174.2424242424245</v>
      </c>
      <c r="AG257" s="546">
        <f t="shared" si="460"/>
        <v>3.2999999999999995E-2</v>
      </c>
      <c r="AI257" s="179">
        <f t="shared" si="461"/>
        <v>0.37386190936323971</v>
      </c>
      <c r="AJ257" s="179">
        <f t="shared" si="462"/>
        <v>0.37386190936323971</v>
      </c>
      <c r="AK257" s="179">
        <f t="shared" si="463"/>
        <v>1.3658236365653627</v>
      </c>
      <c r="AM257" s="563">
        <f t="shared" si="464"/>
        <v>205</v>
      </c>
      <c r="AN257" s="472">
        <f t="shared" si="465"/>
        <v>350</v>
      </c>
      <c r="AP257">
        <f t="shared" si="466"/>
        <v>205</v>
      </c>
      <c r="AQ257">
        <f t="shared" si="467"/>
        <v>350</v>
      </c>
      <c r="AS257" s="6">
        <f t="shared" si="361"/>
        <v>2.8571428571428572</v>
      </c>
      <c r="AT257" s="6">
        <f t="shared" si="468"/>
        <v>0.34270675024963637</v>
      </c>
      <c r="AU257" s="6">
        <f t="shared" si="438"/>
        <v>2.5144361068932208</v>
      </c>
      <c r="AV257" s="6"/>
      <c r="AW257" s="179">
        <f t="shared" si="439"/>
        <v>0.11994736258737272</v>
      </c>
      <c r="AX257" s="179"/>
      <c r="BA257" s="472">
        <f t="shared" si="469"/>
        <v>19.245051903114188</v>
      </c>
      <c r="BB257" s="472">
        <f t="shared" si="470"/>
        <v>1.8141453115765362</v>
      </c>
      <c r="BC257" s="6">
        <f t="shared" si="440"/>
        <v>4.9716377499335475E-2</v>
      </c>
      <c r="BD257" s="563">
        <f t="shared" si="471"/>
        <v>0</v>
      </c>
      <c r="CF257" s="581">
        <f t="shared" si="472"/>
        <v>-50</v>
      </c>
      <c r="CG257">
        <f t="shared" si="473"/>
        <v>-50</v>
      </c>
    </row>
    <row r="258" spans="5:85" x14ac:dyDescent="0.2">
      <c r="E258" s="176">
        <v>42</v>
      </c>
      <c r="F258" s="223">
        <f t="shared" si="474"/>
        <v>0.21</v>
      </c>
      <c r="G258" s="223"/>
      <c r="H258" s="223">
        <f t="shared" si="441"/>
        <v>1.05</v>
      </c>
      <c r="I258" s="559">
        <f t="shared" si="442"/>
        <v>48</v>
      </c>
      <c r="J258" s="454">
        <f t="shared" si="443"/>
        <v>15.75</v>
      </c>
      <c r="K258" s="454">
        <f t="shared" si="444"/>
        <v>63.75</v>
      </c>
      <c r="L258" s="454"/>
      <c r="M258" s="223">
        <f t="shared" si="445"/>
        <v>0.24705882352941178</v>
      </c>
      <c r="N258" s="178">
        <f t="shared" si="446"/>
        <v>4.0023529411764711</v>
      </c>
      <c r="O258" s="178">
        <f t="shared" si="360"/>
        <v>1.05</v>
      </c>
      <c r="P258" s="223">
        <f t="shared" si="447"/>
        <v>0.80047058823529427</v>
      </c>
      <c r="Q258" s="223">
        <f t="shared" si="448"/>
        <v>5</v>
      </c>
      <c r="R258" s="223"/>
      <c r="S258" s="178">
        <f t="shared" si="449"/>
        <v>61.207942302726266</v>
      </c>
      <c r="T258" s="178">
        <f t="shared" si="450"/>
        <v>5</v>
      </c>
      <c r="U258" s="223">
        <f t="shared" si="451"/>
        <v>0.19675925925925924</v>
      </c>
      <c r="V258" s="223">
        <f t="shared" si="452"/>
        <v>0.18036265432098764</v>
      </c>
      <c r="W258" s="223">
        <f t="shared" si="453"/>
        <v>0.54967666078777178</v>
      </c>
      <c r="X258" s="203">
        <f t="shared" si="454"/>
        <v>350</v>
      </c>
      <c r="Y258" s="454">
        <f t="shared" si="417"/>
        <v>350</v>
      </c>
      <c r="AA258" s="223">
        <f t="shared" si="455"/>
        <v>0.77005347593582896</v>
      </c>
      <c r="AB258" s="179">
        <f t="shared" si="456"/>
        <v>2.151260504201681</v>
      </c>
      <c r="AC258" s="179">
        <f t="shared" si="457"/>
        <v>0.86970745517458337</v>
      </c>
      <c r="AD258" s="179"/>
      <c r="AE258" s="179">
        <f t="shared" si="458"/>
        <v>0.419047619047619</v>
      </c>
      <c r="AF258" s="563">
        <f t="shared" si="459"/>
        <v>2227.2727272727275</v>
      </c>
      <c r="AG258" s="546">
        <f t="shared" si="460"/>
        <v>3.2999999999999995E-2</v>
      </c>
      <c r="AI258" s="179">
        <f t="shared" si="461"/>
        <v>0.37839373433213475</v>
      </c>
      <c r="AJ258" s="179">
        <f t="shared" si="462"/>
        <v>0.37839373433213475</v>
      </c>
      <c r="AK258" s="179">
        <f t="shared" si="463"/>
        <v>1.3691805439497293</v>
      </c>
      <c r="AM258" s="563">
        <f t="shared" si="464"/>
        <v>210</v>
      </c>
      <c r="AN258" s="472">
        <f t="shared" si="465"/>
        <v>350</v>
      </c>
      <c r="AP258">
        <f t="shared" si="466"/>
        <v>210</v>
      </c>
      <c r="AQ258">
        <f t="shared" si="467"/>
        <v>350</v>
      </c>
      <c r="AS258" s="6">
        <f t="shared" si="361"/>
        <v>2.8571428571428572</v>
      </c>
      <c r="AT258" s="6">
        <f t="shared" si="468"/>
        <v>0.34686092313779021</v>
      </c>
      <c r="AU258" s="6">
        <f t="shared" si="438"/>
        <v>2.5102819340050671</v>
      </c>
      <c r="AV258" s="6"/>
      <c r="AW258" s="179">
        <f t="shared" si="439"/>
        <v>0.12140132309822657</v>
      </c>
      <c r="AX258" s="179"/>
      <c r="BA258" s="472">
        <f t="shared" si="469"/>
        <v>19.245051903114188</v>
      </c>
      <c r="BB258" s="472">
        <f t="shared" si="470"/>
        <v>1.8883535571808507</v>
      </c>
      <c r="BC258" s="6">
        <f t="shared" si="440"/>
        <v>5.0844830839222997E-2</v>
      </c>
      <c r="BD258" s="563">
        <f t="shared" si="471"/>
        <v>0</v>
      </c>
      <c r="CF258" s="581">
        <f t="shared" si="472"/>
        <v>-50</v>
      </c>
      <c r="CG258">
        <f t="shared" si="473"/>
        <v>-50</v>
      </c>
    </row>
    <row r="259" spans="5:85" x14ac:dyDescent="0.2">
      <c r="E259" s="176">
        <v>43</v>
      </c>
      <c r="F259" s="223">
        <f t="shared" si="474"/>
        <v>0.215</v>
      </c>
      <c r="G259" s="223"/>
      <c r="H259" s="223">
        <f t="shared" si="441"/>
        <v>1.075</v>
      </c>
      <c r="I259" s="559">
        <f t="shared" si="442"/>
        <v>48</v>
      </c>
      <c r="J259" s="454">
        <f t="shared" si="443"/>
        <v>15.75</v>
      </c>
      <c r="K259" s="454">
        <f t="shared" si="444"/>
        <v>63.75</v>
      </c>
      <c r="L259" s="454"/>
      <c r="M259" s="223">
        <f t="shared" si="445"/>
        <v>0.24705882352941178</v>
      </c>
      <c r="N259" s="178">
        <f t="shared" si="446"/>
        <v>4.0023529411764711</v>
      </c>
      <c r="O259" s="178">
        <f t="shared" si="360"/>
        <v>1.075</v>
      </c>
      <c r="P259" s="223">
        <f t="shared" si="447"/>
        <v>0.80047058823529427</v>
      </c>
      <c r="Q259" s="223">
        <f t="shared" si="448"/>
        <v>5</v>
      </c>
      <c r="R259" s="223"/>
      <c r="S259" s="178">
        <f t="shared" si="449"/>
        <v>59.415877202470057</v>
      </c>
      <c r="T259" s="178">
        <f t="shared" si="450"/>
        <v>5</v>
      </c>
      <c r="U259" s="223">
        <f t="shared" si="451"/>
        <v>0.20144400352733682</v>
      </c>
      <c r="V259" s="223">
        <f t="shared" si="452"/>
        <v>0.1846570032333921</v>
      </c>
      <c r="W259" s="223">
        <f t="shared" si="453"/>
        <v>0.56276420033033769</v>
      </c>
      <c r="X259" s="203">
        <f t="shared" si="454"/>
        <v>350</v>
      </c>
      <c r="Y259" s="454">
        <f t="shared" si="417"/>
        <v>350</v>
      </c>
      <c r="AA259" s="223">
        <f t="shared" si="455"/>
        <v>0.77005347593582896</v>
      </c>
      <c r="AB259" s="179">
        <f t="shared" si="456"/>
        <v>2.151260504201681</v>
      </c>
      <c r="AC259" s="179">
        <f t="shared" si="457"/>
        <v>0.86970745517458337</v>
      </c>
      <c r="AD259" s="179"/>
      <c r="AE259" s="179">
        <f t="shared" si="458"/>
        <v>0.419047619047619</v>
      </c>
      <c r="AF259" s="563">
        <f t="shared" si="459"/>
        <v>2280.3030303030309</v>
      </c>
      <c r="AG259" s="546">
        <f t="shared" si="460"/>
        <v>3.2999999999999995E-2</v>
      </c>
      <c r="AI259" s="179">
        <f t="shared" si="461"/>
        <v>0.38287192256799019</v>
      </c>
      <c r="AJ259" s="179">
        <f t="shared" si="462"/>
        <v>0.38287192256799019</v>
      </c>
      <c r="AK259" s="179">
        <f t="shared" si="463"/>
        <v>1.3724977204207334</v>
      </c>
      <c r="AM259" s="563">
        <f t="shared" si="464"/>
        <v>215</v>
      </c>
      <c r="AN259" s="472">
        <f t="shared" si="465"/>
        <v>350</v>
      </c>
      <c r="AP259">
        <f t="shared" si="466"/>
        <v>215</v>
      </c>
      <c r="AQ259">
        <f t="shared" si="467"/>
        <v>350</v>
      </c>
      <c r="AS259" s="6">
        <f t="shared" si="361"/>
        <v>2.8571428571428572</v>
      </c>
      <c r="AT259" s="6">
        <f t="shared" si="468"/>
        <v>0.35096592902065765</v>
      </c>
      <c r="AU259" s="6">
        <f t="shared" si="438"/>
        <v>2.5061769281221995</v>
      </c>
      <c r="AV259" s="6"/>
      <c r="AW259" s="179">
        <f t="shared" si="439"/>
        <v>0.12283807515723018</v>
      </c>
      <c r="AX259" s="179"/>
      <c r="BA259" s="472">
        <f t="shared" si="469"/>
        <v>19.245051903114188</v>
      </c>
      <c r="BB259" s="472">
        <f t="shared" si="470"/>
        <v>1.9639885074985222</v>
      </c>
      <c r="BC259" s="6">
        <f t="shared" si="440"/>
        <v>5.1970297024138967E-2</v>
      </c>
      <c r="BD259" s="563">
        <f t="shared" si="471"/>
        <v>0</v>
      </c>
      <c r="CF259" s="581">
        <f t="shared" si="472"/>
        <v>-50</v>
      </c>
      <c r="CG259">
        <f t="shared" si="473"/>
        <v>-50</v>
      </c>
    </row>
    <row r="260" spans="5:85" x14ac:dyDescent="0.2">
      <c r="E260" s="176">
        <v>44</v>
      </c>
      <c r="F260" s="223">
        <f t="shared" si="474"/>
        <v>0.22</v>
      </c>
      <c r="G260" s="223"/>
      <c r="H260" s="223">
        <f t="shared" si="441"/>
        <v>1.1000000000000001</v>
      </c>
      <c r="I260" s="559">
        <f t="shared" si="442"/>
        <v>48</v>
      </c>
      <c r="J260" s="454">
        <f t="shared" si="443"/>
        <v>15.75</v>
      </c>
      <c r="K260" s="454">
        <f t="shared" si="444"/>
        <v>63.75</v>
      </c>
      <c r="L260" s="454"/>
      <c r="M260" s="223">
        <f t="shared" si="445"/>
        <v>0.24705882352941178</v>
      </c>
      <c r="N260" s="178">
        <f t="shared" si="446"/>
        <v>4.0023529411764711</v>
      </c>
      <c r="O260" s="178">
        <f t="shared" si="360"/>
        <v>1.1000000000000001</v>
      </c>
      <c r="P260" s="223">
        <f t="shared" si="447"/>
        <v>0.80047058823529427</v>
      </c>
      <c r="Q260" s="223">
        <f t="shared" si="448"/>
        <v>5</v>
      </c>
      <c r="R260" s="223"/>
      <c r="S260" s="178">
        <f t="shared" si="449"/>
        <v>57.705382247662016</v>
      </c>
      <c r="T260" s="178">
        <f t="shared" si="450"/>
        <v>5</v>
      </c>
      <c r="U260" s="223">
        <f t="shared" si="451"/>
        <v>0.20612874779541446</v>
      </c>
      <c r="V260" s="223">
        <f t="shared" si="452"/>
        <v>0.18895135214579656</v>
      </c>
      <c r="W260" s="223">
        <f t="shared" si="453"/>
        <v>0.57585173987290394</v>
      </c>
      <c r="X260" s="203">
        <f t="shared" si="454"/>
        <v>350</v>
      </c>
      <c r="Y260" s="454">
        <f t="shared" si="417"/>
        <v>350</v>
      </c>
      <c r="AA260" s="223">
        <f t="shared" si="455"/>
        <v>0.77005347593582896</v>
      </c>
      <c r="AB260" s="179">
        <f t="shared" si="456"/>
        <v>2.151260504201681</v>
      </c>
      <c r="AC260" s="179">
        <f t="shared" si="457"/>
        <v>0.86970745517458337</v>
      </c>
      <c r="AD260" s="179"/>
      <c r="AE260" s="179">
        <f t="shared" si="458"/>
        <v>0.419047619047619</v>
      </c>
      <c r="AF260" s="563">
        <f t="shared" si="459"/>
        <v>2333.3333333333339</v>
      </c>
      <c r="AG260" s="546">
        <f t="shared" si="460"/>
        <v>3.2999999999999995E-2</v>
      </c>
      <c r="AI260" s="179">
        <f t="shared" si="461"/>
        <v>0.3872983346207417</v>
      </c>
      <c r="AJ260" s="179">
        <f t="shared" si="462"/>
        <v>0.3872983346207417</v>
      </c>
      <c r="AK260" s="179">
        <f t="shared" si="463"/>
        <v>1.3757765441635124</v>
      </c>
      <c r="AM260" s="563">
        <f t="shared" si="464"/>
        <v>220</v>
      </c>
      <c r="AN260" s="472">
        <f t="shared" si="465"/>
        <v>350</v>
      </c>
      <c r="AP260">
        <f t="shared" si="466"/>
        <v>220</v>
      </c>
      <c r="AQ260">
        <f t="shared" si="467"/>
        <v>350</v>
      </c>
      <c r="AS260" s="6">
        <f t="shared" si="361"/>
        <v>2.8571428571428572</v>
      </c>
      <c r="AT260" s="6">
        <f t="shared" si="468"/>
        <v>0.35502347340234652</v>
      </c>
      <c r="AU260" s="6">
        <f t="shared" si="438"/>
        <v>2.5021193837405109</v>
      </c>
      <c r="AV260" s="6"/>
      <c r="AW260" s="179">
        <f t="shared" si="439"/>
        <v>0.12425821569082128</v>
      </c>
      <c r="AX260" s="179"/>
      <c r="BA260" s="472">
        <f t="shared" si="469"/>
        <v>19.245051903114188</v>
      </c>
      <c r="BB260" s="472">
        <f t="shared" si="470"/>
        <v>2.041050162529551</v>
      </c>
      <c r="BC260" s="6">
        <f t="shared" si="440"/>
        <v>5.3092810997580279E-2</v>
      </c>
      <c r="BD260" s="563">
        <f t="shared" si="471"/>
        <v>0</v>
      </c>
      <c r="CF260" s="581">
        <f t="shared" si="472"/>
        <v>-50</v>
      </c>
      <c r="CG260">
        <f t="shared" si="473"/>
        <v>-50</v>
      </c>
    </row>
    <row r="261" spans="5:85" x14ac:dyDescent="0.2">
      <c r="E261" s="176">
        <v>45</v>
      </c>
      <c r="F261" s="223">
        <f t="shared" si="474"/>
        <v>0.22500000000000001</v>
      </c>
      <c r="G261" s="223"/>
      <c r="H261" s="223">
        <f t="shared" si="441"/>
        <v>1.125</v>
      </c>
      <c r="I261" s="559">
        <f t="shared" si="442"/>
        <v>48</v>
      </c>
      <c r="J261" s="454">
        <f t="shared" si="443"/>
        <v>15.75</v>
      </c>
      <c r="K261" s="454">
        <f t="shared" si="444"/>
        <v>63.75</v>
      </c>
      <c r="L261" s="454"/>
      <c r="M261" s="223">
        <f t="shared" si="445"/>
        <v>0.24705882352941178</v>
      </c>
      <c r="N261" s="178">
        <f t="shared" si="446"/>
        <v>4.0023529411764711</v>
      </c>
      <c r="O261" s="178">
        <f t="shared" si="360"/>
        <v>1.125</v>
      </c>
      <c r="P261" s="223">
        <f t="shared" si="447"/>
        <v>0.80047058823529427</v>
      </c>
      <c r="Q261" s="223">
        <f t="shared" si="448"/>
        <v>5</v>
      </c>
      <c r="R261" s="223"/>
      <c r="S261" s="178">
        <f t="shared" si="449"/>
        <v>56.071021439203086</v>
      </c>
      <c r="T261" s="178">
        <f t="shared" si="450"/>
        <v>5</v>
      </c>
      <c r="U261" s="223">
        <f t="shared" si="451"/>
        <v>0.21081349206349204</v>
      </c>
      <c r="V261" s="223">
        <f t="shared" si="452"/>
        <v>0.19324570105820102</v>
      </c>
      <c r="W261" s="223">
        <f t="shared" si="453"/>
        <v>0.58893927941546986</v>
      </c>
      <c r="X261" s="203">
        <f t="shared" si="454"/>
        <v>350</v>
      </c>
      <c r="Y261" s="454">
        <f t="shared" si="417"/>
        <v>350</v>
      </c>
      <c r="AA261" s="223">
        <f t="shared" si="455"/>
        <v>0.77005347593582896</v>
      </c>
      <c r="AB261" s="179">
        <f t="shared" si="456"/>
        <v>2.151260504201681</v>
      </c>
      <c r="AC261" s="179">
        <f t="shared" si="457"/>
        <v>0.86970745517458337</v>
      </c>
      <c r="AD261" s="179"/>
      <c r="AE261" s="179">
        <f t="shared" si="458"/>
        <v>0.419047619047619</v>
      </c>
      <c r="AF261" s="563">
        <f t="shared" si="459"/>
        <v>2386.3636363636365</v>
      </c>
      <c r="AG261" s="546">
        <f t="shared" si="460"/>
        <v>3.2999999999999995E-2</v>
      </c>
      <c r="AI261" s="179">
        <f t="shared" si="461"/>
        <v>0.39167472590032015</v>
      </c>
      <c r="AJ261" s="179">
        <f t="shared" si="462"/>
        <v>0.39167472590032015</v>
      </c>
      <c r="AK261" s="179">
        <f t="shared" si="463"/>
        <v>1.3790183154817186</v>
      </c>
      <c r="AM261" s="563">
        <f t="shared" si="464"/>
        <v>225</v>
      </c>
      <c r="AN261" s="472">
        <f t="shared" si="465"/>
        <v>350</v>
      </c>
      <c r="AP261">
        <f t="shared" si="466"/>
        <v>225</v>
      </c>
      <c r="AQ261">
        <f t="shared" si="467"/>
        <v>350</v>
      </c>
      <c r="AS261" s="6">
        <f t="shared" si="361"/>
        <v>2.8571428571428572</v>
      </c>
      <c r="AT261" s="6">
        <f t="shared" si="468"/>
        <v>0.35903516540862679</v>
      </c>
      <c r="AU261" s="6">
        <f t="shared" si="438"/>
        <v>2.4981076917342304</v>
      </c>
      <c r="AV261" s="6"/>
      <c r="AW261" s="179">
        <f t="shared" si="439"/>
        <v>0.12566230789301938</v>
      </c>
      <c r="AX261" s="179"/>
      <c r="BA261" s="472">
        <f t="shared" si="469"/>
        <v>19.245051903114188</v>
      </c>
      <c r="BB261" s="472">
        <f t="shared" si="470"/>
        <v>2.1195385222739365</v>
      </c>
      <c r="BC261" s="6">
        <f t="shared" si="440"/>
        <v>5.4212406504649091E-2</v>
      </c>
      <c r="BD261" s="563">
        <f t="shared" si="471"/>
        <v>0</v>
      </c>
      <c r="CF261" s="581">
        <f t="shared" si="472"/>
        <v>-50</v>
      </c>
      <c r="CG261">
        <f t="shared" si="473"/>
        <v>-50</v>
      </c>
    </row>
    <row r="262" spans="5:85" x14ac:dyDescent="0.2">
      <c r="E262" s="176">
        <v>46</v>
      </c>
      <c r="F262" s="223">
        <f t="shared" si="474"/>
        <v>0.23</v>
      </c>
      <c r="G262" s="223"/>
      <c r="H262" s="223">
        <f t="shared" si="441"/>
        <v>1.1500000000000001</v>
      </c>
      <c r="I262" s="559">
        <f t="shared" si="442"/>
        <v>48</v>
      </c>
      <c r="J262" s="454">
        <f t="shared" si="443"/>
        <v>15.75</v>
      </c>
      <c r="K262" s="454">
        <f t="shared" si="444"/>
        <v>63.75</v>
      </c>
      <c r="L262" s="454"/>
      <c r="M262" s="223">
        <f t="shared" si="445"/>
        <v>0.24705882352941178</v>
      </c>
      <c r="N262" s="178">
        <f t="shared" si="446"/>
        <v>4.0023529411764711</v>
      </c>
      <c r="O262" s="178">
        <f t="shared" ref="O262:O316" si="475">T262*F262</f>
        <v>1.1500000000000001</v>
      </c>
      <c r="P262" s="223">
        <f t="shared" si="447"/>
        <v>0.80047058823529427</v>
      </c>
      <c r="Q262" s="223">
        <f t="shared" si="448"/>
        <v>5</v>
      </c>
      <c r="R262" s="223"/>
      <c r="S262" s="178">
        <f t="shared" si="449"/>
        <v>54.507831520402647</v>
      </c>
      <c r="T262" s="178">
        <f t="shared" si="450"/>
        <v>5</v>
      </c>
      <c r="U262" s="223">
        <f t="shared" si="451"/>
        <v>0.21549823633156967</v>
      </c>
      <c r="V262" s="223">
        <f t="shared" si="452"/>
        <v>0.19754004997060554</v>
      </c>
      <c r="W262" s="223">
        <f t="shared" si="453"/>
        <v>0.60202681895803589</v>
      </c>
      <c r="X262" s="203">
        <f t="shared" si="454"/>
        <v>350</v>
      </c>
      <c r="Y262" s="454">
        <f t="shared" si="417"/>
        <v>350</v>
      </c>
      <c r="AA262" s="223">
        <f t="shared" si="455"/>
        <v>0.77005347593582896</v>
      </c>
      <c r="AB262" s="179">
        <f t="shared" si="456"/>
        <v>2.151260504201681</v>
      </c>
      <c r="AC262" s="179">
        <f t="shared" si="457"/>
        <v>0.86970745517458337</v>
      </c>
      <c r="AD262" s="179"/>
      <c r="AE262" s="179">
        <f t="shared" si="458"/>
        <v>0.419047619047619</v>
      </c>
      <c r="AF262" s="563">
        <f t="shared" si="459"/>
        <v>2439.3939393939399</v>
      </c>
      <c r="AG262" s="546">
        <f t="shared" si="460"/>
        <v>3.2999999999999995E-2</v>
      </c>
      <c r="AI262" s="179">
        <f t="shared" si="461"/>
        <v>0.39600275481135455</v>
      </c>
      <c r="AJ262" s="179">
        <f t="shared" si="462"/>
        <v>0.39600275481135455</v>
      </c>
      <c r="AK262" s="179">
        <f t="shared" si="463"/>
        <v>1.3822242628232255</v>
      </c>
      <c r="AM262" s="563">
        <f t="shared" si="464"/>
        <v>230</v>
      </c>
      <c r="AN262" s="472">
        <f t="shared" si="465"/>
        <v>350</v>
      </c>
      <c r="AP262">
        <f t="shared" si="466"/>
        <v>230</v>
      </c>
      <c r="AQ262">
        <f t="shared" si="467"/>
        <v>350</v>
      </c>
      <c r="AS262" s="6">
        <f t="shared" si="361"/>
        <v>2.8571428571428572</v>
      </c>
      <c r="AT262" s="6">
        <f t="shared" si="468"/>
        <v>0.36300252524374166</v>
      </c>
      <c r="AU262" s="6">
        <f t="shared" si="438"/>
        <v>2.4941403318991155</v>
      </c>
      <c r="AV262" s="6"/>
      <c r="AW262" s="179">
        <f t="shared" si="439"/>
        <v>0.12705088383530957</v>
      </c>
      <c r="AX262" s="179"/>
      <c r="BA262" s="472">
        <f t="shared" si="469"/>
        <v>19.245051903114188</v>
      </c>
      <c r="BB262" s="472">
        <f t="shared" si="470"/>
        <v>2.1994535867316785</v>
      </c>
      <c r="BC262" s="6">
        <f t="shared" si="440"/>
        <v>5.5329116159027449E-2</v>
      </c>
      <c r="BD262" s="563">
        <f t="shared" si="471"/>
        <v>0</v>
      </c>
      <c r="CF262" s="581">
        <f t="shared" si="472"/>
        <v>-50</v>
      </c>
      <c r="CG262">
        <f t="shared" si="473"/>
        <v>-50</v>
      </c>
    </row>
    <row r="263" spans="5:85" x14ac:dyDescent="0.2">
      <c r="E263" s="176">
        <v>47</v>
      </c>
      <c r="F263" s="223">
        <f t="shared" si="474"/>
        <v>0.23499999999999999</v>
      </c>
      <c r="G263" s="223"/>
      <c r="H263" s="223">
        <f t="shared" si="441"/>
        <v>1.1749999999999998</v>
      </c>
      <c r="I263" s="559">
        <f t="shared" si="442"/>
        <v>48</v>
      </c>
      <c r="J263" s="454">
        <f t="shared" si="443"/>
        <v>15.75</v>
      </c>
      <c r="K263" s="454">
        <f t="shared" si="444"/>
        <v>63.75</v>
      </c>
      <c r="L263" s="454"/>
      <c r="M263" s="223">
        <f t="shared" si="445"/>
        <v>0.24705882352941178</v>
      </c>
      <c r="N263" s="178">
        <f t="shared" si="446"/>
        <v>4.0023529411764711</v>
      </c>
      <c r="O263" s="178">
        <f t="shared" si="475"/>
        <v>1.1749999999999998</v>
      </c>
      <c r="P263" s="223">
        <f t="shared" si="447"/>
        <v>0.80047058823529427</v>
      </c>
      <c r="Q263" s="223">
        <f t="shared" si="448"/>
        <v>5</v>
      </c>
      <c r="R263" s="223"/>
      <c r="S263" s="178">
        <f t="shared" si="449"/>
        <v>53.01127168656366</v>
      </c>
      <c r="T263" s="178">
        <f t="shared" si="450"/>
        <v>5</v>
      </c>
      <c r="U263" s="223">
        <f t="shared" si="451"/>
        <v>0.22018298059964722</v>
      </c>
      <c r="V263" s="223">
        <f t="shared" si="452"/>
        <v>0.20183439888300991</v>
      </c>
      <c r="W263" s="223">
        <f t="shared" si="453"/>
        <v>0.6151143585006017</v>
      </c>
      <c r="X263" s="203">
        <f t="shared" si="454"/>
        <v>350</v>
      </c>
      <c r="Y263" s="454">
        <f t="shared" si="417"/>
        <v>350</v>
      </c>
      <c r="AA263" s="223">
        <f t="shared" si="455"/>
        <v>0.77005347593582896</v>
      </c>
      <c r="AB263" s="179">
        <f t="shared" si="456"/>
        <v>2.151260504201681</v>
      </c>
      <c r="AC263" s="179">
        <f t="shared" si="457"/>
        <v>0.86970745517458337</v>
      </c>
      <c r="AD263" s="179"/>
      <c r="AE263" s="179">
        <f t="shared" si="458"/>
        <v>0.419047619047619</v>
      </c>
      <c r="AF263" s="563">
        <f t="shared" si="459"/>
        <v>2492.4242424242425</v>
      </c>
      <c r="AG263" s="546">
        <f t="shared" si="460"/>
        <v>3.2999999999999995E-2</v>
      </c>
      <c r="AI263" s="179">
        <f t="shared" si="461"/>
        <v>0.40028399009612253</v>
      </c>
      <c r="AJ263" s="179">
        <f t="shared" si="462"/>
        <v>0.40028399009612253</v>
      </c>
      <c r="AK263" s="179">
        <f t="shared" si="463"/>
        <v>1.3853955482193501</v>
      </c>
      <c r="AM263" s="563">
        <f t="shared" si="464"/>
        <v>235</v>
      </c>
      <c r="AN263" s="472">
        <f t="shared" si="465"/>
        <v>350</v>
      </c>
      <c r="AP263">
        <f t="shared" si="466"/>
        <v>235</v>
      </c>
      <c r="AQ263">
        <f t="shared" si="467"/>
        <v>350</v>
      </c>
      <c r="AS263" s="6">
        <f t="shared" ref="AS263:AS316" si="476">1/AN263*1000</f>
        <v>2.8571428571428572</v>
      </c>
      <c r="AT263" s="6">
        <f t="shared" si="468"/>
        <v>0.36692699092144571</v>
      </c>
      <c r="AU263" s="6">
        <f t="shared" si="438"/>
        <v>2.4902158662214116</v>
      </c>
      <c r="AV263" s="6"/>
      <c r="AW263" s="179">
        <f t="shared" si="439"/>
        <v>0.12842444682250601</v>
      </c>
      <c r="AX263" s="179"/>
      <c r="BA263" s="472">
        <f t="shared" si="469"/>
        <v>19.245051903114188</v>
      </c>
      <c r="BB263" s="472">
        <f t="shared" si="470"/>
        <v>2.2807953559027778</v>
      </c>
      <c r="BC263" s="6">
        <f t="shared" si="440"/>
        <v>5.6442971504825565E-2</v>
      </c>
      <c r="BD263" s="563">
        <f t="shared" si="471"/>
        <v>0</v>
      </c>
      <c r="CF263" s="581">
        <f t="shared" si="472"/>
        <v>-50</v>
      </c>
      <c r="CG263">
        <f t="shared" si="473"/>
        <v>-50</v>
      </c>
    </row>
    <row r="264" spans="5:85" x14ac:dyDescent="0.2">
      <c r="E264" s="176">
        <v>48</v>
      </c>
      <c r="F264" s="223">
        <f t="shared" si="474"/>
        <v>0.24</v>
      </c>
      <c r="G264" s="223"/>
      <c r="H264" s="223">
        <f t="shared" si="441"/>
        <v>1.2</v>
      </c>
      <c r="I264" s="559">
        <f t="shared" si="442"/>
        <v>48</v>
      </c>
      <c r="J264" s="454">
        <f t="shared" si="443"/>
        <v>15.75</v>
      </c>
      <c r="K264" s="454">
        <f t="shared" si="444"/>
        <v>63.75</v>
      </c>
      <c r="L264" s="454"/>
      <c r="M264" s="223">
        <f t="shared" si="445"/>
        <v>0.24705882352941178</v>
      </c>
      <c r="N264" s="178">
        <f t="shared" si="446"/>
        <v>4.0023529411764711</v>
      </c>
      <c r="O264" s="178">
        <f t="shared" si="475"/>
        <v>1.2</v>
      </c>
      <c r="P264" s="223">
        <f t="shared" si="447"/>
        <v>0.80047058823529427</v>
      </c>
      <c r="Q264" s="223">
        <f t="shared" si="448"/>
        <v>5</v>
      </c>
      <c r="R264" s="223"/>
      <c r="S264" s="178">
        <f t="shared" si="449"/>
        <v>51.577179580913807</v>
      </c>
      <c r="T264" s="178">
        <f t="shared" si="450"/>
        <v>5</v>
      </c>
      <c r="U264" s="223">
        <f t="shared" si="451"/>
        <v>0.22486772486772486</v>
      </c>
      <c r="V264" s="223">
        <f t="shared" si="452"/>
        <v>0.20612874779541446</v>
      </c>
      <c r="W264" s="223">
        <f t="shared" si="453"/>
        <v>0.62820189804316784</v>
      </c>
      <c r="X264" s="203">
        <f t="shared" si="454"/>
        <v>350</v>
      </c>
      <c r="Y264" s="454">
        <f t="shared" si="417"/>
        <v>350</v>
      </c>
      <c r="AA264" s="223">
        <f t="shared" si="455"/>
        <v>0.77005347593582896</v>
      </c>
      <c r="AB264" s="179">
        <f t="shared" si="456"/>
        <v>2.151260504201681</v>
      </c>
      <c r="AC264" s="179">
        <f t="shared" si="457"/>
        <v>0.86970745517458337</v>
      </c>
      <c r="AD264" s="179"/>
      <c r="AE264" s="179">
        <f t="shared" si="458"/>
        <v>0.419047619047619</v>
      </c>
      <c r="AF264" s="563">
        <f t="shared" si="459"/>
        <v>2545.454545454546</v>
      </c>
      <c r="AG264" s="546">
        <f t="shared" si="460"/>
        <v>3.2999999999999995E-2</v>
      </c>
      <c r="AI264" s="179">
        <f t="shared" si="461"/>
        <v>0.40451991747794519</v>
      </c>
      <c r="AJ264" s="179">
        <f t="shared" si="462"/>
        <v>0.40451991747794519</v>
      </c>
      <c r="AK264" s="179">
        <f t="shared" si="463"/>
        <v>1.3885332722058852</v>
      </c>
      <c r="AM264" s="563">
        <f t="shared" si="464"/>
        <v>240</v>
      </c>
      <c r="AN264" s="472">
        <f t="shared" si="465"/>
        <v>350</v>
      </c>
      <c r="AP264">
        <f t="shared" si="466"/>
        <v>240</v>
      </c>
      <c r="AQ264">
        <f t="shared" si="467"/>
        <v>350</v>
      </c>
      <c r="AS264" s="6">
        <f t="shared" si="476"/>
        <v>2.8571428571428572</v>
      </c>
      <c r="AT264" s="6">
        <f t="shared" si="468"/>
        <v>0.3708099243547831</v>
      </c>
      <c r="AU264" s="6">
        <f t="shared" si="438"/>
        <v>2.4863329327880743</v>
      </c>
      <c r="AV264" s="6"/>
      <c r="AW264" s="179">
        <f t="shared" si="439"/>
        <v>0.12978347352417408</v>
      </c>
      <c r="AX264" s="179"/>
      <c r="BA264" s="472">
        <f t="shared" si="469"/>
        <v>19.245051903114188</v>
      </c>
      <c r="BB264" s="472">
        <f t="shared" si="470"/>
        <v>2.3635638297872337</v>
      </c>
      <c r="BC264" s="6">
        <f t="shared" si="440"/>
        <v>5.7554003073798009E-2</v>
      </c>
      <c r="BD264" s="563">
        <f t="shared" si="471"/>
        <v>0</v>
      </c>
      <c r="CF264" s="581">
        <f t="shared" si="472"/>
        <v>-50</v>
      </c>
      <c r="CG264">
        <f t="shared" si="473"/>
        <v>-50</v>
      </c>
    </row>
    <row r="265" spans="5:85" x14ac:dyDescent="0.2">
      <c r="E265" s="176">
        <v>49</v>
      </c>
      <c r="F265" s="223">
        <f t="shared" si="474"/>
        <v>0.245</v>
      </c>
      <c r="G265" s="223"/>
      <c r="H265" s="223">
        <f t="shared" si="441"/>
        <v>1.2250000000000001</v>
      </c>
      <c r="I265" s="559">
        <f t="shared" si="442"/>
        <v>48</v>
      </c>
      <c r="J265" s="454">
        <f t="shared" si="443"/>
        <v>15.75</v>
      </c>
      <c r="K265" s="454">
        <f t="shared" si="444"/>
        <v>63.75</v>
      </c>
      <c r="L265" s="454"/>
      <c r="M265" s="223">
        <f t="shared" si="445"/>
        <v>0.24705882352941178</v>
      </c>
      <c r="N265" s="178">
        <f t="shared" si="446"/>
        <v>4.0023529411764711</v>
      </c>
      <c r="O265" s="178">
        <f t="shared" si="475"/>
        <v>1.2250000000000001</v>
      </c>
      <c r="P265" s="223">
        <f t="shared" si="447"/>
        <v>0.80047058823529427</v>
      </c>
      <c r="Q265" s="223">
        <f t="shared" si="448"/>
        <v>5</v>
      </c>
      <c r="R265" s="223"/>
      <c r="S265" s="178">
        <f t="shared" si="449"/>
        <v>50.201732678834894</v>
      </c>
      <c r="T265" s="178">
        <f t="shared" si="450"/>
        <v>5</v>
      </c>
      <c r="U265" s="223">
        <f t="shared" si="451"/>
        <v>0.22955246913580246</v>
      </c>
      <c r="V265" s="223">
        <f t="shared" si="452"/>
        <v>0.21042309670781892</v>
      </c>
      <c r="W265" s="223">
        <f t="shared" si="453"/>
        <v>0.64128943758573376</v>
      </c>
      <c r="X265" s="203">
        <f t="shared" si="454"/>
        <v>350</v>
      </c>
      <c r="Y265" s="454">
        <f t="shared" si="417"/>
        <v>350</v>
      </c>
      <c r="AA265" s="223">
        <f t="shared" si="455"/>
        <v>0.77005347593582896</v>
      </c>
      <c r="AB265" s="179">
        <f t="shared" si="456"/>
        <v>2.151260504201681</v>
      </c>
      <c r="AC265" s="179">
        <f t="shared" si="457"/>
        <v>0.86970745517458337</v>
      </c>
      <c r="AD265" s="179"/>
      <c r="AE265" s="179">
        <f t="shared" si="458"/>
        <v>0.419047619047619</v>
      </c>
      <c r="AF265" s="563">
        <f t="shared" si="459"/>
        <v>2598.484848484849</v>
      </c>
      <c r="AG265" s="546">
        <f t="shared" si="460"/>
        <v>3.2999999999999995E-2</v>
      </c>
      <c r="AI265" s="179">
        <f t="shared" si="461"/>
        <v>0.40871194568479952</v>
      </c>
      <c r="AJ265" s="179">
        <f t="shared" si="462"/>
        <v>0.40871194568479952</v>
      </c>
      <c r="AK265" s="179">
        <f t="shared" si="463"/>
        <v>1.3916384782850366</v>
      </c>
      <c r="AM265" s="563">
        <f t="shared" si="464"/>
        <v>245</v>
      </c>
      <c r="AN265" s="472">
        <f t="shared" si="465"/>
        <v>350</v>
      </c>
      <c r="AP265">
        <f t="shared" si="466"/>
        <v>245</v>
      </c>
      <c r="AQ265">
        <f t="shared" si="467"/>
        <v>350</v>
      </c>
      <c r="AS265" s="6">
        <f t="shared" si="476"/>
        <v>2.8571428571428572</v>
      </c>
      <c r="AT265" s="6">
        <f t="shared" si="468"/>
        <v>0.37465261687773288</v>
      </c>
      <c r="AU265" s="6">
        <f t="shared" si="438"/>
        <v>2.4824902402651245</v>
      </c>
      <c r="AV265" s="6"/>
      <c r="AW265" s="179">
        <f t="shared" si="439"/>
        <v>0.1311284159072065</v>
      </c>
      <c r="AX265" s="179"/>
      <c r="BA265" s="472">
        <f t="shared" si="469"/>
        <v>19.245051903114188</v>
      </c>
      <c r="BB265" s="472">
        <f t="shared" si="470"/>
        <v>2.4477590083850469</v>
      </c>
      <c r="BC265" s="6">
        <f t="shared" si="440"/>
        <v>5.8662240438363752E-2</v>
      </c>
      <c r="BD265" s="563">
        <f t="shared" si="471"/>
        <v>0</v>
      </c>
      <c r="CF265" s="581">
        <f t="shared" si="472"/>
        <v>-50</v>
      </c>
      <c r="CG265">
        <f t="shared" si="473"/>
        <v>-50</v>
      </c>
    </row>
    <row r="266" spans="5:85" x14ac:dyDescent="0.2">
      <c r="E266" s="176">
        <v>50</v>
      </c>
      <c r="F266" s="223">
        <f t="shared" si="474"/>
        <v>0.25</v>
      </c>
      <c r="G266" s="223"/>
      <c r="H266" s="223">
        <f t="shared" si="441"/>
        <v>1.25</v>
      </c>
      <c r="I266" s="559">
        <f t="shared" si="442"/>
        <v>48</v>
      </c>
      <c r="J266" s="454">
        <f t="shared" si="443"/>
        <v>15.75</v>
      </c>
      <c r="K266" s="454">
        <f t="shared" si="444"/>
        <v>63.75</v>
      </c>
      <c r="L266" s="454"/>
      <c r="M266" s="223">
        <f t="shared" si="445"/>
        <v>0.24705882352941178</v>
      </c>
      <c r="N266" s="178">
        <f t="shared" si="446"/>
        <v>4.0023529411764711</v>
      </c>
      <c r="O266" s="178">
        <f t="shared" si="475"/>
        <v>1.25</v>
      </c>
      <c r="P266" s="223">
        <f t="shared" si="447"/>
        <v>0.80047058823529427</v>
      </c>
      <c r="Q266" s="223">
        <f t="shared" si="448"/>
        <v>5</v>
      </c>
      <c r="R266" s="223"/>
      <c r="S266" s="178">
        <f t="shared" si="449"/>
        <v>48.881414306030045</v>
      </c>
      <c r="T266" s="178">
        <f t="shared" si="450"/>
        <v>5</v>
      </c>
      <c r="U266" s="223">
        <f t="shared" si="451"/>
        <v>0.23423721340388004</v>
      </c>
      <c r="V266" s="223">
        <f t="shared" si="452"/>
        <v>0.21471744562022335</v>
      </c>
      <c r="W266" s="223">
        <f t="shared" si="453"/>
        <v>0.65437697712829968</v>
      </c>
      <c r="X266" s="203">
        <f t="shared" si="454"/>
        <v>350</v>
      </c>
      <c r="Y266" s="454">
        <f t="shared" si="417"/>
        <v>350</v>
      </c>
      <c r="AA266" s="223">
        <f t="shared" si="455"/>
        <v>0.77005347593582896</v>
      </c>
      <c r="AB266" s="179">
        <f t="shared" si="456"/>
        <v>2.151260504201681</v>
      </c>
      <c r="AC266" s="179">
        <f t="shared" si="457"/>
        <v>0.86970745517458337</v>
      </c>
      <c r="AD266" s="179"/>
      <c r="AE266" s="179">
        <f t="shared" si="458"/>
        <v>0.419047619047619</v>
      </c>
      <c r="AF266" s="563">
        <f t="shared" si="459"/>
        <v>2651.515151515152</v>
      </c>
      <c r="AG266" s="546">
        <f t="shared" si="460"/>
        <v>3.2999999999999995E-2</v>
      </c>
      <c r="AI266" s="179">
        <f t="shared" si="461"/>
        <v>0.41286141192238524</v>
      </c>
      <c r="AJ266" s="179">
        <f t="shared" si="462"/>
        <v>0.41286141192238524</v>
      </c>
      <c r="AK266" s="179">
        <f t="shared" si="463"/>
        <v>1.3947121569795446</v>
      </c>
      <c r="AM266" s="563">
        <f t="shared" si="464"/>
        <v>250</v>
      </c>
      <c r="AN266" s="472">
        <f t="shared" si="465"/>
        <v>350</v>
      </c>
      <c r="AP266">
        <f t="shared" si="466"/>
        <v>250</v>
      </c>
      <c r="AQ266">
        <f t="shared" si="467"/>
        <v>350</v>
      </c>
      <c r="AS266" s="6">
        <f t="shared" si="476"/>
        <v>2.8571428571428572</v>
      </c>
      <c r="AT266" s="6">
        <f t="shared" si="468"/>
        <v>0.37845629426218647</v>
      </c>
      <c r="AU266" s="6">
        <f t="shared" si="438"/>
        <v>2.4786865628806707</v>
      </c>
      <c r="AV266" s="6"/>
      <c r="AW266" s="179">
        <f t="shared" si="439"/>
        <v>0.13245970299176527</v>
      </c>
      <c r="AX266" s="179"/>
      <c r="BA266" s="472">
        <f t="shared" si="469"/>
        <v>19.245051903114188</v>
      </c>
      <c r="BB266" s="472">
        <f t="shared" si="470"/>
        <v>2.5333808916962175</v>
      </c>
      <c r="BC266" s="6">
        <f t="shared" si="440"/>
        <v>5.9767712260818631E-2</v>
      </c>
      <c r="BD266" s="563">
        <f t="shared" si="471"/>
        <v>0</v>
      </c>
      <c r="CF266" s="581">
        <f t="shared" si="472"/>
        <v>-50</v>
      </c>
      <c r="CG266">
        <f t="shared" si="473"/>
        <v>-50</v>
      </c>
    </row>
    <row r="267" spans="5:85" x14ac:dyDescent="0.2">
      <c r="E267" s="176">
        <v>51</v>
      </c>
      <c r="F267" s="223">
        <f t="shared" si="474"/>
        <v>0.255</v>
      </c>
      <c r="G267" s="223"/>
      <c r="H267" s="223">
        <f t="shared" si="441"/>
        <v>1.2749999999999999</v>
      </c>
      <c r="I267" s="559">
        <f t="shared" si="442"/>
        <v>48</v>
      </c>
      <c r="J267" s="454">
        <f t="shared" si="443"/>
        <v>15.75</v>
      </c>
      <c r="K267" s="454">
        <f t="shared" si="444"/>
        <v>63.75</v>
      </c>
      <c r="L267" s="454"/>
      <c r="M267" s="223">
        <f t="shared" si="445"/>
        <v>0.24705882352941178</v>
      </c>
      <c r="N267" s="178">
        <f t="shared" si="446"/>
        <v>4.0023529411764711</v>
      </c>
      <c r="O267" s="178">
        <f t="shared" si="475"/>
        <v>1.2749999999999999</v>
      </c>
      <c r="P267" s="223">
        <f t="shared" si="447"/>
        <v>0.80047058823529427</v>
      </c>
      <c r="Q267" s="223">
        <f t="shared" si="448"/>
        <v>5</v>
      </c>
      <c r="R267" s="223"/>
      <c r="S267" s="178">
        <f t="shared" si="449"/>
        <v>47.612983654600292</v>
      </c>
      <c r="T267" s="178">
        <f t="shared" si="450"/>
        <v>5</v>
      </c>
      <c r="U267" s="223">
        <f t="shared" si="451"/>
        <v>0.23892195767195765</v>
      </c>
      <c r="V267" s="223">
        <f t="shared" si="452"/>
        <v>0.21901179453262784</v>
      </c>
      <c r="W267" s="223">
        <f t="shared" si="453"/>
        <v>0.66746451667086582</v>
      </c>
      <c r="X267" s="203">
        <f t="shared" si="454"/>
        <v>350</v>
      </c>
      <c r="Y267" s="454">
        <f t="shared" si="417"/>
        <v>350</v>
      </c>
      <c r="AA267" s="223">
        <f t="shared" si="455"/>
        <v>0.77005347593582896</v>
      </c>
      <c r="AB267" s="179">
        <f t="shared" si="456"/>
        <v>2.151260504201681</v>
      </c>
      <c r="AC267" s="179">
        <f t="shared" si="457"/>
        <v>0.86970745517458337</v>
      </c>
      <c r="AD267" s="179"/>
      <c r="AE267" s="179">
        <f t="shared" si="458"/>
        <v>0.419047619047619</v>
      </c>
      <c r="AF267" s="563">
        <f t="shared" si="459"/>
        <v>2704.545454545455</v>
      </c>
      <c r="AG267" s="546">
        <f t="shared" si="460"/>
        <v>3.2999999999999995E-2</v>
      </c>
      <c r="AI267" s="179">
        <f t="shared" si="461"/>
        <v>0.41696958685692698</v>
      </c>
      <c r="AJ267" s="179">
        <f t="shared" si="462"/>
        <v>0.41696958685692698</v>
      </c>
      <c r="AK267" s="179">
        <f t="shared" si="463"/>
        <v>1.3977552495236496</v>
      </c>
      <c r="AM267" s="563">
        <f t="shared" si="464"/>
        <v>255</v>
      </c>
      <c r="AN267" s="472">
        <f t="shared" si="465"/>
        <v>350</v>
      </c>
      <c r="AP267">
        <f t="shared" si="466"/>
        <v>255</v>
      </c>
      <c r="AQ267">
        <f t="shared" si="467"/>
        <v>350</v>
      </c>
      <c r="AS267" s="6">
        <f t="shared" si="476"/>
        <v>2.8571428571428572</v>
      </c>
      <c r="AT267" s="6">
        <f t="shared" si="468"/>
        <v>0.38222212128551641</v>
      </c>
      <c r="AU267" s="6">
        <f t="shared" si="438"/>
        <v>2.4749207358573408</v>
      </c>
      <c r="AV267" s="6"/>
      <c r="AW267" s="179">
        <f t="shared" si="439"/>
        <v>0.13377774244993074</v>
      </c>
      <c r="AX267" s="179"/>
      <c r="BA267" s="472">
        <f t="shared" si="469"/>
        <v>19.245051903114188</v>
      </c>
      <c r="BB267" s="472">
        <f t="shared" si="470"/>
        <v>2.6204294797207446</v>
      </c>
      <c r="BC267" s="6">
        <f t="shared" si="440"/>
        <v>6.0870446339083888E-2</v>
      </c>
      <c r="BD267" s="563">
        <f t="shared" si="471"/>
        <v>0</v>
      </c>
      <c r="CF267" s="581">
        <f t="shared" si="472"/>
        <v>-50</v>
      </c>
      <c r="CG267">
        <f t="shared" si="473"/>
        <v>-50</v>
      </c>
    </row>
    <row r="268" spans="5:85" x14ac:dyDescent="0.2">
      <c r="E268" s="176">
        <v>52</v>
      </c>
      <c r="F268" s="223">
        <f t="shared" si="474"/>
        <v>0.26</v>
      </c>
      <c r="G268" s="223"/>
      <c r="H268" s="223">
        <f t="shared" si="441"/>
        <v>1.3</v>
      </c>
      <c r="I268" s="559">
        <f t="shared" si="442"/>
        <v>48</v>
      </c>
      <c r="J268" s="454">
        <f t="shared" si="443"/>
        <v>15.75</v>
      </c>
      <c r="K268" s="454">
        <f t="shared" si="444"/>
        <v>63.75</v>
      </c>
      <c r="L268" s="454"/>
      <c r="M268" s="223">
        <f t="shared" si="445"/>
        <v>0.24705882352941178</v>
      </c>
      <c r="N268" s="178">
        <f t="shared" si="446"/>
        <v>4.0023529411764711</v>
      </c>
      <c r="O268" s="178">
        <f t="shared" si="475"/>
        <v>1.3</v>
      </c>
      <c r="P268" s="223">
        <f t="shared" si="447"/>
        <v>0.80047058823529427</v>
      </c>
      <c r="Q268" s="223">
        <f t="shared" si="448"/>
        <v>5</v>
      </c>
      <c r="R268" s="223"/>
      <c r="S268" s="178">
        <f t="shared" si="449"/>
        <v>46.393449258851767</v>
      </c>
      <c r="T268" s="178">
        <f t="shared" si="450"/>
        <v>5</v>
      </c>
      <c r="U268" s="223">
        <f t="shared" si="451"/>
        <v>0.24360670194003525</v>
      </c>
      <c r="V268" s="223">
        <f t="shared" si="452"/>
        <v>0.2233061434450323</v>
      </c>
      <c r="W268" s="223">
        <f t="shared" si="453"/>
        <v>0.68055205621343184</v>
      </c>
      <c r="X268" s="203">
        <f t="shared" si="454"/>
        <v>350</v>
      </c>
      <c r="Y268" s="454">
        <f t="shared" si="417"/>
        <v>350</v>
      </c>
      <c r="AA268" s="223">
        <f t="shared" si="455"/>
        <v>0.77005347593582896</v>
      </c>
      <c r="AB268" s="179">
        <f t="shared" si="456"/>
        <v>2.151260504201681</v>
      </c>
      <c r="AC268" s="179">
        <f t="shared" si="457"/>
        <v>0.86970745517458337</v>
      </c>
      <c r="AD268" s="179"/>
      <c r="AE268" s="179">
        <f t="shared" si="458"/>
        <v>0.419047619047619</v>
      </c>
      <c r="AF268" s="563">
        <f t="shared" si="459"/>
        <v>2757.5757575757584</v>
      </c>
      <c r="AG268" s="546">
        <f t="shared" si="460"/>
        <v>3.2999999999999995E-2</v>
      </c>
      <c r="AI268" s="179">
        <f t="shared" si="461"/>
        <v>0.42103767916034224</v>
      </c>
      <c r="AJ268" s="179">
        <f t="shared" si="462"/>
        <v>0.42103767916034224</v>
      </c>
      <c r="AK268" s="179">
        <f t="shared" si="463"/>
        <v>1.4007686512298831</v>
      </c>
      <c r="AM268" s="563">
        <f t="shared" si="464"/>
        <v>260</v>
      </c>
      <c r="AN268" s="472">
        <f t="shared" si="465"/>
        <v>350</v>
      </c>
      <c r="AP268">
        <f t="shared" si="466"/>
        <v>260</v>
      </c>
      <c r="AQ268">
        <f t="shared" si="467"/>
        <v>350</v>
      </c>
      <c r="AS268" s="6">
        <f t="shared" si="476"/>
        <v>2.8571428571428572</v>
      </c>
      <c r="AT268" s="6">
        <f t="shared" si="468"/>
        <v>0.38595120589698034</v>
      </c>
      <c r="AU268" s="6">
        <f t="shared" si="438"/>
        <v>2.4711916512458769</v>
      </c>
      <c r="AV268" s="6"/>
      <c r="AW268" s="179">
        <f t="shared" si="439"/>
        <v>0.13508292206394312</v>
      </c>
      <c r="AX268" s="179"/>
      <c r="BA268" s="472">
        <f t="shared" si="469"/>
        <v>19.245051903114188</v>
      </c>
      <c r="BB268" s="472">
        <f t="shared" si="470"/>
        <v>2.708904772458629</v>
      </c>
      <c r="BC268" s="6">
        <f t="shared" si="440"/>
        <v>6.1970469649298594E-2</v>
      </c>
      <c r="BD268" s="563">
        <f t="shared" si="471"/>
        <v>0</v>
      </c>
      <c r="CF268" s="581">
        <f t="shared" si="472"/>
        <v>-50</v>
      </c>
      <c r="CG268">
        <f t="shared" si="473"/>
        <v>-50</v>
      </c>
    </row>
    <row r="269" spans="5:85" x14ac:dyDescent="0.2">
      <c r="E269" s="176">
        <v>53</v>
      </c>
      <c r="F269" s="223">
        <f t="shared" si="474"/>
        <v>0.26500000000000001</v>
      </c>
      <c r="G269" s="223"/>
      <c r="H269" s="223">
        <f t="shared" si="441"/>
        <v>1.3250000000000002</v>
      </c>
      <c r="I269" s="559">
        <f t="shared" si="442"/>
        <v>48</v>
      </c>
      <c r="J269" s="454">
        <f t="shared" si="443"/>
        <v>15.75</v>
      </c>
      <c r="K269" s="454">
        <f t="shared" si="444"/>
        <v>63.75</v>
      </c>
      <c r="L269" s="454"/>
      <c r="M269" s="223">
        <f t="shared" si="445"/>
        <v>0.24705882352941178</v>
      </c>
      <c r="N269" s="178">
        <f t="shared" si="446"/>
        <v>4.0023529411764711</v>
      </c>
      <c r="O269" s="178">
        <f t="shared" si="475"/>
        <v>1.3250000000000002</v>
      </c>
      <c r="P269" s="223">
        <f t="shared" si="447"/>
        <v>0.80047058823529427</v>
      </c>
      <c r="Q269" s="223">
        <f t="shared" si="448"/>
        <v>5</v>
      </c>
      <c r="R269" s="223"/>
      <c r="S269" s="178">
        <f t="shared" si="449"/>
        <v>45.220045473889925</v>
      </c>
      <c r="T269" s="178">
        <f t="shared" si="450"/>
        <v>5</v>
      </c>
      <c r="U269" s="223">
        <f t="shared" si="451"/>
        <v>0.24829144620811289</v>
      </c>
      <c r="V269" s="223">
        <f t="shared" si="452"/>
        <v>0.22760049235743682</v>
      </c>
      <c r="W269" s="223">
        <f t="shared" si="453"/>
        <v>0.69363959575599798</v>
      </c>
      <c r="X269" s="203">
        <f t="shared" si="454"/>
        <v>350</v>
      </c>
      <c r="Y269" s="454">
        <f t="shared" si="417"/>
        <v>350</v>
      </c>
      <c r="AA269" s="223">
        <f t="shared" si="455"/>
        <v>0.77005347593582896</v>
      </c>
      <c r="AB269" s="179">
        <f t="shared" si="456"/>
        <v>2.151260504201681</v>
      </c>
      <c r="AC269" s="179">
        <f t="shared" si="457"/>
        <v>0.86970745517458337</v>
      </c>
      <c r="AD269" s="179"/>
      <c r="AE269" s="179">
        <f t="shared" si="458"/>
        <v>0.419047619047619</v>
      </c>
      <c r="AF269" s="563">
        <f t="shared" si="459"/>
        <v>2810.6060606060614</v>
      </c>
      <c r="AG269" s="546">
        <f t="shared" si="460"/>
        <v>3.2999999999999995E-2</v>
      </c>
      <c r="AI269" s="179">
        <f t="shared" si="461"/>
        <v>0.42506683966385589</v>
      </c>
      <c r="AJ269" s="179">
        <f t="shared" si="462"/>
        <v>0.42506683966385589</v>
      </c>
      <c r="AK269" s="179">
        <f t="shared" si="463"/>
        <v>1.4037532145658191</v>
      </c>
      <c r="AM269" s="563">
        <f t="shared" si="464"/>
        <v>265</v>
      </c>
      <c r="AN269" s="472">
        <f t="shared" si="465"/>
        <v>350</v>
      </c>
      <c r="AP269">
        <f t="shared" si="466"/>
        <v>265</v>
      </c>
      <c r="AQ269">
        <f t="shared" si="467"/>
        <v>350</v>
      </c>
      <c r="AS269" s="6">
        <f t="shared" si="476"/>
        <v>2.8571428571428572</v>
      </c>
      <c r="AT269" s="6">
        <f t="shared" si="468"/>
        <v>0.38964460302520126</v>
      </c>
      <c r="AU269" s="6">
        <f t="shared" si="438"/>
        <v>2.4674982541176558</v>
      </c>
      <c r="AV269" s="6"/>
      <c r="AW269" s="179">
        <f t="shared" si="439"/>
        <v>0.13637561105882043</v>
      </c>
      <c r="AX269" s="179"/>
      <c r="BA269" s="472">
        <f t="shared" si="469"/>
        <v>19.245051903114188</v>
      </c>
      <c r="BB269" s="472">
        <f t="shared" si="470"/>
        <v>2.79880676990987</v>
      </c>
      <c r="BC269" s="6">
        <f t="shared" si="440"/>
        <v>6.3067808385530347E-2</v>
      </c>
      <c r="BD269" s="563">
        <f t="shared" si="471"/>
        <v>0</v>
      </c>
      <c r="CF269" s="581">
        <f t="shared" si="472"/>
        <v>-50</v>
      </c>
      <c r="CG269">
        <f t="shared" si="473"/>
        <v>-50</v>
      </c>
    </row>
    <row r="270" spans="5:85" x14ac:dyDescent="0.2">
      <c r="E270" s="176">
        <v>54</v>
      </c>
      <c r="F270" s="223">
        <f t="shared" si="474"/>
        <v>0.27</v>
      </c>
      <c r="G270" s="223"/>
      <c r="H270" s="223">
        <f t="shared" si="441"/>
        <v>1.35</v>
      </c>
      <c r="I270" s="559">
        <f t="shared" si="442"/>
        <v>48</v>
      </c>
      <c r="J270" s="454">
        <f t="shared" si="443"/>
        <v>15.75</v>
      </c>
      <c r="K270" s="454">
        <f t="shared" si="444"/>
        <v>63.75</v>
      </c>
      <c r="L270" s="454"/>
      <c r="M270" s="223">
        <f t="shared" si="445"/>
        <v>0.24705882352941178</v>
      </c>
      <c r="N270" s="178">
        <f t="shared" si="446"/>
        <v>4.0023529411764711</v>
      </c>
      <c r="O270" s="178">
        <f t="shared" si="475"/>
        <v>1.35</v>
      </c>
      <c r="P270" s="223">
        <f t="shared" si="447"/>
        <v>0.80047058823529427</v>
      </c>
      <c r="Q270" s="223">
        <f t="shared" si="448"/>
        <v>5</v>
      </c>
      <c r="R270" s="223"/>
      <c r="S270" s="178">
        <f t="shared" si="449"/>
        <v>44.090211567752405</v>
      </c>
      <c r="T270" s="178">
        <f t="shared" si="450"/>
        <v>5</v>
      </c>
      <c r="U270" s="223">
        <f t="shared" si="451"/>
        <v>0.25297619047619047</v>
      </c>
      <c r="V270" s="223">
        <f t="shared" si="452"/>
        <v>0.23189484126984125</v>
      </c>
      <c r="W270" s="223">
        <f t="shared" si="453"/>
        <v>0.70672713529856379</v>
      </c>
      <c r="X270" s="203">
        <f t="shared" si="454"/>
        <v>350</v>
      </c>
      <c r="Y270" s="454">
        <f t="shared" si="417"/>
        <v>350</v>
      </c>
      <c r="AA270" s="223">
        <f t="shared" si="455"/>
        <v>0.77005347593582896</v>
      </c>
      <c r="AB270" s="179">
        <f t="shared" si="456"/>
        <v>2.151260504201681</v>
      </c>
      <c r="AC270" s="179">
        <f t="shared" si="457"/>
        <v>0.86970745517458337</v>
      </c>
      <c r="AD270" s="179"/>
      <c r="AE270" s="179">
        <f t="shared" si="458"/>
        <v>0.419047619047619</v>
      </c>
      <c r="AF270" s="563">
        <f t="shared" si="459"/>
        <v>2863.6363636363644</v>
      </c>
      <c r="AG270" s="546">
        <f t="shared" si="460"/>
        <v>3.2999999999999995E-2</v>
      </c>
      <c r="AI270" s="179">
        <f t="shared" si="461"/>
        <v>0.42905816516051654</v>
      </c>
      <c r="AJ270" s="179">
        <f t="shared" si="462"/>
        <v>0.42905816516051654</v>
      </c>
      <c r="AK270" s="179">
        <f t="shared" si="463"/>
        <v>1.406709751970753</v>
      </c>
      <c r="AM270" s="563">
        <f t="shared" si="464"/>
        <v>270</v>
      </c>
      <c r="AN270" s="472">
        <f t="shared" si="465"/>
        <v>350</v>
      </c>
      <c r="AP270">
        <f t="shared" si="466"/>
        <v>270</v>
      </c>
      <c r="AQ270">
        <f t="shared" si="467"/>
        <v>350</v>
      </c>
      <c r="AS270" s="6">
        <f t="shared" si="476"/>
        <v>2.8571428571428572</v>
      </c>
      <c r="AT270" s="6">
        <f t="shared" si="468"/>
        <v>0.39330331806380681</v>
      </c>
      <c r="AU270" s="6">
        <f t="shared" si="438"/>
        <v>2.4638395390790504</v>
      </c>
      <c r="AV270" s="6"/>
      <c r="AW270" s="179">
        <f t="shared" si="439"/>
        <v>0.13765616132233238</v>
      </c>
      <c r="AX270" s="179"/>
      <c r="BA270" s="472">
        <f t="shared" si="469"/>
        <v>19.245051903114188</v>
      </c>
      <c r="BB270" s="472">
        <f t="shared" si="470"/>
        <v>2.8901354720744683</v>
      </c>
      <c r="BC270" s="6">
        <f t="shared" si="440"/>
        <v>6.4162487996850259E-2</v>
      </c>
      <c r="BD270" s="563">
        <f t="shared" si="471"/>
        <v>0</v>
      </c>
      <c r="CF270" s="581">
        <f t="shared" si="472"/>
        <v>-50</v>
      </c>
      <c r="CG270">
        <f t="shared" si="473"/>
        <v>-50</v>
      </c>
    </row>
    <row r="271" spans="5:85" x14ac:dyDescent="0.2">
      <c r="E271" s="176">
        <v>55</v>
      </c>
      <c r="F271" s="223">
        <f t="shared" si="474"/>
        <v>0.27500000000000002</v>
      </c>
      <c r="G271" s="223"/>
      <c r="H271" s="223">
        <f t="shared" si="441"/>
        <v>1.375</v>
      </c>
      <c r="I271" s="559">
        <f t="shared" si="442"/>
        <v>48</v>
      </c>
      <c r="J271" s="454">
        <f t="shared" si="443"/>
        <v>15.75</v>
      </c>
      <c r="K271" s="454">
        <f t="shared" si="444"/>
        <v>63.75</v>
      </c>
      <c r="L271" s="454"/>
      <c r="M271" s="223">
        <f t="shared" si="445"/>
        <v>0.24705882352941178</v>
      </c>
      <c r="N271" s="178">
        <f t="shared" si="446"/>
        <v>4.0023529411764711</v>
      </c>
      <c r="O271" s="178">
        <f t="shared" si="475"/>
        <v>1.375</v>
      </c>
      <c r="P271" s="223">
        <f t="shared" si="447"/>
        <v>0.80047058823529427</v>
      </c>
      <c r="Q271" s="223">
        <f t="shared" si="448"/>
        <v>5</v>
      </c>
      <c r="R271" s="223"/>
      <c r="S271" s="178">
        <f t="shared" si="449"/>
        <v>43.001573094450151</v>
      </c>
      <c r="T271" s="178">
        <f t="shared" si="450"/>
        <v>5</v>
      </c>
      <c r="U271" s="223">
        <f t="shared" si="451"/>
        <v>0.25766093474426804</v>
      </c>
      <c r="V271" s="223">
        <f t="shared" si="452"/>
        <v>0.23618919018224571</v>
      </c>
      <c r="W271" s="223">
        <f t="shared" si="453"/>
        <v>0.71981467484112971</v>
      </c>
      <c r="X271" s="203">
        <f t="shared" si="454"/>
        <v>350</v>
      </c>
      <c r="Y271" s="454">
        <f t="shared" si="417"/>
        <v>350</v>
      </c>
      <c r="AA271" s="223">
        <f t="shared" si="455"/>
        <v>0.77005347593582896</v>
      </c>
      <c r="AB271" s="179">
        <f t="shared" si="456"/>
        <v>2.151260504201681</v>
      </c>
      <c r="AC271" s="179">
        <f t="shared" si="457"/>
        <v>0.86970745517458337</v>
      </c>
      <c r="AD271" s="179"/>
      <c r="AE271" s="179">
        <f t="shared" si="458"/>
        <v>0.419047619047619</v>
      </c>
      <c r="AF271" s="563">
        <f t="shared" si="459"/>
        <v>2916.6666666666674</v>
      </c>
      <c r="AG271" s="546">
        <f t="shared" si="460"/>
        <v>3.2999999999999995E-2</v>
      </c>
      <c r="AI271" s="179">
        <f t="shared" si="461"/>
        <v>0.4330127018922193</v>
      </c>
      <c r="AJ271" s="179">
        <f t="shared" si="462"/>
        <v>0.4330127018922193</v>
      </c>
      <c r="AK271" s="179">
        <f t="shared" si="463"/>
        <v>1.409639038438681</v>
      </c>
      <c r="AM271" s="563">
        <f t="shared" si="464"/>
        <v>275</v>
      </c>
      <c r="AN271" s="472">
        <f t="shared" si="465"/>
        <v>350</v>
      </c>
      <c r="AP271">
        <f t="shared" si="466"/>
        <v>275</v>
      </c>
      <c r="AQ271">
        <f t="shared" si="467"/>
        <v>350</v>
      </c>
      <c r="AS271" s="6">
        <f t="shared" si="476"/>
        <v>2.8571428571428572</v>
      </c>
      <c r="AT271" s="6">
        <f t="shared" si="468"/>
        <v>0.39692831006786766</v>
      </c>
      <c r="AU271" s="6">
        <f t="shared" si="438"/>
        <v>2.4602145470749894</v>
      </c>
      <c r="AV271" s="6"/>
      <c r="AW271" s="179">
        <f t="shared" si="439"/>
        <v>0.13892490852375367</v>
      </c>
      <c r="AX271" s="179"/>
      <c r="BA271" s="472">
        <f t="shared" si="469"/>
        <v>19.245051903114188</v>
      </c>
      <c r="BB271" s="472">
        <f t="shared" si="470"/>
        <v>2.9828908789524236</v>
      </c>
      <c r="BC271" s="6">
        <f t="shared" si="440"/>
        <v>6.5254533221992858E-2</v>
      </c>
      <c r="BD271" s="563">
        <f t="shared" si="471"/>
        <v>0</v>
      </c>
      <c r="CF271" s="581">
        <f t="shared" si="472"/>
        <v>-50</v>
      </c>
      <c r="CG271">
        <f t="shared" si="473"/>
        <v>-50</v>
      </c>
    </row>
    <row r="272" spans="5:85" x14ac:dyDescent="0.2">
      <c r="E272" s="176">
        <v>56</v>
      </c>
      <c r="F272" s="223">
        <f t="shared" si="474"/>
        <v>0.28000000000000003</v>
      </c>
      <c r="G272" s="223"/>
      <c r="H272" s="223">
        <f t="shared" si="441"/>
        <v>1.4000000000000001</v>
      </c>
      <c r="I272" s="559">
        <f t="shared" si="442"/>
        <v>48</v>
      </c>
      <c r="J272" s="454">
        <f t="shared" si="443"/>
        <v>15.75</v>
      </c>
      <c r="K272" s="454">
        <f t="shared" si="444"/>
        <v>63.75</v>
      </c>
      <c r="L272" s="454"/>
      <c r="M272" s="223">
        <f t="shared" si="445"/>
        <v>0.24705882352941178</v>
      </c>
      <c r="N272" s="178">
        <f t="shared" si="446"/>
        <v>4.0023529411764711</v>
      </c>
      <c r="O272" s="178">
        <f t="shared" si="475"/>
        <v>1.4000000000000001</v>
      </c>
      <c r="P272" s="223">
        <f t="shared" si="447"/>
        <v>0.80047058823529427</v>
      </c>
      <c r="Q272" s="223">
        <f t="shared" si="448"/>
        <v>5</v>
      </c>
      <c r="R272" s="223"/>
      <c r="S272" s="178">
        <f t="shared" si="449"/>
        <v>41.95192526280541</v>
      </c>
      <c r="T272" s="178">
        <f t="shared" si="450"/>
        <v>5</v>
      </c>
      <c r="U272" s="223">
        <f t="shared" si="451"/>
        <v>0.26234567901234568</v>
      </c>
      <c r="V272" s="223">
        <f t="shared" si="452"/>
        <v>0.24048353909465023</v>
      </c>
      <c r="W272" s="223">
        <f t="shared" si="453"/>
        <v>0.73290221438369585</v>
      </c>
      <c r="X272" s="203">
        <f t="shared" si="454"/>
        <v>350</v>
      </c>
      <c r="Y272" s="454">
        <f t="shared" si="417"/>
        <v>350</v>
      </c>
      <c r="AA272" s="223">
        <f t="shared" si="455"/>
        <v>0.77005347593582896</v>
      </c>
      <c r="AB272" s="179">
        <f t="shared" si="456"/>
        <v>2.151260504201681</v>
      </c>
      <c r="AC272" s="179">
        <f t="shared" si="457"/>
        <v>0.86970745517458337</v>
      </c>
      <c r="AD272" s="179"/>
      <c r="AE272" s="179">
        <f t="shared" si="458"/>
        <v>0.419047619047619</v>
      </c>
      <c r="AF272" s="563">
        <f t="shared" si="459"/>
        <v>2969.6969696969709</v>
      </c>
      <c r="AG272" s="546">
        <f t="shared" si="460"/>
        <v>3.2999999999999995E-2</v>
      </c>
      <c r="AI272" s="179">
        <f t="shared" si="461"/>
        <v>0.4369314487526515</v>
      </c>
      <c r="AJ272" s="179">
        <f t="shared" si="462"/>
        <v>0.4369314487526515</v>
      </c>
      <c r="AK272" s="179">
        <f t="shared" si="463"/>
        <v>1.412541813890853</v>
      </c>
      <c r="AM272" s="563">
        <f t="shared" si="464"/>
        <v>280</v>
      </c>
      <c r="AN272" s="472">
        <f t="shared" si="465"/>
        <v>350</v>
      </c>
      <c r="AP272">
        <f t="shared" si="466"/>
        <v>280</v>
      </c>
      <c r="AQ272">
        <f t="shared" si="467"/>
        <v>350</v>
      </c>
      <c r="AS272" s="6">
        <f t="shared" si="476"/>
        <v>2.8571428571428572</v>
      </c>
      <c r="AT272" s="6">
        <f t="shared" si="468"/>
        <v>0.40052049468993056</v>
      </c>
      <c r="AU272" s="6">
        <f t="shared" si="438"/>
        <v>2.4566223624529266</v>
      </c>
      <c r="AV272" s="6"/>
      <c r="AW272" s="179">
        <f t="shared" si="439"/>
        <v>0.14018217314147569</v>
      </c>
      <c r="AX272" s="179"/>
      <c r="BA272" s="472">
        <f t="shared" si="469"/>
        <v>19.245051903114188</v>
      </c>
      <c r="BB272" s="472">
        <f t="shared" si="470"/>
        <v>3.0770729905437353</v>
      </c>
      <c r="BC272" s="6">
        <f t="shared" si="440"/>
        <v>6.6343968121799698E-2</v>
      </c>
      <c r="BD272" s="563">
        <f t="shared" si="471"/>
        <v>0</v>
      </c>
      <c r="CF272" s="581">
        <f t="shared" si="472"/>
        <v>-50</v>
      </c>
      <c r="CG272">
        <f t="shared" si="473"/>
        <v>-50</v>
      </c>
    </row>
    <row r="273" spans="5:85" x14ac:dyDescent="0.2">
      <c r="E273" s="176">
        <v>57</v>
      </c>
      <c r="F273" s="223">
        <f t="shared" si="474"/>
        <v>0.28499999999999998</v>
      </c>
      <c r="G273" s="223"/>
      <c r="H273" s="223">
        <f t="shared" si="441"/>
        <v>1.4249999999999998</v>
      </c>
      <c r="I273" s="559">
        <f t="shared" si="442"/>
        <v>48</v>
      </c>
      <c r="J273" s="454">
        <f t="shared" si="443"/>
        <v>15.75</v>
      </c>
      <c r="K273" s="454">
        <f t="shared" si="444"/>
        <v>63.75</v>
      </c>
      <c r="L273" s="454"/>
      <c r="M273" s="223">
        <f t="shared" si="445"/>
        <v>0.24705882352941178</v>
      </c>
      <c r="N273" s="178">
        <f t="shared" si="446"/>
        <v>4.0023529411764711</v>
      </c>
      <c r="O273" s="178">
        <f t="shared" si="475"/>
        <v>1.4249999999999998</v>
      </c>
      <c r="P273" s="223">
        <f t="shared" si="447"/>
        <v>0.80047058823529427</v>
      </c>
      <c r="Q273" s="223">
        <f t="shared" si="448"/>
        <v>5</v>
      </c>
      <c r="R273" s="223"/>
      <c r="S273" s="178">
        <f t="shared" si="449"/>
        <v>40.939218055990303</v>
      </c>
      <c r="T273" s="178">
        <f t="shared" si="450"/>
        <v>5</v>
      </c>
      <c r="U273" s="223">
        <f t="shared" si="451"/>
        <v>0.2670304232804232</v>
      </c>
      <c r="V273" s="223">
        <f t="shared" si="452"/>
        <v>0.24477788800705458</v>
      </c>
      <c r="W273" s="223">
        <f t="shared" si="453"/>
        <v>0.74598975392626166</v>
      </c>
      <c r="X273" s="203">
        <f t="shared" si="454"/>
        <v>350</v>
      </c>
      <c r="Y273" s="454">
        <f t="shared" si="417"/>
        <v>350</v>
      </c>
      <c r="AA273" s="223">
        <f t="shared" si="455"/>
        <v>0.77005347593582896</v>
      </c>
      <c r="AB273" s="179">
        <f t="shared" si="456"/>
        <v>2.151260504201681</v>
      </c>
      <c r="AC273" s="179">
        <f t="shared" si="457"/>
        <v>0.86970745517458337</v>
      </c>
      <c r="AD273" s="179"/>
      <c r="AE273" s="179">
        <f t="shared" si="458"/>
        <v>0.419047619047619</v>
      </c>
      <c r="AF273" s="563">
        <f t="shared" si="459"/>
        <v>3022.727272727273</v>
      </c>
      <c r="AG273" s="546">
        <f t="shared" si="460"/>
        <v>3.2999999999999995E-2</v>
      </c>
      <c r="AI273" s="179">
        <f t="shared" si="461"/>
        <v>0.44081536023394396</v>
      </c>
      <c r="AJ273" s="179">
        <f t="shared" si="462"/>
        <v>0.44081536023394396</v>
      </c>
      <c r="AK273" s="179">
        <f t="shared" si="463"/>
        <v>1.415418785358477</v>
      </c>
      <c r="AM273" s="563">
        <f t="shared" si="464"/>
        <v>285</v>
      </c>
      <c r="AN273" s="472">
        <f t="shared" si="465"/>
        <v>350</v>
      </c>
      <c r="AP273">
        <f t="shared" si="466"/>
        <v>285</v>
      </c>
      <c r="AQ273">
        <f t="shared" si="467"/>
        <v>350</v>
      </c>
      <c r="AS273" s="6">
        <f t="shared" si="476"/>
        <v>2.8571428571428572</v>
      </c>
      <c r="AT273" s="6">
        <f t="shared" si="468"/>
        <v>0.40408074688111528</v>
      </c>
      <c r="AU273" s="6">
        <f t="shared" si="438"/>
        <v>2.453062110261742</v>
      </c>
      <c r="AV273" s="6"/>
      <c r="AW273" s="179">
        <f t="shared" si="439"/>
        <v>0.14142826140839035</v>
      </c>
      <c r="AX273" s="179"/>
      <c r="BA273" s="472">
        <f t="shared" si="469"/>
        <v>19.245051903114188</v>
      </c>
      <c r="BB273" s="472">
        <f t="shared" si="470"/>
        <v>3.172681806848404</v>
      </c>
      <c r="BC273" s="6">
        <f t="shared" si="440"/>
        <v>6.7430816109625411E-2</v>
      </c>
      <c r="BD273" s="563">
        <f t="shared" si="471"/>
        <v>0</v>
      </c>
      <c r="CF273" s="581">
        <f t="shared" si="472"/>
        <v>-50</v>
      </c>
      <c r="CG273">
        <f t="shared" si="473"/>
        <v>-50</v>
      </c>
    </row>
    <row r="274" spans="5:85" x14ac:dyDescent="0.2">
      <c r="E274" s="176">
        <v>58</v>
      </c>
      <c r="F274" s="223">
        <f t="shared" si="474"/>
        <v>0.28999999999999998</v>
      </c>
      <c r="G274" s="223"/>
      <c r="H274" s="223">
        <f t="shared" si="441"/>
        <v>1.45</v>
      </c>
      <c r="I274" s="559">
        <f t="shared" si="442"/>
        <v>48</v>
      </c>
      <c r="J274" s="454">
        <f t="shared" si="443"/>
        <v>15.75</v>
      </c>
      <c r="K274" s="454">
        <f t="shared" si="444"/>
        <v>63.75</v>
      </c>
      <c r="L274" s="454"/>
      <c r="M274" s="223">
        <f t="shared" si="445"/>
        <v>0.24705882352941178</v>
      </c>
      <c r="N274" s="178">
        <f t="shared" si="446"/>
        <v>4.0023529411764711</v>
      </c>
      <c r="O274" s="178">
        <f t="shared" si="475"/>
        <v>1.45</v>
      </c>
      <c r="P274" s="223">
        <f t="shared" si="447"/>
        <v>0.80047058823529427</v>
      </c>
      <c r="Q274" s="223">
        <f t="shared" si="448"/>
        <v>5</v>
      </c>
      <c r="R274" s="223"/>
      <c r="S274" s="178">
        <f t="shared" si="449"/>
        <v>39.96154289047692</v>
      </c>
      <c r="T274" s="178">
        <f t="shared" si="450"/>
        <v>5</v>
      </c>
      <c r="U274" s="223">
        <f t="shared" si="451"/>
        <v>0.27171516754850084</v>
      </c>
      <c r="V274" s="223">
        <f t="shared" si="452"/>
        <v>0.24907223691945909</v>
      </c>
      <c r="W274" s="223">
        <f t="shared" si="453"/>
        <v>0.75907729346882769</v>
      </c>
      <c r="X274" s="203">
        <f t="shared" si="454"/>
        <v>350</v>
      </c>
      <c r="Y274" s="454">
        <f t="shared" si="417"/>
        <v>350</v>
      </c>
      <c r="AA274" s="223">
        <f t="shared" si="455"/>
        <v>0.77005347593582896</v>
      </c>
      <c r="AB274" s="179">
        <f t="shared" si="456"/>
        <v>2.151260504201681</v>
      </c>
      <c r="AC274" s="179">
        <f t="shared" si="457"/>
        <v>0.86970745517458337</v>
      </c>
      <c r="AD274" s="179"/>
      <c r="AE274" s="179">
        <f t="shared" si="458"/>
        <v>0.419047619047619</v>
      </c>
      <c r="AF274" s="563">
        <f t="shared" si="459"/>
        <v>3075.757575757576</v>
      </c>
      <c r="AG274" s="546">
        <f t="shared" si="460"/>
        <v>3.2999999999999995E-2</v>
      </c>
      <c r="AI274" s="179">
        <f t="shared" si="461"/>
        <v>0.44466534914165812</v>
      </c>
      <c r="AJ274" s="179">
        <f t="shared" si="462"/>
        <v>0.44466534914165812</v>
      </c>
      <c r="AK274" s="179">
        <f t="shared" si="463"/>
        <v>1.4182706289938207</v>
      </c>
      <c r="AM274" s="563">
        <f t="shared" si="464"/>
        <v>290</v>
      </c>
      <c r="AN274" s="472">
        <f t="shared" si="465"/>
        <v>350</v>
      </c>
      <c r="AP274">
        <f t="shared" si="466"/>
        <v>290</v>
      </c>
      <c r="AQ274">
        <f t="shared" si="467"/>
        <v>350</v>
      </c>
      <c r="AS274" s="6">
        <f t="shared" si="476"/>
        <v>2.8571428571428572</v>
      </c>
      <c r="AT274" s="6">
        <f t="shared" si="468"/>
        <v>0.40760990337985331</v>
      </c>
      <c r="AU274" s="6">
        <f t="shared" si="438"/>
        <v>2.4495329537630037</v>
      </c>
      <c r="AV274" s="6"/>
      <c r="AW274" s="179">
        <f t="shared" si="439"/>
        <v>0.14266346618294865</v>
      </c>
      <c r="AX274" s="179"/>
      <c r="BA274" s="472">
        <f t="shared" si="469"/>
        <v>19.245051903114188</v>
      </c>
      <c r="BB274" s="472">
        <f t="shared" si="470"/>
        <v>3.26971732786643</v>
      </c>
      <c r="BC274" s="6">
        <f t="shared" si="440"/>
        <v>6.8515099979867947E-2</v>
      </c>
      <c r="BD274" s="563">
        <f t="shared" si="471"/>
        <v>0</v>
      </c>
      <c r="CF274" s="581">
        <f t="shared" si="472"/>
        <v>-50</v>
      </c>
      <c r="CG274">
        <f t="shared" si="473"/>
        <v>-50</v>
      </c>
    </row>
    <row r="275" spans="5:85" x14ac:dyDescent="0.2">
      <c r="E275" s="176">
        <v>59</v>
      </c>
      <c r="F275" s="223">
        <f t="shared" si="474"/>
        <v>0.29499999999999998</v>
      </c>
      <c r="G275" s="223"/>
      <c r="H275" s="223">
        <f t="shared" si="441"/>
        <v>1.4749999999999999</v>
      </c>
      <c r="I275" s="559">
        <f t="shared" si="442"/>
        <v>48</v>
      </c>
      <c r="J275" s="454">
        <f t="shared" si="443"/>
        <v>15.75</v>
      </c>
      <c r="K275" s="454">
        <f t="shared" si="444"/>
        <v>63.75</v>
      </c>
      <c r="L275" s="454"/>
      <c r="M275" s="223">
        <f t="shared" si="445"/>
        <v>0.24705882352941178</v>
      </c>
      <c r="N275" s="178">
        <f t="shared" si="446"/>
        <v>4.0023529411764711</v>
      </c>
      <c r="O275" s="178">
        <f t="shared" si="475"/>
        <v>1.4749999999999999</v>
      </c>
      <c r="P275" s="223">
        <f t="shared" si="447"/>
        <v>0.80047058823529427</v>
      </c>
      <c r="Q275" s="223">
        <f t="shared" si="448"/>
        <v>5</v>
      </c>
      <c r="R275" s="223"/>
      <c r="S275" s="178">
        <f t="shared" si="449"/>
        <v>39.01712063175875</v>
      </c>
      <c r="T275" s="178">
        <f t="shared" si="450"/>
        <v>5</v>
      </c>
      <c r="U275" s="223">
        <f t="shared" si="451"/>
        <v>0.27639991181657841</v>
      </c>
      <c r="V275" s="223">
        <f t="shared" si="452"/>
        <v>0.25336658583186356</v>
      </c>
      <c r="W275" s="223">
        <f t="shared" si="453"/>
        <v>0.77216483301139371</v>
      </c>
      <c r="X275" s="203">
        <f t="shared" si="454"/>
        <v>350</v>
      </c>
      <c r="Y275" s="454">
        <f t="shared" si="417"/>
        <v>350</v>
      </c>
      <c r="AA275" s="223">
        <f t="shared" si="455"/>
        <v>0.77005347593582896</v>
      </c>
      <c r="AB275" s="179">
        <f t="shared" si="456"/>
        <v>2.151260504201681</v>
      </c>
      <c r="AC275" s="179">
        <f t="shared" si="457"/>
        <v>0.86970745517458337</v>
      </c>
      <c r="AD275" s="179"/>
      <c r="AE275" s="179">
        <f t="shared" si="458"/>
        <v>0.419047619047619</v>
      </c>
      <c r="AF275" s="563">
        <f t="shared" si="459"/>
        <v>3128.7878787878794</v>
      </c>
      <c r="AG275" s="546">
        <f t="shared" si="460"/>
        <v>3.2999999999999995E-2</v>
      </c>
      <c r="AI275" s="179">
        <f t="shared" si="461"/>
        <v>0.44848228909998622</v>
      </c>
      <c r="AJ275" s="179">
        <f t="shared" si="462"/>
        <v>0.44848228909998622</v>
      </c>
      <c r="AK275" s="179">
        <f t="shared" si="463"/>
        <v>1.4210979919259157</v>
      </c>
      <c r="AM275" s="563">
        <f t="shared" si="464"/>
        <v>295</v>
      </c>
      <c r="AN275" s="472">
        <f t="shared" si="465"/>
        <v>350</v>
      </c>
      <c r="AP275">
        <f t="shared" si="466"/>
        <v>295</v>
      </c>
      <c r="AQ275">
        <f t="shared" si="467"/>
        <v>350</v>
      </c>
      <c r="AS275" s="6">
        <f t="shared" si="476"/>
        <v>2.8571428571428572</v>
      </c>
      <c r="AT275" s="6">
        <f t="shared" si="468"/>
        <v>0.41110876500832072</v>
      </c>
      <c r="AU275" s="6">
        <f t="shared" si="438"/>
        <v>2.4460340921345365</v>
      </c>
      <c r="AV275" s="6"/>
      <c r="AW275" s="179">
        <f t="shared" si="439"/>
        <v>0.14388806775291224</v>
      </c>
      <c r="AX275" s="179"/>
      <c r="BA275" s="472">
        <f t="shared" si="469"/>
        <v>19.245051903114188</v>
      </c>
      <c r="BB275" s="472">
        <f t="shared" si="470"/>
        <v>3.3681795535978125</v>
      </c>
      <c r="BC275" s="6">
        <f t="shared" si="440"/>
        <v>6.9596841934769282E-2</v>
      </c>
      <c r="BD275" s="563">
        <f t="shared" si="471"/>
        <v>0</v>
      </c>
      <c r="CF275" s="581">
        <f t="shared" si="472"/>
        <v>-50</v>
      </c>
      <c r="CG275">
        <f t="shared" si="473"/>
        <v>-50</v>
      </c>
    </row>
    <row r="276" spans="5:85" x14ac:dyDescent="0.2">
      <c r="E276" s="176">
        <v>60</v>
      </c>
      <c r="F276" s="223">
        <f t="shared" si="474"/>
        <v>0.3</v>
      </c>
      <c r="G276" s="223"/>
      <c r="H276" s="223">
        <f t="shared" si="441"/>
        <v>1.5</v>
      </c>
      <c r="I276" s="559">
        <f t="shared" si="442"/>
        <v>48</v>
      </c>
      <c r="J276" s="454">
        <f t="shared" si="443"/>
        <v>15.75</v>
      </c>
      <c r="K276" s="454">
        <f t="shared" si="444"/>
        <v>63.75</v>
      </c>
      <c r="L276" s="454"/>
      <c r="M276" s="223">
        <f t="shared" si="445"/>
        <v>0.24705882352941178</v>
      </c>
      <c r="N276" s="178">
        <f t="shared" si="446"/>
        <v>4.0023529411764711</v>
      </c>
      <c r="O276" s="178">
        <f t="shared" si="475"/>
        <v>1.5</v>
      </c>
      <c r="P276" s="223">
        <f t="shared" si="447"/>
        <v>0.80047058823529427</v>
      </c>
      <c r="Q276" s="223">
        <f t="shared" si="448"/>
        <v>5</v>
      </c>
      <c r="R276" s="223"/>
      <c r="S276" s="178">
        <f t="shared" si="449"/>
        <v>38.104290808555575</v>
      </c>
      <c r="T276" s="178">
        <f t="shared" si="450"/>
        <v>5</v>
      </c>
      <c r="U276" s="223">
        <f t="shared" si="451"/>
        <v>0.28108465608465605</v>
      </c>
      <c r="V276" s="223">
        <f t="shared" si="452"/>
        <v>0.25766093474426804</v>
      </c>
      <c r="W276" s="223">
        <f t="shared" si="453"/>
        <v>0.78525237255395974</v>
      </c>
      <c r="X276" s="203">
        <f t="shared" si="454"/>
        <v>350</v>
      </c>
      <c r="Y276" s="454">
        <f t="shared" ref="Y276:Y316" si="477">MIN(1/(V276+W276)*1000, 350)</f>
        <v>350</v>
      </c>
      <c r="AA276" s="223">
        <f t="shared" si="455"/>
        <v>0.77005347593582896</v>
      </c>
      <c r="AB276" s="179">
        <f t="shared" si="456"/>
        <v>2.151260504201681</v>
      </c>
      <c r="AC276" s="179">
        <f t="shared" si="457"/>
        <v>0.86970745517458337</v>
      </c>
      <c r="AD276" s="179"/>
      <c r="AE276" s="179">
        <f t="shared" si="458"/>
        <v>0.419047619047619</v>
      </c>
      <c r="AF276" s="563">
        <f t="shared" si="459"/>
        <v>3181.818181818182</v>
      </c>
      <c r="AG276" s="546">
        <f t="shared" si="460"/>
        <v>3.2999999999999995E-2</v>
      </c>
      <c r="AI276" s="179">
        <f t="shared" si="461"/>
        <v>0.45226701686664544</v>
      </c>
      <c r="AJ276" s="179">
        <f t="shared" si="462"/>
        <v>0.45226701686664544</v>
      </c>
      <c r="AK276" s="179">
        <f t="shared" si="463"/>
        <v>1.423901493975293</v>
      </c>
      <c r="AM276" s="563">
        <f t="shared" si="464"/>
        <v>300</v>
      </c>
      <c r="AN276" s="472">
        <f t="shared" si="465"/>
        <v>350</v>
      </c>
      <c r="AP276">
        <f t="shared" si="466"/>
        <v>300</v>
      </c>
      <c r="AQ276">
        <f t="shared" si="467"/>
        <v>350</v>
      </c>
      <c r="AS276" s="6">
        <f t="shared" si="476"/>
        <v>2.8571428571428572</v>
      </c>
      <c r="AT276" s="6">
        <f t="shared" si="468"/>
        <v>0.41457809879442498</v>
      </c>
      <c r="AU276" s="6">
        <f t="shared" si="438"/>
        <v>2.442564758348432</v>
      </c>
      <c r="AV276" s="6"/>
      <c r="AW276" s="179">
        <f t="shared" si="439"/>
        <v>0.14510233457804875</v>
      </c>
      <c r="AX276" s="179"/>
      <c r="BA276" s="472">
        <f t="shared" si="469"/>
        <v>19.245051903114188</v>
      </c>
      <c r="BB276" s="472">
        <f t="shared" si="470"/>
        <v>3.4680684840425529</v>
      </c>
      <c r="BC276" s="6">
        <f t="shared" si="440"/>
        <v>7.0676063609618964E-2</v>
      </c>
      <c r="BD276" s="563">
        <f t="shared" si="471"/>
        <v>0</v>
      </c>
      <c r="CF276" s="581">
        <f t="shared" si="472"/>
        <v>-50</v>
      </c>
      <c r="CG276">
        <f t="shared" si="473"/>
        <v>-50</v>
      </c>
    </row>
    <row r="277" spans="5:85" x14ac:dyDescent="0.2">
      <c r="E277" s="176">
        <v>61</v>
      </c>
      <c r="F277" s="223">
        <f t="shared" si="474"/>
        <v>0.30499999999999999</v>
      </c>
      <c r="G277" s="223"/>
      <c r="H277" s="223">
        <f t="shared" si="441"/>
        <v>1.5249999999999999</v>
      </c>
      <c r="I277" s="559">
        <f t="shared" si="442"/>
        <v>48</v>
      </c>
      <c r="J277" s="454">
        <f t="shared" si="443"/>
        <v>15.75</v>
      </c>
      <c r="K277" s="454">
        <f t="shared" si="444"/>
        <v>63.75</v>
      </c>
      <c r="L277" s="454"/>
      <c r="M277" s="223">
        <f t="shared" si="445"/>
        <v>0.24705882352941178</v>
      </c>
      <c r="N277" s="178">
        <f t="shared" si="446"/>
        <v>4.0023529411764711</v>
      </c>
      <c r="O277" s="178">
        <f t="shared" si="475"/>
        <v>1.5249999999999999</v>
      </c>
      <c r="P277" s="223">
        <f t="shared" si="447"/>
        <v>0.80047058823529427</v>
      </c>
      <c r="Q277" s="223">
        <f t="shared" si="448"/>
        <v>5</v>
      </c>
      <c r="R277" s="223"/>
      <c r="S277" s="178">
        <f t="shared" si="449"/>
        <v>37.221501887973112</v>
      </c>
      <c r="T277" s="178">
        <f t="shared" si="450"/>
        <v>5</v>
      </c>
      <c r="U277" s="223">
        <f t="shared" si="451"/>
        <v>0.28576940035273363</v>
      </c>
      <c r="V277" s="223">
        <f t="shared" si="452"/>
        <v>0.26195528365667248</v>
      </c>
      <c r="W277" s="223">
        <f t="shared" si="453"/>
        <v>0.79833991209652566</v>
      </c>
      <c r="X277" s="203">
        <f t="shared" si="454"/>
        <v>350</v>
      </c>
      <c r="Y277" s="454">
        <f t="shared" si="477"/>
        <v>350</v>
      </c>
      <c r="AA277" s="223">
        <f t="shared" si="455"/>
        <v>0.77005347593582896</v>
      </c>
      <c r="AB277" s="179">
        <f t="shared" si="456"/>
        <v>2.151260504201681</v>
      </c>
      <c r="AC277" s="179">
        <f t="shared" si="457"/>
        <v>0.86970745517458337</v>
      </c>
      <c r="AD277" s="179"/>
      <c r="AE277" s="179">
        <f t="shared" si="458"/>
        <v>0.419047619047619</v>
      </c>
      <c r="AF277" s="563">
        <f t="shared" si="459"/>
        <v>3234.8484848484854</v>
      </c>
      <c r="AG277" s="546">
        <f t="shared" si="460"/>
        <v>3.2999999999999995E-2</v>
      </c>
      <c r="AI277" s="179">
        <f t="shared" si="461"/>
        <v>0.45602033447484053</v>
      </c>
      <c r="AJ277" s="179">
        <f t="shared" si="462"/>
        <v>0.45602033447484053</v>
      </c>
      <c r="AK277" s="179">
        <f t="shared" si="463"/>
        <v>1.4266817292406226</v>
      </c>
      <c r="AM277" s="563">
        <f t="shared" si="464"/>
        <v>305</v>
      </c>
      <c r="AN277" s="472">
        <f t="shared" si="465"/>
        <v>350</v>
      </c>
      <c r="AP277">
        <f t="shared" si="466"/>
        <v>305</v>
      </c>
      <c r="AQ277">
        <f t="shared" si="467"/>
        <v>350</v>
      </c>
      <c r="AS277" s="6">
        <f t="shared" si="476"/>
        <v>2.8571428571428572</v>
      </c>
      <c r="AT277" s="6">
        <f t="shared" si="468"/>
        <v>0.4180186399352705</v>
      </c>
      <c r="AU277" s="6">
        <f t="shared" si="438"/>
        <v>2.4391242172075867</v>
      </c>
      <c r="AV277" s="6"/>
      <c r="AW277" s="179">
        <f t="shared" si="439"/>
        <v>0.14630652397734467</v>
      </c>
      <c r="AX277" s="179"/>
      <c r="BA277" s="472">
        <f t="shared" si="469"/>
        <v>19.245051903114188</v>
      </c>
      <c r="BB277" s="472">
        <f t="shared" si="470"/>
        <v>3.5693841192006501</v>
      </c>
      <c r="BC277" s="6">
        <f t="shared" si="440"/>
        <v>7.1752786096480878E-2</v>
      </c>
      <c r="BD277" s="563">
        <f t="shared" si="471"/>
        <v>0</v>
      </c>
      <c r="CF277" s="581">
        <f t="shared" si="472"/>
        <v>-50</v>
      </c>
      <c r="CG277">
        <f t="shared" si="473"/>
        <v>-50</v>
      </c>
    </row>
    <row r="278" spans="5:85" x14ac:dyDescent="0.2">
      <c r="E278" s="176">
        <v>62</v>
      </c>
      <c r="F278" s="223">
        <f t="shared" si="474"/>
        <v>0.31</v>
      </c>
      <c r="G278" s="223"/>
      <c r="H278" s="223">
        <f t="shared" si="441"/>
        <v>1.55</v>
      </c>
      <c r="I278" s="559">
        <f t="shared" si="442"/>
        <v>48</v>
      </c>
      <c r="J278" s="454">
        <f t="shared" si="443"/>
        <v>15.75</v>
      </c>
      <c r="K278" s="454">
        <f t="shared" si="444"/>
        <v>63.75</v>
      </c>
      <c r="L278" s="454"/>
      <c r="M278" s="223">
        <f t="shared" si="445"/>
        <v>0.24705882352941178</v>
      </c>
      <c r="N278" s="178">
        <f t="shared" si="446"/>
        <v>4.0023529411764711</v>
      </c>
      <c r="O278" s="178">
        <f t="shared" si="475"/>
        <v>1.55</v>
      </c>
      <c r="P278" s="223">
        <f t="shared" si="447"/>
        <v>0.80047058823529427</v>
      </c>
      <c r="Q278" s="223">
        <f t="shared" si="448"/>
        <v>5</v>
      </c>
      <c r="R278" s="223"/>
      <c r="S278" s="178">
        <f t="shared" si="449"/>
        <v>36.36730249183443</v>
      </c>
      <c r="T278" s="178">
        <f t="shared" si="450"/>
        <v>5</v>
      </c>
      <c r="U278" s="223">
        <f t="shared" si="451"/>
        <v>0.29045414462081126</v>
      </c>
      <c r="V278" s="223">
        <f t="shared" si="452"/>
        <v>0.26624963256907697</v>
      </c>
      <c r="W278" s="223">
        <f t="shared" si="453"/>
        <v>0.81142745163909169</v>
      </c>
      <c r="X278" s="203">
        <f t="shared" si="454"/>
        <v>350</v>
      </c>
      <c r="Y278" s="454">
        <f t="shared" si="477"/>
        <v>350</v>
      </c>
      <c r="AA278" s="223">
        <f t="shared" si="455"/>
        <v>0.77005347593582896</v>
      </c>
      <c r="AB278" s="179">
        <f t="shared" si="456"/>
        <v>2.151260504201681</v>
      </c>
      <c r="AC278" s="179">
        <f t="shared" si="457"/>
        <v>0.86970745517458337</v>
      </c>
      <c r="AD278" s="179"/>
      <c r="AE278" s="179">
        <f t="shared" si="458"/>
        <v>0.419047619047619</v>
      </c>
      <c r="AF278" s="563">
        <f t="shared" si="459"/>
        <v>3287.8787878787884</v>
      </c>
      <c r="AG278" s="546">
        <f t="shared" si="460"/>
        <v>3.2999999999999995E-2</v>
      </c>
      <c r="AI278" s="179">
        <f t="shared" si="461"/>
        <v>0.45974301121782846</v>
      </c>
      <c r="AJ278" s="179">
        <f t="shared" si="462"/>
        <v>0.45974301121782846</v>
      </c>
      <c r="AK278" s="179">
        <f t="shared" si="463"/>
        <v>1.4294392675687617</v>
      </c>
      <c r="AM278" s="563">
        <f t="shared" si="464"/>
        <v>310</v>
      </c>
      <c r="AN278" s="472">
        <f t="shared" si="465"/>
        <v>350</v>
      </c>
      <c r="AP278">
        <f t="shared" si="466"/>
        <v>310</v>
      </c>
      <c r="AQ278">
        <f t="shared" si="467"/>
        <v>350</v>
      </c>
      <c r="AS278" s="6">
        <f t="shared" si="476"/>
        <v>2.8571428571428572</v>
      </c>
      <c r="AT278" s="6">
        <f t="shared" si="468"/>
        <v>0.42143109361634273</v>
      </c>
      <c r="AU278" s="6">
        <f t="shared" si="438"/>
        <v>2.4357117635265144</v>
      </c>
      <c r="AV278" s="6"/>
      <c r="AW278" s="179">
        <f t="shared" si="439"/>
        <v>0.14750088276571996</v>
      </c>
      <c r="AX278" s="179"/>
      <c r="BA278" s="472">
        <f t="shared" si="469"/>
        <v>19.245051903114188</v>
      </c>
      <c r="BB278" s="472">
        <f t="shared" si="470"/>
        <v>3.6721264590721034</v>
      </c>
      <c r="BC278" s="6">
        <f t="shared" si="440"/>
        <v>7.2827029966552784E-2</v>
      </c>
      <c r="BD278" s="563">
        <f t="shared" si="471"/>
        <v>0</v>
      </c>
      <c r="CF278" s="581">
        <f t="shared" si="472"/>
        <v>-50</v>
      </c>
      <c r="CG278">
        <f t="shared" si="473"/>
        <v>-50</v>
      </c>
    </row>
    <row r="279" spans="5:85" x14ac:dyDescent="0.2">
      <c r="E279" s="176">
        <v>63</v>
      </c>
      <c r="F279" s="223">
        <f t="shared" si="474"/>
        <v>0.315</v>
      </c>
      <c r="G279" s="223"/>
      <c r="H279" s="223">
        <f t="shared" si="441"/>
        <v>1.575</v>
      </c>
      <c r="I279" s="559">
        <f t="shared" si="442"/>
        <v>48</v>
      </c>
      <c r="J279" s="454">
        <f t="shared" si="443"/>
        <v>15.75</v>
      </c>
      <c r="K279" s="454">
        <f t="shared" si="444"/>
        <v>63.75</v>
      </c>
      <c r="L279" s="454"/>
      <c r="M279" s="223">
        <f t="shared" si="445"/>
        <v>0.24705882352941178</v>
      </c>
      <c r="N279" s="178">
        <f t="shared" si="446"/>
        <v>4.0023529411764711</v>
      </c>
      <c r="O279" s="178">
        <f t="shared" si="475"/>
        <v>1.575</v>
      </c>
      <c r="P279" s="223">
        <f t="shared" si="447"/>
        <v>0.80047058823529427</v>
      </c>
      <c r="Q279" s="223">
        <f t="shared" si="448"/>
        <v>5</v>
      </c>
      <c r="R279" s="223"/>
      <c r="S279" s="178">
        <f t="shared" si="449"/>
        <v>35.540333449610763</v>
      </c>
      <c r="T279" s="178">
        <f t="shared" si="450"/>
        <v>5</v>
      </c>
      <c r="U279" s="223">
        <f t="shared" si="451"/>
        <v>0.29513888888888884</v>
      </c>
      <c r="V279" s="223">
        <f t="shared" si="452"/>
        <v>0.2705439814814814</v>
      </c>
      <c r="W279" s="223">
        <f t="shared" si="453"/>
        <v>0.82451499118165761</v>
      </c>
      <c r="X279" s="203">
        <f t="shared" si="454"/>
        <v>350</v>
      </c>
      <c r="Y279" s="454">
        <f t="shared" si="477"/>
        <v>350</v>
      </c>
      <c r="AA279" s="223">
        <f t="shared" si="455"/>
        <v>0.77005347593582896</v>
      </c>
      <c r="AB279" s="179">
        <f t="shared" si="456"/>
        <v>2.151260504201681</v>
      </c>
      <c r="AC279" s="179">
        <f t="shared" si="457"/>
        <v>0.86970745517458337</v>
      </c>
      <c r="AD279" s="179"/>
      <c r="AE279" s="179">
        <f t="shared" si="458"/>
        <v>0.419047619047619</v>
      </c>
      <c r="AF279" s="563">
        <f t="shared" si="459"/>
        <v>3340.9090909090919</v>
      </c>
      <c r="AG279" s="546">
        <f t="shared" si="460"/>
        <v>3.2999999999999995E-2</v>
      </c>
      <c r="AI279" s="179">
        <f t="shared" si="461"/>
        <v>0.46343578548999348</v>
      </c>
      <c r="AJ279" s="179">
        <f t="shared" si="462"/>
        <v>0.46343578548999348</v>
      </c>
      <c r="AK279" s="179">
        <f t="shared" si="463"/>
        <v>1.4321746559185136</v>
      </c>
      <c r="AM279" s="563">
        <f t="shared" si="464"/>
        <v>315</v>
      </c>
      <c r="AN279" s="472">
        <f t="shared" si="465"/>
        <v>350</v>
      </c>
      <c r="AP279">
        <f t="shared" si="466"/>
        <v>315</v>
      </c>
      <c r="AQ279">
        <f t="shared" si="467"/>
        <v>350</v>
      </c>
      <c r="AS279" s="6">
        <f t="shared" si="476"/>
        <v>2.8571428571428572</v>
      </c>
      <c r="AT279" s="6">
        <f t="shared" si="468"/>
        <v>0.42481613669916068</v>
      </c>
      <c r="AU279" s="6">
        <f t="shared" si="438"/>
        <v>2.4323267204436965</v>
      </c>
      <c r="AV279" s="6"/>
      <c r="AW279" s="179">
        <f t="shared" si="439"/>
        <v>0.14868564784470623</v>
      </c>
      <c r="AX279" s="179"/>
      <c r="BA279" s="472">
        <f t="shared" si="469"/>
        <v>19.245051903114188</v>
      </c>
      <c r="BB279" s="472">
        <f t="shared" si="470"/>
        <v>3.7762955036569146</v>
      </c>
      <c r="BC279" s="6">
        <f t="shared" si="440"/>
        <v>7.3898815291258135E-2</v>
      </c>
      <c r="BD279" s="563">
        <f t="shared" si="471"/>
        <v>0</v>
      </c>
      <c r="CF279" s="581">
        <f t="shared" si="472"/>
        <v>-50</v>
      </c>
      <c r="CG279">
        <f t="shared" si="473"/>
        <v>-50</v>
      </c>
    </row>
    <row r="280" spans="5:85" x14ac:dyDescent="0.2">
      <c r="E280" s="176">
        <v>64</v>
      </c>
      <c r="F280" s="223">
        <f t="shared" si="474"/>
        <v>0.32</v>
      </c>
      <c r="G280" s="223"/>
      <c r="H280" s="223">
        <f t="shared" ref="H280:H311" si="478">F280*Vout</f>
        <v>1.6</v>
      </c>
      <c r="I280" s="559">
        <f t="shared" ref="I280:I316" si="479">VIN_max</f>
        <v>48</v>
      </c>
      <c r="J280" s="454">
        <f t="shared" ref="J280:J316" si="480">(T280+Vfwd1)*Nps</f>
        <v>15.75</v>
      </c>
      <c r="K280" s="454">
        <f t="shared" ref="K280:K316" si="481">(Vout+Vfwd1)*Nps+I280</f>
        <v>63.75</v>
      </c>
      <c r="L280" s="454"/>
      <c r="M280" s="223">
        <f t="shared" ref="M280:M316" si="482">(Vout+Vfwd1)*Nps/((Vout+Vfwd1)*Nps+I280)</f>
        <v>0.24705882352941178</v>
      </c>
      <c r="N280" s="178">
        <f t="shared" ref="N280:N311" si="483">M280*I280*Isw_max*0.5*Efficiency</f>
        <v>4.0023529411764711</v>
      </c>
      <c r="O280" s="178">
        <f t="shared" si="475"/>
        <v>1.6</v>
      </c>
      <c r="P280" s="223">
        <f t="shared" ref="P280:P311" si="484">N280/Vout</f>
        <v>0.80047058823529427</v>
      </c>
      <c r="Q280" s="223">
        <f t="shared" ref="Q280:Q316" si="485">MIN(Vout,N280/F280)</f>
        <v>5</v>
      </c>
      <c r="R280" s="223"/>
      <c r="S280" s="178">
        <f t="shared" ref="S280:S316" si="486">(SQRT(Isw_max^2*Nps^2*I280^2+4*Isw_max*F280/Efficiency*(Nps^2*Vfwd1*I280-Nps*I280^2)+4*(F280/Efficiency)^2*Nps^2*Vfwd1^2+8*(F280/Efficiency)^2*Nps*Vfwd1*I280+4*(F280/Efficiency)^2*I280^2)-2*F280/Efficiency*I280-2*F280/Efficiency*Nps*Vfwd1+Isw_max*Nps*I280)/(4*F280/Efficiency*Nps)</f>
        <v>34.739320596450959</v>
      </c>
      <c r="T280" s="178">
        <f t="shared" ref="T280:T311" si="487">MIN(Vout, S280)</f>
        <v>5</v>
      </c>
      <c r="U280" s="223">
        <f t="shared" ref="U280:U316" si="488">MIN(2*Vout*F280/(Efficiency*I280*M280), Isw_max)</f>
        <v>0.29982363315696647</v>
      </c>
      <c r="V280" s="223">
        <f t="shared" ref="V280:V311" si="489">L*U280/I280*1000000</f>
        <v>0.27483833039388594</v>
      </c>
      <c r="W280" s="223">
        <f t="shared" ref="W280:W316" si="490">L*U280/J280*1000000</f>
        <v>0.83760253072422386</v>
      </c>
      <c r="X280" s="203">
        <f t="shared" ref="X280:X316" si="491">IF(1/((350000*L)*(1/I280+1/J280))&gt;Isw_min, 350, 0.001/((Isw_min*L)*(1/I280+1/J280)))</f>
        <v>350</v>
      </c>
      <c r="Y280" s="454">
        <f t="shared" si="477"/>
        <v>350</v>
      </c>
      <c r="AA280" s="223">
        <f t="shared" ref="AA280:AA316" si="492">1/((X280*1000*L)*(1/I280+1/J280))</f>
        <v>0.77005347593582896</v>
      </c>
      <c r="AB280" s="179">
        <f t="shared" ref="AB280:AB311" si="493">L*AA280/J280*1000000</f>
        <v>2.151260504201681</v>
      </c>
      <c r="AC280" s="179">
        <f t="shared" ref="AC280:AC311" si="494">0.5*AB280*AA280*Nps*X280/1000</f>
        <v>0.86970745517458337</v>
      </c>
      <c r="AD280" s="179"/>
      <c r="AE280" s="179">
        <f t="shared" ref="AE280:AE316" si="495">L*Isw_min/J280*1000000</f>
        <v>0.419047619047619</v>
      </c>
      <c r="AF280" s="563">
        <f t="shared" ref="AF280:AF311" si="496">MAX(10000,F280/(0.5*AE280/1000000*Isw_min*Nps))/1000</f>
        <v>3393.9393939393944</v>
      </c>
      <c r="AG280" s="546">
        <f t="shared" ref="AG280:AG316" si="497">0.5*AE280/1000000*Isw_min*Nps*X280*1000</f>
        <v>3.2999999999999995E-2</v>
      </c>
      <c r="AI280" s="179">
        <f t="shared" ref="AI280:AI316" si="498">SQRT(F280/(0.5*L/J280*Fsw_DCM*Nps))</f>
        <v>0.46709936649691375</v>
      </c>
      <c r="AJ280" s="179">
        <f t="shared" ref="AJ280:AJ311" si="499">MAX(IF(F280&gt;AC280,U280,AI280),Isw_min)</f>
        <v>0.46709936649691375</v>
      </c>
      <c r="AK280" s="179">
        <f t="shared" ref="AK280:AK311" si="500">IF(F280&gt;AG280, (AJ280-Isw_min)/1.08*0.8+1.2, AF280*0.2/350+1)</f>
        <v>1.4348884196273435</v>
      </c>
      <c r="AM280" s="563">
        <f t="shared" ref="AM280:AM316" si="501">F280*1000</f>
        <v>320</v>
      </c>
      <c r="AN280" s="472">
        <f t="shared" ref="AN280:AN316" si="502">IF(F280&gt;AG280, Y280, AF280)</f>
        <v>350</v>
      </c>
      <c r="AP280">
        <f t="shared" ref="AP280:AP316" si="503">IF(H280&gt;N280, "",AM280)</f>
        <v>320</v>
      </c>
      <c r="AQ280">
        <f t="shared" ref="AQ280:AQ316" si="504">IF(H280&gt;N280, "",AN280)</f>
        <v>350</v>
      </c>
      <c r="AS280" s="6">
        <f t="shared" si="476"/>
        <v>2.8571428571428572</v>
      </c>
      <c r="AT280" s="6">
        <f t="shared" ref="AT280:AT316" si="505">L*AJ280/I280*1000000</f>
        <v>0.42817441928883759</v>
      </c>
      <c r="AU280" s="6">
        <f t="shared" si="438"/>
        <v>2.4289684378540195</v>
      </c>
      <c r="AV280" s="6"/>
      <c r="AW280" s="179">
        <f t="shared" si="439"/>
        <v>0.14986104675109316</v>
      </c>
      <c r="AX280" s="179"/>
      <c r="BA280" s="472">
        <f t="shared" ref="BA280:BA316" si="506">L*Isw_max^2/(2*Vout_ripple*Vout)*1000000000*((1+M280)/2)^2</f>
        <v>19.245051903114188</v>
      </c>
      <c r="BB280" s="472">
        <f t="shared" ref="BB280:BB316" si="507">L*F280^2/(2*Cout*Vout*Nps^2)*1000000000*((1+M280)/(1-M280))^2+F280*RCoutEsr</f>
        <v>3.8818912529550822</v>
      </c>
      <c r="BC280" s="6">
        <f t="shared" si="440"/>
        <v>7.4968161662161095E-2</v>
      </c>
      <c r="BD280" s="563">
        <f t="shared" ref="BD280:BD316" si="508">((CA280/I280/Efficiency)*AU280/Cin+(BY280/I280/Efficiency)*RCinEsr)*1000</f>
        <v>0</v>
      </c>
      <c r="CF280" s="581">
        <f t="shared" ref="CF280:CF316" si="509">IF(ABS(F280-Ioutmax_Vinmax)&lt;Iout/200, AN280, -50)</f>
        <v>-50</v>
      </c>
      <c r="CG280">
        <f t="shared" ref="CG280:CG316" si="510">IF(ABS(F280-Ioutmax_Vinmin)&lt;Iout/200, N280*CB280, -50)</f>
        <v>-50</v>
      </c>
    </row>
    <row r="281" spans="5:85" x14ac:dyDescent="0.2">
      <c r="E281" s="176">
        <v>65</v>
      </c>
      <c r="F281" s="223">
        <f t="shared" ref="F281:F312" si="511">IF(PLOT_TYPE=1, E281/100*Iout_max, min_I*EXP(N281*rr/100))</f>
        <v>0.32500000000000001</v>
      </c>
      <c r="G281" s="223"/>
      <c r="H281" s="223">
        <f t="shared" si="478"/>
        <v>1.625</v>
      </c>
      <c r="I281" s="559">
        <f t="shared" si="479"/>
        <v>48</v>
      </c>
      <c r="J281" s="454">
        <f t="shared" si="480"/>
        <v>15.75</v>
      </c>
      <c r="K281" s="454">
        <f t="shared" si="481"/>
        <v>63.75</v>
      </c>
      <c r="L281" s="454"/>
      <c r="M281" s="223">
        <f t="shared" si="482"/>
        <v>0.24705882352941178</v>
      </c>
      <c r="N281" s="178">
        <f t="shared" si="483"/>
        <v>4.0023529411764711</v>
      </c>
      <c r="O281" s="178">
        <f t="shared" si="475"/>
        <v>1.625</v>
      </c>
      <c r="P281" s="223">
        <f t="shared" si="484"/>
        <v>0.80047058823529427</v>
      </c>
      <c r="Q281" s="223">
        <f t="shared" si="485"/>
        <v>5</v>
      </c>
      <c r="R281" s="223"/>
      <c r="S281" s="178">
        <f t="shared" si="486"/>
        <v>33.963068236070583</v>
      </c>
      <c r="T281" s="178">
        <f t="shared" si="487"/>
        <v>5</v>
      </c>
      <c r="U281" s="223">
        <f t="shared" si="488"/>
        <v>0.30450837742504405</v>
      </c>
      <c r="V281" s="223">
        <f t="shared" si="489"/>
        <v>0.27913267930629038</v>
      </c>
      <c r="W281" s="223">
        <f t="shared" si="490"/>
        <v>0.85069007026678967</v>
      </c>
      <c r="X281" s="203">
        <f t="shared" si="491"/>
        <v>350</v>
      </c>
      <c r="Y281" s="454">
        <f t="shared" si="477"/>
        <v>350</v>
      </c>
      <c r="AA281" s="223">
        <f t="shared" si="492"/>
        <v>0.77005347593582896</v>
      </c>
      <c r="AB281" s="179">
        <f t="shared" si="493"/>
        <v>2.151260504201681</v>
      </c>
      <c r="AC281" s="179">
        <f t="shared" si="494"/>
        <v>0.86970745517458337</v>
      </c>
      <c r="AD281" s="179"/>
      <c r="AE281" s="179">
        <f t="shared" si="495"/>
        <v>0.419047619047619</v>
      </c>
      <c r="AF281" s="563">
        <f t="shared" si="496"/>
        <v>3446.9696969696979</v>
      </c>
      <c r="AG281" s="546">
        <f t="shared" si="497"/>
        <v>3.2999999999999995E-2</v>
      </c>
      <c r="AI281" s="179">
        <f t="shared" si="498"/>
        <v>0.4707344358456359</v>
      </c>
      <c r="AJ281" s="179">
        <f t="shared" si="499"/>
        <v>0.4707344358456359</v>
      </c>
      <c r="AK281" s="179">
        <f t="shared" si="500"/>
        <v>1.4375810635893598</v>
      </c>
      <c r="AM281" s="563">
        <f t="shared" si="501"/>
        <v>325</v>
      </c>
      <c r="AN281" s="472">
        <f t="shared" si="502"/>
        <v>350</v>
      </c>
      <c r="AP281">
        <f t="shared" si="503"/>
        <v>325</v>
      </c>
      <c r="AQ281">
        <f t="shared" si="504"/>
        <v>350</v>
      </c>
      <c r="AS281" s="6">
        <f t="shared" si="476"/>
        <v>2.8571428571428572</v>
      </c>
      <c r="AT281" s="6">
        <f t="shared" si="505"/>
        <v>0.43150656619183292</v>
      </c>
      <c r="AU281" s="6">
        <f t="shared" si="438"/>
        <v>2.4256362909510241</v>
      </c>
      <c r="AV281" s="6"/>
      <c r="AW281" s="179">
        <f t="shared" si="439"/>
        <v>0.15102729816714153</v>
      </c>
      <c r="AX281" s="179"/>
      <c r="BA281" s="472">
        <f t="shared" si="506"/>
        <v>19.245051903114188</v>
      </c>
      <c r="BB281" s="472">
        <f t="shared" si="507"/>
        <v>3.9889137069666076</v>
      </c>
      <c r="BC281" s="6">
        <f t="shared" si="440"/>
        <v>7.6035088209788063E-2</v>
      </c>
      <c r="BD281" s="563">
        <f t="shared" si="508"/>
        <v>0</v>
      </c>
      <c r="CF281" s="581">
        <f t="shared" si="509"/>
        <v>-50</v>
      </c>
      <c r="CG281">
        <f t="shared" si="510"/>
        <v>-50</v>
      </c>
    </row>
    <row r="282" spans="5:85" x14ac:dyDescent="0.2">
      <c r="E282" s="176">
        <v>66</v>
      </c>
      <c r="F282" s="223">
        <f t="shared" si="511"/>
        <v>0.33</v>
      </c>
      <c r="G282" s="223"/>
      <c r="H282" s="223">
        <f t="shared" si="478"/>
        <v>1.6500000000000001</v>
      </c>
      <c r="I282" s="559">
        <f t="shared" si="479"/>
        <v>48</v>
      </c>
      <c r="J282" s="454">
        <f t="shared" si="480"/>
        <v>15.75</v>
      </c>
      <c r="K282" s="454">
        <f t="shared" si="481"/>
        <v>63.75</v>
      </c>
      <c r="L282" s="454"/>
      <c r="M282" s="223">
        <f t="shared" si="482"/>
        <v>0.24705882352941178</v>
      </c>
      <c r="N282" s="178">
        <f t="shared" si="483"/>
        <v>4.0023529411764711</v>
      </c>
      <c r="O282" s="178">
        <f t="shared" si="475"/>
        <v>1.6500000000000001</v>
      </c>
      <c r="P282" s="223">
        <f t="shared" si="484"/>
        <v>0.80047058823529427</v>
      </c>
      <c r="Q282" s="223">
        <f t="shared" si="485"/>
        <v>5</v>
      </c>
      <c r="R282" s="223"/>
      <c r="S282" s="178">
        <f t="shared" si="486"/>
        <v>33.210453197987725</v>
      </c>
      <c r="T282" s="178">
        <f t="shared" si="487"/>
        <v>5</v>
      </c>
      <c r="U282" s="223">
        <f t="shared" si="488"/>
        <v>0.30919312169312169</v>
      </c>
      <c r="V282" s="223">
        <f t="shared" si="489"/>
        <v>0.28342702821869487</v>
      </c>
      <c r="W282" s="223">
        <f t="shared" si="490"/>
        <v>0.86377760980935581</v>
      </c>
      <c r="X282" s="203">
        <f t="shared" si="491"/>
        <v>350</v>
      </c>
      <c r="Y282" s="454">
        <f t="shared" si="477"/>
        <v>350</v>
      </c>
      <c r="AA282" s="223">
        <f t="shared" si="492"/>
        <v>0.77005347593582896</v>
      </c>
      <c r="AB282" s="179">
        <f t="shared" si="493"/>
        <v>2.151260504201681</v>
      </c>
      <c r="AC282" s="179">
        <f t="shared" si="494"/>
        <v>0.86970745517458337</v>
      </c>
      <c r="AD282" s="179"/>
      <c r="AE282" s="179">
        <f t="shared" si="495"/>
        <v>0.419047619047619</v>
      </c>
      <c r="AF282" s="563">
        <f t="shared" si="496"/>
        <v>3500.0000000000009</v>
      </c>
      <c r="AG282" s="546">
        <f t="shared" si="497"/>
        <v>3.2999999999999995E-2</v>
      </c>
      <c r="AI282" s="179">
        <f t="shared" si="498"/>
        <v>0.47434164902525688</v>
      </c>
      <c r="AJ282" s="179">
        <f t="shared" si="499"/>
        <v>0.47434164902525688</v>
      </c>
      <c r="AK282" s="179">
        <f t="shared" si="500"/>
        <v>1.440253073352042</v>
      </c>
      <c r="AM282" s="563">
        <f t="shared" si="501"/>
        <v>330</v>
      </c>
      <c r="AN282" s="472">
        <f t="shared" si="502"/>
        <v>350</v>
      </c>
      <c r="AP282">
        <f t="shared" si="503"/>
        <v>330</v>
      </c>
      <c r="AQ282">
        <f t="shared" si="504"/>
        <v>350</v>
      </c>
      <c r="AS282" s="6">
        <f t="shared" si="476"/>
        <v>2.8571428571428572</v>
      </c>
      <c r="AT282" s="6">
        <f t="shared" si="505"/>
        <v>0.43481317827315208</v>
      </c>
      <c r="AU282" s="6">
        <f t="shared" si="438"/>
        <v>2.4223296788697053</v>
      </c>
      <c r="AV282" s="6"/>
      <c r="AW282" s="179">
        <f t="shared" si="439"/>
        <v>0.15218461239560321</v>
      </c>
      <c r="AX282" s="179"/>
      <c r="BA282" s="472">
        <f t="shared" si="506"/>
        <v>19.245051903114188</v>
      </c>
      <c r="BB282" s="472">
        <f t="shared" si="507"/>
        <v>4.0973628656914896</v>
      </c>
      <c r="BC282" s="6">
        <f t="shared" si="440"/>
        <v>7.7099613621431584E-2</v>
      </c>
      <c r="BD282" s="563">
        <f t="shared" si="508"/>
        <v>0</v>
      </c>
      <c r="CF282" s="581">
        <f t="shared" si="509"/>
        <v>-50</v>
      </c>
      <c r="CG282">
        <f t="shared" si="510"/>
        <v>-50</v>
      </c>
    </row>
    <row r="283" spans="5:85" x14ac:dyDescent="0.2">
      <c r="E283" s="176">
        <v>67</v>
      </c>
      <c r="F283" s="223">
        <f t="shared" si="511"/>
        <v>0.33500000000000002</v>
      </c>
      <c r="G283" s="223"/>
      <c r="H283" s="223">
        <f t="shared" si="478"/>
        <v>1.675</v>
      </c>
      <c r="I283" s="559">
        <f t="shared" si="479"/>
        <v>48</v>
      </c>
      <c r="J283" s="454">
        <f t="shared" si="480"/>
        <v>15.75</v>
      </c>
      <c r="K283" s="454">
        <f t="shared" si="481"/>
        <v>63.75</v>
      </c>
      <c r="L283" s="454"/>
      <c r="M283" s="223">
        <f t="shared" si="482"/>
        <v>0.24705882352941178</v>
      </c>
      <c r="N283" s="178">
        <f t="shared" si="483"/>
        <v>4.0023529411764711</v>
      </c>
      <c r="O283" s="178">
        <f t="shared" si="475"/>
        <v>1.675</v>
      </c>
      <c r="P283" s="223">
        <f t="shared" si="484"/>
        <v>0.80047058823529427</v>
      </c>
      <c r="Q283" s="223">
        <f t="shared" si="485"/>
        <v>5</v>
      </c>
      <c r="R283" s="223"/>
      <c r="S283" s="178">
        <f t="shared" si="486"/>
        <v>32.480419427012052</v>
      </c>
      <c r="T283" s="178">
        <f t="shared" si="487"/>
        <v>5</v>
      </c>
      <c r="U283" s="223">
        <f t="shared" si="488"/>
        <v>0.31387786596119926</v>
      </c>
      <c r="V283" s="223">
        <f t="shared" si="489"/>
        <v>0.2877213771310993</v>
      </c>
      <c r="W283" s="223">
        <f t="shared" si="490"/>
        <v>0.87686514935192172</v>
      </c>
      <c r="X283" s="203">
        <f t="shared" si="491"/>
        <v>350</v>
      </c>
      <c r="Y283" s="454">
        <f t="shared" si="477"/>
        <v>350</v>
      </c>
      <c r="AA283" s="223">
        <f t="shared" si="492"/>
        <v>0.77005347593582896</v>
      </c>
      <c r="AB283" s="179">
        <f t="shared" si="493"/>
        <v>2.151260504201681</v>
      </c>
      <c r="AC283" s="179">
        <f t="shared" si="494"/>
        <v>0.86970745517458337</v>
      </c>
      <c r="AD283" s="179"/>
      <c r="AE283" s="179">
        <f t="shared" si="495"/>
        <v>0.419047619047619</v>
      </c>
      <c r="AF283" s="563">
        <f t="shared" si="496"/>
        <v>3553.0303030303044</v>
      </c>
      <c r="AG283" s="546">
        <f t="shared" si="497"/>
        <v>3.2999999999999995E-2</v>
      </c>
      <c r="AI283" s="179">
        <f t="shared" si="498"/>
        <v>0.47792163678692229</v>
      </c>
      <c r="AJ283" s="179">
        <f t="shared" si="499"/>
        <v>0.47792163678692229</v>
      </c>
      <c r="AK283" s="179">
        <f t="shared" si="500"/>
        <v>1.4429049161384611</v>
      </c>
      <c r="AM283" s="563">
        <f t="shared" si="501"/>
        <v>335</v>
      </c>
      <c r="AN283" s="472">
        <f t="shared" si="502"/>
        <v>350</v>
      </c>
      <c r="AP283">
        <f t="shared" si="503"/>
        <v>335</v>
      </c>
      <c r="AQ283">
        <f t="shared" si="504"/>
        <v>350</v>
      </c>
      <c r="AS283" s="6">
        <f t="shared" si="476"/>
        <v>2.8571428571428572</v>
      </c>
      <c r="AT283" s="6">
        <f t="shared" si="505"/>
        <v>0.43809483372134539</v>
      </c>
      <c r="AU283" s="6">
        <f t="shared" si="438"/>
        <v>2.4190480234215119</v>
      </c>
      <c r="AV283" s="6"/>
      <c r="AW283" s="179">
        <f t="shared" si="439"/>
        <v>0.15333319180247088</v>
      </c>
      <c r="AX283" s="179"/>
      <c r="BA283" s="472">
        <f t="shared" si="506"/>
        <v>19.245051903114188</v>
      </c>
      <c r="BB283" s="472">
        <f t="shared" si="507"/>
        <v>4.2072387291297284</v>
      </c>
      <c r="BC283" s="6">
        <f t="shared" si="440"/>
        <v>7.8161756158006024E-2</v>
      </c>
      <c r="BD283" s="563">
        <f t="shared" si="508"/>
        <v>0</v>
      </c>
      <c r="CF283" s="581">
        <f t="shared" si="509"/>
        <v>-50</v>
      </c>
      <c r="CG283">
        <f t="shared" si="510"/>
        <v>-50</v>
      </c>
    </row>
    <row r="284" spans="5:85" x14ac:dyDescent="0.2">
      <c r="E284" s="176">
        <v>68</v>
      </c>
      <c r="F284" s="223">
        <f t="shared" si="511"/>
        <v>0.34</v>
      </c>
      <c r="G284" s="223"/>
      <c r="H284" s="223">
        <f t="shared" si="478"/>
        <v>1.7000000000000002</v>
      </c>
      <c r="I284" s="559">
        <f t="shared" si="479"/>
        <v>48</v>
      </c>
      <c r="J284" s="454">
        <f t="shared" si="480"/>
        <v>15.75</v>
      </c>
      <c r="K284" s="454">
        <f t="shared" si="481"/>
        <v>63.75</v>
      </c>
      <c r="L284" s="454"/>
      <c r="M284" s="223">
        <f t="shared" si="482"/>
        <v>0.24705882352941178</v>
      </c>
      <c r="N284" s="178">
        <f t="shared" si="483"/>
        <v>4.0023529411764711</v>
      </c>
      <c r="O284" s="178">
        <f t="shared" si="475"/>
        <v>1.7000000000000002</v>
      </c>
      <c r="P284" s="223">
        <f t="shared" si="484"/>
        <v>0.80047058823529427</v>
      </c>
      <c r="Q284" s="223">
        <f t="shared" si="485"/>
        <v>5</v>
      </c>
      <c r="R284" s="223"/>
      <c r="S284" s="178">
        <f t="shared" si="486"/>
        <v>31.771973050199001</v>
      </c>
      <c r="T284" s="178">
        <f t="shared" si="487"/>
        <v>5</v>
      </c>
      <c r="U284" s="223">
        <f t="shared" si="488"/>
        <v>0.3185626102292769</v>
      </c>
      <c r="V284" s="223">
        <f t="shared" si="489"/>
        <v>0.29201572604350384</v>
      </c>
      <c r="W284" s="223">
        <f t="shared" si="490"/>
        <v>0.88995268889448786</v>
      </c>
      <c r="X284" s="203">
        <f t="shared" si="491"/>
        <v>350</v>
      </c>
      <c r="Y284" s="454">
        <f t="shared" si="477"/>
        <v>350</v>
      </c>
      <c r="AA284" s="223">
        <f t="shared" si="492"/>
        <v>0.77005347593582896</v>
      </c>
      <c r="AB284" s="179">
        <f t="shared" si="493"/>
        <v>2.151260504201681</v>
      </c>
      <c r="AC284" s="179">
        <f t="shared" si="494"/>
        <v>0.86970745517458337</v>
      </c>
      <c r="AD284" s="179"/>
      <c r="AE284" s="179">
        <f t="shared" si="495"/>
        <v>0.419047619047619</v>
      </c>
      <c r="AF284" s="563">
        <f t="shared" si="496"/>
        <v>3606.0606060606069</v>
      </c>
      <c r="AG284" s="546">
        <f t="shared" si="497"/>
        <v>3.2999999999999995E-2</v>
      </c>
      <c r="AI284" s="179">
        <f t="shared" si="498"/>
        <v>0.48147500643146762</v>
      </c>
      <c r="AJ284" s="179">
        <f t="shared" si="499"/>
        <v>0.48147500643146762</v>
      </c>
      <c r="AK284" s="179">
        <f t="shared" si="500"/>
        <v>1.4455370418010871</v>
      </c>
      <c r="AM284" s="563">
        <f t="shared" si="501"/>
        <v>340</v>
      </c>
      <c r="AN284" s="472">
        <f t="shared" si="502"/>
        <v>350</v>
      </c>
      <c r="AP284">
        <f t="shared" si="503"/>
        <v>340</v>
      </c>
      <c r="AQ284">
        <f t="shared" si="504"/>
        <v>350</v>
      </c>
      <c r="AS284" s="6">
        <f t="shared" si="476"/>
        <v>2.8571428571428572</v>
      </c>
      <c r="AT284" s="6">
        <f t="shared" si="505"/>
        <v>0.44135208922884528</v>
      </c>
      <c r="AU284" s="6">
        <f t="shared" si="438"/>
        <v>2.4157907679140118</v>
      </c>
      <c r="AV284" s="6"/>
      <c r="AW284" s="179">
        <f t="shared" si="439"/>
        <v>0.15447323123009585</v>
      </c>
      <c r="AX284" s="179"/>
      <c r="BA284" s="472">
        <f t="shared" si="506"/>
        <v>19.245051903114188</v>
      </c>
      <c r="BB284" s="472">
        <f t="shared" si="507"/>
        <v>4.3185412972813246</v>
      </c>
      <c r="BC284" s="6">
        <f t="shared" si="440"/>
        <v>7.9221533670019675E-2</v>
      </c>
      <c r="BD284" s="563">
        <f t="shared" si="508"/>
        <v>0</v>
      </c>
      <c r="CF284" s="581">
        <f t="shared" si="509"/>
        <v>-50</v>
      </c>
      <c r="CG284">
        <f t="shared" si="510"/>
        <v>-50</v>
      </c>
    </row>
    <row r="285" spans="5:85" x14ac:dyDescent="0.2">
      <c r="E285" s="176">
        <v>69</v>
      </c>
      <c r="F285" s="223">
        <f t="shared" si="511"/>
        <v>0.34499999999999997</v>
      </c>
      <c r="G285" s="223"/>
      <c r="H285" s="223">
        <f t="shared" si="478"/>
        <v>1.7249999999999999</v>
      </c>
      <c r="I285" s="559">
        <f t="shared" si="479"/>
        <v>48</v>
      </c>
      <c r="J285" s="454">
        <f t="shared" si="480"/>
        <v>15.75</v>
      </c>
      <c r="K285" s="454">
        <f t="shared" si="481"/>
        <v>63.75</v>
      </c>
      <c r="L285" s="454"/>
      <c r="M285" s="223">
        <f t="shared" si="482"/>
        <v>0.24705882352941178</v>
      </c>
      <c r="N285" s="178">
        <f t="shared" si="483"/>
        <v>4.0023529411764711</v>
      </c>
      <c r="O285" s="178">
        <f t="shared" si="475"/>
        <v>1.7249999999999999</v>
      </c>
      <c r="P285" s="223">
        <f t="shared" si="484"/>
        <v>0.80047058823529427</v>
      </c>
      <c r="Q285" s="223">
        <f t="shared" si="485"/>
        <v>5</v>
      </c>
      <c r="R285" s="223"/>
      <c r="S285" s="178">
        <f t="shared" si="486"/>
        <v>31.08417787283318</v>
      </c>
      <c r="T285" s="178">
        <f t="shared" si="487"/>
        <v>5</v>
      </c>
      <c r="U285" s="223">
        <f t="shared" si="488"/>
        <v>0.32324735449735442</v>
      </c>
      <c r="V285" s="223">
        <f t="shared" si="489"/>
        <v>0.29631007495590822</v>
      </c>
      <c r="W285" s="223">
        <f t="shared" si="490"/>
        <v>0.90304022843705356</v>
      </c>
      <c r="X285" s="203">
        <f t="shared" si="491"/>
        <v>350</v>
      </c>
      <c r="Y285" s="454">
        <f t="shared" si="477"/>
        <v>350</v>
      </c>
      <c r="AA285" s="223">
        <f t="shared" si="492"/>
        <v>0.77005347593582896</v>
      </c>
      <c r="AB285" s="179">
        <f t="shared" si="493"/>
        <v>2.151260504201681</v>
      </c>
      <c r="AC285" s="179">
        <f t="shared" si="494"/>
        <v>0.86970745517458337</v>
      </c>
      <c r="AD285" s="179"/>
      <c r="AE285" s="179">
        <f t="shared" si="495"/>
        <v>0.419047619047619</v>
      </c>
      <c r="AF285" s="563">
        <f t="shared" si="496"/>
        <v>3659.0909090909095</v>
      </c>
      <c r="AG285" s="546">
        <f t="shared" si="497"/>
        <v>3.2999999999999995E-2</v>
      </c>
      <c r="AI285" s="179">
        <f t="shared" si="498"/>
        <v>0.4850023430121474</v>
      </c>
      <c r="AJ285" s="179">
        <f t="shared" si="499"/>
        <v>0.4850023430121474</v>
      </c>
      <c r="AK285" s="179">
        <f t="shared" si="500"/>
        <v>1.4481498837127016</v>
      </c>
      <c r="AM285" s="563">
        <f t="shared" si="501"/>
        <v>345</v>
      </c>
      <c r="AN285" s="472">
        <f t="shared" si="502"/>
        <v>350</v>
      </c>
      <c r="AP285">
        <f t="shared" si="503"/>
        <v>345</v>
      </c>
      <c r="AQ285">
        <f t="shared" si="504"/>
        <v>350</v>
      </c>
      <c r="AS285" s="6">
        <f t="shared" si="476"/>
        <v>2.8571428571428572</v>
      </c>
      <c r="AT285" s="6">
        <f t="shared" si="505"/>
        <v>0.44458548109446844</v>
      </c>
      <c r="AU285" s="6">
        <f t="shared" si="438"/>
        <v>2.4125573760483889</v>
      </c>
      <c r="AV285" s="6"/>
      <c r="AW285" s="179">
        <f t="shared" si="439"/>
        <v>0.15560491838306395</v>
      </c>
      <c r="AX285" s="179"/>
      <c r="BA285" s="472">
        <f t="shared" si="506"/>
        <v>19.245051903114188</v>
      </c>
      <c r="BB285" s="472">
        <f t="shared" si="507"/>
        <v>4.4312705701462756</v>
      </c>
      <c r="BC285" s="6">
        <f t="shared" si="440"/>
        <v>8.0278963612721257E-2</v>
      </c>
      <c r="BD285" s="563">
        <f t="shared" si="508"/>
        <v>0</v>
      </c>
      <c r="CF285" s="581">
        <f t="shared" si="509"/>
        <v>-50</v>
      </c>
      <c r="CG285">
        <f t="shared" si="510"/>
        <v>-50</v>
      </c>
    </row>
    <row r="286" spans="5:85" x14ac:dyDescent="0.2">
      <c r="E286" s="176">
        <v>70</v>
      </c>
      <c r="F286" s="223">
        <f t="shared" si="511"/>
        <v>0.35</v>
      </c>
      <c r="G286" s="223"/>
      <c r="H286" s="223">
        <f t="shared" si="478"/>
        <v>1.75</v>
      </c>
      <c r="I286" s="559">
        <f t="shared" si="479"/>
        <v>48</v>
      </c>
      <c r="J286" s="454">
        <f t="shared" si="480"/>
        <v>15.75</v>
      </c>
      <c r="K286" s="454">
        <f t="shared" si="481"/>
        <v>63.75</v>
      </c>
      <c r="L286" s="454"/>
      <c r="M286" s="223">
        <f t="shared" si="482"/>
        <v>0.24705882352941178</v>
      </c>
      <c r="N286" s="178">
        <f t="shared" si="483"/>
        <v>4.0023529411764711</v>
      </c>
      <c r="O286" s="178">
        <f t="shared" si="475"/>
        <v>1.75</v>
      </c>
      <c r="P286" s="223">
        <f t="shared" si="484"/>
        <v>0.80047058823529427</v>
      </c>
      <c r="Q286" s="223">
        <f t="shared" si="485"/>
        <v>5</v>
      </c>
      <c r="R286" s="223"/>
      <c r="S286" s="178">
        <f t="shared" si="486"/>
        <v>30.416151260540893</v>
      </c>
      <c r="T286" s="178">
        <f t="shared" si="487"/>
        <v>5</v>
      </c>
      <c r="U286" s="223">
        <f t="shared" si="488"/>
        <v>0.32793209876543206</v>
      </c>
      <c r="V286" s="223">
        <f t="shared" si="489"/>
        <v>0.30060442386831271</v>
      </c>
      <c r="W286" s="223">
        <f t="shared" si="490"/>
        <v>0.9161277679796197</v>
      </c>
      <c r="X286" s="203">
        <f t="shared" si="491"/>
        <v>350</v>
      </c>
      <c r="Y286" s="454">
        <f t="shared" si="477"/>
        <v>350</v>
      </c>
      <c r="AA286" s="223">
        <f t="shared" si="492"/>
        <v>0.77005347593582896</v>
      </c>
      <c r="AB286" s="179">
        <f t="shared" si="493"/>
        <v>2.151260504201681</v>
      </c>
      <c r="AC286" s="179">
        <f t="shared" si="494"/>
        <v>0.86970745517458337</v>
      </c>
      <c r="AD286" s="179"/>
      <c r="AE286" s="179">
        <f t="shared" si="495"/>
        <v>0.419047619047619</v>
      </c>
      <c r="AF286" s="563">
        <f t="shared" si="496"/>
        <v>3712.1212121212125</v>
      </c>
      <c r="AG286" s="546">
        <f t="shared" si="497"/>
        <v>3.2999999999999995E-2</v>
      </c>
      <c r="AI286" s="179">
        <f t="shared" si="498"/>
        <v>0.48850421045919717</v>
      </c>
      <c r="AJ286" s="179">
        <f t="shared" si="499"/>
        <v>0.48850421045919717</v>
      </c>
      <c r="AK286" s="179">
        <f t="shared" si="500"/>
        <v>1.4507438595994053</v>
      </c>
      <c r="AM286" s="563">
        <f t="shared" si="501"/>
        <v>350</v>
      </c>
      <c r="AN286" s="472">
        <f t="shared" si="502"/>
        <v>350</v>
      </c>
      <c r="AP286">
        <f t="shared" si="503"/>
        <v>350</v>
      </c>
      <c r="AQ286">
        <f t="shared" si="504"/>
        <v>350</v>
      </c>
      <c r="AS286" s="6">
        <f t="shared" si="476"/>
        <v>2.8571428571428572</v>
      </c>
      <c r="AT286" s="6">
        <f t="shared" si="505"/>
        <v>0.44779552625426411</v>
      </c>
      <c r="AU286" s="6">
        <f t="shared" si="438"/>
        <v>2.4093473308885933</v>
      </c>
      <c r="AV286" s="6"/>
      <c r="AW286" s="179">
        <f t="shared" si="439"/>
        <v>0.15672843418899243</v>
      </c>
      <c r="AX286" s="179"/>
      <c r="BA286" s="472">
        <f t="shared" si="506"/>
        <v>19.245051903114188</v>
      </c>
      <c r="BB286" s="472">
        <f t="shared" si="507"/>
        <v>4.5454265477245848</v>
      </c>
      <c r="BC286" s="6">
        <f t="shared" si="440"/>
        <v>8.1334063060475262E-2</v>
      </c>
      <c r="BD286" s="563">
        <f t="shared" si="508"/>
        <v>0</v>
      </c>
      <c r="CF286" s="581">
        <f t="shared" si="509"/>
        <v>-50</v>
      </c>
      <c r="CG286">
        <f t="shared" si="510"/>
        <v>-50</v>
      </c>
    </row>
    <row r="287" spans="5:85" x14ac:dyDescent="0.2">
      <c r="E287" s="176">
        <v>71</v>
      </c>
      <c r="F287" s="223">
        <f t="shared" si="511"/>
        <v>0.35499999999999998</v>
      </c>
      <c r="G287" s="223"/>
      <c r="H287" s="223">
        <f t="shared" si="478"/>
        <v>1.7749999999999999</v>
      </c>
      <c r="I287" s="559">
        <f t="shared" si="479"/>
        <v>48</v>
      </c>
      <c r="J287" s="454">
        <f t="shared" si="480"/>
        <v>15.75</v>
      </c>
      <c r="K287" s="454">
        <f t="shared" si="481"/>
        <v>63.75</v>
      </c>
      <c r="L287" s="454"/>
      <c r="M287" s="223">
        <f t="shared" si="482"/>
        <v>0.24705882352941178</v>
      </c>
      <c r="N287" s="178">
        <f t="shared" si="483"/>
        <v>4.0023529411764711</v>
      </c>
      <c r="O287" s="178">
        <f t="shared" si="475"/>
        <v>1.7749999999999999</v>
      </c>
      <c r="P287" s="223">
        <f t="shared" si="484"/>
        <v>0.80047058823529427</v>
      </c>
      <c r="Q287" s="223">
        <f t="shared" si="485"/>
        <v>5</v>
      </c>
      <c r="R287" s="223"/>
      <c r="S287" s="178">
        <f t="shared" si="486"/>
        <v>29.76706036946538</v>
      </c>
      <c r="T287" s="178">
        <f t="shared" si="487"/>
        <v>5</v>
      </c>
      <c r="U287" s="223">
        <f t="shared" si="488"/>
        <v>0.33261684303350963</v>
      </c>
      <c r="V287" s="223">
        <f t="shared" si="489"/>
        <v>0.30489877278071714</v>
      </c>
      <c r="W287" s="223">
        <f t="shared" si="490"/>
        <v>0.92921530752218562</v>
      </c>
      <c r="X287" s="203">
        <f t="shared" si="491"/>
        <v>350</v>
      </c>
      <c r="Y287" s="454">
        <f t="shared" si="477"/>
        <v>350</v>
      </c>
      <c r="AA287" s="223">
        <f t="shared" si="492"/>
        <v>0.77005347593582896</v>
      </c>
      <c r="AB287" s="179">
        <f t="shared" si="493"/>
        <v>2.151260504201681</v>
      </c>
      <c r="AC287" s="179">
        <f t="shared" si="494"/>
        <v>0.86970745517458337</v>
      </c>
      <c r="AD287" s="179"/>
      <c r="AE287" s="179">
        <f t="shared" si="495"/>
        <v>0.419047619047619</v>
      </c>
      <c r="AF287" s="563">
        <f t="shared" si="496"/>
        <v>3765.1515151515155</v>
      </c>
      <c r="AG287" s="546">
        <f t="shared" si="497"/>
        <v>3.2999999999999995E-2</v>
      </c>
      <c r="AI287" s="179">
        <f t="shared" si="498"/>
        <v>0.49198115263234882</v>
      </c>
      <c r="AJ287" s="179">
        <f t="shared" si="499"/>
        <v>0.49198115263234882</v>
      </c>
      <c r="AK287" s="179">
        <f t="shared" si="500"/>
        <v>1.4533193723202584</v>
      </c>
      <c r="AM287" s="563">
        <f t="shared" si="501"/>
        <v>355</v>
      </c>
      <c r="AN287" s="472">
        <f t="shared" si="502"/>
        <v>350</v>
      </c>
      <c r="AP287">
        <f t="shared" si="503"/>
        <v>355</v>
      </c>
      <c r="AQ287">
        <f t="shared" si="504"/>
        <v>350</v>
      </c>
      <c r="AS287" s="6">
        <f t="shared" si="476"/>
        <v>2.8571428571428572</v>
      </c>
      <c r="AT287" s="6">
        <f t="shared" si="505"/>
        <v>0.45098272324631977</v>
      </c>
      <c r="AU287" s="6">
        <f t="shared" si="438"/>
        <v>2.4061601338965373</v>
      </c>
      <c r="AV287" s="6"/>
      <c r="AW287" s="179">
        <f t="shared" si="439"/>
        <v>0.15784395313621191</v>
      </c>
      <c r="AX287" s="179"/>
      <c r="BA287" s="472">
        <f t="shared" si="506"/>
        <v>19.245051903114188</v>
      </c>
      <c r="BB287" s="472">
        <f t="shared" si="507"/>
        <v>4.6610092300162531</v>
      </c>
      <c r="BC287" s="6">
        <f t="shared" si="440"/>
        <v>8.2386848720415753E-2</v>
      </c>
      <c r="BD287" s="563">
        <f t="shared" si="508"/>
        <v>0</v>
      </c>
      <c r="CF287" s="581">
        <f t="shared" si="509"/>
        <v>-50</v>
      </c>
      <c r="CG287">
        <f t="shared" si="510"/>
        <v>-50</v>
      </c>
    </row>
    <row r="288" spans="5:85" x14ac:dyDescent="0.2">
      <c r="E288" s="176">
        <v>72</v>
      </c>
      <c r="F288" s="223">
        <f t="shared" si="511"/>
        <v>0.36</v>
      </c>
      <c r="G288" s="223"/>
      <c r="H288" s="223">
        <f t="shared" si="478"/>
        <v>1.7999999999999998</v>
      </c>
      <c r="I288" s="559">
        <f t="shared" si="479"/>
        <v>48</v>
      </c>
      <c r="J288" s="454">
        <f t="shared" si="480"/>
        <v>15.75</v>
      </c>
      <c r="K288" s="454">
        <f t="shared" si="481"/>
        <v>63.75</v>
      </c>
      <c r="L288" s="454"/>
      <c r="M288" s="223">
        <f t="shared" si="482"/>
        <v>0.24705882352941178</v>
      </c>
      <c r="N288" s="178">
        <f t="shared" si="483"/>
        <v>4.0023529411764711</v>
      </c>
      <c r="O288" s="178">
        <f t="shared" si="475"/>
        <v>1.7999999999999998</v>
      </c>
      <c r="P288" s="223">
        <f t="shared" si="484"/>
        <v>0.80047058823529427</v>
      </c>
      <c r="Q288" s="223">
        <f t="shared" si="485"/>
        <v>5</v>
      </c>
      <c r="R288" s="223"/>
      <c r="S288" s="178">
        <f t="shared" si="486"/>
        <v>29.1361186906684</v>
      </c>
      <c r="T288" s="178">
        <f t="shared" si="487"/>
        <v>5</v>
      </c>
      <c r="U288" s="223">
        <f t="shared" si="488"/>
        <v>0.33730158730158727</v>
      </c>
      <c r="V288" s="223">
        <f t="shared" si="489"/>
        <v>0.30919312169312169</v>
      </c>
      <c r="W288" s="223">
        <f t="shared" si="490"/>
        <v>0.94230284706475176</v>
      </c>
      <c r="X288" s="203">
        <f t="shared" si="491"/>
        <v>350</v>
      </c>
      <c r="Y288" s="454">
        <f t="shared" si="477"/>
        <v>350</v>
      </c>
      <c r="AA288" s="223">
        <f t="shared" si="492"/>
        <v>0.77005347593582896</v>
      </c>
      <c r="AB288" s="179">
        <f t="shared" si="493"/>
        <v>2.151260504201681</v>
      </c>
      <c r="AC288" s="179">
        <f t="shared" si="494"/>
        <v>0.86970745517458337</v>
      </c>
      <c r="AD288" s="179"/>
      <c r="AE288" s="179">
        <f t="shared" si="495"/>
        <v>0.419047619047619</v>
      </c>
      <c r="AF288" s="563">
        <f t="shared" si="496"/>
        <v>3818.1818181818189</v>
      </c>
      <c r="AG288" s="546">
        <f t="shared" si="497"/>
        <v>3.2999999999999995E-2</v>
      </c>
      <c r="AI288" s="179">
        <f t="shared" si="498"/>
        <v>0.49543369430686224</v>
      </c>
      <c r="AJ288" s="179">
        <f t="shared" si="499"/>
        <v>0.49543369430686224</v>
      </c>
      <c r="AK288" s="179">
        <f t="shared" si="500"/>
        <v>1.4558768105976756</v>
      </c>
      <c r="AM288" s="563">
        <f t="shared" si="501"/>
        <v>360</v>
      </c>
      <c r="AN288" s="472">
        <f t="shared" si="502"/>
        <v>350</v>
      </c>
      <c r="AP288">
        <f t="shared" si="503"/>
        <v>360</v>
      </c>
      <c r="AQ288">
        <f t="shared" si="504"/>
        <v>350</v>
      </c>
      <c r="AS288" s="6">
        <f t="shared" si="476"/>
        <v>2.8571428571428572</v>
      </c>
      <c r="AT288" s="6">
        <f t="shared" si="505"/>
        <v>0.45414755311462374</v>
      </c>
      <c r="AU288" s="6">
        <f t="shared" si="438"/>
        <v>2.4029953040282335</v>
      </c>
      <c r="AV288" s="6"/>
      <c r="AW288" s="179">
        <f t="shared" si="439"/>
        <v>0.15895164359011829</v>
      </c>
      <c r="AX288" s="179"/>
      <c r="BA288" s="472">
        <f t="shared" si="506"/>
        <v>19.245051903114188</v>
      </c>
      <c r="BB288" s="472">
        <f t="shared" si="507"/>
        <v>4.7780186170212762</v>
      </c>
      <c r="BC288" s="6">
        <f t="shared" si="440"/>
        <v>8.3437336945424753E-2</v>
      </c>
      <c r="BD288" s="563">
        <f t="shared" si="508"/>
        <v>0</v>
      </c>
      <c r="CF288" s="581">
        <f t="shared" si="509"/>
        <v>-50</v>
      </c>
      <c r="CG288">
        <f t="shared" si="510"/>
        <v>-50</v>
      </c>
    </row>
    <row r="289" spans="5:85" x14ac:dyDescent="0.2">
      <c r="E289" s="176">
        <v>73</v>
      </c>
      <c r="F289" s="223">
        <f t="shared" si="511"/>
        <v>0.36499999999999999</v>
      </c>
      <c r="G289" s="223"/>
      <c r="H289" s="223">
        <f t="shared" si="478"/>
        <v>1.825</v>
      </c>
      <c r="I289" s="559">
        <f t="shared" si="479"/>
        <v>48</v>
      </c>
      <c r="J289" s="454">
        <f t="shared" si="480"/>
        <v>15.75</v>
      </c>
      <c r="K289" s="454">
        <f t="shared" si="481"/>
        <v>63.75</v>
      </c>
      <c r="L289" s="454"/>
      <c r="M289" s="223">
        <f t="shared" si="482"/>
        <v>0.24705882352941178</v>
      </c>
      <c r="N289" s="178">
        <f t="shared" si="483"/>
        <v>4.0023529411764711</v>
      </c>
      <c r="O289" s="178">
        <f t="shared" si="475"/>
        <v>1.825</v>
      </c>
      <c r="P289" s="223">
        <f t="shared" si="484"/>
        <v>0.80047058823529427</v>
      </c>
      <c r="Q289" s="223">
        <f t="shared" si="485"/>
        <v>5</v>
      </c>
      <c r="R289" s="223"/>
      <c r="S289" s="178">
        <f t="shared" si="486"/>
        <v>28.52258287862962</v>
      </c>
      <c r="T289" s="178">
        <f t="shared" si="487"/>
        <v>5</v>
      </c>
      <c r="U289" s="223">
        <f t="shared" si="488"/>
        <v>0.34198633156966485</v>
      </c>
      <c r="V289" s="223">
        <f t="shared" si="489"/>
        <v>0.31348747060552612</v>
      </c>
      <c r="W289" s="223">
        <f t="shared" si="490"/>
        <v>0.95539038660731757</v>
      </c>
      <c r="X289" s="203">
        <f t="shared" si="491"/>
        <v>350</v>
      </c>
      <c r="Y289" s="454">
        <f t="shared" si="477"/>
        <v>350</v>
      </c>
      <c r="AA289" s="223">
        <f t="shared" si="492"/>
        <v>0.77005347593582896</v>
      </c>
      <c r="AB289" s="179">
        <f t="shared" si="493"/>
        <v>2.151260504201681</v>
      </c>
      <c r="AC289" s="179">
        <f t="shared" si="494"/>
        <v>0.86970745517458337</v>
      </c>
      <c r="AD289" s="179"/>
      <c r="AE289" s="179">
        <f t="shared" si="495"/>
        <v>0.419047619047619</v>
      </c>
      <c r="AF289" s="563">
        <f t="shared" si="496"/>
        <v>3871.2121212121219</v>
      </c>
      <c r="AG289" s="546">
        <f t="shared" si="497"/>
        <v>3.2999999999999995E-2</v>
      </c>
      <c r="AI289" s="179">
        <f t="shared" si="498"/>
        <v>0.49886234209813468</v>
      </c>
      <c r="AJ289" s="179">
        <f t="shared" si="499"/>
        <v>0.49886234209813468</v>
      </c>
      <c r="AK289" s="179">
        <f t="shared" si="500"/>
        <v>1.458416549702322</v>
      </c>
      <c r="AM289" s="563">
        <f t="shared" si="501"/>
        <v>365</v>
      </c>
      <c r="AN289" s="472">
        <f t="shared" si="502"/>
        <v>350</v>
      </c>
      <c r="AP289">
        <f t="shared" si="503"/>
        <v>365</v>
      </c>
      <c r="AQ289">
        <f t="shared" si="504"/>
        <v>350</v>
      </c>
      <c r="AS289" s="6">
        <f t="shared" si="476"/>
        <v>2.8571428571428572</v>
      </c>
      <c r="AT289" s="6">
        <f t="shared" si="505"/>
        <v>0.45729048025662344</v>
      </c>
      <c r="AU289" s="6">
        <f t="shared" si="438"/>
        <v>2.3998523768862339</v>
      </c>
      <c r="AV289" s="6"/>
      <c r="AW289" s="179">
        <f t="shared" si="439"/>
        <v>0.16005166808981819</v>
      </c>
      <c r="AX289" s="179"/>
      <c r="BA289" s="472">
        <f t="shared" si="506"/>
        <v>19.245051903114188</v>
      </c>
      <c r="BB289" s="472">
        <f t="shared" si="507"/>
        <v>4.8964547087396566</v>
      </c>
      <c r="BC289" s="6">
        <f t="shared" si="440"/>
        <v>8.4485543746477154E-2</v>
      </c>
      <c r="BD289" s="563">
        <f t="shared" si="508"/>
        <v>0</v>
      </c>
      <c r="CF289" s="581">
        <f t="shared" si="509"/>
        <v>-50</v>
      </c>
      <c r="CG289">
        <f t="shared" si="510"/>
        <v>-50</v>
      </c>
    </row>
    <row r="290" spans="5:85" x14ac:dyDescent="0.2">
      <c r="E290" s="176">
        <v>74</v>
      </c>
      <c r="F290" s="223">
        <f t="shared" si="511"/>
        <v>0.37</v>
      </c>
      <c r="G290" s="223"/>
      <c r="H290" s="223">
        <f t="shared" si="478"/>
        <v>1.85</v>
      </c>
      <c r="I290" s="559">
        <f t="shared" si="479"/>
        <v>48</v>
      </c>
      <c r="J290" s="454">
        <f t="shared" si="480"/>
        <v>15.75</v>
      </c>
      <c r="K290" s="454">
        <f t="shared" si="481"/>
        <v>63.75</v>
      </c>
      <c r="L290" s="454"/>
      <c r="M290" s="223">
        <f t="shared" si="482"/>
        <v>0.24705882352941178</v>
      </c>
      <c r="N290" s="178">
        <f t="shared" si="483"/>
        <v>4.0023529411764711</v>
      </c>
      <c r="O290" s="178">
        <f t="shared" si="475"/>
        <v>1.85</v>
      </c>
      <c r="P290" s="223">
        <f t="shared" si="484"/>
        <v>0.80047058823529427</v>
      </c>
      <c r="Q290" s="223">
        <f t="shared" si="485"/>
        <v>5</v>
      </c>
      <c r="R290" s="223"/>
      <c r="S290" s="178">
        <f t="shared" si="486"/>
        <v>27.92574983697294</v>
      </c>
      <c r="T290" s="178">
        <f t="shared" si="487"/>
        <v>5</v>
      </c>
      <c r="U290" s="223">
        <f t="shared" si="488"/>
        <v>0.34667107583774248</v>
      </c>
      <c r="V290" s="223">
        <f t="shared" si="489"/>
        <v>0.31778181951793061</v>
      </c>
      <c r="W290" s="223">
        <f t="shared" si="490"/>
        <v>0.96847792614988382</v>
      </c>
      <c r="X290" s="203">
        <f t="shared" si="491"/>
        <v>350</v>
      </c>
      <c r="Y290" s="454">
        <f t="shared" si="477"/>
        <v>350</v>
      </c>
      <c r="AA290" s="223">
        <f t="shared" si="492"/>
        <v>0.77005347593582896</v>
      </c>
      <c r="AB290" s="179">
        <f t="shared" si="493"/>
        <v>2.151260504201681</v>
      </c>
      <c r="AC290" s="179">
        <f t="shared" si="494"/>
        <v>0.86970745517458337</v>
      </c>
      <c r="AD290" s="179"/>
      <c r="AE290" s="179">
        <f t="shared" si="495"/>
        <v>0.419047619047619</v>
      </c>
      <c r="AF290" s="563">
        <f t="shared" si="496"/>
        <v>3924.2424242424249</v>
      </c>
      <c r="AG290" s="546">
        <f t="shared" si="497"/>
        <v>3.2999999999999995E-2</v>
      </c>
      <c r="AI290" s="179">
        <f t="shared" si="498"/>
        <v>0.50226758532950067</v>
      </c>
      <c r="AJ290" s="179">
        <f t="shared" si="499"/>
        <v>0.50226758532950067</v>
      </c>
      <c r="AK290" s="179">
        <f t="shared" si="500"/>
        <v>1.4609389520959264</v>
      </c>
      <c r="AM290" s="563">
        <f t="shared" si="501"/>
        <v>370</v>
      </c>
      <c r="AN290" s="472">
        <f t="shared" si="502"/>
        <v>350</v>
      </c>
      <c r="AP290">
        <f t="shared" si="503"/>
        <v>370</v>
      </c>
      <c r="AQ290">
        <f t="shared" si="504"/>
        <v>350</v>
      </c>
      <c r="AS290" s="6">
        <f t="shared" si="476"/>
        <v>2.8571428571428572</v>
      </c>
      <c r="AT290" s="6">
        <f t="shared" si="505"/>
        <v>0.46041195321870892</v>
      </c>
      <c r="AU290" s="6">
        <f t="shared" si="438"/>
        <v>2.3967309039241482</v>
      </c>
      <c r="AV290" s="6"/>
      <c r="AW290" s="179">
        <f t="shared" si="439"/>
        <v>0.16114418362654812</v>
      </c>
      <c r="AX290" s="179"/>
      <c r="BA290" s="472">
        <f t="shared" si="506"/>
        <v>19.245051903114188</v>
      </c>
      <c r="BB290" s="472">
        <f t="shared" si="507"/>
        <v>5.0163175051713935</v>
      </c>
      <c r="BC290" s="6">
        <f t="shared" si="440"/>
        <v>8.5531484804391864E-2</v>
      </c>
      <c r="BD290" s="563">
        <f t="shared" si="508"/>
        <v>0</v>
      </c>
      <c r="CF290" s="581">
        <f t="shared" si="509"/>
        <v>-50</v>
      </c>
      <c r="CG290">
        <f t="shared" si="510"/>
        <v>-50</v>
      </c>
    </row>
    <row r="291" spans="5:85" x14ac:dyDescent="0.2">
      <c r="E291" s="176">
        <v>75</v>
      </c>
      <c r="F291" s="223">
        <f t="shared" si="511"/>
        <v>0.375</v>
      </c>
      <c r="G291" s="223"/>
      <c r="H291" s="223">
        <f t="shared" si="478"/>
        <v>1.875</v>
      </c>
      <c r="I291" s="559">
        <f t="shared" si="479"/>
        <v>48</v>
      </c>
      <c r="J291" s="454">
        <f t="shared" si="480"/>
        <v>15.75</v>
      </c>
      <c r="K291" s="454">
        <f t="shared" si="481"/>
        <v>63.75</v>
      </c>
      <c r="L291" s="454"/>
      <c r="M291" s="223">
        <f t="shared" si="482"/>
        <v>0.24705882352941178</v>
      </c>
      <c r="N291" s="178">
        <f t="shared" si="483"/>
        <v>4.0023529411764711</v>
      </c>
      <c r="O291" s="178">
        <f t="shared" si="475"/>
        <v>1.875</v>
      </c>
      <c r="P291" s="223">
        <f t="shared" si="484"/>
        <v>0.80047058823529427</v>
      </c>
      <c r="Q291" s="223">
        <f t="shared" si="485"/>
        <v>5</v>
      </c>
      <c r="R291" s="223"/>
      <c r="S291" s="178">
        <f t="shared" si="486"/>
        <v>27.344954037414833</v>
      </c>
      <c r="T291" s="178">
        <f t="shared" si="487"/>
        <v>5</v>
      </c>
      <c r="U291" s="223">
        <f t="shared" si="488"/>
        <v>0.35135582010582006</v>
      </c>
      <c r="V291" s="223">
        <f t="shared" si="489"/>
        <v>0.32207616843033504</v>
      </c>
      <c r="W291" s="223">
        <f t="shared" si="490"/>
        <v>0.98156546569244973</v>
      </c>
      <c r="X291" s="203">
        <f t="shared" si="491"/>
        <v>350</v>
      </c>
      <c r="Y291" s="454">
        <f t="shared" si="477"/>
        <v>350</v>
      </c>
      <c r="AA291" s="223">
        <f t="shared" si="492"/>
        <v>0.77005347593582896</v>
      </c>
      <c r="AB291" s="179">
        <f t="shared" si="493"/>
        <v>2.151260504201681</v>
      </c>
      <c r="AC291" s="179">
        <f t="shared" si="494"/>
        <v>0.86970745517458337</v>
      </c>
      <c r="AD291" s="179"/>
      <c r="AE291" s="179">
        <f t="shared" si="495"/>
        <v>0.419047619047619</v>
      </c>
      <c r="AF291" s="563">
        <f t="shared" si="496"/>
        <v>3977.2727272727279</v>
      </c>
      <c r="AG291" s="546">
        <f t="shared" si="497"/>
        <v>3.2999999999999995E-2</v>
      </c>
      <c r="AI291" s="179">
        <f t="shared" si="498"/>
        <v>0.50564989684743156</v>
      </c>
      <c r="AJ291" s="179">
        <f t="shared" si="499"/>
        <v>0.50564989684743156</v>
      </c>
      <c r="AK291" s="179">
        <f t="shared" si="500"/>
        <v>1.4634443680351343</v>
      </c>
      <c r="AM291" s="563">
        <f t="shared" si="501"/>
        <v>375</v>
      </c>
      <c r="AN291" s="472">
        <f t="shared" si="502"/>
        <v>350</v>
      </c>
      <c r="AP291">
        <f t="shared" si="503"/>
        <v>375</v>
      </c>
      <c r="AQ291">
        <f t="shared" si="504"/>
        <v>350</v>
      </c>
      <c r="AS291" s="6">
        <f t="shared" si="476"/>
        <v>2.8571428571428572</v>
      </c>
      <c r="AT291" s="6">
        <f t="shared" si="505"/>
        <v>0.46351240544347894</v>
      </c>
      <c r="AU291" s="6">
        <f t="shared" si="438"/>
        <v>2.3936304516993783</v>
      </c>
      <c r="AV291" s="6"/>
      <c r="AW291" s="179">
        <f t="shared" si="439"/>
        <v>0.16222934190521762</v>
      </c>
      <c r="AX291" s="179"/>
      <c r="BA291" s="472">
        <f t="shared" si="506"/>
        <v>19.245051903114188</v>
      </c>
      <c r="BB291" s="472">
        <f t="shared" si="507"/>
        <v>5.1376070063164896</v>
      </c>
      <c r="BC291" s="6">
        <f t="shared" si="440"/>
        <v>8.657517548102496E-2</v>
      </c>
      <c r="BD291" s="563">
        <f t="shared" si="508"/>
        <v>0</v>
      </c>
      <c r="CF291" s="581">
        <f t="shared" si="509"/>
        <v>-50</v>
      </c>
      <c r="CG291">
        <f t="shared" si="510"/>
        <v>-50</v>
      </c>
    </row>
    <row r="292" spans="5:85" x14ac:dyDescent="0.2">
      <c r="E292" s="176">
        <v>76</v>
      </c>
      <c r="F292" s="223">
        <f t="shared" si="511"/>
        <v>0.38</v>
      </c>
      <c r="G292" s="223"/>
      <c r="H292" s="223">
        <f t="shared" si="478"/>
        <v>1.9</v>
      </c>
      <c r="I292" s="559">
        <f t="shared" si="479"/>
        <v>48</v>
      </c>
      <c r="J292" s="454">
        <f t="shared" si="480"/>
        <v>15.75</v>
      </c>
      <c r="K292" s="454">
        <f t="shared" si="481"/>
        <v>63.75</v>
      </c>
      <c r="L292" s="454"/>
      <c r="M292" s="223">
        <f t="shared" si="482"/>
        <v>0.24705882352941178</v>
      </c>
      <c r="N292" s="178">
        <f t="shared" si="483"/>
        <v>4.0023529411764711</v>
      </c>
      <c r="O292" s="178">
        <f t="shared" si="475"/>
        <v>1.9</v>
      </c>
      <c r="P292" s="223">
        <f t="shared" si="484"/>
        <v>0.80047058823529427</v>
      </c>
      <c r="Q292" s="223">
        <f t="shared" si="485"/>
        <v>5</v>
      </c>
      <c r="R292" s="223"/>
      <c r="S292" s="178">
        <f t="shared" si="486"/>
        <v>26.779565050457133</v>
      </c>
      <c r="T292" s="178">
        <f t="shared" si="487"/>
        <v>5</v>
      </c>
      <c r="U292" s="223">
        <f t="shared" si="488"/>
        <v>0.35604056437389764</v>
      </c>
      <c r="V292" s="223">
        <f t="shared" si="489"/>
        <v>0.32637051734273947</v>
      </c>
      <c r="W292" s="223">
        <f t="shared" si="490"/>
        <v>0.99465300523501576</v>
      </c>
      <c r="X292" s="203">
        <f t="shared" si="491"/>
        <v>350</v>
      </c>
      <c r="Y292" s="454">
        <f t="shared" si="477"/>
        <v>350</v>
      </c>
      <c r="AA292" s="223">
        <f t="shared" si="492"/>
        <v>0.77005347593582896</v>
      </c>
      <c r="AB292" s="179">
        <f t="shared" si="493"/>
        <v>2.151260504201681</v>
      </c>
      <c r="AC292" s="179">
        <f t="shared" si="494"/>
        <v>0.86970745517458337</v>
      </c>
      <c r="AD292" s="179"/>
      <c r="AE292" s="179">
        <f t="shared" si="495"/>
        <v>0.419047619047619</v>
      </c>
      <c r="AF292" s="563">
        <f t="shared" si="496"/>
        <v>4030.3030303030314</v>
      </c>
      <c r="AG292" s="546">
        <f t="shared" si="497"/>
        <v>3.2999999999999995E-2</v>
      </c>
      <c r="AI292" s="179">
        <f t="shared" si="498"/>
        <v>0.50900973378797887</v>
      </c>
      <c r="AJ292" s="179">
        <f t="shared" si="499"/>
        <v>0.50900973378797887</v>
      </c>
      <c r="AK292" s="179">
        <f t="shared" si="500"/>
        <v>1.4659331361392436</v>
      </c>
      <c r="AM292" s="563">
        <f t="shared" si="501"/>
        <v>380</v>
      </c>
      <c r="AN292" s="472">
        <f t="shared" si="502"/>
        <v>350</v>
      </c>
      <c r="AP292">
        <f t="shared" si="503"/>
        <v>380</v>
      </c>
      <c r="AQ292">
        <f t="shared" si="504"/>
        <v>350</v>
      </c>
      <c r="AS292" s="6">
        <f t="shared" si="476"/>
        <v>2.8571428571428572</v>
      </c>
      <c r="AT292" s="6">
        <f t="shared" si="505"/>
        <v>0.46659225597231391</v>
      </c>
      <c r="AU292" s="6">
        <f t="shared" si="438"/>
        <v>2.3905506011705433</v>
      </c>
      <c r="AV292" s="6"/>
      <c r="AW292" s="179">
        <f t="shared" si="439"/>
        <v>0.16330728959030985</v>
      </c>
      <c r="AX292" s="179"/>
      <c r="BA292" s="472">
        <f t="shared" si="506"/>
        <v>19.245051903114188</v>
      </c>
      <c r="BB292" s="472">
        <f t="shared" si="507"/>
        <v>5.2603232121749404</v>
      </c>
      <c r="BC292" s="6">
        <f t="shared" si="440"/>
        <v>8.7616630829938882E-2</v>
      </c>
      <c r="BD292" s="563">
        <f t="shared" si="508"/>
        <v>0</v>
      </c>
      <c r="CF292" s="581">
        <f t="shared" si="509"/>
        <v>-50</v>
      </c>
      <c r="CG292">
        <f t="shared" si="510"/>
        <v>-50</v>
      </c>
    </row>
    <row r="293" spans="5:85" x14ac:dyDescent="0.2">
      <c r="E293" s="176">
        <v>77</v>
      </c>
      <c r="F293" s="223">
        <f t="shared" si="511"/>
        <v>0.38500000000000001</v>
      </c>
      <c r="G293" s="223"/>
      <c r="H293" s="223">
        <f t="shared" si="478"/>
        <v>1.925</v>
      </c>
      <c r="I293" s="559">
        <f t="shared" si="479"/>
        <v>48</v>
      </c>
      <c r="J293" s="454">
        <f t="shared" si="480"/>
        <v>15.75</v>
      </c>
      <c r="K293" s="454">
        <f t="shared" si="481"/>
        <v>63.75</v>
      </c>
      <c r="L293" s="454"/>
      <c r="M293" s="223">
        <f t="shared" si="482"/>
        <v>0.24705882352941178</v>
      </c>
      <c r="N293" s="178">
        <f t="shared" si="483"/>
        <v>4.0023529411764711</v>
      </c>
      <c r="O293" s="178">
        <f t="shared" si="475"/>
        <v>1.925</v>
      </c>
      <c r="P293" s="223">
        <f t="shared" si="484"/>
        <v>0.80047058823529427</v>
      </c>
      <c r="Q293" s="223">
        <f t="shared" si="485"/>
        <v>5</v>
      </c>
      <c r="R293" s="223"/>
      <c r="S293" s="178">
        <f t="shared" si="486"/>
        <v>26.228985268577908</v>
      </c>
      <c r="T293" s="178">
        <f t="shared" si="487"/>
        <v>5</v>
      </c>
      <c r="U293" s="223">
        <f t="shared" si="488"/>
        <v>0.36072530864197527</v>
      </c>
      <c r="V293" s="223">
        <f t="shared" si="489"/>
        <v>0.33066486625514402</v>
      </c>
      <c r="W293" s="223">
        <f t="shared" si="490"/>
        <v>1.0077405447775818</v>
      </c>
      <c r="X293" s="203">
        <f t="shared" si="491"/>
        <v>350</v>
      </c>
      <c r="Y293" s="454">
        <f t="shared" si="477"/>
        <v>350</v>
      </c>
      <c r="AA293" s="223">
        <f t="shared" si="492"/>
        <v>0.77005347593582896</v>
      </c>
      <c r="AB293" s="179">
        <f t="shared" si="493"/>
        <v>2.151260504201681</v>
      </c>
      <c r="AC293" s="179">
        <f t="shared" si="494"/>
        <v>0.86970745517458337</v>
      </c>
      <c r="AD293" s="179"/>
      <c r="AE293" s="179">
        <f t="shared" si="495"/>
        <v>0.419047619047619</v>
      </c>
      <c r="AF293" s="563">
        <f t="shared" si="496"/>
        <v>4083.3333333333344</v>
      </c>
      <c r="AG293" s="546">
        <f t="shared" si="497"/>
        <v>3.2999999999999995E-2</v>
      </c>
      <c r="AI293" s="179">
        <f t="shared" si="498"/>
        <v>0.51234753829797997</v>
      </c>
      <c r="AJ293" s="179">
        <f t="shared" si="499"/>
        <v>0.51234753829797997</v>
      </c>
      <c r="AK293" s="179">
        <f t="shared" si="500"/>
        <v>1.4684055839244294</v>
      </c>
      <c r="AM293" s="563">
        <f t="shared" si="501"/>
        <v>385</v>
      </c>
      <c r="AN293" s="472">
        <f t="shared" si="502"/>
        <v>350</v>
      </c>
      <c r="AP293">
        <f t="shared" si="503"/>
        <v>385</v>
      </c>
      <c r="AQ293">
        <f t="shared" si="504"/>
        <v>350</v>
      </c>
      <c r="AS293" s="6">
        <f t="shared" si="476"/>
        <v>2.8571428571428572</v>
      </c>
      <c r="AT293" s="6">
        <f t="shared" si="505"/>
        <v>0.46965191010648161</v>
      </c>
      <c r="AU293" s="6">
        <f t="shared" si="438"/>
        <v>2.3874909470363757</v>
      </c>
      <c r="AV293" s="6"/>
      <c r="AW293" s="179">
        <f t="shared" si="439"/>
        <v>0.16437816853726855</v>
      </c>
      <c r="AX293" s="179"/>
      <c r="BA293" s="472">
        <f t="shared" si="506"/>
        <v>19.245051903114188</v>
      </c>
      <c r="BB293" s="472">
        <f t="shared" si="507"/>
        <v>5.3844661227467494</v>
      </c>
      <c r="BC293" s="6">
        <f t="shared" si="440"/>
        <v>8.8655865606578357E-2</v>
      </c>
      <c r="BD293" s="563">
        <f t="shared" si="508"/>
        <v>0</v>
      </c>
      <c r="CF293" s="581">
        <f t="shared" si="509"/>
        <v>-50</v>
      </c>
      <c r="CG293">
        <f t="shared" si="510"/>
        <v>-50</v>
      </c>
    </row>
    <row r="294" spans="5:85" x14ac:dyDescent="0.2">
      <c r="E294" s="176">
        <v>78</v>
      </c>
      <c r="F294" s="223">
        <f t="shared" si="511"/>
        <v>0.39</v>
      </c>
      <c r="G294" s="223"/>
      <c r="H294" s="223">
        <f t="shared" si="478"/>
        <v>1.9500000000000002</v>
      </c>
      <c r="I294" s="559">
        <f t="shared" si="479"/>
        <v>48</v>
      </c>
      <c r="J294" s="454">
        <f t="shared" si="480"/>
        <v>15.75</v>
      </c>
      <c r="K294" s="454">
        <f t="shared" si="481"/>
        <v>63.75</v>
      </c>
      <c r="L294" s="454"/>
      <c r="M294" s="223">
        <f t="shared" si="482"/>
        <v>0.24705882352941178</v>
      </c>
      <c r="N294" s="178">
        <f t="shared" si="483"/>
        <v>4.0023529411764711</v>
      </c>
      <c r="O294" s="178">
        <f t="shared" si="475"/>
        <v>1.9500000000000002</v>
      </c>
      <c r="P294" s="223">
        <f t="shared" si="484"/>
        <v>0.80047058823529427</v>
      </c>
      <c r="Q294" s="223">
        <f t="shared" si="485"/>
        <v>5</v>
      </c>
      <c r="R294" s="223"/>
      <c r="S294" s="178">
        <f t="shared" si="486"/>
        <v>25.69264780464842</v>
      </c>
      <c r="T294" s="178">
        <f t="shared" si="487"/>
        <v>5</v>
      </c>
      <c r="U294" s="223">
        <f t="shared" si="488"/>
        <v>0.36541005291005291</v>
      </c>
      <c r="V294" s="223">
        <f t="shared" si="489"/>
        <v>0.33495921516754851</v>
      </c>
      <c r="W294" s="223">
        <f t="shared" si="490"/>
        <v>1.0208280843201478</v>
      </c>
      <c r="X294" s="203">
        <f t="shared" si="491"/>
        <v>350</v>
      </c>
      <c r="Y294" s="454">
        <f t="shared" si="477"/>
        <v>350</v>
      </c>
      <c r="AA294" s="223">
        <f t="shared" si="492"/>
        <v>0.77005347593582896</v>
      </c>
      <c r="AB294" s="179">
        <f t="shared" si="493"/>
        <v>2.151260504201681</v>
      </c>
      <c r="AC294" s="179">
        <f t="shared" si="494"/>
        <v>0.86970745517458337</v>
      </c>
      <c r="AD294" s="179"/>
      <c r="AE294" s="179">
        <f t="shared" si="495"/>
        <v>0.419047619047619</v>
      </c>
      <c r="AF294" s="563">
        <f t="shared" si="496"/>
        <v>4136.3636363636369</v>
      </c>
      <c r="AG294" s="546">
        <f t="shared" si="497"/>
        <v>3.2999999999999995E-2</v>
      </c>
      <c r="AI294" s="179">
        <f t="shared" si="498"/>
        <v>0.51566373821424638</v>
      </c>
      <c r="AJ294" s="179">
        <f t="shared" si="499"/>
        <v>0.51566373821424638</v>
      </c>
      <c r="AK294" s="179">
        <f t="shared" si="500"/>
        <v>1.4708620283068492</v>
      </c>
      <c r="AM294" s="563">
        <f t="shared" si="501"/>
        <v>390</v>
      </c>
      <c r="AN294" s="472">
        <f t="shared" si="502"/>
        <v>350</v>
      </c>
      <c r="AP294">
        <f t="shared" si="503"/>
        <v>390</v>
      </c>
      <c r="AQ294">
        <f t="shared" si="504"/>
        <v>350</v>
      </c>
      <c r="AS294" s="6">
        <f t="shared" si="476"/>
        <v>2.8571428571428572</v>
      </c>
      <c r="AT294" s="6">
        <f t="shared" si="505"/>
        <v>0.47269176002972585</v>
      </c>
      <c r="AU294" s="6">
        <f t="shared" si="438"/>
        <v>2.3844510971131312</v>
      </c>
      <c r="AV294" s="6"/>
      <c r="AW294" s="179">
        <f t="shared" si="439"/>
        <v>0.16544211601040404</v>
      </c>
      <c r="AX294" s="179"/>
      <c r="BA294" s="472">
        <f t="shared" si="506"/>
        <v>19.245051903114188</v>
      </c>
      <c r="BB294" s="472">
        <f t="shared" si="507"/>
        <v>5.5100357380319149</v>
      </c>
      <c r="BC294" s="6">
        <f t="shared" si="440"/>
        <v>8.9692894277982355E-2</v>
      </c>
      <c r="BD294" s="563">
        <f t="shared" si="508"/>
        <v>0</v>
      </c>
      <c r="CF294" s="581">
        <f t="shared" si="509"/>
        <v>-50</v>
      </c>
      <c r="CG294">
        <f t="shared" si="510"/>
        <v>-50</v>
      </c>
    </row>
    <row r="295" spans="5:85" x14ac:dyDescent="0.2">
      <c r="E295" s="176">
        <v>79</v>
      </c>
      <c r="F295" s="223">
        <f t="shared" si="511"/>
        <v>0.39500000000000002</v>
      </c>
      <c r="G295" s="223"/>
      <c r="H295" s="223">
        <f t="shared" si="478"/>
        <v>1.9750000000000001</v>
      </c>
      <c r="I295" s="559">
        <f t="shared" si="479"/>
        <v>48</v>
      </c>
      <c r="J295" s="454">
        <f t="shared" si="480"/>
        <v>15.75</v>
      </c>
      <c r="K295" s="454">
        <f t="shared" si="481"/>
        <v>63.75</v>
      </c>
      <c r="L295" s="454"/>
      <c r="M295" s="223">
        <f t="shared" si="482"/>
        <v>0.24705882352941178</v>
      </c>
      <c r="N295" s="178">
        <f t="shared" si="483"/>
        <v>4.0023529411764711</v>
      </c>
      <c r="O295" s="178">
        <f t="shared" si="475"/>
        <v>1.9750000000000001</v>
      </c>
      <c r="P295" s="223">
        <f t="shared" si="484"/>
        <v>0.80047058823529427</v>
      </c>
      <c r="Q295" s="223">
        <f t="shared" si="485"/>
        <v>5</v>
      </c>
      <c r="R295" s="223"/>
      <c r="S295" s="178">
        <f t="shared" si="486"/>
        <v>25.170014550053342</v>
      </c>
      <c r="T295" s="178">
        <f t="shared" si="487"/>
        <v>5</v>
      </c>
      <c r="U295" s="223">
        <f t="shared" si="488"/>
        <v>0.37009479717813049</v>
      </c>
      <c r="V295" s="223">
        <f t="shared" si="489"/>
        <v>0.33925356407995289</v>
      </c>
      <c r="W295" s="223">
        <f t="shared" si="490"/>
        <v>1.0339156238627136</v>
      </c>
      <c r="X295" s="203">
        <f t="shared" si="491"/>
        <v>350</v>
      </c>
      <c r="Y295" s="454">
        <f t="shared" si="477"/>
        <v>350</v>
      </c>
      <c r="AA295" s="223">
        <f t="shared" si="492"/>
        <v>0.77005347593582896</v>
      </c>
      <c r="AB295" s="179">
        <f t="shared" si="493"/>
        <v>2.151260504201681</v>
      </c>
      <c r="AC295" s="179">
        <f t="shared" si="494"/>
        <v>0.86970745517458337</v>
      </c>
      <c r="AD295" s="179"/>
      <c r="AE295" s="179">
        <f t="shared" si="495"/>
        <v>0.419047619047619</v>
      </c>
      <c r="AF295" s="563">
        <f t="shared" si="496"/>
        <v>4189.3939393939399</v>
      </c>
      <c r="AG295" s="546">
        <f t="shared" si="497"/>
        <v>3.2999999999999995E-2</v>
      </c>
      <c r="AI295" s="179">
        <f t="shared" si="498"/>
        <v>0.51895874770368966</v>
      </c>
      <c r="AJ295" s="179">
        <f t="shared" si="499"/>
        <v>0.51895874770368966</v>
      </c>
      <c r="AK295" s="179">
        <f t="shared" si="500"/>
        <v>1.4733027760768072</v>
      </c>
      <c r="AM295" s="563">
        <f t="shared" si="501"/>
        <v>395</v>
      </c>
      <c r="AN295" s="472">
        <f t="shared" si="502"/>
        <v>350</v>
      </c>
      <c r="AP295">
        <f t="shared" si="503"/>
        <v>395</v>
      </c>
      <c r="AQ295">
        <f t="shared" si="504"/>
        <v>350</v>
      </c>
      <c r="AS295" s="6">
        <f t="shared" si="476"/>
        <v>2.8571428571428572</v>
      </c>
      <c r="AT295" s="6">
        <f t="shared" si="505"/>
        <v>0.47571218539504884</v>
      </c>
      <c r="AU295" s="6">
        <f t="shared" si="438"/>
        <v>2.3814306717478084</v>
      </c>
      <c r="AV295" s="6"/>
      <c r="AW295" s="179">
        <f t="shared" si="439"/>
        <v>0.16649926488826708</v>
      </c>
      <c r="AX295" s="179"/>
      <c r="BA295" s="472">
        <f t="shared" si="506"/>
        <v>19.245051903114188</v>
      </c>
      <c r="BB295" s="472">
        <f t="shared" si="507"/>
        <v>5.6370320580304369</v>
      </c>
      <c r="BC295" s="6">
        <f t="shared" si="440"/>
        <v>9.0727731032058667E-2</v>
      </c>
      <c r="BD295" s="563">
        <f t="shared" si="508"/>
        <v>0</v>
      </c>
      <c r="CF295" s="581">
        <f t="shared" si="509"/>
        <v>-50</v>
      </c>
      <c r="CG295">
        <f t="shared" si="510"/>
        <v>-50</v>
      </c>
    </row>
    <row r="296" spans="5:85" x14ac:dyDescent="0.2">
      <c r="E296" s="176">
        <v>80</v>
      </c>
      <c r="F296" s="223">
        <f t="shared" si="511"/>
        <v>0.4</v>
      </c>
      <c r="G296" s="223"/>
      <c r="H296" s="223">
        <f t="shared" si="478"/>
        <v>2</v>
      </c>
      <c r="I296" s="559">
        <f t="shared" si="479"/>
        <v>48</v>
      </c>
      <c r="J296" s="454">
        <f t="shared" si="480"/>
        <v>15.75</v>
      </c>
      <c r="K296" s="454">
        <f t="shared" si="481"/>
        <v>63.75</v>
      </c>
      <c r="L296" s="454"/>
      <c r="M296" s="223">
        <f t="shared" si="482"/>
        <v>0.24705882352941178</v>
      </c>
      <c r="N296" s="178">
        <f t="shared" si="483"/>
        <v>4.0023529411764711</v>
      </c>
      <c r="O296" s="178">
        <f t="shared" si="475"/>
        <v>2</v>
      </c>
      <c r="P296" s="223">
        <f t="shared" si="484"/>
        <v>0.80047058823529427</v>
      </c>
      <c r="Q296" s="223">
        <f t="shared" si="485"/>
        <v>5</v>
      </c>
      <c r="R296" s="223"/>
      <c r="S296" s="178">
        <f t="shared" si="486"/>
        <v>24.660574378543643</v>
      </c>
      <c r="T296" s="178">
        <f t="shared" si="487"/>
        <v>5</v>
      </c>
      <c r="U296" s="223">
        <f t="shared" si="488"/>
        <v>0.37477954144620806</v>
      </c>
      <c r="V296" s="223">
        <f t="shared" si="489"/>
        <v>0.34354791299235743</v>
      </c>
      <c r="W296" s="223">
        <f t="shared" si="490"/>
        <v>1.0470031634052797</v>
      </c>
      <c r="X296" s="203">
        <f t="shared" si="491"/>
        <v>350</v>
      </c>
      <c r="Y296" s="454">
        <f t="shared" si="477"/>
        <v>350</v>
      </c>
      <c r="AA296" s="223">
        <f t="shared" si="492"/>
        <v>0.77005347593582896</v>
      </c>
      <c r="AB296" s="179">
        <f t="shared" si="493"/>
        <v>2.151260504201681</v>
      </c>
      <c r="AC296" s="179">
        <f t="shared" si="494"/>
        <v>0.86970745517458337</v>
      </c>
      <c r="AD296" s="179"/>
      <c r="AE296" s="179">
        <f t="shared" si="495"/>
        <v>0.419047619047619</v>
      </c>
      <c r="AF296" s="563">
        <f t="shared" si="496"/>
        <v>4242.4242424242429</v>
      </c>
      <c r="AG296" s="546">
        <f t="shared" si="497"/>
        <v>3.2999999999999995E-2</v>
      </c>
      <c r="AI296" s="179">
        <f t="shared" si="498"/>
        <v>0.5222329678670935</v>
      </c>
      <c r="AJ296" s="179">
        <f t="shared" si="499"/>
        <v>0.5222329678670935</v>
      </c>
      <c r="AK296" s="179">
        <f t="shared" si="500"/>
        <v>1.4757281243459952</v>
      </c>
      <c r="AM296" s="563">
        <f t="shared" si="501"/>
        <v>400</v>
      </c>
      <c r="AN296" s="472">
        <f t="shared" si="502"/>
        <v>350</v>
      </c>
      <c r="AP296">
        <f t="shared" si="503"/>
        <v>400</v>
      </c>
      <c r="AQ296">
        <f t="shared" si="504"/>
        <v>350</v>
      </c>
      <c r="AS296" s="6">
        <f t="shared" si="476"/>
        <v>2.8571428571428572</v>
      </c>
      <c r="AT296" s="6">
        <f t="shared" si="505"/>
        <v>0.47871355387816905</v>
      </c>
      <c r="AU296" s="6">
        <f t="shared" si="438"/>
        <v>2.3784293032646882</v>
      </c>
      <c r="AV296" s="6"/>
      <c r="AW296" s="179">
        <f t="shared" si="439"/>
        <v>0.16754974385735916</v>
      </c>
      <c r="AX296" s="179"/>
      <c r="BA296" s="472">
        <f t="shared" si="506"/>
        <v>19.245051903114188</v>
      </c>
      <c r="BB296" s="472">
        <f t="shared" si="507"/>
        <v>5.7654550827423172</v>
      </c>
      <c r="BC296" s="6">
        <f t="shared" si="440"/>
        <v>9.1760389786446309E-2</v>
      </c>
      <c r="BD296" s="563">
        <f t="shared" si="508"/>
        <v>0</v>
      </c>
      <c r="CF296" s="581">
        <f t="shared" si="509"/>
        <v>-50</v>
      </c>
      <c r="CG296">
        <f t="shared" si="510"/>
        <v>-50</v>
      </c>
    </row>
    <row r="297" spans="5:85" x14ac:dyDescent="0.2">
      <c r="E297" s="176">
        <v>81</v>
      </c>
      <c r="F297" s="223">
        <f t="shared" si="511"/>
        <v>0.40500000000000003</v>
      </c>
      <c r="G297" s="223"/>
      <c r="H297" s="223">
        <f t="shared" si="478"/>
        <v>2.0250000000000004</v>
      </c>
      <c r="I297" s="559">
        <f t="shared" si="479"/>
        <v>48</v>
      </c>
      <c r="J297" s="454">
        <f t="shared" si="480"/>
        <v>15.75</v>
      </c>
      <c r="K297" s="454">
        <f t="shared" si="481"/>
        <v>63.75</v>
      </c>
      <c r="L297" s="454"/>
      <c r="M297" s="223">
        <f t="shared" si="482"/>
        <v>0.24705882352941178</v>
      </c>
      <c r="N297" s="178">
        <f t="shared" si="483"/>
        <v>4.0023529411764711</v>
      </c>
      <c r="O297" s="178">
        <f t="shared" si="475"/>
        <v>2.0250000000000004</v>
      </c>
      <c r="P297" s="223">
        <f t="shared" si="484"/>
        <v>0.80047058823529427</v>
      </c>
      <c r="Q297" s="223">
        <f t="shared" si="485"/>
        <v>5</v>
      </c>
      <c r="R297" s="223"/>
      <c r="S297" s="178">
        <f t="shared" si="486"/>
        <v>24.163841483231849</v>
      </c>
      <c r="T297" s="178">
        <f t="shared" si="487"/>
        <v>5</v>
      </c>
      <c r="U297" s="223">
        <f t="shared" si="488"/>
        <v>0.37946428571428575</v>
      </c>
      <c r="V297" s="223">
        <f t="shared" si="489"/>
        <v>0.34784226190476197</v>
      </c>
      <c r="W297" s="223">
        <f t="shared" si="490"/>
        <v>1.0600907029478459</v>
      </c>
      <c r="X297" s="203">
        <f t="shared" si="491"/>
        <v>350</v>
      </c>
      <c r="Y297" s="454">
        <f t="shared" si="477"/>
        <v>350</v>
      </c>
      <c r="AA297" s="223">
        <f t="shared" si="492"/>
        <v>0.77005347593582896</v>
      </c>
      <c r="AB297" s="179">
        <f t="shared" si="493"/>
        <v>2.151260504201681</v>
      </c>
      <c r="AC297" s="179">
        <f t="shared" si="494"/>
        <v>0.86970745517458337</v>
      </c>
      <c r="AD297" s="179"/>
      <c r="AE297" s="179">
        <f t="shared" si="495"/>
        <v>0.419047619047619</v>
      </c>
      <c r="AF297" s="563">
        <f t="shared" si="496"/>
        <v>4295.4545454545469</v>
      </c>
      <c r="AG297" s="546">
        <f t="shared" si="497"/>
        <v>3.2999999999999995E-2</v>
      </c>
      <c r="AI297" s="179">
        <f t="shared" si="498"/>
        <v>0.52548678730902798</v>
      </c>
      <c r="AJ297" s="179">
        <f t="shared" si="499"/>
        <v>0.52548678730902798</v>
      </c>
      <c r="AK297" s="179">
        <f t="shared" si="500"/>
        <v>1.4781383609696503</v>
      </c>
      <c r="AM297" s="563">
        <f t="shared" si="501"/>
        <v>405</v>
      </c>
      <c r="AN297" s="472">
        <f t="shared" si="502"/>
        <v>350</v>
      </c>
      <c r="AP297">
        <f t="shared" si="503"/>
        <v>405</v>
      </c>
      <c r="AQ297">
        <f t="shared" si="504"/>
        <v>350</v>
      </c>
      <c r="AS297" s="6">
        <f t="shared" si="476"/>
        <v>2.8571428571428572</v>
      </c>
      <c r="AT297" s="6">
        <f t="shared" si="505"/>
        <v>0.48169622169994231</v>
      </c>
      <c r="AU297" s="6">
        <f t="shared" si="438"/>
        <v>2.3754466354429149</v>
      </c>
      <c r="AV297" s="6"/>
      <c r="AW297" s="179">
        <f t="shared" si="439"/>
        <v>0.16859367759497981</v>
      </c>
      <c r="AX297" s="179"/>
      <c r="BA297" s="472">
        <f t="shared" si="506"/>
        <v>19.245051903114188</v>
      </c>
      <c r="BB297" s="472">
        <f t="shared" si="507"/>
        <v>5.895304812167554</v>
      </c>
      <c r="BC297" s="6">
        <f t="shared" si="440"/>
        <v>9.2790884196988874E-2</v>
      </c>
      <c r="BD297" s="563">
        <f t="shared" si="508"/>
        <v>0</v>
      </c>
      <c r="CF297" s="581">
        <f t="shared" si="509"/>
        <v>-50</v>
      </c>
      <c r="CG297">
        <f t="shared" si="510"/>
        <v>-50</v>
      </c>
    </row>
    <row r="298" spans="5:85" x14ac:dyDescent="0.2">
      <c r="E298" s="176">
        <v>82</v>
      </c>
      <c r="F298" s="223">
        <f t="shared" si="511"/>
        <v>0.41</v>
      </c>
      <c r="G298" s="223"/>
      <c r="H298" s="223">
        <f t="shared" si="478"/>
        <v>2.0499999999999998</v>
      </c>
      <c r="I298" s="559">
        <f t="shared" si="479"/>
        <v>48</v>
      </c>
      <c r="J298" s="454">
        <f t="shared" si="480"/>
        <v>15.75</v>
      </c>
      <c r="K298" s="454">
        <f t="shared" si="481"/>
        <v>63.75</v>
      </c>
      <c r="L298" s="454"/>
      <c r="M298" s="223">
        <f t="shared" si="482"/>
        <v>0.24705882352941178</v>
      </c>
      <c r="N298" s="178">
        <f t="shared" si="483"/>
        <v>4.0023529411764711</v>
      </c>
      <c r="O298" s="178">
        <f t="shared" si="475"/>
        <v>2.0499999999999998</v>
      </c>
      <c r="P298" s="223">
        <f t="shared" si="484"/>
        <v>0.80047058823529427</v>
      </c>
      <c r="Q298" s="223">
        <f t="shared" si="485"/>
        <v>5</v>
      </c>
      <c r="R298" s="223"/>
      <c r="S298" s="178">
        <f t="shared" si="486"/>
        <v>23.67935383536738</v>
      </c>
      <c r="T298" s="178">
        <f t="shared" si="487"/>
        <v>5</v>
      </c>
      <c r="U298" s="223">
        <f t="shared" si="488"/>
        <v>0.38414902998236328</v>
      </c>
      <c r="V298" s="223">
        <f t="shared" si="489"/>
        <v>0.3521366108171663</v>
      </c>
      <c r="W298" s="223">
        <f t="shared" si="490"/>
        <v>1.0731782424904115</v>
      </c>
      <c r="X298" s="203">
        <f t="shared" si="491"/>
        <v>350</v>
      </c>
      <c r="Y298" s="454">
        <f t="shared" si="477"/>
        <v>350</v>
      </c>
      <c r="AA298" s="223">
        <f t="shared" si="492"/>
        <v>0.77005347593582896</v>
      </c>
      <c r="AB298" s="179">
        <f t="shared" si="493"/>
        <v>2.151260504201681</v>
      </c>
      <c r="AC298" s="179">
        <f t="shared" si="494"/>
        <v>0.86970745517458337</v>
      </c>
      <c r="AD298" s="179"/>
      <c r="AE298" s="179">
        <f t="shared" si="495"/>
        <v>0.419047619047619</v>
      </c>
      <c r="AF298" s="563">
        <f t="shared" si="496"/>
        <v>4348.484848484849</v>
      </c>
      <c r="AG298" s="546">
        <f t="shared" si="497"/>
        <v>3.2999999999999995E-2</v>
      </c>
      <c r="AI298" s="179">
        <f t="shared" si="498"/>
        <v>0.52872058267619437</v>
      </c>
      <c r="AJ298" s="179">
        <f t="shared" si="499"/>
        <v>0.52872058267619437</v>
      </c>
      <c r="AK298" s="179">
        <f t="shared" si="500"/>
        <v>1.4805337649453292</v>
      </c>
      <c r="AM298" s="563">
        <f t="shared" si="501"/>
        <v>410</v>
      </c>
      <c r="AN298" s="472">
        <f t="shared" si="502"/>
        <v>350</v>
      </c>
      <c r="AP298">
        <f t="shared" si="503"/>
        <v>410</v>
      </c>
      <c r="AQ298">
        <f t="shared" si="504"/>
        <v>350</v>
      </c>
      <c r="AS298" s="6">
        <f t="shared" si="476"/>
        <v>2.8571428571428572</v>
      </c>
      <c r="AT298" s="6">
        <f t="shared" si="505"/>
        <v>0.48466053411984489</v>
      </c>
      <c r="AU298" s="6">
        <f t="shared" ref="AU298:AU316" si="512">AS298-AT298</f>
        <v>2.3724823230230125</v>
      </c>
      <c r="AV298" s="6"/>
      <c r="AW298" s="179">
        <f t="shared" ref="AW298:AW316" si="513">AT298/AS298</f>
        <v>0.16963118694194571</v>
      </c>
      <c r="AX298" s="179"/>
      <c r="BA298" s="472">
        <f t="shared" si="506"/>
        <v>19.245051903114188</v>
      </c>
      <c r="BB298" s="472">
        <f t="shared" si="507"/>
        <v>6.0265812463061454</v>
      </c>
      <c r="BC298" s="6">
        <f t="shared" si="440"/>
        <v>9.3819227665840554E-2</v>
      </c>
      <c r="BD298" s="563">
        <f t="shared" si="508"/>
        <v>0</v>
      </c>
      <c r="CF298" s="581">
        <f t="shared" si="509"/>
        <v>-50</v>
      </c>
      <c r="CG298">
        <f t="shared" si="510"/>
        <v>-50</v>
      </c>
    </row>
    <row r="299" spans="5:85" x14ac:dyDescent="0.2">
      <c r="E299" s="176">
        <v>83</v>
      </c>
      <c r="F299" s="223">
        <f t="shared" si="511"/>
        <v>0.41499999999999998</v>
      </c>
      <c r="G299" s="223"/>
      <c r="H299" s="223">
        <f t="shared" si="478"/>
        <v>2.0749999999999997</v>
      </c>
      <c r="I299" s="559">
        <f t="shared" si="479"/>
        <v>48</v>
      </c>
      <c r="J299" s="454">
        <f t="shared" si="480"/>
        <v>15.75</v>
      </c>
      <c r="K299" s="454">
        <f t="shared" si="481"/>
        <v>63.75</v>
      </c>
      <c r="L299" s="454"/>
      <c r="M299" s="223">
        <f t="shared" si="482"/>
        <v>0.24705882352941178</v>
      </c>
      <c r="N299" s="178">
        <f t="shared" si="483"/>
        <v>4.0023529411764711</v>
      </c>
      <c r="O299" s="178">
        <f t="shared" si="475"/>
        <v>2.0749999999999997</v>
      </c>
      <c r="P299" s="223">
        <f t="shared" si="484"/>
        <v>0.80047058823529427</v>
      </c>
      <c r="Q299" s="223">
        <f t="shared" si="485"/>
        <v>5</v>
      </c>
      <c r="R299" s="223"/>
      <c r="S299" s="178">
        <f t="shared" si="486"/>
        <v>23.206671754625521</v>
      </c>
      <c r="T299" s="178">
        <f t="shared" si="487"/>
        <v>5</v>
      </c>
      <c r="U299" s="223">
        <f t="shared" si="488"/>
        <v>0.38883377425044086</v>
      </c>
      <c r="V299" s="223">
        <f t="shared" si="489"/>
        <v>0.35643095972957078</v>
      </c>
      <c r="W299" s="223">
        <f t="shared" si="490"/>
        <v>1.0862657820329775</v>
      </c>
      <c r="X299" s="203">
        <f t="shared" si="491"/>
        <v>350</v>
      </c>
      <c r="Y299" s="454">
        <f t="shared" si="477"/>
        <v>350</v>
      </c>
      <c r="AA299" s="223">
        <f t="shared" si="492"/>
        <v>0.77005347593582896</v>
      </c>
      <c r="AB299" s="179">
        <f t="shared" si="493"/>
        <v>2.151260504201681</v>
      </c>
      <c r="AC299" s="179">
        <f t="shared" si="494"/>
        <v>0.86970745517458337</v>
      </c>
      <c r="AD299" s="179"/>
      <c r="AE299" s="179">
        <f t="shared" si="495"/>
        <v>0.419047619047619</v>
      </c>
      <c r="AF299" s="563">
        <f t="shared" si="496"/>
        <v>4401.515151515152</v>
      </c>
      <c r="AG299" s="546">
        <f t="shared" si="497"/>
        <v>3.2999999999999995E-2</v>
      </c>
      <c r="AI299" s="179">
        <f t="shared" si="498"/>
        <v>0.53193471916631407</v>
      </c>
      <c r="AJ299" s="179">
        <f t="shared" si="499"/>
        <v>0.53193471916631407</v>
      </c>
      <c r="AK299" s="179">
        <f t="shared" si="500"/>
        <v>1.4829146067898622</v>
      </c>
      <c r="AM299" s="563">
        <f t="shared" si="501"/>
        <v>415</v>
      </c>
      <c r="AN299" s="472">
        <f t="shared" si="502"/>
        <v>350</v>
      </c>
      <c r="AP299">
        <f t="shared" si="503"/>
        <v>415</v>
      </c>
      <c r="AQ299">
        <f t="shared" si="504"/>
        <v>350</v>
      </c>
      <c r="AS299" s="6">
        <f t="shared" si="476"/>
        <v>2.8571428571428572</v>
      </c>
      <c r="AT299" s="6">
        <f t="shared" si="505"/>
        <v>0.48760682590245452</v>
      </c>
      <c r="AU299" s="6">
        <f t="shared" si="512"/>
        <v>2.3695360312404028</v>
      </c>
      <c r="AV299" s="6"/>
      <c r="AW299" s="179">
        <f t="shared" si="513"/>
        <v>0.17066238906585907</v>
      </c>
      <c r="AX299" s="179"/>
      <c r="BA299" s="472">
        <f t="shared" si="506"/>
        <v>19.245051903114188</v>
      </c>
      <c r="BB299" s="472">
        <f t="shared" si="507"/>
        <v>6.159284385158097</v>
      </c>
      <c r="BC299" s="6">
        <f t="shared" si="440"/>
        <v>9.4845433349225211E-2</v>
      </c>
      <c r="BD299" s="563">
        <f t="shared" si="508"/>
        <v>0</v>
      </c>
      <c r="CF299" s="581">
        <f t="shared" si="509"/>
        <v>-50</v>
      </c>
      <c r="CG299">
        <f t="shared" si="510"/>
        <v>-50</v>
      </c>
    </row>
    <row r="300" spans="5:85" x14ac:dyDescent="0.2">
      <c r="E300" s="176">
        <v>84</v>
      </c>
      <c r="F300" s="223">
        <f t="shared" si="511"/>
        <v>0.42</v>
      </c>
      <c r="G300" s="223"/>
      <c r="H300" s="223">
        <f t="shared" si="478"/>
        <v>2.1</v>
      </c>
      <c r="I300" s="559">
        <f t="shared" si="479"/>
        <v>48</v>
      </c>
      <c r="J300" s="454">
        <f t="shared" si="480"/>
        <v>15.75</v>
      </c>
      <c r="K300" s="454">
        <f t="shared" si="481"/>
        <v>63.75</v>
      </c>
      <c r="L300" s="454"/>
      <c r="M300" s="223">
        <f t="shared" si="482"/>
        <v>0.24705882352941178</v>
      </c>
      <c r="N300" s="178">
        <f t="shared" si="483"/>
        <v>4.0023529411764711</v>
      </c>
      <c r="O300" s="178">
        <f t="shared" si="475"/>
        <v>2.1</v>
      </c>
      <c r="P300" s="223">
        <f t="shared" si="484"/>
        <v>0.80047058823529427</v>
      </c>
      <c r="Q300" s="223">
        <f t="shared" si="485"/>
        <v>5</v>
      </c>
      <c r="R300" s="223"/>
      <c r="S300" s="178">
        <f t="shared" si="486"/>
        <v>22.745376581621066</v>
      </c>
      <c r="T300" s="178">
        <f t="shared" si="487"/>
        <v>5</v>
      </c>
      <c r="U300" s="223">
        <f t="shared" si="488"/>
        <v>0.39351851851851849</v>
      </c>
      <c r="V300" s="223">
        <f t="shared" si="489"/>
        <v>0.36072530864197527</v>
      </c>
      <c r="W300" s="223">
        <f t="shared" si="490"/>
        <v>1.0993533215755436</v>
      </c>
      <c r="X300" s="203">
        <f t="shared" si="491"/>
        <v>350</v>
      </c>
      <c r="Y300" s="454">
        <f t="shared" si="477"/>
        <v>350</v>
      </c>
      <c r="AA300" s="223">
        <f t="shared" si="492"/>
        <v>0.77005347593582896</v>
      </c>
      <c r="AB300" s="179">
        <f t="shared" si="493"/>
        <v>2.151260504201681</v>
      </c>
      <c r="AC300" s="179">
        <f t="shared" si="494"/>
        <v>0.86970745517458337</v>
      </c>
      <c r="AD300" s="179"/>
      <c r="AE300" s="179">
        <f t="shared" si="495"/>
        <v>0.419047619047619</v>
      </c>
      <c r="AF300" s="563">
        <f t="shared" si="496"/>
        <v>4454.545454545455</v>
      </c>
      <c r="AG300" s="546">
        <f t="shared" si="497"/>
        <v>3.2999999999999995E-2</v>
      </c>
      <c r="AI300" s="179">
        <f t="shared" si="498"/>
        <v>0.53512955100950677</v>
      </c>
      <c r="AJ300" s="179">
        <f t="shared" si="499"/>
        <v>0.53512955100950677</v>
      </c>
      <c r="AK300" s="179">
        <f t="shared" si="500"/>
        <v>1.4852811488959308</v>
      </c>
      <c r="AM300" s="563">
        <f t="shared" si="501"/>
        <v>420</v>
      </c>
      <c r="AN300" s="472">
        <f t="shared" si="502"/>
        <v>350</v>
      </c>
      <c r="AP300">
        <f t="shared" si="503"/>
        <v>420</v>
      </c>
      <c r="AQ300">
        <f t="shared" si="504"/>
        <v>350</v>
      </c>
      <c r="AS300" s="6">
        <f t="shared" si="476"/>
        <v>2.8571428571428572</v>
      </c>
      <c r="AT300" s="6">
        <f t="shared" si="505"/>
        <v>0.49053542175871445</v>
      </c>
      <c r="AU300" s="6">
        <f t="shared" si="512"/>
        <v>2.3666074353841426</v>
      </c>
      <c r="AV300" s="6"/>
      <c r="AW300" s="179">
        <f t="shared" si="513"/>
        <v>0.17168739761555005</v>
      </c>
      <c r="AX300" s="179"/>
      <c r="BA300" s="472">
        <f t="shared" si="506"/>
        <v>19.245051903114188</v>
      </c>
      <c r="BB300" s="472">
        <f t="shared" si="507"/>
        <v>6.2934142287234032</v>
      </c>
      <c r="BC300" s="6">
        <f t="shared" si="440"/>
        <v>9.5869514164866873E-2</v>
      </c>
      <c r="BD300" s="563">
        <f t="shared" si="508"/>
        <v>0</v>
      </c>
      <c r="CF300" s="581">
        <f t="shared" si="509"/>
        <v>-50</v>
      </c>
      <c r="CG300">
        <f t="shared" si="510"/>
        <v>-50</v>
      </c>
    </row>
    <row r="301" spans="5:85" x14ac:dyDescent="0.2">
      <c r="E301" s="176">
        <v>85</v>
      </c>
      <c r="F301" s="223">
        <f t="shared" si="511"/>
        <v>0.42499999999999999</v>
      </c>
      <c r="G301" s="223"/>
      <c r="H301" s="223">
        <f t="shared" si="478"/>
        <v>2.125</v>
      </c>
      <c r="I301" s="559">
        <f t="shared" si="479"/>
        <v>48</v>
      </c>
      <c r="J301" s="454">
        <f t="shared" si="480"/>
        <v>15.75</v>
      </c>
      <c r="K301" s="454">
        <f t="shared" si="481"/>
        <v>63.75</v>
      </c>
      <c r="L301" s="454"/>
      <c r="M301" s="223">
        <f t="shared" si="482"/>
        <v>0.24705882352941178</v>
      </c>
      <c r="N301" s="178">
        <f t="shared" si="483"/>
        <v>4.0023529411764711</v>
      </c>
      <c r="O301" s="178">
        <f t="shared" si="475"/>
        <v>2.125</v>
      </c>
      <c r="P301" s="223">
        <f t="shared" si="484"/>
        <v>0.80047058823529427</v>
      </c>
      <c r="Q301" s="223">
        <f t="shared" si="485"/>
        <v>5</v>
      </c>
      <c r="R301" s="223"/>
      <c r="S301" s="178">
        <f t="shared" si="486"/>
        <v>22.295069444232215</v>
      </c>
      <c r="T301" s="178">
        <f t="shared" si="487"/>
        <v>5</v>
      </c>
      <c r="U301" s="223">
        <f t="shared" si="488"/>
        <v>0.39820326278659607</v>
      </c>
      <c r="V301" s="223">
        <f t="shared" si="489"/>
        <v>0.36501965755437965</v>
      </c>
      <c r="W301" s="223">
        <f t="shared" si="490"/>
        <v>1.1124408611181094</v>
      </c>
      <c r="X301" s="203">
        <f t="shared" si="491"/>
        <v>350</v>
      </c>
      <c r="Y301" s="454">
        <f t="shared" si="477"/>
        <v>350</v>
      </c>
      <c r="AA301" s="223">
        <f t="shared" si="492"/>
        <v>0.77005347593582896</v>
      </c>
      <c r="AB301" s="179">
        <f t="shared" si="493"/>
        <v>2.151260504201681</v>
      </c>
      <c r="AC301" s="179">
        <f t="shared" si="494"/>
        <v>0.86970745517458337</v>
      </c>
      <c r="AD301" s="179"/>
      <c r="AE301" s="179">
        <f t="shared" si="495"/>
        <v>0.419047619047619</v>
      </c>
      <c r="AF301" s="563">
        <f t="shared" si="496"/>
        <v>4507.5757575757589</v>
      </c>
      <c r="AG301" s="546">
        <f t="shared" si="497"/>
        <v>3.2999999999999995E-2</v>
      </c>
      <c r="AI301" s="179">
        <f t="shared" si="498"/>
        <v>0.53830542192395503</v>
      </c>
      <c r="AJ301" s="179">
        <f t="shared" si="499"/>
        <v>0.53830542192395503</v>
      </c>
      <c r="AK301" s="179">
        <f t="shared" si="500"/>
        <v>1.4876336458695962</v>
      </c>
      <c r="AM301" s="563">
        <f t="shared" si="501"/>
        <v>425</v>
      </c>
      <c r="AN301" s="472">
        <f t="shared" si="502"/>
        <v>350</v>
      </c>
      <c r="AP301">
        <f t="shared" si="503"/>
        <v>425</v>
      </c>
      <c r="AQ301">
        <f t="shared" si="504"/>
        <v>350</v>
      </c>
      <c r="AS301" s="6">
        <f t="shared" si="476"/>
        <v>2.8571428571428572</v>
      </c>
      <c r="AT301" s="6">
        <f t="shared" si="505"/>
        <v>0.49344663676362549</v>
      </c>
      <c r="AU301" s="6">
        <f t="shared" si="512"/>
        <v>2.3636962203792318</v>
      </c>
      <c r="AV301" s="6"/>
      <c r="AW301" s="179">
        <f t="shared" si="513"/>
        <v>0.17270632286726892</v>
      </c>
      <c r="AX301" s="179"/>
      <c r="BA301" s="472">
        <f t="shared" si="506"/>
        <v>19.245051903114188</v>
      </c>
      <c r="BB301" s="472">
        <f t="shared" si="507"/>
        <v>6.4289707770020676</v>
      </c>
      <c r="BC301" s="6">
        <f t="shared" si="440"/>
        <v>9.6891482799110085E-2</v>
      </c>
      <c r="BD301" s="563">
        <f t="shared" si="508"/>
        <v>0</v>
      </c>
      <c r="CF301" s="581">
        <f t="shared" si="509"/>
        <v>-50</v>
      </c>
      <c r="CG301">
        <f t="shared" si="510"/>
        <v>-50</v>
      </c>
    </row>
    <row r="302" spans="5:85" x14ac:dyDescent="0.2">
      <c r="E302" s="176">
        <v>86</v>
      </c>
      <c r="F302" s="223">
        <f t="shared" si="511"/>
        <v>0.43</v>
      </c>
      <c r="G302" s="223"/>
      <c r="H302" s="223">
        <f t="shared" si="478"/>
        <v>2.15</v>
      </c>
      <c r="I302" s="559">
        <f t="shared" si="479"/>
        <v>48</v>
      </c>
      <c r="J302" s="454">
        <f t="shared" si="480"/>
        <v>15.75</v>
      </c>
      <c r="K302" s="454">
        <f t="shared" si="481"/>
        <v>63.75</v>
      </c>
      <c r="L302" s="454"/>
      <c r="M302" s="223">
        <f t="shared" si="482"/>
        <v>0.24705882352941178</v>
      </c>
      <c r="N302" s="178">
        <f t="shared" si="483"/>
        <v>4.0023529411764711</v>
      </c>
      <c r="O302" s="178">
        <f t="shared" si="475"/>
        <v>2.15</v>
      </c>
      <c r="P302" s="223">
        <f t="shared" si="484"/>
        <v>0.80047058823529427</v>
      </c>
      <c r="Q302" s="223">
        <f t="shared" si="485"/>
        <v>5</v>
      </c>
      <c r="R302" s="223"/>
      <c r="S302" s="178">
        <f t="shared" si="486"/>
        <v>21.855370110103312</v>
      </c>
      <c r="T302" s="178">
        <f t="shared" si="487"/>
        <v>5</v>
      </c>
      <c r="U302" s="223">
        <f t="shared" si="488"/>
        <v>0.40288800705467365</v>
      </c>
      <c r="V302" s="223">
        <f t="shared" si="489"/>
        <v>0.36931400646678419</v>
      </c>
      <c r="W302" s="223">
        <f t="shared" si="490"/>
        <v>1.1255284006606754</v>
      </c>
      <c r="X302" s="203">
        <f t="shared" si="491"/>
        <v>350</v>
      </c>
      <c r="Y302" s="454">
        <f t="shared" si="477"/>
        <v>350</v>
      </c>
      <c r="AA302" s="223">
        <f t="shared" si="492"/>
        <v>0.77005347593582896</v>
      </c>
      <c r="AB302" s="179">
        <f t="shared" si="493"/>
        <v>2.151260504201681</v>
      </c>
      <c r="AC302" s="179">
        <f t="shared" si="494"/>
        <v>0.86970745517458337</v>
      </c>
      <c r="AD302" s="179"/>
      <c r="AE302" s="179">
        <f t="shared" si="495"/>
        <v>0.419047619047619</v>
      </c>
      <c r="AF302" s="563">
        <f t="shared" si="496"/>
        <v>4560.6060606060619</v>
      </c>
      <c r="AG302" s="546">
        <f t="shared" si="497"/>
        <v>3.2999999999999995E-2</v>
      </c>
      <c r="AI302" s="179">
        <f t="shared" si="498"/>
        <v>0.54146266554751321</v>
      </c>
      <c r="AJ302" s="179">
        <f t="shared" si="499"/>
        <v>0.54146266554751321</v>
      </c>
      <c r="AK302" s="179">
        <f t="shared" si="500"/>
        <v>1.4899723448500097</v>
      </c>
      <c r="AM302" s="563">
        <f t="shared" si="501"/>
        <v>430</v>
      </c>
      <c r="AN302" s="472">
        <f t="shared" si="502"/>
        <v>350</v>
      </c>
      <c r="AP302">
        <f t="shared" si="503"/>
        <v>430</v>
      </c>
      <c r="AQ302">
        <f t="shared" si="504"/>
        <v>350</v>
      </c>
      <c r="AS302" s="6">
        <f t="shared" si="476"/>
        <v>2.8571428571428572</v>
      </c>
      <c r="AT302" s="6">
        <f t="shared" si="505"/>
        <v>0.49634077675188715</v>
      </c>
      <c r="AU302" s="6">
        <f t="shared" si="512"/>
        <v>2.3608020803909699</v>
      </c>
      <c r="AV302" s="6"/>
      <c r="AW302" s="179">
        <f t="shared" si="513"/>
        <v>0.1737192718631605</v>
      </c>
      <c r="AX302" s="179"/>
      <c r="BA302" s="472">
        <f t="shared" si="506"/>
        <v>19.245051903114188</v>
      </c>
      <c r="BB302" s="472">
        <f t="shared" si="507"/>
        <v>6.5659540299940886</v>
      </c>
      <c r="BC302" s="6">
        <f t="shared" si="440"/>
        <v>9.7911351713745834E-2</v>
      </c>
      <c r="BD302" s="563">
        <f t="shared" si="508"/>
        <v>0</v>
      </c>
      <c r="CF302" s="581">
        <f t="shared" si="509"/>
        <v>-50</v>
      </c>
      <c r="CG302">
        <f t="shared" si="510"/>
        <v>-50</v>
      </c>
    </row>
    <row r="303" spans="5:85" x14ac:dyDescent="0.2">
      <c r="E303" s="176">
        <v>87</v>
      </c>
      <c r="F303" s="223">
        <f t="shared" si="511"/>
        <v>0.435</v>
      </c>
      <c r="G303" s="223"/>
      <c r="H303" s="223">
        <f t="shared" si="478"/>
        <v>2.1749999999999998</v>
      </c>
      <c r="I303" s="559">
        <f t="shared" si="479"/>
        <v>48</v>
      </c>
      <c r="J303" s="454">
        <f t="shared" si="480"/>
        <v>15.75</v>
      </c>
      <c r="K303" s="454">
        <f t="shared" si="481"/>
        <v>63.75</v>
      </c>
      <c r="L303" s="454"/>
      <c r="M303" s="223">
        <f t="shared" si="482"/>
        <v>0.24705882352941178</v>
      </c>
      <c r="N303" s="178">
        <f t="shared" si="483"/>
        <v>4.0023529411764711</v>
      </c>
      <c r="O303" s="178">
        <f t="shared" si="475"/>
        <v>2.1749999999999998</v>
      </c>
      <c r="P303" s="223">
        <f t="shared" si="484"/>
        <v>0.80047058823529427</v>
      </c>
      <c r="Q303" s="223">
        <f t="shared" si="485"/>
        <v>5</v>
      </c>
      <c r="R303" s="223"/>
      <c r="S303" s="178">
        <f t="shared" si="486"/>
        <v>21.425915918396768</v>
      </c>
      <c r="T303" s="178">
        <f t="shared" si="487"/>
        <v>5</v>
      </c>
      <c r="U303" s="223">
        <f t="shared" si="488"/>
        <v>0.40757275132275128</v>
      </c>
      <c r="V303" s="223">
        <f t="shared" si="489"/>
        <v>0.37360835537918868</v>
      </c>
      <c r="W303" s="223">
        <f t="shared" si="490"/>
        <v>1.1386159402032416</v>
      </c>
      <c r="X303" s="203">
        <f t="shared" si="491"/>
        <v>350</v>
      </c>
      <c r="Y303" s="454">
        <f t="shared" si="477"/>
        <v>350</v>
      </c>
      <c r="AA303" s="223">
        <f t="shared" si="492"/>
        <v>0.77005347593582896</v>
      </c>
      <c r="AB303" s="179">
        <f t="shared" si="493"/>
        <v>2.151260504201681</v>
      </c>
      <c r="AC303" s="179">
        <f t="shared" si="494"/>
        <v>0.86970745517458337</v>
      </c>
      <c r="AD303" s="179"/>
      <c r="AE303" s="179">
        <f t="shared" si="495"/>
        <v>0.419047619047619</v>
      </c>
      <c r="AF303" s="563">
        <f t="shared" si="496"/>
        <v>4613.636363636364</v>
      </c>
      <c r="AG303" s="546">
        <f t="shared" si="497"/>
        <v>3.2999999999999995E-2</v>
      </c>
      <c r="AI303" s="179">
        <f t="shared" si="498"/>
        <v>0.54460160584679607</v>
      </c>
      <c r="AJ303" s="179">
        <f t="shared" si="499"/>
        <v>0.54460160584679607</v>
      </c>
      <c r="AK303" s="179">
        <f t="shared" si="500"/>
        <v>1.4922974858124416</v>
      </c>
      <c r="AM303" s="563">
        <f t="shared" si="501"/>
        <v>435</v>
      </c>
      <c r="AN303" s="472">
        <f t="shared" si="502"/>
        <v>350</v>
      </c>
      <c r="AP303">
        <f t="shared" si="503"/>
        <v>435</v>
      </c>
      <c r="AQ303">
        <f t="shared" si="504"/>
        <v>350</v>
      </c>
      <c r="AS303" s="6">
        <f t="shared" si="476"/>
        <v>2.8571428571428572</v>
      </c>
      <c r="AT303" s="6">
        <f t="shared" si="505"/>
        <v>0.49921813869289633</v>
      </c>
      <c r="AU303" s="6">
        <f t="shared" si="512"/>
        <v>2.357924718449961</v>
      </c>
      <c r="AV303" s="6"/>
      <c r="AW303" s="179">
        <f t="shared" si="513"/>
        <v>0.1747263485425137</v>
      </c>
      <c r="AX303" s="179"/>
      <c r="BA303" s="472">
        <f t="shared" si="506"/>
        <v>19.245051903114188</v>
      </c>
      <c r="BB303" s="472">
        <f t="shared" si="507"/>
        <v>6.7043639876994678</v>
      </c>
      <c r="BC303" s="6">
        <f t="shared" si="440"/>
        <v>9.8929133152559093E-2</v>
      </c>
      <c r="BD303" s="563">
        <f t="shared" si="508"/>
        <v>0</v>
      </c>
      <c r="CF303" s="581">
        <f t="shared" si="509"/>
        <v>-50</v>
      </c>
      <c r="CG303">
        <f t="shared" si="510"/>
        <v>-50</v>
      </c>
    </row>
    <row r="304" spans="5:85" x14ac:dyDescent="0.2">
      <c r="E304" s="176">
        <v>88</v>
      </c>
      <c r="F304" s="223">
        <f t="shared" si="511"/>
        <v>0.44</v>
      </c>
      <c r="G304" s="223"/>
      <c r="H304" s="223">
        <f t="shared" si="478"/>
        <v>2.2000000000000002</v>
      </c>
      <c r="I304" s="559">
        <f t="shared" si="479"/>
        <v>48</v>
      </c>
      <c r="J304" s="454">
        <f t="shared" si="480"/>
        <v>15.75</v>
      </c>
      <c r="K304" s="454">
        <f t="shared" si="481"/>
        <v>63.75</v>
      </c>
      <c r="L304" s="454"/>
      <c r="M304" s="223">
        <f t="shared" si="482"/>
        <v>0.24705882352941178</v>
      </c>
      <c r="N304" s="178">
        <f t="shared" si="483"/>
        <v>4.0023529411764711</v>
      </c>
      <c r="O304" s="178">
        <f t="shared" si="475"/>
        <v>2.2000000000000002</v>
      </c>
      <c r="P304" s="223">
        <f t="shared" si="484"/>
        <v>0.80047058823529427</v>
      </c>
      <c r="Q304" s="223">
        <f t="shared" si="485"/>
        <v>5</v>
      </c>
      <c r="R304" s="223"/>
      <c r="S304" s="178">
        <f t="shared" si="486"/>
        <v>21.006360784494706</v>
      </c>
      <c r="T304" s="178">
        <f t="shared" si="487"/>
        <v>5</v>
      </c>
      <c r="U304" s="223">
        <f t="shared" si="488"/>
        <v>0.41225749559082892</v>
      </c>
      <c r="V304" s="223">
        <f t="shared" si="489"/>
        <v>0.37790270429159312</v>
      </c>
      <c r="W304" s="223">
        <f t="shared" si="490"/>
        <v>1.1517034797458079</v>
      </c>
      <c r="X304" s="203">
        <f t="shared" si="491"/>
        <v>350</v>
      </c>
      <c r="Y304" s="454">
        <f t="shared" si="477"/>
        <v>350</v>
      </c>
      <c r="AA304" s="223">
        <f t="shared" si="492"/>
        <v>0.77005347593582896</v>
      </c>
      <c r="AB304" s="179">
        <f t="shared" si="493"/>
        <v>2.151260504201681</v>
      </c>
      <c r="AC304" s="179">
        <f t="shared" si="494"/>
        <v>0.86970745517458337</v>
      </c>
      <c r="AD304" s="179"/>
      <c r="AE304" s="179">
        <f t="shared" si="495"/>
        <v>0.419047619047619</v>
      </c>
      <c r="AF304" s="563">
        <f t="shared" si="496"/>
        <v>4666.6666666666679</v>
      </c>
      <c r="AG304" s="546">
        <f t="shared" si="497"/>
        <v>3.2999999999999995E-2</v>
      </c>
      <c r="AI304" s="179">
        <f t="shared" si="498"/>
        <v>0.54772255750516607</v>
      </c>
      <c r="AJ304" s="179">
        <f t="shared" si="499"/>
        <v>0.54772255750516607</v>
      </c>
      <c r="AK304" s="179">
        <f t="shared" si="500"/>
        <v>1.4946093018556785</v>
      </c>
      <c r="AM304" s="563">
        <f t="shared" si="501"/>
        <v>440</v>
      </c>
      <c r="AN304" s="472">
        <f t="shared" si="502"/>
        <v>350</v>
      </c>
      <c r="AP304">
        <f t="shared" si="503"/>
        <v>440</v>
      </c>
      <c r="AQ304">
        <f t="shared" si="504"/>
        <v>350</v>
      </c>
      <c r="AS304" s="6">
        <f t="shared" si="476"/>
        <v>2.8571428571428572</v>
      </c>
      <c r="AT304" s="6">
        <f t="shared" si="505"/>
        <v>0.50207901104640229</v>
      </c>
      <c r="AU304" s="6">
        <f t="shared" si="512"/>
        <v>2.355063846096455</v>
      </c>
      <c r="AV304" s="6"/>
      <c r="AW304" s="179">
        <f t="shared" si="513"/>
        <v>0.17572765386624078</v>
      </c>
      <c r="AX304" s="179"/>
      <c r="BA304" s="472">
        <f t="shared" si="506"/>
        <v>19.245051903114188</v>
      </c>
      <c r="BB304" s="472">
        <f t="shared" si="507"/>
        <v>6.8442006501182036</v>
      </c>
      <c r="BC304" s="6">
        <f t="shared" si="440"/>
        <v>9.9944839147611902E-2</v>
      </c>
      <c r="BD304" s="563">
        <f t="shared" si="508"/>
        <v>0</v>
      </c>
      <c r="CF304" s="581">
        <f t="shared" si="509"/>
        <v>-50</v>
      </c>
      <c r="CG304">
        <f t="shared" si="510"/>
        <v>-50</v>
      </c>
    </row>
    <row r="305" spans="5:85" x14ac:dyDescent="0.2">
      <c r="E305" s="176">
        <v>89</v>
      </c>
      <c r="F305" s="223">
        <f t="shared" si="511"/>
        <v>0.44500000000000001</v>
      </c>
      <c r="G305" s="223"/>
      <c r="H305" s="223">
        <f t="shared" si="478"/>
        <v>2.2250000000000001</v>
      </c>
      <c r="I305" s="559">
        <f t="shared" si="479"/>
        <v>48</v>
      </c>
      <c r="J305" s="454">
        <f t="shared" si="480"/>
        <v>15.75</v>
      </c>
      <c r="K305" s="454">
        <f t="shared" si="481"/>
        <v>63.75</v>
      </c>
      <c r="L305" s="454"/>
      <c r="M305" s="223">
        <f t="shared" si="482"/>
        <v>0.24705882352941178</v>
      </c>
      <c r="N305" s="178">
        <f t="shared" si="483"/>
        <v>4.0023529411764711</v>
      </c>
      <c r="O305" s="178">
        <f t="shared" si="475"/>
        <v>2.2250000000000001</v>
      </c>
      <c r="P305" s="223">
        <f t="shared" si="484"/>
        <v>0.80047058823529427</v>
      </c>
      <c r="Q305" s="223">
        <f t="shared" si="485"/>
        <v>5</v>
      </c>
      <c r="R305" s="223"/>
      <c r="S305" s="178">
        <f t="shared" si="486"/>
        <v>20.596374271917213</v>
      </c>
      <c r="T305" s="178">
        <f t="shared" si="487"/>
        <v>5</v>
      </c>
      <c r="U305" s="223">
        <f t="shared" si="488"/>
        <v>0.41694223985890649</v>
      </c>
      <c r="V305" s="223">
        <f t="shared" si="489"/>
        <v>0.38219705320399766</v>
      </c>
      <c r="W305" s="223">
        <f t="shared" si="490"/>
        <v>1.1647910192883739</v>
      </c>
      <c r="X305" s="203">
        <f t="shared" si="491"/>
        <v>350</v>
      </c>
      <c r="Y305" s="454">
        <f t="shared" si="477"/>
        <v>350</v>
      </c>
      <c r="AA305" s="223">
        <f t="shared" si="492"/>
        <v>0.77005347593582896</v>
      </c>
      <c r="AB305" s="179">
        <f t="shared" si="493"/>
        <v>2.151260504201681</v>
      </c>
      <c r="AC305" s="179">
        <f t="shared" si="494"/>
        <v>0.86970745517458337</v>
      </c>
      <c r="AD305" s="179"/>
      <c r="AE305" s="179">
        <f t="shared" si="495"/>
        <v>0.419047619047619</v>
      </c>
      <c r="AF305" s="563">
        <f t="shared" si="496"/>
        <v>4719.6969696969709</v>
      </c>
      <c r="AG305" s="546">
        <f t="shared" si="497"/>
        <v>3.2999999999999995E-2</v>
      </c>
      <c r="AI305" s="179">
        <f t="shared" si="498"/>
        <v>0.55082582629093468</v>
      </c>
      <c r="AJ305" s="179">
        <f t="shared" si="499"/>
        <v>0.55082582629093468</v>
      </c>
      <c r="AK305" s="179">
        <f t="shared" si="500"/>
        <v>1.4969080194747664</v>
      </c>
      <c r="AM305" s="563">
        <f t="shared" si="501"/>
        <v>445</v>
      </c>
      <c r="AN305" s="472">
        <f t="shared" si="502"/>
        <v>350</v>
      </c>
      <c r="AP305">
        <f t="shared" si="503"/>
        <v>445</v>
      </c>
      <c r="AQ305">
        <f t="shared" si="504"/>
        <v>350</v>
      </c>
      <c r="AS305" s="6">
        <f t="shared" si="476"/>
        <v>2.8571428571428572</v>
      </c>
      <c r="AT305" s="6">
        <f t="shared" si="505"/>
        <v>0.50492367410002337</v>
      </c>
      <c r="AU305" s="6">
        <f t="shared" si="512"/>
        <v>2.3522191830428341</v>
      </c>
      <c r="AV305" s="6"/>
      <c r="AW305" s="179">
        <f t="shared" si="513"/>
        <v>0.17672328593500816</v>
      </c>
      <c r="AX305" s="179"/>
      <c r="BA305" s="472">
        <f t="shared" si="506"/>
        <v>19.245051903114188</v>
      </c>
      <c r="BB305" s="472">
        <f t="shared" si="507"/>
        <v>6.9854640172502949</v>
      </c>
      <c r="BC305" s="6">
        <f t="shared" si="440"/>
        <v>0.10095848152527594</v>
      </c>
      <c r="BD305" s="563">
        <f t="shared" si="508"/>
        <v>0</v>
      </c>
      <c r="CF305" s="581">
        <f t="shared" si="509"/>
        <v>-50</v>
      </c>
      <c r="CG305">
        <f t="shared" si="510"/>
        <v>-50</v>
      </c>
    </row>
    <row r="306" spans="5:85" x14ac:dyDescent="0.2">
      <c r="E306" s="176">
        <v>90</v>
      </c>
      <c r="F306" s="223">
        <f t="shared" si="511"/>
        <v>0.45</v>
      </c>
      <c r="G306" s="223"/>
      <c r="H306" s="223">
        <f t="shared" si="478"/>
        <v>2.25</v>
      </c>
      <c r="I306" s="559">
        <f t="shared" si="479"/>
        <v>48</v>
      </c>
      <c r="J306" s="454">
        <f t="shared" si="480"/>
        <v>15.75</v>
      </c>
      <c r="K306" s="454">
        <f t="shared" si="481"/>
        <v>63.75</v>
      </c>
      <c r="L306" s="454"/>
      <c r="M306" s="223">
        <f t="shared" si="482"/>
        <v>0.24705882352941178</v>
      </c>
      <c r="N306" s="178">
        <f t="shared" si="483"/>
        <v>4.0023529411764711</v>
      </c>
      <c r="O306" s="178">
        <f t="shared" si="475"/>
        <v>2.25</v>
      </c>
      <c r="P306" s="223">
        <f t="shared" si="484"/>
        <v>0.80047058823529427</v>
      </c>
      <c r="Q306" s="223">
        <f t="shared" si="485"/>
        <v>5</v>
      </c>
      <c r="R306" s="223"/>
      <c r="S306" s="178">
        <f t="shared" si="486"/>
        <v>20.195640726234007</v>
      </c>
      <c r="T306" s="178">
        <f t="shared" si="487"/>
        <v>5</v>
      </c>
      <c r="U306" s="223">
        <f t="shared" si="488"/>
        <v>0.42162698412698407</v>
      </c>
      <c r="V306" s="223">
        <f t="shared" si="489"/>
        <v>0.38649140211640204</v>
      </c>
      <c r="W306" s="223">
        <f t="shared" si="490"/>
        <v>1.1778785588309397</v>
      </c>
      <c r="X306" s="203">
        <f t="shared" si="491"/>
        <v>350</v>
      </c>
      <c r="Y306" s="454">
        <f t="shared" si="477"/>
        <v>350</v>
      </c>
      <c r="AA306" s="223">
        <f t="shared" si="492"/>
        <v>0.77005347593582896</v>
      </c>
      <c r="AB306" s="179">
        <f t="shared" si="493"/>
        <v>2.151260504201681</v>
      </c>
      <c r="AC306" s="179">
        <f t="shared" si="494"/>
        <v>0.86970745517458337</v>
      </c>
      <c r="AD306" s="179"/>
      <c r="AE306" s="179">
        <f t="shared" si="495"/>
        <v>0.419047619047619</v>
      </c>
      <c r="AF306" s="563">
        <f t="shared" si="496"/>
        <v>4772.727272727273</v>
      </c>
      <c r="AG306" s="546">
        <f t="shared" si="497"/>
        <v>3.2999999999999995E-2</v>
      </c>
      <c r="AI306" s="179">
        <f t="shared" si="498"/>
        <v>0.5539117094069973</v>
      </c>
      <c r="AJ306" s="179">
        <f t="shared" si="499"/>
        <v>0.5539117094069973</v>
      </c>
      <c r="AK306" s="179">
        <f t="shared" si="500"/>
        <v>1.499193858819998</v>
      </c>
      <c r="AM306" s="563">
        <f t="shared" si="501"/>
        <v>450</v>
      </c>
      <c r="AN306" s="472">
        <f t="shared" si="502"/>
        <v>350</v>
      </c>
      <c r="AP306">
        <f t="shared" si="503"/>
        <v>450</v>
      </c>
      <c r="AQ306">
        <f t="shared" si="504"/>
        <v>350</v>
      </c>
      <c r="AS306" s="6">
        <f t="shared" si="476"/>
        <v>2.8571428571428572</v>
      </c>
      <c r="AT306" s="6">
        <f t="shared" si="505"/>
        <v>0.50775240028974755</v>
      </c>
      <c r="AU306" s="6">
        <f t="shared" si="512"/>
        <v>2.3493904568531097</v>
      </c>
      <c r="AV306" s="6"/>
      <c r="AW306" s="179">
        <f t="shared" si="513"/>
        <v>0.17771334010141163</v>
      </c>
      <c r="AX306" s="179"/>
      <c r="BA306" s="472">
        <f t="shared" si="506"/>
        <v>19.245051903114188</v>
      </c>
      <c r="BB306" s="472">
        <f t="shared" si="507"/>
        <v>7.1281540890957462</v>
      </c>
      <c r="BC306" s="6">
        <f t="shared" si="440"/>
        <v>0.10197007191202731</v>
      </c>
      <c r="BD306" s="563">
        <f t="shared" si="508"/>
        <v>0</v>
      </c>
      <c r="CF306" s="581">
        <f t="shared" si="509"/>
        <v>-50</v>
      </c>
      <c r="CG306">
        <f t="shared" si="510"/>
        <v>-50</v>
      </c>
    </row>
    <row r="307" spans="5:85" x14ac:dyDescent="0.2">
      <c r="E307" s="176">
        <v>91</v>
      </c>
      <c r="F307" s="223">
        <f t="shared" si="511"/>
        <v>0.45500000000000002</v>
      </c>
      <c r="G307" s="223"/>
      <c r="H307" s="223">
        <f t="shared" si="478"/>
        <v>2.2749999999999999</v>
      </c>
      <c r="I307" s="559">
        <f t="shared" si="479"/>
        <v>48</v>
      </c>
      <c r="J307" s="454">
        <f t="shared" si="480"/>
        <v>15.75</v>
      </c>
      <c r="K307" s="454">
        <f t="shared" si="481"/>
        <v>63.75</v>
      </c>
      <c r="L307" s="454"/>
      <c r="M307" s="223">
        <f t="shared" si="482"/>
        <v>0.24705882352941178</v>
      </c>
      <c r="N307" s="178">
        <f t="shared" si="483"/>
        <v>4.0023529411764711</v>
      </c>
      <c r="O307" s="178">
        <f t="shared" si="475"/>
        <v>2.2749999999999999</v>
      </c>
      <c r="P307" s="223">
        <f t="shared" si="484"/>
        <v>0.80047058823529427</v>
      </c>
      <c r="Q307" s="223">
        <f t="shared" si="485"/>
        <v>5</v>
      </c>
      <c r="R307" s="223"/>
      <c r="S307" s="178">
        <f t="shared" si="486"/>
        <v>19.803858466205504</v>
      </c>
      <c r="T307" s="178">
        <f t="shared" si="487"/>
        <v>5</v>
      </c>
      <c r="U307" s="223">
        <f t="shared" si="488"/>
        <v>0.42631172839506171</v>
      </c>
      <c r="V307" s="223">
        <f t="shared" si="489"/>
        <v>0.39078575102880653</v>
      </c>
      <c r="W307" s="223">
        <f t="shared" si="490"/>
        <v>1.1909660983735058</v>
      </c>
      <c r="X307" s="203">
        <f t="shared" si="491"/>
        <v>350</v>
      </c>
      <c r="Y307" s="454">
        <f t="shared" si="477"/>
        <v>350</v>
      </c>
      <c r="AA307" s="223">
        <f t="shared" si="492"/>
        <v>0.77005347593582896</v>
      </c>
      <c r="AB307" s="179">
        <f t="shared" si="493"/>
        <v>2.151260504201681</v>
      </c>
      <c r="AC307" s="179">
        <f t="shared" si="494"/>
        <v>0.86970745517458337</v>
      </c>
      <c r="AD307" s="179"/>
      <c r="AE307" s="179">
        <f t="shared" si="495"/>
        <v>0.419047619047619</v>
      </c>
      <c r="AF307" s="563">
        <f t="shared" si="496"/>
        <v>4825.7575757575769</v>
      </c>
      <c r="AG307" s="546">
        <f t="shared" si="497"/>
        <v>3.2999999999999995E-2</v>
      </c>
      <c r="AI307" s="179">
        <f t="shared" si="498"/>
        <v>0.55698049582303399</v>
      </c>
      <c r="AJ307" s="179">
        <f t="shared" si="499"/>
        <v>0.55698049582303399</v>
      </c>
      <c r="AK307" s="179">
        <f t="shared" si="500"/>
        <v>1.5014670339429881</v>
      </c>
      <c r="AM307" s="563">
        <f t="shared" si="501"/>
        <v>455</v>
      </c>
      <c r="AN307" s="472">
        <f t="shared" si="502"/>
        <v>350</v>
      </c>
      <c r="AP307">
        <f t="shared" si="503"/>
        <v>455</v>
      </c>
      <c r="AQ307">
        <f t="shared" si="504"/>
        <v>350</v>
      </c>
      <c r="AS307" s="6">
        <f t="shared" si="476"/>
        <v>2.8571428571428572</v>
      </c>
      <c r="AT307" s="6">
        <f t="shared" si="505"/>
        <v>0.51056545450444779</v>
      </c>
      <c r="AU307" s="6">
        <f t="shared" si="512"/>
        <v>2.3465774026384096</v>
      </c>
      <c r="AV307" s="6"/>
      <c r="AW307" s="179">
        <f t="shared" si="513"/>
        <v>0.17869790907655672</v>
      </c>
      <c r="AX307" s="179"/>
      <c r="BA307" s="472">
        <f t="shared" si="506"/>
        <v>19.245051903114188</v>
      </c>
      <c r="BB307" s="472">
        <f t="shared" si="507"/>
        <v>7.2722708656545514</v>
      </c>
      <c r="BC307" s="6">
        <f t="shared" si="440"/>
        <v>0.10297962174001507</v>
      </c>
      <c r="BD307" s="563">
        <f t="shared" si="508"/>
        <v>0</v>
      </c>
      <c r="CF307" s="581">
        <f t="shared" si="509"/>
        <v>-50</v>
      </c>
      <c r="CG307">
        <f t="shared" si="510"/>
        <v>-50</v>
      </c>
    </row>
    <row r="308" spans="5:85" x14ac:dyDescent="0.2">
      <c r="E308" s="176">
        <v>92</v>
      </c>
      <c r="F308" s="223">
        <f t="shared" si="511"/>
        <v>0.46</v>
      </c>
      <c r="G308" s="223"/>
      <c r="H308" s="223">
        <f t="shared" si="478"/>
        <v>2.3000000000000003</v>
      </c>
      <c r="I308" s="559">
        <f t="shared" si="479"/>
        <v>48</v>
      </c>
      <c r="J308" s="454">
        <f t="shared" si="480"/>
        <v>15.75</v>
      </c>
      <c r="K308" s="454">
        <f t="shared" si="481"/>
        <v>63.75</v>
      </c>
      <c r="L308" s="454"/>
      <c r="M308" s="223">
        <f t="shared" si="482"/>
        <v>0.24705882352941178</v>
      </c>
      <c r="N308" s="178">
        <f t="shared" si="483"/>
        <v>4.0023529411764711</v>
      </c>
      <c r="O308" s="178">
        <f t="shared" si="475"/>
        <v>2.3000000000000003</v>
      </c>
      <c r="P308" s="223">
        <f t="shared" si="484"/>
        <v>0.80047058823529427</v>
      </c>
      <c r="Q308" s="223">
        <f t="shared" si="485"/>
        <v>5</v>
      </c>
      <c r="R308" s="223"/>
      <c r="S308" s="178">
        <f t="shared" si="486"/>
        <v>19.420739027803776</v>
      </c>
      <c r="T308" s="178">
        <f t="shared" si="487"/>
        <v>5</v>
      </c>
      <c r="U308" s="223">
        <f t="shared" si="488"/>
        <v>0.43099647266313934</v>
      </c>
      <c r="V308" s="223">
        <f t="shared" si="489"/>
        <v>0.39508009994121107</v>
      </c>
      <c r="W308" s="223">
        <f t="shared" si="490"/>
        <v>1.2040536379160718</v>
      </c>
      <c r="X308" s="203">
        <f t="shared" si="491"/>
        <v>350</v>
      </c>
      <c r="Y308" s="454">
        <f t="shared" si="477"/>
        <v>350</v>
      </c>
      <c r="AA308" s="223">
        <f t="shared" si="492"/>
        <v>0.77005347593582896</v>
      </c>
      <c r="AB308" s="179">
        <f t="shared" si="493"/>
        <v>2.151260504201681</v>
      </c>
      <c r="AC308" s="179">
        <f t="shared" si="494"/>
        <v>0.86970745517458337</v>
      </c>
      <c r="AD308" s="179"/>
      <c r="AE308" s="179">
        <f t="shared" si="495"/>
        <v>0.419047619047619</v>
      </c>
      <c r="AF308" s="563">
        <f t="shared" si="496"/>
        <v>4878.7878787878799</v>
      </c>
      <c r="AG308" s="546">
        <f t="shared" si="497"/>
        <v>3.2999999999999995E-2</v>
      </c>
      <c r="AI308" s="179">
        <f t="shared" si="498"/>
        <v>0.560032466591325</v>
      </c>
      <c r="AJ308" s="179">
        <f t="shared" si="499"/>
        <v>0.560032466591325</v>
      </c>
      <c r="AK308" s="179">
        <f t="shared" si="500"/>
        <v>1.503727753030611</v>
      </c>
      <c r="AM308" s="563">
        <f t="shared" si="501"/>
        <v>460</v>
      </c>
      <c r="AN308" s="472">
        <f t="shared" si="502"/>
        <v>350</v>
      </c>
      <c r="AP308">
        <f t="shared" si="503"/>
        <v>460</v>
      </c>
      <c r="AQ308">
        <f t="shared" si="504"/>
        <v>350</v>
      </c>
      <c r="AS308" s="6">
        <f t="shared" si="476"/>
        <v>2.8571428571428572</v>
      </c>
      <c r="AT308" s="6">
        <f t="shared" si="505"/>
        <v>0.51336309437538119</v>
      </c>
      <c r="AU308" s="6">
        <f t="shared" si="512"/>
        <v>2.3437797627674759</v>
      </c>
      <c r="AV308" s="6"/>
      <c r="AW308" s="179">
        <f t="shared" si="513"/>
        <v>0.17967708303138341</v>
      </c>
      <c r="AX308" s="179"/>
      <c r="BA308" s="472">
        <f t="shared" si="506"/>
        <v>19.245051903114188</v>
      </c>
      <c r="BB308" s="472">
        <f t="shared" si="507"/>
        <v>7.417814346926713</v>
      </c>
      <c r="BC308" s="6">
        <f t="shared" si="440"/>
        <v>0.10398714225241502</v>
      </c>
      <c r="BD308" s="563">
        <f t="shared" si="508"/>
        <v>0</v>
      </c>
      <c r="CF308" s="581">
        <f t="shared" si="509"/>
        <v>-50</v>
      </c>
      <c r="CG308">
        <f t="shared" si="510"/>
        <v>-50</v>
      </c>
    </row>
    <row r="309" spans="5:85" x14ac:dyDescent="0.2">
      <c r="E309" s="176">
        <v>93</v>
      </c>
      <c r="F309" s="223">
        <f t="shared" si="511"/>
        <v>0.46500000000000002</v>
      </c>
      <c r="G309" s="223"/>
      <c r="H309" s="223">
        <f t="shared" si="478"/>
        <v>2.3250000000000002</v>
      </c>
      <c r="I309" s="559">
        <f t="shared" si="479"/>
        <v>48</v>
      </c>
      <c r="J309" s="454">
        <f t="shared" si="480"/>
        <v>15.75</v>
      </c>
      <c r="K309" s="454">
        <f t="shared" si="481"/>
        <v>63.75</v>
      </c>
      <c r="L309" s="454"/>
      <c r="M309" s="223">
        <f t="shared" si="482"/>
        <v>0.24705882352941178</v>
      </c>
      <c r="N309" s="178">
        <f t="shared" si="483"/>
        <v>4.0023529411764711</v>
      </c>
      <c r="O309" s="178">
        <f t="shared" si="475"/>
        <v>2.3250000000000002</v>
      </c>
      <c r="P309" s="223">
        <f t="shared" si="484"/>
        <v>0.80047058823529427</v>
      </c>
      <c r="Q309" s="223">
        <f t="shared" si="485"/>
        <v>5</v>
      </c>
      <c r="R309" s="223"/>
      <c r="S309" s="178">
        <f t="shared" si="486"/>
        <v>19.046006457138258</v>
      </c>
      <c r="T309" s="178">
        <f t="shared" si="487"/>
        <v>5</v>
      </c>
      <c r="U309" s="223">
        <f t="shared" si="488"/>
        <v>0.43568121693121692</v>
      </c>
      <c r="V309" s="223">
        <f t="shared" si="489"/>
        <v>0.3993744488536155</v>
      </c>
      <c r="W309" s="223">
        <f t="shared" si="490"/>
        <v>1.2171411774586378</v>
      </c>
      <c r="X309" s="203">
        <f t="shared" si="491"/>
        <v>350</v>
      </c>
      <c r="Y309" s="454">
        <f t="shared" si="477"/>
        <v>350</v>
      </c>
      <c r="AA309" s="223">
        <f t="shared" si="492"/>
        <v>0.77005347593582896</v>
      </c>
      <c r="AB309" s="179">
        <f t="shared" si="493"/>
        <v>2.151260504201681</v>
      </c>
      <c r="AC309" s="179">
        <f t="shared" si="494"/>
        <v>0.86970745517458337</v>
      </c>
      <c r="AD309" s="179"/>
      <c r="AE309" s="179">
        <f t="shared" si="495"/>
        <v>0.419047619047619</v>
      </c>
      <c r="AF309" s="563">
        <f t="shared" si="496"/>
        <v>4931.8181818181829</v>
      </c>
      <c r="AG309" s="546">
        <f t="shared" si="497"/>
        <v>3.2999999999999995E-2</v>
      </c>
      <c r="AI309" s="179">
        <f t="shared" si="498"/>
        <v>0.56306789514716116</v>
      </c>
      <c r="AJ309" s="179">
        <f t="shared" si="499"/>
        <v>0.56306789514716116</v>
      </c>
      <c r="AK309" s="179">
        <f t="shared" si="500"/>
        <v>1.5059762186275267</v>
      </c>
      <c r="AM309" s="563">
        <f t="shared" si="501"/>
        <v>465</v>
      </c>
      <c r="AN309" s="472">
        <f t="shared" si="502"/>
        <v>350</v>
      </c>
      <c r="AP309">
        <f t="shared" si="503"/>
        <v>465</v>
      </c>
      <c r="AQ309">
        <f t="shared" si="504"/>
        <v>350</v>
      </c>
      <c r="AS309" s="6">
        <f t="shared" si="476"/>
        <v>2.8571428571428572</v>
      </c>
      <c r="AT309" s="6">
        <f t="shared" si="505"/>
        <v>0.5161455705515644</v>
      </c>
      <c r="AU309" s="6">
        <f t="shared" si="512"/>
        <v>2.3409972865912927</v>
      </c>
      <c r="AV309" s="6"/>
      <c r="AW309" s="179">
        <f t="shared" si="513"/>
        <v>0.18065094969304754</v>
      </c>
      <c r="AX309" s="179"/>
      <c r="BA309" s="472">
        <f t="shared" si="506"/>
        <v>19.245051903114188</v>
      </c>
      <c r="BB309" s="472">
        <f t="shared" si="507"/>
        <v>7.5647845329122347</v>
      </c>
      <c r="BC309" s="6">
        <f t="shared" ref="BC309:BC316" si="514">H309/Efficiency/I309*AU309/Vinripple1</f>
        <v>0.10499264450857938</v>
      </c>
      <c r="BD309" s="563">
        <f t="shared" si="508"/>
        <v>0</v>
      </c>
      <c r="CF309" s="581">
        <f t="shared" si="509"/>
        <v>-50</v>
      </c>
      <c r="CG309">
        <f t="shared" si="510"/>
        <v>-50</v>
      </c>
    </row>
    <row r="310" spans="5:85" x14ac:dyDescent="0.2">
      <c r="E310" s="176">
        <v>94</v>
      </c>
      <c r="F310" s="223">
        <f t="shared" si="511"/>
        <v>0.47</v>
      </c>
      <c r="G310" s="223"/>
      <c r="H310" s="223">
        <f t="shared" si="478"/>
        <v>2.3499999999999996</v>
      </c>
      <c r="I310" s="559">
        <f t="shared" si="479"/>
        <v>48</v>
      </c>
      <c r="J310" s="454">
        <f t="shared" si="480"/>
        <v>15.75</v>
      </c>
      <c r="K310" s="454">
        <f t="shared" si="481"/>
        <v>63.75</v>
      </c>
      <c r="L310" s="454"/>
      <c r="M310" s="223">
        <f t="shared" si="482"/>
        <v>0.24705882352941178</v>
      </c>
      <c r="N310" s="178">
        <f t="shared" si="483"/>
        <v>4.0023529411764711</v>
      </c>
      <c r="O310" s="178">
        <f t="shared" si="475"/>
        <v>2.3499999999999996</v>
      </c>
      <c r="P310" s="223">
        <f t="shared" si="484"/>
        <v>0.80047058823529427</v>
      </c>
      <c r="Q310" s="223">
        <f t="shared" si="485"/>
        <v>5</v>
      </c>
      <c r="R310" s="223"/>
      <c r="S310" s="178">
        <f t="shared" si="486"/>
        <v>18.679396648649458</v>
      </c>
      <c r="T310" s="178">
        <f t="shared" si="487"/>
        <v>5</v>
      </c>
      <c r="U310" s="223">
        <f t="shared" si="488"/>
        <v>0.44036596119929444</v>
      </c>
      <c r="V310" s="223">
        <f t="shared" si="489"/>
        <v>0.40366879776601983</v>
      </c>
      <c r="W310" s="223">
        <f t="shared" si="490"/>
        <v>1.2302287170012034</v>
      </c>
      <c r="X310" s="203">
        <f t="shared" si="491"/>
        <v>350</v>
      </c>
      <c r="Y310" s="454">
        <f t="shared" si="477"/>
        <v>350</v>
      </c>
      <c r="AA310" s="223">
        <f t="shared" si="492"/>
        <v>0.77005347593582896</v>
      </c>
      <c r="AB310" s="179">
        <f t="shared" si="493"/>
        <v>2.151260504201681</v>
      </c>
      <c r="AC310" s="179">
        <f t="shared" si="494"/>
        <v>0.86970745517458337</v>
      </c>
      <c r="AD310" s="179"/>
      <c r="AE310" s="179">
        <f t="shared" si="495"/>
        <v>0.419047619047619</v>
      </c>
      <c r="AF310" s="563">
        <f t="shared" si="496"/>
        <v>4984.848484848485</v>
      </c>
      <c r="AG310" s="546">
        <f t="shared" si="497"/>
        <v>3.2999999999999995E-2</v>
      </c>
      <c r="AI310" s="179">
        <f t="shared" si="498"/>
        <v>0.56608704759475414</v>
      </c>
      <c r="AJ310" s="179">
        <f t="shared" si="499"/>
        <v>0.56608704759475414</v>
      </c>
      <c r="AK310" s="179">
        <f t="shared" si="500"/>
        <v>1.5082126278479659</v>
      </c>
      <c r="AM310" s="563">
        <f t="shared" si="501"/>
        <v>470</v>
      </c>
      <c r="AN310" s="472">
        <f t="shared" si="502"/>
        <v>350</v>
      </c>
      <c r="AP310">
        <f t="shared" si="503"/>
        <v>470</v>
      </c>
      <c r="AQ310">
        <f t="shared" si="504"/>
        <v>350</v>
      </c>
      <c r="AS310" s="6">
        <f t="shared" si="476"/>
        <v>2.8571428571428572</v>
      </c>
      <c r="AT310" s="6">
        <f t="shared" si="505"/>
        <v>0.51891312696185787</v>
      </c>
      <c r="AU310" s="6">
        <f t="shared" si="512"/>
        <v>2.3382297301809993</v>
      </c>
      <c r="AV310" s="6"/>
      <c r="AW310" s="179">
        <f t="shared" si="513"/>
        <v>0.18161959443665024</v>
      </c>
      <c r="AX310" s="179"/>
      <c r="BA310" s="472">
        <f t="shared" si="506"/>
        <v>19.245051903114188</v>
      </c>
      <c r="BB310" s="472">
        <f t="shared" si="507"/>
        <v>7.7131814236111111</v>
      </c>
      <c r="BC310" s="6">
        <f t="shared" si="514"/>
        <v>0.10599613938899204</v>
      </c>
      <c r="BD310" s="563">
        <f t="shared" si="508"/>
        <v>0</v>
      </c>
      <c r="CF310" s="581">
        <f t="shared" si="509"/>
        <v>-50</v>
      </c>
      <c r="CG310">
        <f t="shared" si="510"/>
        <v>-50</v>
      </c>
    </row>
    <row r="311" spans="5:85" x14ac:dyDescent="0.2">
      <c r="E311" s="176">
        <v>95</v>
      </c>
      <c r="F311" s="223">
        <f t="shared" si="511"/>
        <v>0.47499999999999998</v>
      </c>
      <c r="G311" s="223"/>
      <c r="H311" s="223">
        <f t="shared" si="478"/>
        <v>2.375</v>
      </c>
      <c r="I311" s="559">
        <f t="shared" si="479"/>
        <v>48</v>
      </c>
      <c r="J311" s="454">
        <f t="shared" si="480"/>
        <v>15.75</v>
      </c>
      <c r="K311" s="454">
        <f t="shared" si="481"/>
        <v>63.75</v>
      </c>
      <c r="L311" s="454"/>
      <c r="M311" s="223">
        <f t="shared" si="482"/>
        <v>0.24705882352941178</v>
      </c>
      <c r="N311" s="178">
        <f t="shared" si="483"/>
        <v>4.0023529411764711</v>
      </c>
      <c r="O311" s="178">
        <f t="shared" si="475"/>
        <v>2.375</v>
      </c>
      <c r="P311" s="223">
        <f t="shared" si="484"/>
        <v>0.80047058823529427</v>
      </c>
      <c r="Q311" s="223">
        <f t="shared" si="485"/>
        <v>5</v>
      </c>
      <c r="R311" s="223"/>
      <c r="S311" s="178">
        <f t="shared" si="486"/>
        <v>18.320656725240333</v>
      </c>
      <c r="T311" s="178">
        <f t="shared" si="487"/>
        <v>5</v>
      </c>
      <c r="U311" s="223">
        <f t="shared" si="488"/>
        <v>0.44505070546737208</v>
      </c>
      <c r="V311" s="223">
        <f t="shared" si="489"/>
        <v>0.40796314667842443</v>
      </c>
      <c r="W311" s="223">
        <f t="shared" si="490"/>
        <v>1.2433162565437696</v>
      </c>
      <c r="X311" s="203">
        <f t="shared" si="491"/>
        <v>350</v>
      </c>
      <c r="Y311" s="454">
        <f t="shared" si="477"/>
        <v>350</v>
      </c>
      <c r="AA311" s="223">
        <f t="shared" si="492"/>
        <v>0.77005347593582896</v>
      </c>
      <c r="AB311" s="179">
        <f t="shared" si="493"/>
        <v>2.151260504201681</v>
      </c>
      <c r="AC311" s="179">
        <f t="shared" si="494"/>
        <v>0.86970745517458337</v>
      </c>
      <c r="AD311" s="179"/>
      <c r="AE311" s="179">
        <f t="shared" si="495"/>
        <v>0.419047619047619</v>
      </c>
      <c r="AF311" s="563">
        <f t="shared" si="496"/>
        <v>5037.8787878787889</v>
      </c>
      <c r="AG311" s="546">
        <f t="shared" si="497"/>
        <v>3.2999999999999995E-2</v>
      </c>
      <c r="AI311" s="179">
        <f t="shared" si="498"/>
        <v>0.5690901829794961</v>
      </c>
      <c r="AJ311" s="179">
        <f t="shared" si="499"/>
        <v>0.5690901829794961</v>
      </c>
      <c r="AK311" s="179">
        <f t="shared" si="500"/>
        <v>1.5104371725774044</v>
      </c>
      <c r="AM311" s="563">
        <f t="shared" si="501"/>
        <v>475</v>
      </c>
      <c r="AN311" s="472">
        <f t="shared" si="502"/>
        <v>350</v>
      </c>
      <c r="AP311">
        <f t="shared" si="503"/>
        <v>475</v>
      </c>
      <c r="AQ311">
        <f t="shared" si="504"/>
        <v>350</v>
      </c>
      <c r="AS311" s="6">
        <f t="shared" si="476"/>
        <v>2.8571428571428572</v>
      </c>
      <c r="AT311" s="6">
        <f t="shared" si="505"/>
        <v>0.52166600106453809</v>
      </c>
      <c r="AU311" s="6">
        <f t="shared" si="512"/>
        <v>2.3354768560783192</v>
      </c>
      <c r="AV311" s="6"/>
      <c r="AW311" s="179">
        <f t="shared" si="513"/>
        <v>0.18258310037258832</v>
      </c>
      <c r="AX311" s="179"/>
      <c r="BA311" s="472">
        <f t="shared" si="506"/>
        <v>19.245051903114188</v>
      </c>
      <c r="BB311" s="472">
        <f t="shared" si="507"/>
        <v>7.863005019023344</v>
      </c>
      <c r="BC311" s="6">
        <f t="shared" si="514"/>
        <v>0.10699763760003872</v>
      </c>
      <c r="BD311" s="563">
        <f t="shared" si="508"/>
        <v>0</v>
      </c>
      <c r="CF311" s="581">
        <f t="shared" si="509"/>
        <v>-50</v>
      </c>
      <c r="CG311">
        <f t="shared" si="510"/>
        <v>-50</v>
      </c>
    </row>
    <row r="312" spans="5:85" x14ac:dyDescent="0.2">
      <c r="E312" s="176">
        <v>96</v>
      </c>
      <c r="F312" s="223">
        <f t="shared" si="511"/>
        <v>0.48</v>
      </c>
      <c r="G312" s="223"/>
      <c r="H312" s="223">
        <f t="shared" ref="H312:H316" si="515">F312*Vout</f>
        <v>2.4</v>
      </c>
      <c r="I312" s="559">
        <f t="shared" si="479"/>
        <v>48</v>
      </c>
      <c r="J312" s="454">
        <f t="shared" si="480"/>
        <v>15.75</v>
      </c>
      <c r="K312" s="454">
        <f t="shared" si="481"/>
        <v>63.75</v>
      </c>
      <c r="L312" s="454"/>
      <c r="M312" s="223">
        <f t="shared" si="482"/>
        <v>0.24705882352941178</v>
      </c>
      <c r="N312" s="178">
        <f t="shared" ref="N312:N316" si="516">M312*I312*Isw_max*0.5*Efficiency</f>
        <v>4.0023529411764711</v>
      </c>
      <c r="O312" s="178">
        <f t="shared" si="475"/>
        <v>2.4</v>
      </c>
      <c r="P312" s="223">
        <f t="shared" ref="P312:P316" si="517">N312/Vout</f>
        <v>0.80047058823529427</v>
      </c>
      <c r="Q312" s="223">
        <f t="shared" si="485"/>
        <v>5</v>
      </c>
      <c r="R312" s="223"/>
      <c r="S312" s="178">
        <f t="shared" si="486"/>
        <v>17.969544457292887</v>
      </c>
      <c r="T312" s="178">
        <f t="shared" ref="T312:T316" si="518">MIN(Vout, S312)</f>
        <v>5</v>
      </c>
      <c r="U312" s="223">
        <f t="shared" si="488"/>
        <v>0.44973544973544971</v>
      </c>
      <c r="V312" s="223">
        <f t="shared" ref="V312:V316" si="519">L*U312/I312*1000000</f>
        <v>0.41225749559082892</v>
      </c>
      <c r="W312" s="223">
        <f t="shared" si="490"/>
        <v>1.2564037960863357</v>
      </c>
      <c r="X312" s="203">
        <f t="shared" si="491"/>
        <v>350</v>
      </c>
      <c r="Y312" s="454">
        <f t="shared" si="477"/>
        <v>350</v>
      </c>
      <c r="AA312" s="223">
        <f t="shared" si="492"/>
        <v>0.77005347593582896</v>
      </c>
      <c r="AB312" s="179">
        <f t="shared" ref="AB312:AB316" si="520">L*AA312/J312*1000000</f>
        <v>2.151260504201681</v>
      </c>
      <c r="AC312" s="179">
        <f t="shared" ref="AC312:AC316" si="521">0.5*AB312*AA312*Nps*X312/1000</f>
        <v>0.86970745517458337</v>
      </c>
      <c r="AD312" s="179"/>
      <c r="AE312" s="179">
        <f t="shared" si="495"/>
        <v>0.419047619047619</v>
      </c>
      <c r="AF312" s="563">
        <f t="shared" ref="AF312:AF316" si="522">MAX(10000,F312/(0.5*AE312/1000000*Isw_min*Nps))/1000</f>
        <v>5090.9090909090919</v>
      </c>
      <c r="AG312" s="546">
        <f t="shared" si="497"/>
        <v>3.2999999999999995E-2</v>
      </c>
      <c r="AI312" s="179">
        <f t="shared" si="498"/>
        <v>0.57207755354735534</v>
      </c>
      <c r="AJ312" s="179">
        <f t="shared" ref="AJ312:AJ316" si="523">MAX(IF(F312&gt;AC312,U312,AI312),Isw_min)</f>
        <v>0.57207755354735534</v>
      </c>
      <c r="AK312" s="179">
        <f t="shared" ref="AK312:AK316" si="524">IF(F312&gt;AG312, (AJ312-Isw_min)/1.08*0.8+1.2, AF312*0.2/350+1)</f>
        <v>1.5126500396647076</v>
      </c>
      <c r="AM312" s="563">
        <f t="shared" si="501"/>
        <v>480</v>
      </c>
      <c r="AN312" s="472">
        <f t="shared" si="502"/>
        <v>350</v>
      </c>
      <c r="AP312">
        <f t="shared" si="503"/>
        <v>480</v>
      </c>
      <c r="AQ312">
        <f t="shared" si="504"/>
        <v>350</v>
      </c>
      <c r="AS312" s="6">
        <f t="shared" si="476"/>
        <v>2.8571428571428572</v>
      </c>
      <c r="AT312" s="6">
        <f t="shared" si="505"/>
        <v>0.5244044240850757</v>
      </c>
      <c r="AU312" s="6">
        <f t="shared" si="512"/>
        <v>2.3327384330577816</v>
      </c>
      <c r="AV312" s="6"/>
      <c r="AW312" s="179">
        <f t="shared" si="513"/>
        <v>0.18354154842977649</v>
      </c>
      <c r="AX312" s="179"/>
      <c r="BA312" s="472">
        <f t="shared" si="506"/>
        <v>19.245051903114188</v>
      </c>
      <c r="BB312" s="472">
        <f t="shared" si="507"/>
        <v>8.0142553191489352</v>
      </c>
      <c r="BC312" s="6">
        <f t="shared" si="514"/>
        <v>0.10799714967860098</v>
      </c>
      <c r="BD312" s="563">
        <f t="shared" si="508"/>
        <v>0</v>
      </c>
      <c r="CF312" s="581">
        <f t="shared" si="509"/>
        <v>-50</v>
      </c>
      <c r="CG312">
        <f t="shared" si="510"/>
        <v>-50</v>
      </c>
    </row>
    <row r="313" spans="5:85" x14ac:dyDescent="0.2">
      <c r="E313" s="176">
        <v>97</v>
      </c>
      <c r="F313" s="223">
        <f t="shared" ref="F313:F316" si="525">IF(PLOT_TYPE=1, E313/100*Iout_max, min_I*EXP(N313*rr/100))</f>
        <v>0.48499999999999999</v>
      </c>
      <c r="G313" s="223"/>
      <c r="H313" s="223">
        <f t="shared" si="515"/>
        <v>2.4249999999999998</v>
      </c>
      <c r="I313" s="559">
        <f t="shared" si="479"/>
        <v>48</v>
      </c>
      <c r="J313" s="454">
        <f t="shared" si="480"/>
        <v>15.75</v>
      </c>
      <c r="K313" s="454">
        <f t="shared" si="481"/>
        <v>63.75</v>
      </c>
      <c r="L313" s="454"/>
      <c r="M313" s="223">
        <f t="shared" si="482"/>
        <v>0.24705882352941178</v>
      </c>
      <c r="N313" s="178">
        <f t="shared" si="516"/>
        <v>4.0023529411764711</v>
      </c>
      <c r="O313" s="178">
        <f t="shared" si="475"/>
        <v>2.4249999999999998</v>
      </c>
      <c r="P313" s="223">
        <f t="shared" si="517"/>
        <v>0.80047058823529427</v>
      </c>
      <c r="Q313" s="223">
        <f t="shared" si="485"/>
        <v>5</v>
      </c>
      <c r="R313" s="223"/>
      <c r="S313" s="178">
        <f t="shared" si="486"/>
        <v>17.625827717769109</v>
      </c>
      <c r="T313" s="178">
        <f t="shared" si="518"/>
        <v>5</v>
      </c>
      <c r="U313" s="223">
        <f t="shared" si="488"/>
        <v>0.45442019400352729</v>
      </c>
      <c r="V313" s="223">
        <f t="shared" si="519"/>
        <v>0.41655184450323329</v>
      </c>
      <c r="W313" s="223">
        <f t="shared" si="490"/>
        <v>1.2694913356289015</v>
      </c>
      <c r="X313" s="203">
        <f t="shared" si="491"/>
        <v>350</v>
      </c>
      <c r="Y313" s="454">
        <f t="shared" si="477"/>
        <v>350</v>
      </c>
      <c r="AA313" s="223">
        <f t="shared" si="492"/>
        <v>0.77005347593582896</v>
      </c>
      <c r="AB313" s="179">
        <f t="shared" si="520"/>
        <v>2.151260504201681</v>
      </c>
      <c r="AC313" s="179">
        <f t="shared" si="521"/>
        <v>0.86970745517458337</v>
      </c>
      <c r="AD313" s="179"/>
      <c r="AE313" s="179">
        <f t="shared" si="495"/>
        <v>0.419047619047619</v>
      </c>
      <c r="AF313" s="563">
        <f t="shared" si="522"/>
        <v>5143.9393939393949</v>
      </c>
      <c r="AG313" s="546">
        <f t="shared" si="497"/>
        <v>3.2999999999999995E-2</v>
      </c>
      <c r="AI313" s="179">
        <f t="shared" si="498"/>
        <v>0.57504940499214341</v>
      </c>
      <c r="AJ313" s="179">
        <f t="shared" si="523"/>
        <v>0.57504940499214341</v>
      </c>
      <c r="AK313" s="179">
        <f t="shared" si="524"/>
        <v>1.5148514111052913</v>
      </c>
      <c r="AM313" s="563">
        <f t="shared" si="501"/>
        <v>485</v>
      </c>
      <c r="AN313" s="472">
        <f t="shared" si="502"/>
        <v>350</v>
      </c>
      <c r="AP313">
        <f t="shared" si="503"/>
        <v>485</v>
      </c>
      <c r="AQ313">
        <f t="shared" si="504"/>
        <v>350</v>
      </c>
      <c r="AS313" s="6">
        <f t="shared" si="476"/>
        <v>2.8571428571428572</v>
      </c>
      <c r="AT313" s="6">
        <f t="shared" si="505"/>
        <v>0.52712862124279813</v>
      </c>
      <c r="AU313" s="6">
        <f t="shared" si="512"/>
        <v>2.3300142359000588</v>
      </c>
      <c r="AV313" s="6"/>
      <c r="AW313" s="179">
        <f t="shared" si="513"/>
        <v>0.18449501743497934</v>
      </c>
      <c r="AX313" s="179"/>
      <c r="BA313" s="472">
        <f t="shared" si="506"/>
        <v>19.245051903114188</v>
      </c>
      <c r="BB313" s="472">
        <f t="shared" si="507"/>
        <v>8.1669323239878846</v>
      </c>
      <c r="BC313" s="6">
        <f t="shared" si="514"/>
        <v>0.10899468599648228</v>
      </c>
      <c r="BD313" s="563">
        <f t="shared" si="508"/>
        <v>0</v>
      </c>
      <c r="CF313" s="581">
        <f t="shared" si="509"/>
        <v>-50</v>
      </c>
      <c r="CG313">
        <f t="shared" si="510"/>
        <v>-50</v>
      </c>
    </row>
    <row r="314" spans="5:85" x14ac:dyDescent="0.2">
      <c r="E314" s="176">
        <v>98</v>
      </c>
      <c r="F314" s="223">
        <f t="shared" si="525"/>
        <v>0.49</v>
      </c>
      <c r="G314" s="223"/>
      <c r="H314" s="223">
        <f t="shared" si="515"/>
        <v>2.4500000000000002</v>
      </c>
      <c r="I314" s="559">
        <f t="shared" si="479"/>
        <v>48</v>
      </c>
      <c r="J314" s="454">
        <f t="shared" si="480"/>
        <v>15.75</v>
      </c>
      <c r="K314" s="454">
        <f t="shared" si="481"/>
        <v>63.75</v>
      </c>
      <c r="L314" s="454"/>
      <c r="M314" s="223">
        <f t="shared" si="482"/>
        <v>0.24705882352941178</v>
      </c>
      <c r="N314" s="178">
        <f t="shared" si="516"/>
        <v>4.0023529411764711</v>
      </c>
      <c r="O314" s="178">
        <f t="shared" si="475"/>
        <v>2.4500000000000002</v>
      </c>
      <c r="P314" s="223">
        <f t="shared" si="517"/>
        <v>0.80047058823529427</v>
      </c>
      <c r="Q314" s="223">
        <f t="shared" si="485"/>
        <v>5</v>
      </c>
      <c r="R314" s="223"/>
      <c r="S314" s="178">
        <f t="shared" si="486"/>
        <v>17.289283970824549</v>
      </c>
      <c r="T314" s="178">
        <f t="shared" si="518"/>
        <v>5</v>
      </c>
      <c r="U314" s="223">
        <f t="shared" si="488"/>
        <v>0.45910493827160492</v>
      </c>
      <c r="V314" s="223">
        <f t="shared" si="519"/>
        <v>0.42084619341563784</v>
      </c>
      <c r="W314" s="223">
        <f t="shared" si="490"/>
        <v>1.2825788751714675</v>
      </c>
      <c r="X314" s="203">
        <f t="shared" si="491"/>
        <v>350</v>
      </c>
      <c r="Y314" s="454">
        <f t="shared" si="477"/>
        <v>350</v>
      </c>
      <c r="AA314" s="223">
        <f t="shared" si="492"/>
        <v>0.77005347593582896</v>
      </c>
      <c r="AB314" s="179">
        <f t="shared" si="520"/>
        <v>2.151260504201681</v>
      </c>
      <c r="AC314" s="179">
        <f t="shared" si="521"/>
        <v>0.86970745517458337</v>
      </c>
      <c r="AD314" s="179"/>
      <c r="AE314" s="179">
        <f t="shared" si="495"/>
        <v>0.419047619047619</v>
      </c>
      <c r="AF314" s="563">
        <f t="shared" si="522"/>
        <v>5196.9696969696979</v>
      </c>
      <c r="AG314" s="546">
        <f t="shared" si="497"/>
        <v>3.2999999999999995E-2</v>
      </c>
      <c r="AI314" s="179">
        <f t="shared" si="498"/>
        <v>0.57800597669133924</v>
      </c>
      <c r="AJ314" s="179">
        <f t="shared" si="523"/>
        <v>0.57800597669133924</v>
      </c>
      <c r="AK314" s="179">
        <f t="shared" si="524"/>
        <v>1.5170414642158068</v>
      </c>
      <c r="AM314" s="563">
        <f t="shared" si="501"/>
        <v>490</v>
      </c>
      <c r="AN314" s="472">
        <f t="shared" si="502"/>
        <v>350</v>
      </c>
      <c r="AP314">
        <f t="shared" si="503"/>
        <v>490</v>
      </c>
      <c r="AQ314">
        <f t="shared" si="504"/>
        <v>350</v>
      </c>
      <c r="AS314" s="6">
        <f t="shared" si="476"/>
        <v>2.8571428571428572</v>
      </c>
      <c r="AT314" s="6">
        <f t="shared" si="505"/>
        <v>0.52983881196706095</v>
      </c>
      <c r="AU314" s="6">
        <f t="shared" si="512"/>
        <v>2.3273040451757963</v>
      </c>
      <c r="AV314" s="6"/>
      <c r="AW314" s="179">
        <f t="shared" si="513"/>
        <v>0.18544358418847132</v>
      </c>
      <c r="AX314" s="179"/>
      <c r="BA314" s="472">
        <f t="shared" si="506"/>
        <v>19.245051903114188</v>
      </c>
      <c r="BB314" s="472">
        <f t="shared" si="507"/>
        <v>8.3210360335401887</v>
      </c>
      <c r="BC314" s="6">
        <f t="shared" si="514"/>
        <v>0.10999025676467399</v>
      </c>
      <c r="BD314" s="563">
        <f t="shared" si="508"/>
        <v>0</v>
      </c>
      <c r="CF314" s="581">
        <f t="shared" si="509"/>
        <v>-50</v>
      </c>
      <c r="CG314">
        <f t="shared" si="510"/>
        <v>-50</v>
      </c>
    </row>
    <row r="315" spans="5:85" x14ac:dyDescent="0.2">
      <c r="E315" s="176">
        <v>99</v>
      </c>
      <c r="F315" s="223">
        <f t="shared" si="525"/>
        <v>0.495</v>
      </c>
      <c r="G315" s="223"/>
      <c r="H315" s="223">
        <f t="shared" si="515"/>
        <v>2.4750000000000001</v>
      </c>
      <c r="I315" s="559">
        <f t="shared" si="479"/>
        <v>48</v>
      </c>
      <c r="J315" s="454">
        <f t="shared" si="480"/>
        <v>15.75</v>
      </c>
      <c r="K315" s="454">
        <f t="shared" si="481"/>
        <v>63.75</v>
      </c>
      <c r="L315" s="454"/>
      <c r="M315" s="223">
        <f t="shared" si="482"/>
        <v>0.24705882352941178</v>
      </c>
      <c r="N315" s="178">
        <f t="shared" si="516"/>
        <v>4.0023529411764711</v>
      </c>
      <c r="O315" s="178">
        <f t="shared" si="475"/>
        <v>2.4750000000000001</v>
      </c>
      <c r="P315" s="223">
        <f t="shared" si="517"/>
        <v>0.80047058823529427</v>
      </c>
      <c r="Q315" s="223">
        <f t="shared" si="485"/>
        <v>5</v>
      </c>
      <c r="R315" s="223"/>
      <c r="S315" s="178">
        <f t="shared" si="486"/>
        <v>16.959699791570461</v>
      </c>
      <c r="T315" s="178">
        <f t="shared" si="518"/>
        <v>5</v>
      </c>
      <c r="U315" s="223">
        <f t="shared" si="488"/>
        <v>0.4637896825396825</v>
      </c>
      <c r="V315" s="223">
        <f t="shared" si="519"/>
        <v>0.42514054232804233</v>
      </c>
      <c r="W315" s="223">
        <f t="shared" si="490"/>
        <v>1.2956664147140335</v>
      </c>
      <c r="X315" s="203">
        <f t="shared" si="491"/>
        <v>350</v>
      </c>
      <c r="Y315" s="454">
        <f t="shared" si="477"/>
        <v>350</v>
      </c>
      <c r="AA315" s="223">
        <f t="shared" si="492"/>
        <v>0.77005347593582896</v>
      </c>
      <c r="AB315" s="179">
        <f t="shared" si="520"/>
        <v>2.151260504201681</v>
      </c>
      <c r="AC315" s="179">
        <f t="shared" si="521"/>
        <v>0.86970745517458337</v>
      </c>
      <c r="AD315" s="179"/>
      <c r="AE315" s="179">
        <f t="shared" si="495"/>
        <v>0.419047619047619</v>
      </c>
      <c r="AF315" s="563">
        <f t="shared" si="522"/>
        <v>5250.0000000000009</v>
      </c>
      <c r="AG315" s="546">
        <f t="shared" si="497"/>
        <v>3.2999999999999995E-2</v>
      </c>
      <c r="AI315" s="179">
        <f t="shared" si="498"/>
        <v>0.58094750193111255</v>
      </c>
      <c r="AJ315" s="179">
        <f t="shared" si="523"/>
        <v>0.58094750193111255</v>
      </c>
      <c r="AK315" s="179">
        <f t="shared" si="524"/>
        <v>1.5192203718008241</v>
      </c>
      <c r="AM315" s="563">
        <f t="shared" si="501"/>
        <v>495</v>
      </c>
      <c r="AN315" s="472">
        <f t="shared" si="502"/>
        <v>350</v>
      </c>
      <c r="AP315">
        <f t="shared" si="503"/>
        <v>495</v>
      </c>
      <c r="AQ315">
        <f t="shared" si="504"/>
        <v>350</v>
      </c>
      <c r="AS315" s="6">
        <f t="shared" si="476"/>
        <v>2.8571428571428572</v>
      </c>
      <c r="AT315" s="6">
        <f t="shared" si="505"/>
        <v>0.53253521010351978</v>
      </c>
      <c r="AU315" s="6">
        <f t="shared" si="512"/>
        <v>2.3246076470393375</v>
      </c>
      <c r="AV315" s="6"/>
      <c r="AW315" s="179">
        <f t="shared" si="513"/>
        <v>0.18638732353623191</v>
      </c>
      <c r="AX315" s="179"/>
      <c r="BA315" s="472">
        <f t="shared" si="506"/>
        <v>19.245051903114188</v>
      </c>
      <c r="BB315" s="472">
        <f t="shared" si="507"/>
        <v>8.4765664478058511</v>
      </c>
      <c r="BC315" s="6">
        <f t="shared" si="514"/>
        <v>0.11098387203746836</v>
      </c>
      <c r="BD315" s="563">
        <f t="shared" si="508"/>
        <v>0</v>
      </c>
      <c r="CF315" s="581">
        <f t="shared" si="509"/>
        <v>-50</v>
      </c>
      <c r="CG315">
        <f t="shared" si="510"/>
        <v>-50</v>
      </c>
    </row>
    <row r="316" spans="5:85" x14ac:dyDescent="0.2">
      <c r="E316" s="176">
        <v>100</v>
      </c>
      <c r="F316" s="223">
        <f t="shared" si="525"/>
        <v>0.5</v>
      </c>
      <c r="G316" s="223"/>
      <c r="H316" s="223">
        <f t="shared" si="515"/>
        <v>2.5</v>
      </c>
      <c r="I316" s="559">
        <f t="shared" si="479"/>
        <v>48</v>
      </c>
      <c r="J316" s="454">
        <f t="shared" si="480"/>
        <v>15.75</v>
      </c>
      <c r="K316" s="454">
        <f t="shared" si="481"/>
        <v>63.75</v>
      </c>
      <c r="L316" s="454"/>
      <c r="M316" s="223">
        <f t="shared" si="482"/>
        <v>0.24705882352941178</v>
      </c>
      <c r="N316" s="178">
        <f t="shared" si="516"/>
        <v>4.0023529411764711</v>
      </c>
      <c r="O316" s="178">
        <f t="shared" si="475"/>
        <v>2.5</v>
      </c>
      <c r="P316" s="223">
        <f t="shared" si="517"/>
        <v>0.80047058823529427</v>
      </c>
      <c r="Q316" s="223">
        <f t="shared" si="485"/>
        <v>5</v>
      </c>
      <c r="R316" s="223"/>
      <c r="S316" s="178">
        <f t="shared" si="486"/>
        <v>16.636870414810076</v>
      </c>
      <c r="T316" s="178">
        <f t="shared" si="518"/>
        <v>5</v>
      </c>
      <c r="U316" s="223">
        <f t="shared" si="488"/>
        <v>0.46847442680776008</v>
      </c>
      <c r="V316" s="223">
        <f t="shared" si="519"/>
        <v>0.4294348912404467</v>
      </c>
      <c r="W316" s="223">
        <f t="shared" si="490"/>
        <v>1.3087539542565994</v>
      </c>
      <c r="X316" s="203">
        <f t="shared" si="491"/>
        <v>350</v>
      </c>
      <c r="Y316" s="454">
        <f t="shared" si="477"/>
        <v>350</v>
      </c>
      <c r="AA316" s="223">
        <f t="shared" si="492"/>
        <v>0.77005347593582896</v>
      </c>
      <c r="AB316" s="179">
        <f t="shared" si="520"/>
        <v>2.151260504201681</v>
      </c>
      <c r="AC316" s="179">
        <f t="shared" si="521"/>
        <v>0.86970745517458337</v>
      </c>
      <c r="AD316" s="179"/>
      <c r="AE316" s="179">
        <f t="shared" si="495"/>
        <v>0.419047619047619</v>
      </c>
      <c r="AF316" s="563">
        <f t="shared" si="522"/>
        <v>5303.0303030303039</v>
      </c>
      <c r="AG316" s="546">
        <f t="shared" si="497"/>
        <v>3.2999999999999995E-2</v>
      </c>
      <c r="AI316" s="179">
        <f t="shared" si="498"/>
        <v>0.58387420812114221</v>
      </c>
      <c r="AJ316" s="179">
        <f t="shared" si="523"/>
        <v>0.58387420812114221</v>
      </c>
      <c r="AK316" s="179">
        <f t="shared" si="524"/>
        <v>1.5213883023119572</v>
      </c>
      <c r="AM316" s="563">
        <f t="shared" si="501"/>
        <v>500</v>
      </c>
      <c r="AN316" s="472">
        <f t="shared" si="502"/>
        <v>350</v>
      </c>
      <c r="AP316">
        <f t="shared" si="503"/>
        <v>500</v>
      </c>
      <c r="AQ316">
        <f t="shared" si="504"/>
        <v>350</v>
      </c>
      <c r="AS316" s="6">
        <f t="shared" si="476"/>
        <v>2.8571428571428572</v>
      </c>
      <c r="AT316" s="6">
        <f t="shared" si="505"/>
        <v>0.53521802411104702</v>
      </c>
      <c r="AU316" s="6">
        <f t="shared" si="512"/>
        <v>2.3219248330318103</v>
      </c>
      <c r="AV316" s="6"/>
      <c r="AW316" s="179">
        <f t="shared" si="513"/>
        <v>0.18732630843886644</v>
      </c>
      <c r="AX316" s="179"/>
      <c r="BA316" s="472">
        <f t="shared" si="506"/>
        <v>19.245051903114188</v>
      </c>
      <c r="BB316" s="472">
        <f t="shared" si="507"/>
        <v>8.63352356678487</v>
      </c>
      <c r="BC316" s="6">
        <f t="shared" si="514"/>
        <v>0.11197554171642601</v>
      </c>
      <c r="BD316" s="563">
        <f t="shared" si="508"/>
        <v>0</v>
      </c>
      <c r="CF316" s="581">
        <f t="shared" si="509"/>
        <v>-50</v>
      </c>
      <c r="CG316">
        <f t="shared" si="510"/>
        <v>-50</v>
      </c>
    </row>
    <row r="317" spans="5:85" x14ac:dyDescent="0.2">
      <c r="E317" s="176"/>
      <c r="F317" s="223"/>
      <c r="G317" s="223"/>
      <c r="CF317" s="581"/>
    </row>
    <row r="318" spans="5:85" x14ac:dyDescent="0.2">
      <c r="CF318" s="581"/>
    </row>
    <row r="319" spans="5:85" x14ac:dyDescent="0.2">
      <c r="CF319" s="581"/>
    </row>
    <row r="320" spans="5:85" x14ac:dyDescent="0.2">
      <c r="CF320" s="581"/>
    </row>
    <row r="321" spans="84:84" x14ac:dyDescent="0.2">
      <c r="CF321" s="581"/>
    </row>
  </sheetData>
  <mergeCells count="1">
    <mergeCell ref="M3:AA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CH317"/>
  <sheetViews>
    <sheetView topLeftCell="AI70" zoomScaleNormal="100" workbookViewId="0">
      <selection activeCell="BB5" sqref="BB5"/>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7" width="7.7109375" customWidth="1"/>
    <col min="8" max="9" width="7.85546875" customWidth="1"/>
    <col min="10" max="10" width="6.28515625" customWidth="1"/>
    <col min="11" max="11" width="9.5703125" customWidth="1"/>
    <col min="12" max="12" width="9.28515625" customWidth="1"/>
    <col min="13" max="13" width="1.85546875" customWidth="1"/>
    <col min="14" max="14" width="8.42578125" customWidth="1"/>
    <col min="15" max="16" width="9.5703125" customWidth="1"/>
    <col min="17" max="18" width="8.85546875" customWidth="1"/>
    <col min="19" max="19" width="8.5703125" customWidth="1"/>
    <col min="20" max="20" width="7.5703125" customWidth="1"/>
    <col min="21" max="21" width="9" customWidth="1"/>
    <col min="22" max="22" width="8.85546875" customWidth="1"/>
    <col min="23" max="23" width="10" customWidth="1"/>
    <col min="24" max="24" width="9.5703125" customWidth="1"/>
    <col min="25" max="25" width="1.85546875" customWidth="1"/>
    <col min="26" max="26" width="9.85546875" customWidth="1"/>
    <col min="27" max="27" width="10.42578125" customWidth="1"/>
    <col min="28" max="28" width="10.140625" customWidth="1"/>
    <col min="29" max="29" width="2" customWidth="1"/>
    <col min="30" max="30" width="9.140625" customWidth="1"/>
    <col min="31" max="31" width="9.42578125" customWidth="1"/>
    <col min="32" max="32" width="10.42578125" customWidth="1"/>
    <col min="33" max="33" width="2.140625" customWidth="1"/>
    <col min="35" max="35" width="8" customWidth="1"/>
    <col min="37" max="37" width="2.28515625" customWidth="1"/>
    <col min="38" max="38" width="6.5703125" customWidth="1"/>
    <col min="39" max="39" width="7.5703125" customWidth="1"/>
    <col min="40" max="40" width="2" customWidth="1"/>
    <col min="41" max="41" width="6.42578125" customWidth="1"/>
    <col min="42" max="42" width="7.5703125" customWidth="1"/>
    <col min="43" max="43" width="2.140625" customWidth="1"/>
    <col min="44" max="46" width="7" customWidth="1"/>
    <col min="47" max="47" width="8.42578125" customWidth="1"/>
    <col min="48" max="48" width="2.140625" customWidth="1"/>
    <col min="49" max="49" width="10" customWidth="1"/>
    <col min="50" max="50" width="11.5703125" customWidth="1"/>
    <col min="51" max="51" width="10.42578125" customWidth="1"/>
    <col min="52" max="52" width="12" customWidth="1"/>
    <col min="53" max="54" width="9.85546875" customWidth="1"/>
    <col min="55" max="55" width="2" customWidth="1"/>
    <col min="59" max="59" width="2.140625" customWidth="1"/>
    <col min="60" max="60" width="9" customWidth="1"/>
    <col min="61" max="62" width="8.140625" customWidth="1"/>
    <col min="63" max="63" width="8.7109375" customWidth="1"/>
    <col min="64" max="66" width="7.5703125" customWidth="1"/>
    <col min="67" max="68" width="10.28515625" customWidth="1"/>
    <col min="69" max="69" width="9.42578125" customWidth="1"/>
    <col min="70" max="70" width="9.5703125" customWidth="1"/>
    <col min="71" max="71" width="10" customWidth="1"/>
    <col min="72" max="72" width="8.7109375" customWidth="1"/>
    <col min="75" max="76" width="9.85546875" customWidth="1"/>
    <col min="77" max="77" width="12.140625" customWidth="1"/>
    <col min="78" max="78" width="9.140625" customWidth="1"/>
    <col min="80" max="80" width="7.7109375" customWidth="1"/>
    <col min="81" max="81" width="10.42578125" customWidth="1"/>
    <col min="82" max="82" width="12.42578125" bestFit="1" customWidth="1"/>
    <col min="83" max="83" width="6.5703125" customWidth="1"/>
    <col min="84" max="84" width="5" customWidth="1"/>
    <col min="85" max="85" width="9.5703125" customWidth="1"/>
  </cols>
  <sheetData>
    <row r="1" spans="2:86" x14ac:dyDescent="0.2">
      <c r="B1" s="456" t="s">
        <v>530</v>
      </c>
    </row>
    <row r="2" spans="2:86" ht="13.5" thickBot="1" x14ac:dyDescent="0.25">
      <c r="AW2">
        <f>Vout_ripple</f>
        <v>50</v>
      </c>
    </row>
    <row r="3" spans="2:86" x14ac:dyDescent="0.2">
      <c r="E3" s="226" t="s">
        <v>433</v>
      </c>
      <c r="F3" s="558"/>
      <c r="G3" s="558"/>
      <c r="H3" s="558"/>
      <c r="I3" s="558"/>
      <c r="J3" s="227"/>
      <c r="K3" s="228"/>
      <c r="L3" s="542"/>
      <c r="M3" s="542"/>
      <c r="N3" s="693" t="s">
        <v>190</v>
      </c>
      <c r="O3" s="694"/>
      <c r="P3" s="695"/>
      <c r="Q3" s="693"/>
      <c r="R3" s="695"/>
      <c r="S3" s="693"/>
      <c r="T3" s="693"/>
      <c r="U3" s="694"/>
      <c r="V3" s="694"/>
      <c r="W3" s="693"/>
      <c r="X3" s="694"/>
      <c r="Y3" s="693"/>
      <c r="Z3" s="696"/>
      <c r="AA3" s="551"/>
      <c r="AB3" s="551"/>
      <c r="AC3" s="551"/>
      <c r="AD3" s="551"/>
      <c r="AE3" s="551"/>
      <c r="AF3" s="551"/>
      <c r="AG3" s="551"/>
      <c r="AH3" s="551"/>
      <c r="AI3" s="551"/>
      <c r="AJ3" s="551"/>
      <c r="AK3" s="551"/>
      <c r="AL3" s="551"/>
      <c r="AM3" s="551"/>
      <c r="AN3" s="551"/>
      <c r="AO3" s="551"/>
      <c r="AP3" s="551"/>
      <c r="AQ3" s="551"/>
      <c r="AR3" s="551" t="s">
        <v>472</v>
      </c>
      <c r="AS3" s="551"/>
      <c r="AT3" s="551"/>
      <c r="AU3" s="551"/>
      <c r="AV3" s="551"/>
      <c r="AW3" s="551" t="s">
        <v>482</v>
      </c>
      <c r="AX3" s="551"/>
      <c r="AY3" s="551" t="s">
        <v>482</v>
      </c>
      <c r="AZ3" s="551"/>
      <c r="BA3" s="551"/>
      <c r="BB3" s="551"/>
      <c r="BC3" s="551"/>
      <c r="BD3" s="577" t="s">
        <v>483</v>
      </c>
      <c r="BE3" s="551"/>
      <c r="BF3" s="551"/>
      <c r="BG3" s="551"/>
      <c r="BH3" s="577" t="s">
        <v>506</v>
      </c>
      <c r="BI3" s="551"/>
      <c r="BJ3" s="551"/>
      <c r="BK3" s="551"/>
      <c r="BL3" s="551"/>
      <c r="BM3" s="551"/>
      <c r="BN3" s="551"/>
      <c r="BO3" s="577" t="s">
        <v>502</v>
      </c>
      <c r="BP3" s="551"/>
      <c r="BQ3" s="551"/>
      <c r="BR3" s="551"/>
      <c r="BS3" s="551"/>
      <c r="BT3" s="578" t="s">
        <v>503</v>
      </c>
      <c r="BU3" s="551"/>
      <c r="BV3" s="551"/>
      <c r="BW3" s="551"/>
      <c r="BX3" s="551"/>
      <c r="BY3" s="551"/>
      <c r="BZ3" s="551"/>
      <c r="CA3" s="577"/>
      <c r="CB3" s="551"/>
      <c r="CC3" s="551"/>
      <c r="CD3" s="551"/>
      <c r="CE3" s="551"/>
    </row>
    <row r="4" spans="2:86" ht="45" customHeight="1" thickBot="1" x14ac:dyDescent="0.25">
      <c r="E4" s="247" t="s">
        <v>25</v>
      </c>
      <c r="F4" s="625" t="s">
        <v>600</v>
      </c>
      <c r="G4" s="455" t="s">
        <v>599</v>
      </c>
      <c r="H4" s="626" t="s">
        <v>601</v>
      </c>
      <c r="I4" s="627" t="s">
        <v>602</v>
      </c>
      <c r="J4" s="248" t="s">
        <v>424</v>
      </c>
      <c r="K4" s="249" t="s">
        <v>606</v>
      </c>
      <c r="L4" s="628" t="s">
        <v>425</v>
      </c>
      <c r="M4" s="629"/>
      <c r="N4" s="250" t="s">
        <v>48</v>
      </c>
      <c r="O4" s="629" t="s">
        <v>610</v>
      </c>
      <c r="P4" s="629" t="s">
        <v>626</v>
      </c>
      <c r="Q4" s="629" t="s">
        <v>603</v>
      </c>
      <c r="R4" s="629" t="s">
        <v>604</v>
      </c>
      <c r="S4" s="629" t="s">
        <v>605</v>
      </c>
      <c r="T4" s="629" t="s">
        <v>426</v>
      </c>
      <c r="U4" s="629" t="s">
        <v>478</v>
      </c>
      <c r="V4" s="629" t="s">
        <v>477</v>
      </c>
      <c r="W4" s="630" t="s">
        <v>432</v>
      </c>
      <c r="X4" s="631" t="s">
        <v>437</v>
      </c>
      <c r="Z4" s="251" t="s">
        <v>429</v>
      </c>
      <c r="AA4" s="251" t="s">
        <v>476</v>
      </c>
      <c r="AB4" s="251" t="s">
        <v>607</v>
      </c>
      <c r="AC4" s="562"/>
      <c r="AD4" s="251" t="s">
        <v>475</v>
      </c>
      <c r="AE4" s="630" t="s">
        <v>438</v>
      </c>
      <c r="AF4" s="251" t="s">
        <v>608</v>
      </c>
      <c r="AG4" s="562"/>
      <c r="AH4" s="251" t="s">
        <v>441</v>
      </c>
      <c r="AI4" s="566" t="s">
        <v>442</v>
      </c>
      <c r="AJ4" s="566" t="s">
        <v>443</v>
      </c>
      <c r="AL4" s="561" t="s">
        <v>276</v>
      </c>
      <c r="AM4" s="561" t="s">
        <v>444</v>
      </c>
      <c r="AO4" s="251" t="s">
        <v>276</v>
      </c>
      <c r="AP4" s="251" t="s">
        <v>444</v>
      </c>
      <c r="AQ4" s="567"/>
      <c r="AR4" s="251" t="s">
        <v>479</v>
      </c>
      <c r="AS4" s="251" t="s">
        <v>473</v>
      </c>
      <c r="AT4" s="251" t="s">
        <v>474</v>
      </c>
      <c r="AU4" s="251" t="s">
        <v>48</v>
      </c>
      <c r="AV4" s="562"/>
      <c r="AW4" s="251" t="s">
        <v>611</v>
      </c>
      <c r="AX4" s="251" t="s">
        <v>711</v>
      </c>
      <c r="AY4" s="251" t="s">
        <v>612</v>
      </c>
      <c r="AZ4" s="251" t="s">
        <v>712</v>
      </c>
      <c r="BA4" s="251" t="s">
        <v>529</v>
      </c>
      <c r="BB4" s="251" t="s">
        <v>710</v>
      </c>
      <c r="BC4" s="562"/>
      <c r="BD4" s="576" t="s">
        <v>468</v>
      </c>
      <c r="BE4" s="251" t="s">
        <v>619</v>
      </c>
      <c r="BF4" s="251" t="s">
        <v>618</v>
      </c>
      <c r="BG4" s="562"/>
      <c r="BH4" s="576" t="s">
        <v>486</v>
      </c>
      <c r="BI4" s="251" t="s">
        <v>487</v>
      </c>
      <c r="BJ4" s="251" t="s">
        <v>485</v>
      </c>
      <c r="BK4" s="251" t="s">
        <v>481</v>
      </c>
      <c r="BL4" s="251" t="s">
        <v>490</v>
      </c>
      <c r="BM4" s="251" t="s">
        <v>697</v>
      </c>
      <c r="BN4" s="251" t="s">
        <v>504</v>
      </c>
      <c r="BO4" s="576" t="s">
        <v>621</v>
      </c>
      <c r="BP4" s="251" t="s">
        <v>620</v>
      </c>
      <c r="BQ4" s="251" t="s">
        <v>489</v>
      </c>
      <c r="BR4" s="251" t="s">
        <v>496</v>
      </c>
      <c r="BS4" s="251" t="s">
        <v>500</v>
      </c>
      <c r="BT4" s="576" t="s">
        <v>470</v>
      </c>
      <c r="BU4" s="251" t="s">
        <v>623</v>
      </c>
      <c r="BV4" s="251" t="s">
        <v>622</v>
      </c>
      <c r="BW4" s="251" t="s">
        <v>480</v>
      </c>
      <c r="BX4" s="251" t="s">
        <v>703</v>
      </c>
      <c r="BY4" s="251" t="s">
        <v>497</v>
      </c>
      <c r="BZ4" s="251" t="s">
        <v>499</v>
      </c>
      <c r="CA4" s="576" t="s">
        <v>495</v>
      </c>
      <c r="CB4" s="251" t="s">
        <v>224</v>
      </c>
      <c r="CC4" s="251" t="s">
        <v>47</v>
      </c>
      <c r="CD4" s="251" t="s">
        <v>498</v>
      </c>
      <c r="CE4" s="251" t="s">
        <v>624</v>
      </c>
      <c r="CG4" s="589" t="s">
        <v>511</v>
      </c>
    </row>
    <row r="5" spans="2:86" x14ac:dyDescent="0.2">
      <c r="E5" s="176">
        <v>0.1</v>
      </c>
      <c r="F5" s="223">
        <v>1.0000000000000001E-9</v>
      </c>
      <c r="G5" s="223">
        <v>1.0000000000000001E-9</v>
      </c>
      <c r="H5" s="223">
        <f t="shared" ref="H5:H36" si="0">F5*Vout</f>
        <v>5.0000000000000001E-9</v>
      </c>
      <c r="I5" s="223">
        <f>G5*Vout2</f>
        <v>5.0000000000000001E-9</v>
      </c>
      <c r="J5" s="559">
        <f t="shared" ref="J5:J68" si="1">Vin</f>
        <v>24</v>
      </c>
      <c r="K5" s="454">
        <f t="shared" ref="K5:K68" si="2">(S5+Vfwd1)*Nps</f>
        <v>15.75</v>
      </c>
      <c r="L5" s="454">
        <f t="shared" ref="L5:L68" si="3">(Vout+Vfwd1)*Nps+J5</f>
        <v>39.75</v>
      </c>
      <c r="M5" s="454"/>
      <c r="N5" s="223">
        <f t="shared" ref="N5:N68" si="4">(Vout+Vfwd1)*Nps/((Vout+Vfwd1)*Nps+J5)</f>
        <v>0.39622641509433965</v>
      </c>
      <c r="O5" s="178">
        <f>N5*J5*Isw_max*0.5*Efficiency*(Pout/Pout_total)</f>
        <v>3.2094339622641508</v>
      </c>
      <c r="P5" s="178">
        <f t="shared" ref="P5:P36" si="5">N5*J5*Isw_max*0.5*Efficiency*(Pout2/Pout_total)</f>
        <v>3.2094339622641508</v>
      </c>
      <c r="Q5" s="223">
        <f t="shared" ref="Q5:Q68" si="6">O5/Vout</f>
        <v>0.6418867924528302</v>
      </c>
      <c r="R5" s="223">
        <f t="shared" ref="R5:R36" si="7">O5/Vout2</f>
        <v>0.6418867924528302</v>
      </c>
      <c r="S5" s="454">
        <f t="shared" ref="S5:S36" si="8">MIN(Vout,O5/F5)</f>
        <v>5</v>
      </c>
      <c r="T5" s="223">
        <f t="shared" ref="T5:T36" si="9">MIN(2*(Vout*F5+Vout2*G5)/(Efficiency*J5*N5), Isw_max)</f>
        <v>2.3368606701940032E-9</v>
      </c>
      <c r="U5" s="223">
        <f t="shared" ref="U5:U68" si="10">L*T5/J5*1000000</f>
        <v>4.2842445620223389E-9</v>
      </c>
      <c r="V5" s="223">
        <f t="shared" ref="V5:V68" si="11">L*T5/K5*1000000</f>
        <v>6.5283726659388021E-9</v>
      </c>
      <c r="W5" s="203">
        <f t="shared" ref="W5:W68" si="12">IF(1/((350000*L)*(1/J5+1/K5))&gt;Isw_min, 350, 0.001/((Isw_min*L)*(1/J5+1/K5)))</f>
        <v>350</v>
      </c>
      <c r="X5" s="454">
        <f>MIN(1/(U5+V5)*1000, 350)</f>
        <v>350</v>
      </c>
      <c r="Z5" s="223">
        <f t="shared" ref="Z5:Z68" si="13">1/((W5*1000*L)*(1/J5+1/K5))</f>
        <v>0.61749571183533458</v>
      </c>
      <c r="AA5" s="179">
        <f t="shared" ref="AA5:AA68" si="14">L*Z5/K5*1000000</f>
        <v>1.7250673854447443</v>
      </c>
      <c r="AB5" s="179">
        <f t="shared" ref="AB5:AB36" si="15">0.5*AA5*Z5*Nps*W5/1000*(Pout/Pout_total)</f>
        <v>0.55924139939803896</v>
      </c>
      <c r="AC5" s="179"/>
      <c r="AD5" s="179">
        <f t="shared" ref="AD5:AD68" si="16">L*Isw_min/K5*1000000</f>
        <v>0.419047619047619</v>
      </c>
      <c r="AE5" s="563">
        <f t="shared" ref="AE5:AE36" si="17">MAX(10, F5/(0.5*AD5/1000000*Isw_min*Nps)/1000*Pout_total/Pout)</f>
        <v>10</v>
      </c>
      <c r="AF5" s="546">
        <f t="shared" ref="AF5:AF36" si="18">0.5*AD5/1000000*Isw_min*Nps*W5*1000*(Pout/Pout_total)</f>
        <v>3.2999999999999995E-2</v>
      </c>
      <c r="AH5" s="179">
        <f t="shared" ref="AH5:AH36" si="19">SQRT((H5+I5)/(0.5*L*Fsw_DCM))</f>
        <v>3.6037498507822357E-5</v>
      </c>
      <c r="AI5" s="179">
        <f t="shared" ref="AI5:AI36" si="20">MAX(IF(F5&gt;AB5,T5,AH5),Isw_min)</f>
        <v>0.15</v>
      </c>
      <c r="AJ5" s="179">
        <f t="shared" ref="AJ5:AJ36" si="21">IF(F5&gt;AF5, (AI5-Isw_min)/1.08*0.8+1.2, AE5*0.2/350+1)</f>
        <v>1.0057142857142858</v>
      </c>
      <c r="AL5" s="563">
        <f t="shared" ref="AL5:AL36" si="22">F5*1000</f>
        <v>1.0000000000000002E-6</v>
      </c>
      <c r="AM5" s="472">
        <f t="shared" ref="AM5:AM36" si="23">IF(F5&gt;AF5, X5, AE5)</f>
        <v>10</v>
      </c>
      <c r="AO5">
        <f>IF(H5&gt;O5, "",AL5)</f>
        <v>1.0000000000000002E-6</v>
      </c>
      <c r="AP5" s="472">
        <f t="shared" ref="AP5:AP68" si="24">IF(H5&gt;O5, "",AM5)</f>
        <v>10</v>
      </c>
      <c r="AQ5" s="472"/>
      <c r="AR5" s="6">
        <f>1/AM5*1000</f>
        <v>100</v>
      </c>
      <c r="AS5" s="6">
        <f t="shared" ref="AS5:AS68" si="25">L*AI5/J5*1000000</f>
        <v>0.27499999999999997</v>
      </c>
      <c r="AT5" s="6">
        <f>AR5-AS5</f>
        <v>99.724999999999994</v>
      </c>
      <c r="AU5" s="179">
        <f>AS5/AR5</f>
        <v>2.7499999999999998E-3</v>
      </c>
      <c r="AW5" s="6">
        <f t="shared" ref="AW5:AW36" si="26">L*Iout^2/(2*Vripple1_spec*Vout*Npri_sec1^2)*1000000000*((1+N5)/(1-N5))^2</f>
        <v>13.072048611111116</v>
      </c>
      <c r="AX5" s="472">
        <f t="shared" ref="AX5:AX36" si="27">L*F5^2/(2*Cout*Vout*Nps^2)*1000000000*((1+N5)/(1-N5))^2+F5*RCoutEsr</f>
        <v>3.0000000556257393E-9</v>
      </c>
      <c r="AY5" s="6">
        <f t="shared" ref="AY5:AY36" si="28">L*Iout2^2/(2*Vripple2_spec*Vout2*Npri_sec2^2)*1000000000*((1+N5)/(1-N5))^2</f>
        <v>13.072048611111116</v>
      </c>
      <c r="AZ5" s="472">
        <f t="shared" ref="AZ5:AZ36" si="29">L*G5^2/(2*Cout2*Vout2*Npri_sec2^2)*1000000000*((1+N5)/(1-N5))^2+G5*CoutEsr2</f>
        <v>3.0000001188368059E-9</v>
      </c>
      <c r="BA5" s="6">
        <f t="shared" ref="BA5:BA68" si="30">H5/Efficiency/J5*AT5/Vinripple1</f>
        <v>1.9237075617283949E-8</v>
      </c>
      <c r="BB5" s="6">
        <f t="shared" ref="BB5:BB36" si="31">((CB5/J5/Efficiency)*AT5/Cin+(CB5/J5/Efficiency)*RCinEsr)*1000</f>
        <v>4.6192129629629621E-6</v>
      </c>
      <c r="BC5" s="6"/>
      <c r="BD5" s="179">
        <f>AI5*SQRT(AU5/3)</f>
        <v>4.5414755311462378E-3</v>
      </c>
      <c r="BE5" s="179">
        <f t="shared" ref="BE5:BE36" si="32">AI5*Npri_sec1*SQRT((1-AU5)/3)*(Pout/Pout_total)</f>
        <v>0.25945013971859793</v>
      </c>
      <c r="BF5" s="179">
        <f t="shared" ref="BF5:BF36" si="33">AI5*Npri_sec2*SQRT((1-AU5)/3)*(Pout2/Pout_total)</f>
        <v>0.25945013971859793</v>
      </c>
      <c r="BG5" s="179"/>
      <c r="BH5" s="546">
        <f t="shared" ref="BH5:BH68" si="34">Rdson*BD5^2</f>
        <v>7.218750000000001E-6</v>
      </c>
      <c r="BI5" s="546">
        <f t="shared" ref="BI5:BI68" si="35">0.5*L5*AI5*AM5*1000*Trise</f>
        <v>4.4718749999999989E-4</v>
      </c>
      <c r="BJ5" s="546">
        <f t="shared" ref="BJ5:BJ68" si="36">Qg*Vdd*AM5*1000</f>
        <v>1.25E-4</v>
      </c>
      <c r="BK5" s="546">
        <f t="shared" ref="BK5:BK68" si="37">0.5*(Coss+Csw)*L5^2*AM5*1000</f>
        <v>7.9003125000000004E-4</v>
      </c>
      <c r="BL5">
        <f t="shared" ref="BL5:BL68" si="38">J5*IQ</f>
        <v>6.96E-3</v>
      </c>
      <c r="BM5">
        <f t="shared" ref="BM5:BM36" si="39">(BI5+BJ5+BK5+BL5+BH5*(1+RdsonTC*(Ta-25)))/(1-BH5*RdsonTC*ThetaJA)</f>
        <v>8.3304328681357009E-3</v>
      </c>
      <c r="BN5" s="472">
        <f>BM5*1000</f>
        <v>8.3304328681357003</v>
      </c>
      <c r="BO5" s="179">
        <f t="shared" ref="BO5:BO36" si="40">Vfwd2*F5*(1+Diode_TC/1000*(Ta-25))</f>
        <v>2.7299999999999999E-10</v>
      </c>
      <c r="BP5" s="179">
        <f t="shared" ref="BP5:BP36" si="41">Vfwd2*G5*(1+Diode_TC/1000*(Ta-25))</f>
        <v>2.7299999999999999E-10</v>
      </c>
      <c r="BQ5" s="546"/>
      <c r="BS5" s="472">
        <f>SUM(BO5:BR5)*1000</f>
        <v>5.4599999999999994E-7</v>
      </c>
      <c r="BT5" s="546">
        <f t="shared" ref="BT5:BT68" si="42">Rdcr_pri*BD5^2</f>
        <v>4.1250000000000012E-6</v>
      </c>
      <c r="BU5" s="546">
        <f>Rdcr_sec*BE5^2</f>
        <v>2.6925749999999991E-3</v>
      </c>
      <c r="BV5" s="546">
        <f t="shared" ref="BV5:BV36" si="43">Rdcr_sec2*BF5^2</f>
        <v>6.0582937499999981E-3</v>
      </c>
      <c r="BW5" s="546">
        <f t="shared" ref="BW5:BW68" si="44">AI5^2.5*AM5^2.5*k_core</f>
        <v>1.377837980315539E-7</v>
      </c>
      <c r="BX5" s="546">
        <f t="shared" ref="BX5:BX36" si="45">(BW5+(BT5+BU5+BV5)*(1+Ltc*(Ta-25)))/(1-(BT5+BU5+BV5)*Ltc*ThetaCa)</f>
        <v>9.8126035264016181E-3</v>
      </c>
      <c r="BY5" s="656">
        <f t="shared" ref="BY5:BY36" si="46">0.5*Lleak*0.000000001*AI5^2*AM5*1000</f>
        <v>1.1250000000000001E-4</v>
      </c>
      <c r="BZ5" s="472">
        <f>(BX5+BY5)*1000</f>
        <v>9.9251035264016174</v>
      </c>
      <c r="CA5" s="179">
        <f>SUM(BM5,BO5:BR5,BX5:BY5)</f>
        <v>1.8255536940537317E-2</v>
      </c>
      <c r="CB5" s="6">
        <f>MIN(H5+I5,O5+P5)</f>
        <v>1E-8</v>
      </c>
      <c r="CC5" s="179">
        <f>CB5/(CB5+CA5)</f>
        <v>5.4777871255089703E-7</v>
      </c>
      <c r="CD5" s="6">
        <f>CC5*100</f>
        <v>5.4777871255089702E-5</v>
      </c>
      <c r="CE5">
        <v>0</v>
      </c>
      <c r="CG5" s="581">
        <f t="shared" ref="CG5:CG36" si="47">IF(ABS(F5-Ioutmax_Vinnom)&lt;Iout/200, AM5, -50)</f>
        <v>-50</v>
      </c>
      <c r="CH5">
        <f t="shared" ref="CH5:CH36" si="48">IF(ABS(F5-Ioutmax_Vinnom)&lt;Iout/200, (O5+P5)*CC5, -50)</f>
        <v>-50</v>
      </c>
    </row>
    <row r="6" spans="2:86" x14ac:dyDescent="0.2">
      <c r="E6" s="176">
        <v>1</v>
      </c>
      <c r="F6" s="223">
        <f>IF(PLOT_TYPE=1, E6/100*Iout, min_I*EXP(O6*rr/100))</f>
        <v>5.0000000000000001E-3</v>
      </c>
      <c r="G6" s="223">
        <f t="shared" ref="G6:G37" si="49">IF(PLOT_TYPE=1, E6/100*Iout2, min_I*EXP(Q6*rr/100))</f>
        <v>5.0000000000000001E-3</v>
      </c>
      <c r="H6" s="223">
        <f t="shared" si="0"/>
        <v>2.5000000000000001E-2</v>
      </c>
      <c r="I6" s="223">
        <f>G6*Vout2</f>
        <v>2.5000000000000001E-2</v>
      </c>
      <c r="J6" s="559">
        <f t="shared" si="1"/>
        <v>24</v>
      </c>
      <c r="K6" s="454">
        <f t="shared" si="2"/>
        <v>15.75</v>
      </c>
      <c r="L6" s="454">
        <f t="shared" si="3"/>
        <v>39.75</v>
      </c>
      <c r="M6" s="454"/>
      <c r="N6" s="223">
        <f t="shared" si="4"/>
        <v>0.39622641509433965</v>
      </c>
      <c r="O6" s="178">
        <f t="shared" ref="O6:O37" si="50">N6*J6*Isw_max*0.5*Efficiency*Pout/(Pout+Pout2)</f>
        <v>1.6047169811320754</v>
      </c>
      <c r="P6" s="178">
        <f t="shared" si="5"/>
        <v>3.2094339622641508</v>
      </c>
      <c r="Q6" s="223">
        <f t="shared" si="6"/>
        <v>0.3209433962264151</v>
      </c>
      <c r="R6" s="223">
        <f t="shared" si="7"/>
        <v>0.3209433962264151</v>
      </c>
      <c r="S6" s="454">
        <f t="shared" si="8"/>
        <v>5</v>
      </c>
      <c r="T6" s="223">
        <f t="shared" si="9"/>
        <v>1.1684303350970017E-2</v>
      </c>
      <c r="U6" s="223">
        <f t="shared" si="10"/>
        <v>2.1421222810111697E-2</v>
      </c>
      <c r="V6" s="223">
        <f t="shared" si="11"/>
        <v>3.2641863329694008E-2</v>
      </c>
      <c r="W6" s="203">
        <f t="shared" si="12"/>
        <v>350</v>
      </c>
      <c r="X6" s="454">
        <f t="shared" ref="X6:X69" si="51">MIN(1/(U6+V6)*1000, 350)</f>
        <v>350</v>
      </c>
      <c r="Z6" s="223">
        <f t="shared" si="13"/>
        <v>0.61749571183533458</v>
      </c>
      <c r="AA6" s="179">
        <f t="shared" si="14"/>
        <v>1.7250673854447443</v>
      </c>
      <c r="AB6" s="179">
        <f t="shared" si="15"/>
        <v>0.55924139939803896</v>
      </c>
      <c r="AC6" s="179"/>
      <c r="AD6" s="179">
        <f t="shared" si="16"/>
        <v>0.419047619047619</v>
      </c>
      <c r="AE6" s="563">
        <f t="shared" si="17"/>
        <v>53.030303030303038</v>
      </c>
      <c r="AF6" s="546">
        <f t="shared" si="18"/>
        <v>3.2999999999999995E-2</v>
      </c>
      <c r="AH6" s="179">
        <f t="shared" si="19"/>
        <v>8.0582296402538028E-2</v>
      </c>
      <c r="AI6" s="179">
        <f t="shared" si="20"/>
        <v>0.15</v>
      </c>
      <c r="AJ6" s="179">
        <f t="shared" si="21"/>
        <v>1.0303030303030303</v>
      </c>
      <c r="AL6" s="563">
        <f t="shared" si="22"/>
        <v>5</v>
      </c>
      <c r="AM6" s="472">
        <f t="shared" si="23"/>
        <v>53.030303030303038</v>
      </c>
      <c r="AO6">
        <f t="shared" ref="AO6:AO69" si="52">IF(H6&gt;O6, "",AL6)</f>
        <v>5</v>
      </c>
      <c r="AP6" s="472">
        <f t="shared" si="24"/>
        <v>53.030303030303038</v>
      </c>
      <c r="AQ6" s="472"/>
      <c r="AR6" s="6">
        <f t="shared" ref="AR6:AR69" si="53">1/AM6*1000</f>
        <v>18.857142857142854</v>
      </c>
      <c r="AS6" s="6">
        <f t="shared" si="25"/>
        <v>0.27499999999999997</v>
      </c>
      <c r="AT6" s="6">
        <f t="shared" ref="AT6:AT69" si="54">AR6-AS6</f>
        <v>18.582142857142856</v>
      </c>
      <c r="AU6" s="179">
        <f t="shared" ref="AU6:AU69" si="55">AS6/AR6</f>
        <v>1.4583333333333334E-2</v>
      </c>
      <c r="AW6" s="6">
        <f t="shared" si="26"/>
        <v>13.072048611111116</v>
      </c>
      <c r="AX6" s="472">
        <f t="shared" si="27"/>
        <v>1.6390643469267139E-2</v>
      </c>
      <c r="AY6" s="6">
        <f t="shared" si="28"/>
        <v>13.072048611111116</v>
      </c>
      <c r="AZ6" s="472">
        <f t="shared" si="29"/>
        <v>1.7970920138888888E-2</v>
      </c>
      <c r="BA6" s="6">
        <f t="shared" si="30"/>
        <v>1.7922591490299823E-2</v>
      </c>
      <c r="BB6" s="6">
        <f t="shared" si="31"/>
        <v>4.3129960317460316</v>
      </c>
      <c r="BC6" s="6"/>
      <c r="BD6" s="179">
        <f t="shared" ref="BD6:BD69" si="56">AI6*SQRT(AU6/3)</f>
        <v>1.0458250331675944E-2</v>
      </c>
      <c r="BE6" s="179">
        <f t="shared" si="32"/>
        <v>0.25790623296074094</v>
      </c>
      <c r="BF6" s="179">
        <f t="shared" si="33"/>
        <v>0.25790623296074094</v>
      </c>
      <c r="BG6" s="179"/>
      <c r="BH6" s="546">
        <f t="shared" si="34"/>
        <v>3.8281249999999999E-5</v>
      </c>
      <c r="BI6" s="546">
        <f t="shared" si="35"/>
        <v>2.3714488636363633E-3</v>
      </c>
      <c r="BJ6" s="546">
        <f t="shared" si="36"/>
        <v>6.6287878787878792E-4</v>
      </c>
      <c r="BK6" s="546">
        <f t="shared" si="37"/>
        <v>4.1895596590909093E-3</v>
      </c>
      <c r="BL6">
        <f t="shared" si="38"/>
        <v>6.96E-3</v>
      </c>
      <c r="BM6">
        <f t="shared" si="39"/>
        <v>1.4227525249697821E-2</v>
      </c>
      <c r="BN6" s="472">
        <f t="shared" ref="BN6:BN69" si="57">BM6*1000</f>
        <v>14.227525249697822</v>
      </c>
      <c r="BO6" s="179">
        <f t="shared" si="40"/>
        <v>1.3650000000000001E-3</v>
      </c>
      <c r="BP6" s="179">
        <f t="shared" si="41"/>
        <v>1.3650000000000001E-3</v>
      </c>
      <c r="BQ6" s="546"/>
      <c r="BS6" s="472">
        <f t="shared" ref="BS6:BS69" si="58">SUM(BO6:BR6)*1000</f>
        <v>2.7300000000000004</v>
      </c>
      <c r="BT6" s="546">
        <f t="shared" si="42"/>
        <v>2.1875000000000003E-5</v>
      </c>
      <c r="BU6" s="546">
        <f t="shared" ref="BU6:BU68" si="59">Rdcr_sec*BE6^2</f>
        <v>2.6606249999999994E-3</v>
      </c>
      <c r="BV6" s="546">
        <f t="shared" si="43"/>
        <v>5.9864062499999978E-3</v>
      </c>
      <c r="BW6" s="546">
        <f t="shared" si="44"/>
        <v>8.9229492723626459E-6</v>
      </c>
      <c r="BX6" s="546">
        <f t="shared" si="45"/>
        <v>9.7248422489325213E-3</v>
      </c>
      <c r="BY6" s="656">
        <f t="shared" si="46"/>
        <v>5.9659090909090925E-4</v>
      </c>
      <c r="BZ6" s="472">
        <f t="shared" ref="BZ6:BZ69" si="60">(BX6+BY6)*1000</f>
        <v>10.321433158023432</v>
      </c>
      <c r="CA6" s="179">
        <f t="shared" ref="CA6:CA69" si="61">SUM(BM6,BO6:BR6,BX6:BY6)</f>
        <v>2.7278958407721252E-2</v>
      </c>
      <c r="CB6" s="6">
        <f t="shared" ref="CB6:CB69" si="62">MIN(H6+I6,O6+P6)</f>
        <v>0.05</v>
      </c>
      <c r="CC6" s="179">
        <f t="shared" ref="CC6:CC69" si="63">CB6/(CB6+CA6)</f>
        <v>0.64700665006639502</v>
      </c>
      <c r="CD6" s="6">
        <f t="shared" ref="CD6:CD69" si="64">CC6*100</f>
        <v>64.700665006639497</v>
      </c>
      <c r="CE6">
        <f t="shared" ref="CE6:CE37" si="65">F6/Iout*100</f>
        <v>1</v>
      </c>
      <c r="CG6" s="581">
        <f t="shared" si="47"/>
        <v>-50</v>
      </c>
      <c r="CH6">
        <f t="shared" si="48"/>
        <v>-50</v>
      </c>
    </row>
    <row r="7" spans="2:86" x14ac:dyDescent="0.2">
      <c r="E7" s="176">
        <v>2</v>
      </c>
      <c r="F7" s="223">
        <f>IF(PLOT_TYPE=1, E7/100*Iout, min_I*EXP(O7*rr/100))</f>
        <v>0.01</v>
      </c>
      <c r="G7" s="223">
        <f t="shared" si="49"/>
        <v>0.01</v>
      </c>
      <c r="H7" s="223">
        <f t="shared" si="0"/>
        <v>0.05</v>
      </c>
      <c r="I7" s="223">
        <f>G7*Vout2</f>
        <v>0.05</v>
      </c>
      <c r="J7" s="559">
        <f t="shared" si="1"/>
        <v>24</v>
      </c>
      <c r="K7" s="454">
        <f t="shared" si="2"/>
        <v>15.75</v>
      </c>
      <c r="L7" s="454">
        <f t="shared" si="3"/>
        <v>39.75</v>
      </c>
      <c r="M7" s="454"/>
      <c r="N7" s="223">
        <f t="shared" si="4"/>
        <v>0.39622641509433965</v>
      </c>
      <c r="O7" s="178">
        <f t="shared" si="50"/>
        <v>1.6047169811320754</v>
      </c>
      <c r="P7" s="178">
        <f t="shared" si="5"/>
        <v>3.2094339622641508</v>
      </c>
      <c r="Q7" s="223">
        <f t="shared" si="6"/>
        <v>0.3209433962264151</v>
      </c>
      <c r="R7" s="223">
        <f t="shared" si="7"/>
        <v>0.3209433962264151</v>
      </c>
      <c r="S7" s="454">
        <f t="shared" si="8"/>
        <v>5</v>
      </c>
      <c r="T7" s="223">
        <f t="shared" si="9"/>
        <v>2.3368606701940034E-2</v>
      </c>
      <c r="U7" s="223">
        <f t="shared" si="10"/>
        <v>4.2842445620223393E-2</v>
      </c>
      <c r="V7" s="223">
        <f t="shared" si="11"/>
        <v>6.5283726659388017E-2</v>
      </c>
      <c r="W7" s="203">
        <f t="shared" si="12"/>
        <v>350</v>
      </c>
      <c r="X7" s="454">
        <f t="shared" si="51"/>
        <v>350</v>
      </c>
      <c r="Z7" s="223">
        <f t="shared" si="13"/>
        <v>0.61749571183533458</v>
      </c>
      <c r="AA7" s="179">
        <f t="shared" si="14"/>
        <v>1.7250673854447443</v>
      </c>
      <c r="AB7" s="179">
        <f t="shared" si="15"/>
        <v>0.55924139939803896</v>
      </c>
      <c r="AC7" s="179"/>
      <c r="AD7" s="179">
        <f t="shared" si="16"/>
        <v>0.419047619047619</v>
      </c>
      <c r="AE7" s="563">
        <f t="shared" si="17"/>
        <v>106.06060606060608</v>
      </c>
      <c r="AF7" s="546">
        <f t="shared" si="18"/>
        <v>3.2999999999999995E-2</v>
      </c>
      <c r="AH7" s="179">
        <f t="shared" si="19"/>
        <v>0.11396057645963795</v>
      </c>
      <c r="AI7" s="179">
        <f t="shared" si="20"/>
        <v>0.15</v>
      </c>
      <c r="AJ7" s="179">
        <f t="shared" si="21"/>
        <v>1.0606060606060606</v>
      </c>
      <c r="AL7" s="563">
        <f t="shared" si="22"/>
        <v>10</v>
      </c>
      <c r="AM7" s="472">
        <f t="shared" si="23"/>
        <v>106.06060606060608</v>
      </c>
      <c r="AO7">
        <f t="shared" si="52"/>
        <v>10</v>
      </c>
      <c r="AP7" s="472">
        <f t="shared" si="24"/>
        <v>106.06060606060608</v>
      </c>
      <c r="AQ7" s="472"/>
      <c r="AR7" s="6">
        <f t="shared" si="53"/>
        <v>9.428571428571427</v>
      </c>
      <c r="AS7" s="6">
        <f t="shared" si="25"/>
        <v>0.27499999999999997</v>
      </c>
      <c r="AT7" s="6">
        <f t="shared" si="54"/>
        <v>9.1535714285714267</v>
      </c>
      <c r="AU7" s="179">
        <f t="shared" si="55"/>
        <v>2.9166666666666667E-2</v>
      </c>
      <c r="AW7" s="6">
        <f t="shared" si="26"/>
        <v>13.072048611111116</v>
      </c>
      <c r="AX7" s="472">
        <f t="shared" si="27"/>
        <v>3.5562573877068557E-2</v>
      </c>
      <c r="AY7" s="6">
        <f t="shared" si="28"/>
        <v>13.072048611111116</v>
      </c>
      <c r="AZ7" s="472">
        <f t="shared" si="29"/>
        <v>4.1883680555555552E-2</v>
      </c>
      <c r="BA7" s="6">
        <f t="shared" si="30"/>
        <v>1.7657352292768956E-2</v>
      </c>
      <c r="BB7" s="6">
        <f t="shared" si="31"/>
        <v>4.2609126984126968</v>
      </c>
      <c r="BC7" s="6"/>
      <c r="BD7" s="179">
        <f t="shared" si="56"/>
        <v>1.479019945774904E-2</v>
      </c>
      <c r="BE7" s="179">
        <f t="shared" si="32"/>
        <v>0.2559907224881402</v>
      </c>
      <c r="BF7" s="179">
        <f t="shared" si="33"/>
        <v>0.2559907224881402</v>
      </c>
      <c r="BG7" s="179"/>
      <c r="BH7" s="546">
        <f t="shared" si="34"/>
        <v>7.6562499999999998E-5</v>
      </c>
      <c r="BI7" s="546">
        <f t="shared" si="35"/>
        <v>4.7428977272727267E-3</v>
      </c>
      <c r="BJ7" s="546">
        <f t="shared" si="36"/>
        <v>1.3257575757575758E-3</v>
      </c>
      <c r="BK7" s="546">
        <f t="shared" si="37"/>
        <v>8.3791193181818185E-3</v>
      </c>
      <c r="BL7">
        <f t="shared" si="38"/>
        <v>6.96E-3</v>
      </c>
      <c r="BM7">
        <f t="shared" si="39"/>
        <v>2.1495243304006553E-2</v>
      </c>
      <c r="BN7" s="472">
        <f t="shared" si="57"/>
        <v>21.495243304006554</v>
      </c>
      <c r="BO7" s="179">
        <f t="shared" si="40"/>
        <v>2.7300000000000002E-3</v>
      </c>
      <c r="BP7" s="179">
        <f t="shared" si="41"/>
        <v>2.7300000000000002E-3</v>
      </c>
      <c r="BQ7" s="546"/>
      <c r="BS7" s="472">
        <f t="shared" si="58"/>
        <v>5.4600000000000009</v>
      </c>
      <c r="BT7" s="546">
        <f t="shared" si="42"/>
        <v>4.3750000000000006E-5</v>
      </c>
      <c r="BU7" s="546">
        <f t="shared" si="59"/>
        <v>2.6212500000000007E-3</v>
      </c>
      <c r="BV7" s="546">
        <f t="shared" si="43"/>
        <v>5.8978125000000011E-3</v>
      </c>
      <c r="BW7" s="546">
        <f t="shared" si="44"/>
        <v>5.0475823509369631E-5</v>
      </c>
      <c r="BX7" s="546">
        <f t="shared" si="45"/>
        <v>9.6474345573670343E-3</v>
      </c>
      <c r="BY7" s="656">
        <f t="shared" si="46"/>
        <v>1.1931818181818185E-3</v>
      </c>
      <c r="BZ7" s="472">
        <f t="shared" si="60"/>
        <v>10.840616375548853</v>
      </c>
      <c r="CA7" s="179">
        <f t="shared" si="61"/>
        <v>3.7795859679555399E-2</v>
      </c>
      <c r="CB7" s="6">
        <f t="shared" si="62"/>
        <v>0.1</v>
      </c>
      <c r="CC7" s="179">
        <f t="shared" si="63"/>
        <v>0.72571120955702328</v>
      </c>
      <c r="CD7" s="6">
        <f t="shared" si="64"/>
        <v>72.571120955702327</v>
      </c>
      <c r="CE7">
        <f t="shared" si="65"/>
        <v>2</v>
      </c>
      <c r="CG7" s="581">
        <f t="shared" si="47"/>
        <v>-50</v>
      </c>
      <c r="CH7">
        <f t="shared" si="48"/>
        <v>-50</v>
      </c>
    </row>
    <row r="8" spans="2:86" x14ac:dyDescent="0.2">
      <c r="E8" s="176">
        <v>3</v>
      </c>
      <c r="F8" s="223">
        <f t="shared" ref="F8:F39" si="66">IF(PLOT_TYPE=1, E8/100*Iout_max, min_I*EXP(O8*rr/100))</f>
        <v>1.4999999999999999E-2</v>
      </c>
      <c r="G8" s="223">
        <f t="shared" si="49"/>
        <v>1.4999999999999999E-2</v>
      </c>
      <c r="H8" s="223">
        <f t="shared" si="0"/>
        <v>7.4999999999999997E-2</v>
      </c>
      <c r="I8" s="223">
        <f t="shared" ref="I8:I39" si="67">Vout2*G8</f>
        <v>7.4999999999999997E-2</v>
      </c>
      <c r="J8" s="559">
        <f t="shared" si="1"/>
        <v>24</v>
      </c>
      <c r="K8" s="454">
        <f t="shared" si="2"/>
        <v>15.75</v>
      </c>
      <c r="L8" s="454">
        <f t="shared" si="3"/>
        <v>39.75</v>
      </c>
      <c r="M8" s="454"/>
      <c r="N8" s="223">
        <f t="shared" si="4"/>
        <v>0.39622641509433965</v>
      </c>
      <c r="O8" s="178">
        <f t="shared" si="50"/>
        <v>1.6047169811320754</v>
      </c>
      <c r="P8" s="178">
        <f t="shared" si="5"/>
        <v>3.2094339622641508</v>
      </c>
      <c r="Q8" s="223">
        <f t="shared" si="6"/>
        <v>0.3209433962264151</v>
      </c>
      <c r="R8" s="223">
        <f t="shared" si="7"/>
        <v>0.3209433962264151</v>
      </c>
      <c r="S8" s="454">
        <f t="shared" si="8"/>
        <v>5</v>
      </c>
      <c r="T8" s="223">
        <f t="shared" si="9"/>
        <v>3.5052910052910051E-2</v>
      </c>
      <c r="U8" s="223">
        <f t="shared" si="10"/>
        <v>6.4263668430335083E-2</v>
      </c>
      <c r="V8" s="223">
        <f t="shared" si="11"/>
        <v>9.7925589989082046E-2</v>
      </c>
      <c r="W8" s="203">
        <f t="shared" si="12"/>
        <v>350</v>
      </c>
      <c r="X8" s="454">
        <f t="shared" si="51"/>
        <v>350</v>
      </c>
      <c r="Z8" s="223">
        <f t="shared" si="13"/>
        <v>0.61749571183533458</v>
      </c>
      <c r="AA8" s="179">
        <f t="shared" si="14"/>
        <v>1.7250673854447443</v>
      </c>
      <c r="AB8" s="179">
        <f t="shared" si="15"/>
        <v>0.55924139939803896</v>
      </c>
      <c r="AC8" s="179"/>
      <c r="AD8" s="179">
        <f t="shared" si="16"/>
        <v>0.419047619047619</v>
      </c>
      <c r="AE8" s="563">
        <f t="shared" si="17"/>
        <v>159.09090909090912</v>
      </c>
      <c r="AF8" s="546">
        <f t="shared" si="18"/>
        <v>3.2999999999999995E-2</v>
      </c>
      <c r="AH8" s="179">
        <f t="shared" si="19"/>
        <v>0.13957263155977062</v>
      </c>
      <c r="AI8" s="179">
        <f t="shared" si="20"/>
        <v>0.15</v>
      </c>
      <c r="AJ8" s="179">
        <f t="shared" si="21"/>
        <v>1.0909090909090908</v>
      </c>
      <c r="AL8" s="563">
        <f t="shared" si="22"/>
        <v>15</v>
      </c>
      <c r="AM8" s="472">
        <f t="shared" si="23"/>
        <v>159.09090909090912</v>
      </c>
      <c r="AO8">
        <f t="shared" si="52"/>
        <v>15</v>
      </c>
      <c r="AP8" s="472">
        <f t="shared" si="24"/>
        <v>159.09090909090912</v>
      </c>
      <c r="AQ8" s="472"/>
      <c r="AR8" s="6">
        <f t="shared" si="53"/>
        <v>6.2857142857142838</v>
      </c>
      <c r="AS8" s="6">
        <f t="shared" si="25"/>
        <v>0.27499999999999997</v>
      </c>
      <c r="AT8" s="6">
        <f t="shared" si="54"/>
        <v>6.0107142857142835</v>
      </c>
      <c r="AU8" s="179">
        <f t="shared" si="55"/>
        <v>4.3750000000000011E-2</v>
      </c>
      <c r="AW8" s="6">
        <f t="shared" si="26"/>
        <v>13.072048611111116</v>
      </c>
      <c r="AX8" s="472">
        <f t="shared" si="27"/>
        <v>5.7515791223404257E-2</v>
      </c>
      <c r="AY8" s="6">
        <f t="shared" si="28"/>
        <v>13.072048611111116</v>
      </c>
      <c r="AZ8" s="472">
        <f t="shared" si="29"/>
        <v>7.1738281250000008E-2</v>
      </c>
      <c r="BA8" s="6">
        <f t="shared" si="30"/>
        <v>1.7392113095238085E-2</v>
      </c>
      <c r="BB8" s="6">
        <f t="shared" si="31"/>
        <v>4.2088293650793629</v>
      </c>
      <c r="BC8" s="6"/>
      <c r="BD8" s="179">
        <f t="shared" si="56"/>
        <v>1.8114220932736798E-2</v>
      </c>
      <c r="BE8" s="179">
        <f t="shared" si="32"/>
        <v>0.25406077028931484</v>
      </c>
      <c r="BF8" s="179">
        <f t="shared" si="33"/>
        <v>0.25406077028931484</v>
      </c>
      <c r="BG8" s="179"/>
      <c r="BH8" s="546">
        <f t="shared" si="34"/>
        <v>1.1484374999999998E-4</v>
      </c>
      <c r="BI8" s="546">
        <f t="shared" si="35"/>
        <v>7.1143465909090913E-3</v>
      </c>
      <c r="BJ8" s="546">
        <f t="shared" si="36"/>
        <v>1.9886363636363639E-3</v>
      </c>
      <c r="BK8" s="546">
        <f t="shared" si="37"/>
        <v>1.256867897727273E-2</v>
      </c>
      <c r="BL8">
        <f t="shared" si="38"/>
        <v>6.96E-3</v>
      </c>
      <c r="BM8">
        <f t="shared" si="39"/>
        <v>2.8763154170598857E-2</v>
      </c>
      <c r="BN8" s="472">
        <f t="shared" si="57"/>
        <v>28.763154170598856</v>
      </c>
      <c r="BO8" s="179">
        <f t="shared" si="40"/>
        <v>4.0949999999999997E-3</v>
      </c>
      <c r="BP8" s="179">
        <f t="shared" si="41"/>
        <v>4.0949999999999997E-3</v>
      </c>
      <c r="BQ8" s="546"/>
      <c r="BS8" s="472">
        <f t="shared" si="58"/>
        <v>8.19</v>
      </c>
      <c r="BT8" s="546">
        <f t="shared" si="42"/>
        <v>6.5624999999999996E-5</v>
      </c>
      <c r="BU8" s="546">
        <f t="shared" si="59"/>
        <v>2.5818750000000004E-3</v>
      </c>
      <c r="BV8" s="546">
        <f t="shared" si="43"/>
        <v>5.8092187500000001E-3</v>
      </c>
      <c r="BW8" s="546">
        <f t="shared" si="44"/>
        <v>1.390950134378268E-4</v>
      </c>
      <c r="BX8" s="546">
        <f t="shared" si="45"/>
        <v>9.61712636006265E-3</v>
      </c>
      <c r="BY8" s="656">
        <f t="shared" si="46"/>
        <v>1.789772727272728E-3</v>
      </c>
      <c r="BZ8" s="472">
        <f t="shared" si="60"/>
        <v>11.406899087335379</v>
      </c>
      <c r="CA8" s="179">
        <f t="shared" si="61"/>
        <v>4.8360053257934237E-2</v>
      </c>
      <c r="CB8" s="6">
        <f t="shared" si="62"/>
        <v>0.15</v>
      </c>
      <c r="CC8" s="179">
        <f t="shared" si="63"/>
        <v>0.75620064391165476</v>
      </c>
      <c r="CD8" s="6">
        <f t="shared" si="64"/>
        <v>75.620064391165471</v>
      </c>
      <c r="CE8">
        <f t="shared" si="65"/>
        <v>3</v>
      </c>
      <c r="CG8" s="581">
        <f t="shared" si="47"/>
        <v>-50</v>
      </c>
      <c r="CH8">
        <f t="shared" si="48"/>
        <v>-50</v>
      </c>
    </row>
    <row r="9" spans="2:86" x14ac:dyDescent="0.2">
      <c r="E9" s="176">
        <v>4</v>
      </c>
      <c r="F9" s="223">
        <f t="shared" si="66"/>
        <v>0.02</v>
      </c>
      <c r="G9" s="223">
        <f t="shared" si="49"/>
        <v>0.02</v>
      </c>
      <c r="H9" s="223">
        <f t="shared" si="0"/>
        <v>0.1</v>
      </c>
      <c r="I9" s="223">
        <f t="shared" si="67"/>
        <v>0.1</v>
      </c>
      <c r="J9" s="559">
        <f t="shared" si="1"/>
        <v>24</v>
      </c>
      <c r="K9" s="454">
        <f t="shared" si="2"/>
        <v>15.75</v>
      </c>
      <c r="L9" s="454">
        <f t="shared" si="3"/>
        <v>39.75</v>
      </c>
      <c r="M9" s="454"/>
      <c r="N9" s="223">
        <f t="shared" si="4"/>
        <v>0.39622641509433965</v>
      </c>
      <c r="O9" s="178">
        <f t="shared" si="50"/>
        <v>1.6047169811320754</v>
      </c>
      <c r="P9" s="178">
        <f t="shared" si="5"/>
        <v>3.2094339622641508</v>
      </c>
      <c r="Q9" s="223">
        <f t="shared" si="6"/>
        <v>0.3209433962264151</v>
      </c>
      <c r="R9" s="223">
        <f t="shared" si="7"/>
        <v>0.3209433962264151</v>
      </c>
      <c r="S9" s="454">
        <f t="shared" si="8"/>
        <v>5</v>
      </c>
      <c r="T9" s="223">
        <f t="shared" si="9"/>
        <v>4.6737213403880068E-2</v>
      </c>
      <c r="U9" s="223">
        <f t="shared" si="10"/>
        <v>8.5684891240446787E-2</v>
      </c>
      <c r="V9" s="223">
        <f t="shared" si="11"/>
        <v>0.13056745331877603</v>
      </c>
      <c r="W9" s="203">
        <f t="shared" si="12"/>
        <v>350</v>
      </c>
      <c r="X9" s="454">
        <f t="shared" si="51"/>
        <v>350</v>
      </c>
      <c r="Z9" s="223">
        <f t="shared" si="13"/>
        <v>0.61749571183533458</v>
      </c>
      <c r="AA9" s="179">
        <f t="shared" si="14"/>
        <v>1.7250673854447443</v>
      </c>
      <c r="AB9" s="179">
        <f t="shared" si="15"/>
        <v>0.55924139939803896</v>
      </c>
      <c r="AC9" s="179"/>
      <c r="AD9" s="179">
        <f t="shared" si="16"/>
        <v>0.419047619047619</v>
      </c>
      <c r="AE9" s="563">
        <f t="shared" si="17"/>
        <v>212.12121212121215</v>
      </c>
      <c r="AF9" s="546">
        <f t="shared" si="18"/>
        <v>3.2999999999999995E-2</v>
      </c>
      <c r="AH9" s="179">
        <f t="shared" si="19"/>
        <v>0.16116459280507606</v>
      </c>
      <c r="AI9" s="179">
        <f t="shared" si="20"/>
        <v>0.16116459280507606</v>
      </c>
      <c r="AJ9" s="179">
        <f t="shared" si="21"/>
        <v>1.1212121212121213</v>
      </c>
      <c r="AL9" s="563">
        <f t="shared" si="22"/>
        <v>20</v>
      </c>
      <c r="AM9" s="472">
        <f t="shared" si="23"/>
        <v>212.12121212121215</v>
      </c>
      <c r="AO9">
        <f t="shared" si="52"/>
        <v>20</v>
      </c>
      <c r="AP9" s="472">
        <f t="shared" si="24"/>
        <v>212.12121212121215</v>
      </c>
      <c r="AQ9" s="472"/>
      <c r="AR9" s="6">
        <f t="shared" si="53"/>
        <v>4.7142857142857135</v>
      </c>
      <c r="AS9" s="6">
        <f t="shared" si="25"/>
        <v>0.29546842014263941</v>
      </c>
      <c r="AT9" s="6">
        <f t="shared" si="54"/>
        <v>4.4188172941430741</v>
      </c>
      <c r="AU9" s="179">
        <f t="shared" si="55"/>
        <v>6.2675119424196249E-2</v>
      </c>
      <c r="AW9" s="6">
        <f t="shared" si="26"/>
        <v>13.072048611111116</v>
      </c>
      <c r="AX9" s="472">
        <f t="shared" si="27"/>
        <v>8.2250295508274229E-2</v>
      </c>
      <c r="AY9" s="6">
        <f t="shared" si="28"/>
        <v>13.072048611111116</v>
      </c>
      <c r="AZ9" s="472">
        <f t="shared" si="29"/>
        <v>0.10753472222222223</v>
      </c>
      <c r="BA9" s="6">
        <f t="shared" si="30"/>
        <v>1.7047906227403837E-2</v>
      </c>
      <c r="BB9" s="6">
        <f t="shared" si="31"/>
        <v>4.137793790873217</v>
      </c>
      <c r="BC9" s="6"/>
      <c r="BD9" s="179">
        <f t="shared" si="56"/>
        <v>2.329467163572858E-2</v>
      </c>
      <c r="BE9" s="179">
        <f t="shared" si="32"/>
        <v>0.27025599416577273</v>
      </c>
      <c r="BF9" s="179">
        <f t="shared" si="33"/>
        <v>0.27025599416577273</v>
      </c>
      <c r="BG9" s="179"/>
      <c r="BH9" s="546">
        <f t="shared" si="34"/>
        <v>1.8992460431574616E-4</v>
      </c>
      <c r="BI9" s="546">
        <f t="shared" si="35"/>
        <v>1.0191829079093731E-2</v>
      </c>
      <c r="BJ9" s="546">
        <f t="shared" si="36"/>
        <v>2.6515151515151517E-3</v>
      </c>
      <c r="BK9" s="546">
        <f t="shared" si="37"/>
        <v>1.6758238636363637E-2</v>
      </c>
      <c r="BL9">
        <f t="shared" si="38"/>
        <v>6.96E-3</v>
      </c>
      <c r="BM9">
        <f t="shared" si="39"/>
        <v>3.6779567714859733E-2</v>
      </c>
      <c r="BN9" s="472">
        <f t="shared" si="57"/>
        <v>36.779567714859731</v>
      </c>
      <c r="BO9" s="179">
        <f t="shared" si="40"/>
        <v>5.4600000000000004E-3</v>
      </c>
      <c r="BP9" s="179">
        <f t="shared" si="41"/>
        <v>5.4600000000000004E-3</v>
      </c>
      <c r="BQ9" s="546"/>
      <c r="BS9" s="472">
        <f t="shared" si="58"/>
        <v>10.920000000000002</v>
      </c>
      <c r="BT9" s="546">
        <f t="shared" si="42"/>
        <v>1.0852834532328352E-4</v>
      </c>
      <c r="BU9" s="546">
        <f t="shared" si="59"/>
        <v>2.9215320953012076E-3</v>
      </c>
      <c r="BV9" s="546">
        <f t="shared" si="43"/>
        <v>6.5734472144277165E-3</v>
      </c>
      <c r="BW9" s="546">
        <f t="shared" si="44"/>
        <v>3.4166802935627072E-4</v>
      </c>
      <c r="BX9" s="546">
        <f t="shared" si="45"/>
        <v>1.1106129226778533E-2</v>
      </c>
      <c r="BY9" s="656">
        <f t="shared" si="46"/>
        <v>2.754820936639119E-3</v>
      </c>
      <c r="BZ9" s="472">
        <f t="shared" si="60"/>
        <v>13.860950163417652</v>
      </c>
      <c r="CA9" s="179">
        <f t="shared" si="61"/>
        <v>6.1560517878277383E-2</v>
      </c>
      <c r="CB9" s="6">
        <f t="shared" si="62"/>
        <v>0.2</v>
      </c>
      <c r="CC9" s="179">
        <f t="shared" si="63"/>
        <v>0.76464139780100204</v>
      </c>
      <c r="CD9" s="6">
        <f t="shared" si="64"/>
        <v>76.464139780100197</v>
      </c>
      <c r="CE9">
        <f t="shared" si="65"/>
        <v>4</v>
      </c>
      <c r="CG9" s="581">
        <f t="shared" si="47"/>
        <v>-50</v>
      </c>
      <c r="CH9">
        <f t="shared" si="48"/>
        <v>-50</v>
      </c>
    </row>
    <row r="10" spans="2:86" x14ac:dyDescent="0.2">
      <c r="E10" s="176">
        <v>5</v>
      </c>
      <c r="F10" s="223">
        <f t="shared" si="66"/>
        <v>2.5000000000000001E-2</v>
      </c>
      <c r="G10" s="223">
        <f t="shared" si="49"/>
        <v>2.5000000000000001E-2</v>
      </c>
      <c r="H10" s="223">
        <f t="shared" si="0"/>
        <v>0.125</v>
      </c>
      <c r="I10" s="223">
        <f t="shared" si="67"/>
        <v>0.125</v>
      </c>
      <c r="J10" s="559">
        <f t="shared" si="1"/>
        <v>24</v>
      </c>
      <c r="K10" s="454">
        <f t="shared" si="2"/>
        <v>15.75</v>
      </c>
      <c r="L10" s="454">
        <f t="shared" si="3"/>
        <v>39.75</v>
      </c>
      <c r="M10" s="454"/>
      <c r="N10" s="223">
        <f t="shared" si="4"/>
        <v>0.39622641509433965</v>
      </c>
      <c r="O10" s="178">
        <f t="shared" si="50"/>
        <v>1.6047169811320754</v>
      </c>
      <c r="P10" s="178">
        <f t="shared" si="5"/>
        <v>3.2094339622641508</v>
      </c>
      <c r="Q10" s="223">
        <f t="shared" si="6"/>
        <v>0.3209433962264151</v>
      </c>
      <c r="R10" s="223">
        <f t="shared" si="7"/>
        <v>0.3209433962264151</v>
      </c>
      <c r="S10" s="454">
        <f t="shared" si="8"/>
        <v>5</v>
      </c>
      <c r="T10" s="223">
        <f t="shared" si="9"/>
        <v>5.8421516754850085E-2</v>
      </c>
      <c r="U10" s="223">
        <f t="shared" si="10"/>
        <v>0.10710611405055849</v>
      </c>
      <c r="V10" s="223">
        <f t="shared" si="11"/>
        <v>0.16320931664847008</v>
      </c>
      <c r="W10" s="203">
        <f t="shared" si="12"/>
        <v>350</v>
      </c>
      <c r="X10" s="454">
        <f t="shared" si="51"/>
        <v>350</v>
      </c>
      <c r="Z10" s="223">
        <f t="shared" si="13"/>
        <v>0.61749571183533458</v>
      </c>
      <c r="AA10" s="179">
        <f t="shared" si="14"/>
        <v>1.7250673854447443</v>
      </c>
      <c r="AB10" s="179">
        <f t="shared" si="15"/>
        <v>0.55924139939803896</v>
      </c>
      <c r="AC10" s="179"/>
      <c r="AD10" s="179">
        <f t="shared" si="16"/>
        <v>0.419047619047619</v>
      </c>
      <c r="AE10" s="563">
        <f t="shared" si="17"/>
        <v>265.15151515151518</v>
      </c>
      <c r="AF10" s="546">
        <f t="shared" si="18"/>
        <v>3.2999999999999995E-2</v>
      </c>
      <c r="AH10" s="179">
        <f t="shared" si="19"/>
        <v>0.18018749253911179</v>
      </c>
      <c r="AI10" s="179">
        <f t="shared" si="20"/>
        <v>0.18018749253911179</v>
      </c>
      <c r="AJ10" s="179">
        <f t="shared" si="21"/>
        <v>1.1515151515151516</v>
      </c>
      <c r="AL10" s="563">
        <f t="shared" si="22"/>
        <v>25</v>
      </c>
      <c r="AM10" s="472">
        <f t="shared" si="23"/>
        <v>265.15151515151518</v>
      </c>
      <c r="AO10">
        <f t="shared" si="52"/>
        <v>25</v>
      </c>
      <c r="AP10" s="472">
        <f t="shared" si="24"/>
        <v>265.15151515151518</v>
      </c>
      <c r="AQ10" s="472"/>
      <c r="AR10" s="6">
        <f t="shared" si="53"/>
        <v>3.7714285714285709</v>
      </c>
      <c r="AS10" s="6">
        <f t="shared" si="25"/>
        <v>0.33034373632170494</v>
      </c>
      <c r="AT10" s="6">
        <f t="shared" si="54"/>
        <v>3.4410848351068659</v>
      </c>
      <c r="AU10" s="179">
        <f t="shared" si="55"/>
        <v>8.7591142206512679E-2</v>
      </c>
      <c r="AW10" s="6">
        <f t="shared" si="26"/>
        <v>13.072048611111116</v>
      </c>
      <c r="AX10" s="472">
        <f t="shared" si="27"/>
        <v>0.10976608673167851</v>
      </c>
      <c r="AY10" s="6">
        <f t="shared" si="28"/>
        <v>13.072048611111116</v>
      </c>
      <c r="AZ10" s="472">
        <f t="shared" si="29"/>
        <v>0.14927300347222228</v>
      </c>
      <c r="BA10" s="6">
        <f t="shared" si="30"/>
        <v>1.6594737823624934E-2</v>
      </c>
      <c r="BB10" s="6">
        <f t="shared" si="31"/>
        <v>4.0406074480403538</v>
      </c>
      <c r="BC10" s="6"/>
      <c r="BD10" s="179">
        <f t="shared" si="56"/>
        <v>3.0788895473629254E-2</v>
      </c>
      <c r="BE10" s="179">
        <f t="shared" si="32"/>
        <v>0.29811238257110823</v>
      </c>
      <c r="BF10" s="179">
        <f t="shared" si="33"/>
        <v>0.29811238257110823</v>
      </c>
      <c r="BG10" s="179"/>
      <c r="BH10" s="546">
        <f t="shared" si="34"/>
        <v>3.317846295701238E-4</v>
      </c>
      <c r="BI10" s="546">
        <f t="shared" si="35"/>
        <v>1.4243514147445414E-2</v>
      </c>
      <c r="BJ10" s="546">
        <f t="shared" si="36"/>
        <v>3.3143939393939395E-3</v>
      </c>
      <c r="BK10" s="546">
        <f t="shared" si="37"/>
        <v>2.094779829545455E-2</v>
      </c>
      <c r="BL10">
        <f t="shared" si="38"/>
        <v>6.96E-3</v>
      </c>
      <c r="BM10">
        <f t="shared" si="39"/>
        <v>4.5847552726213742E-2</v>
      </c>
      <c r="BN10" s="472">
        <f t="shared" si="57"/>
        <v>45.847552726213742</v>
      </c>
      <c r="BO10" s="179">
        <f t="shared" si="40"/>
        <v>6.8250000000000003E-3</v>
      </c>
      <c r="BP10" s="179">
        <f t="shared" si="41"/>
        <v>6.8250000000000003E-3</v>
      </c>
      <c r="BQ10" s="546"/>
      <c r="BS10" s="472">
        <f t="shared" si="58"/>
        <v>13.65</v>
      </c>
      <c r="BT10" s="546">
        <f t="shared" si="42"/>
        <v>1.8959121689721362E-4</v>
      </c>
      <c r="BU10" s="546">
        <f t="shared" si="59"/>
        <v>3.5548397056889116E-3</v>
      </c>
      <c r="BV10" s="546">
        <f t="shared" si="43"/>
        <v>7.9983893378000499E-3</v>
      </c>
      <c r="BW10" s="546">
        <f t="shared" si="44"/>
        <v>7.8889080036216748E-4</v>
      </c>
      <c r="BX10" s="546">
        <f t="shared" si="45"/>
        <v>1.3953958197837736E-2</v>
      </c>
      <c r="BY10" s="656">
        <f t="shared" si="46"/>
        <v>4.3044077134986227E-3</v>
      </c>
      <c r="BZ10" s="472">
        <f t="shared" si="60"/>
        <v>18.258365911336359</v>
      </c>
      <c r="CA10" s="179">
        <f t="shared" si="61"/>
        <v>7.7755918637550089E-2</v>
      </c>
      <c r="CB10" s="6">
        <f t="shared" si="62"/>
        <v>0.25</v>
      </c>
      <c r="CC10" s="179">
        <f t="shared" si="63"/>
        <v>0.76276273221617474</v>
      </c>
      <c r="CD10" s="6">
        <f t="shared" si="64"/>
        <v>76.276273221617473</v>
      </c>
      <c r="CE10">
        <f t="shared" si="65"/>
        <v>5</v>
      </c>
      <c r="CG10" s="581">
        <f t="shared" si="47"/>
        <v>-50</v>
      </c>
      <c r="CH10">
        <f t="shared" si="48"/>
        <v>-50</v>
      </c>
    </row>
    <row r="11" spans="2:86" x14ac:dyDescent="0.2">
      <c r="E11" s="176">
        <v>6</v>
      </c>
      <c r="F11" s="223">
        <f t="shared" si="66"/>
        <v>0.03</v>
      </c>
      <c r="G11" s="223">
        <f t="shared" si="49"/>
        <v>0.03</v>
      </c>
      <c r="H11" s="223">
        <f t="shared" si="0"/>
        <v>0.15</v>
      </c>
      <c r="I11" s="223">
        <f t="shared" si="67"/>
        <v>0.15</v>
      </c>
      <c r="J11" s="559">
        <f t="shared" si="1"/>
        <v>24</v>
      </c>
      <c r="K11" s="454">
        <f t="shared" si="2"/>
        <v>15.75</v>
      </c>
      <c r="L11" s="454">
        <f t="shared" si="3"/>
        <v>39.75</v>
      </c>
      <c r="M11" s="454"/>
      <c r="N11" s="223">
        <f t="shared" si="4"/>
        <v>0.39622641509433965</v>
      </c>
      <c r="O11" s="178">
        <f t="shared" si="50"/>
        <v>1.6047169811320754</v>
      </c>
      <c r="P11" s="178">
        <f t="shared" si="5"/>
        <v>3.2094339622641508</v>
      </c>
      <c r="Q11" s="223">
        <f t="shared" si="6"/>
        <v>0.3209433962264151</v>
      </c>
      <c r="R11" s="223">
        <f t="shared" si="7"/>
        <v>0.3209433962264151</v>
      </c>
      <c r="S11" s="454">
        <f t="shared" si="8"/>
        <v>5</v>
      </c>
      <c r="T11" s="223">
        <f t="shared" si="9"/>
        <v>7.0105820105820102E-2</v>
      </c>
      <c r="U11" s="223">
        <f t="shared" si="10"/>
        <v>0.12852733686067017</v>
      </c>
      <c r="V11" s="223">
        <f t="shared" si="11"/>
        <v>0.19585117997816409</v>
      </c>
      <c r="W11" s="203">
        <f t="shared" si="12"/>
        <v>350</v>
      </c>
      <c r="X11" s="454">
        <f t="shared" si="51"/>
        <v>350</v>
      </c>
      <c r="Z11" s="223">
        <f t="shared" si="13"/>
        <v>0.61749571183533458</v>
      </c>
      <c r="AA11" s="179">
        <f t="shared" si="14"/>
        <v>1.7250673854447443</v>
      </c>
      <c r="AB11" s="179">
        <f t="shared" si="15"/>
        <v>0.55924139939803896</v>
      </c>
      <c r="AC11" s="179"/>
      <c r="AD11" s="179">
        <f t="shared" si="16"/>
        <v>0.419047619047619</v>
      </c>
      <c r="AE11" s="563">
        <f t="shared" si="17"/>
        <v>318.18181818181824</v>
      </c>
      <c r="AF11" s="546">
        <f t="shared" si="18"/>
        <v>3.2999999999999995E-2</v>
      </c>
      <c r="AH11" s="179">
        <f t="shared" si="19"/>
        <v>0.19738550848793068</v>
      </c>
      <c r="AI11" s="179">
        <f t="shared" si="20"/>
        <v>0.19738550848793068</v>
      </c>
      <c r="AJ11" s="179">
        <f t="shared" si="21"/>
        <v>1.1818181818181819</v>
      </c>
      <c r="AL11" s="563">
        <f t="shared" si="22"/>
        <v>30</v>
      </c>
      <c r="AM11" s="472">
        <f t="shared" si="23"/>
        <v>318.18181818181824</v>
      </c>
      <c r="AO11">
        <f t="shared" si="52"/>
        <v>30</v>
      </c>
      <c r="AP11" s="472">
        <f t="shared" si="24"/>
        <v>318.18181818181824</v>
      </c>
      <c r="AQ11" s="472"/>
      <c r="AR11" s="6">
        <f t="shared" si="53"/>
        <v>3.1428571428571419</v>
      </c>
      <c r="AS11" s="6">
        <f t="shared" si="25"/>
        <v>0.36187343222787288</v>
      </c>
      <c r="AT11" s="6">
        <f t="shared" si="54"/>
        <v>2.7809837106292692</v>
      </c>
      <c r="AU11" s="179">
        <f t="shared" si="55"/>
        <v>0.11514154661795958</v>
      </c>
      <c r="AW11" s="6">
        <f t="shared" si="26"/>
        <v>13.072048611111116</v>
      </c>
      <c r="AX11" s="472">
        <f t="shared" si="27"/>
        <v>0.14006316489361703</v>
      </c>
      <c r="AY11" s="6">
        <f t="shared" si="28"/>
        <v>13.072048611111116</v>
      </c>
      <c r="AZ11" s="472">
        <f t="shared" si="29"/>
        <v>0.19695312500000003</v>
      </c>
      <c r="BA11" s="6">
        <f t="shared" si="30"/>
        <v>1.6093655732808267E-2</v>
      </c>
      <c r="BB11" s="6">
        <f t="shared" si="31"/>
        <v>3.9319218203184292</v>
      </c>
      <c r="BC11" s="6"/>
      <c r="BD11" s="179">
        <f t="shared" si="56"/>
        <v>3.8669687886925104E-2</v>
      </c>
      <c r="BE11" s="179">
        <f t="shared" si="32"/>
        <v>0.3215975964332865</v>
      </c>
      <c r="BF11" s="179">
        <f t="shared" si="33"/>
        <v>0.3215975964332865</v>
      </c>
      <c r="BG11" s="179"/>
      <c r="BH11" s="546">
        <f t="shared" si="34"/>
        <v>5.2337066644527071E-4</v>
      </c>
      <c r="BI11" s="546">
        <f t="shared" si="35"/>
        <v>1.872358559207956E-2</v>
      </c>
      <c r="BJ11" s="546">
        <f t="shared" si="36"/>
        <v>3.9772727272727277E-3</v>
      </c>
      <c r="BK11" s="546">
        <f t="shared" si="37"/>
        <v>2.5137357954545459E-2</v>
      </c>
      <c r="BL11">
        <f t="shared" si="38"/>
        <v>6.96E-3</v>
      </c>
      <c r="BM11">
        <f t="shared" si="39"/>
        <v>5.5402289071081599E-2</v>
      </c>
      <c r="BN11" s="472">
        <f t="shared" si="57"/>
        <v>55.402289071081597</v>
      </c>
      <c r="BO11" s="179">
        <f t="shared" si="40"/>
        <v>8.1899999999999994E-3</v>
      </c>
      <c r="BP11" s="179">
        <f t="shared" si="41"/>
        <v>8.1899999999999994E-3</v>
      </c>
      <c r="BQ11" s="546"/>
      <c r="BS11" s="472">
        <f t="shared" si="58"/>
        <v>16.38</v>
      </c>
      <c r="BT11" s="546">
        <f t="shared" si="42"/>
        <v>2.9906895225444044E-4</v>
      </c>
      <c r="BU11" s="546">
        <f t="shared" si="59"/>
        <v>4.1370005612666808E-3</v>
      </c>
      <c r="BV11" s="546">
        <f t="shared" si="43"/>
        <v>9.30825126285003E-3</v>
      </c>
      <c r="BW11" s="546">
        <f t="shared" si="44"/>
        <v>1.5629553242222541E-3</v>
      </c>
      <c r="BX11" s="546">
        <f t="shared" si="45"/>
        <v>1.6975259666887857E-2</v>
      </c>
      <c r="BY11" s="656">
        <f t="shared" si="46"/>
        <v>6.1983471074380184E-3</v>
      </c>
      <c r="BZ11" s="472">
        <f t="shared" si="60"/>
        <v>23.173606774325872</v>
      </c>
      <c r="CA11" s="179">
        <f t="shared" si="61"/>
        <v>9.4955895845407479E-2</v>
      </c>
      <c r="CB11" s="6">
        <f t="shared" si="62"/>
        <v>0.3</v>
      </c>
      <c r="CC11" s="179">
        <f t="shared" si="63"/>
        <v>0.75957848244763293</v>
      </c>
      <c r="CD11" s="6">
        <f t="shared" si="64"/>
        <v>75.957848244763298</v>
      </c>
      <c r="CE11">
        <f t="shared" si="65"/>
        <v>6</v>
      </c>
      <c r="CG11" s="581">
        <f t="shared" si="47"/>
        <v>-50</v>
      </c>
      <c r="CH11">
        <f t="shared" si="48"/>
        <v>-50</v>
      </c>
    </row>
    <row r="12" spans="2:86" x14ac:dyDescent="0.2">
      <c r="E12" s="176">
        <v>7</v>
      </c>
      <c r="F12" s="223">
        <f t="shared" si="66"/>
        <v>3.5000000000000003E-2</v>
      </c>
      <c r="G12" s="223">
        <f t="shared" si="49"/>
        <v>3.5000000000000003E-2</v>
      </c>
      <c r="H12" s="223">
        <f t="shared" si="0"/>
        <v>0.17500000000000002</v>
      </c>
      <c r="I12" s="223">
        <f t="shared" si="67"/>
        <v>0.17500000000000002</v>
      </c>
      <c r="J12" s="559">
        <f t="shared" si="1"/>
        <v>24</v>
      </c>
      <c r="K12" s="454">
        <f t="shared" si="2"/>
        <v>15.75</v>
      </c>
      <c r="L12" s="454">
        <f t="shared" si="3"/>
        <v>39.75</v>
      </c>
      <c r="M12" s="454"/>
      <c r="N12" s="223">
        <f t="shared" si="4"/>
        <v>0.39622641509433965</v>
      </c>
      <c r="O12" s="178">
        <f t="shared" si="50"/>
        <v>1.6047169811320754</v>
      </c>
      <c r="P12" s="178">
        <f t="shared" si="5"/>
        <v>3.2094339622641508</v>
      </c>
      <c r="Q12" s="223">
        <f t="shared" si="6"/>
        <v>0.3209433962264151</v>
      </c>
      <c r="R12" s="223">
        <f t="shared" si="7"/>
        <v>0.3209433962264151</v>
      </c>
      <c r="S12" s="454">
        <f t="shared" si="8"/>
        <v>5</v>
      </c>
      <c r="T12" s="223">
        <f t="shared" si="9"/>
        <v>8.1790123456790126E-2</v>
      </c>
      <c r="U12" s="223">
        <f t="shared" si="10"/>
        <v>0.14994855967078188</v>
      </c>
      <c r="V12" s="223">
        <f t="shared" si="11"/>
        <v>0.22849304330785813</v>
      </c>
      <c r="W12" s="203">
        <f t="shared" si="12"/>
        <v>350</v>
      </c>
      <c r="X12" s="454">
        <f t="shared" si="51"/>
        <v>350</v>
      </c>
      <c r="Z12" s="223">
        <f t="shared" si="13"/>
        <v>0.61749571183533458</v>
      </c>
      <c r="AA12" s="179">
        <f t="shared" si="14"/>
        <v>1.7250673854447443</v>
      </c>
      <c r="AB12" s="179">
        <f t="shared" si="15"/>
        <v>0.55924139939803896</v>
      </c>
      <c r="AC12" s="179"/>
      <c r="AD12" s="179">
        <f t="shared" si="16"/>
        <v>0.419047619047619</v>
      </c>
      <c r="AE12" s="563">
        <f t="shared" si="17"/>
        <v>371.21212121212136</v>
      </c>
      <c r="AF12" s="546">
        <f t="shared" si="18"/>
        <v>3.2999999999999995E-2</v>
      </c>
      <c r="AH12" s="179">
        <f t="shared" si="19"/>
        <v>0.21320071635561044</v>
      </c>
      <c r="AI12" s="179">
        <f t="shared" si="20"/>
        <v>0.21320071635561044</v>
      </c>
      <c r="AJ12" s="179">
        <f t="shared" si="21"/>
        <v>1.2468153454486002</v>
      </c>
      <c r="AL12" s="563">
        <f t="shared" si="22"/>
        <v>35</v>
      </c>
      <c r="AM12" s="472">
        <f t="shared" si="23"/>
        <v>350</v>
      </c>
      <c r="AO12">
        <f t="shared" si="52"/>
        <v>35</v>
      </c>
      <c r="AP12" s="472">
        <f t="shared" si="24"/>
        <v>350</v>
      </c>
      <c r="AQ12" s="472"/>
      <c r="AR12" s="6">
        <f t="shared" si="53"/>
        <v>2.8571428571428572</v>
      </c>
      <c r="AS12" s="6">
        <f t="shared" si="25"/>
        <v>0.39086797998528583</v>
      </c>
      <c r="AT12" s="6">
        <f t="shared" si="54"/>
        <v>2.4662748771575713</v>
      </c>
      <c r="AU12" s="179">
        <f t="shared" si="55"/>
        <v>0.13680379299485004</v>
      </c>
      <c r="AW12" s="6">
        <f t="shared" si="26"/>
        <v>13.072048611111116</v>
      </c>
      <c r="AX12" s="472">
        <f t="shared" si="27"/>
        <v>0.17314152999408988</v>
      </c>
      <c r="AY12" s="6">
        <f t="shared" si="28"/>
        <v>13.072048611111116</v>
      </c>
      <c r="AZ12" s="472">
        <f t="shared" si="29"/>
        <v>0.25057508680555562</v>
      </c>
      <c r="BA12" s="6">
        <f t="shared" si="30"/>
        <v>1.6651161400562303E-2</v>
      </c>
      <c r="BB12" s="6">
        <f t="shared" si="31"/>
        <v>4.0772972546534723</v>
      </c>
      <c r="BC12" s="6"/>
      <c r="BD12" s="179">
        <f t="shared" si="56"/>
        <v>4.5527845790748908E-2</v>
      </c>
      <c r="BE12" s="179">
        <f t="shared" si="32"/>
        <v>0.34308683111206772</v>
      </c>
      <c r="BF12" s="179">
        <f t="shared" si="33"/>
        <v>0.34308683111206772</v>
      </c>
      <c r="BG12" s="179"/>
      <c r="BH12" s="546">
        <f t="shared" si="34"/>
        <v>7.2547465982117452E-4</v>
      </c>
      <c r="BI12" s="546">
        <f t="shared" si="35"/>
        <v>2.2246162247230725E-2</v>
      </c>
      <c r="BJ12" s="546">
        <f t="shared" si="36"/>
        <v>4.3749999999999995E-3</v>
      </c>
      <c r="BK12" s="546">
        <f t="shared" si="37"/>
        <v>2.7651093750000001E-2</v>
      </c>
      <c r="BL12">
        <f t="shared" si="38"/>
        <v>6.96E-3</v>
      </c>
      <c r="BM12">
        <f t="shared" si="39"/>
        <v>6.2071273024641653E-2</v>
      </c>
      <c r="BN12" s="472">
        <f t="shared" si="57"/>
        <v>62.071273024641656</v>
      </c>
      <c r="BO12" s="179">
        <f t="shared" si="40"/>
        <v>9.555000000000001E-3</v>
      </c>
      <c r="BP12" s="179">
        <f t="shared" si="41"/>
        <v>9.555000000000001E-3</v>
      </c>
      <c r="BQ12" s="546"/>
      <c r="BS12" s="472">
        <f t="shared" si="58"/>
        <v>19.110000000000003</v>
      </c>
      <c r="BT12" s="546">
        <f t="shared" si="42"/>
        <v>4.1455694846924261E-4</v>
      </c>
      <c r="BU12" s="546">
        <f t="shared" si="59"/>
        <v>4.7083429473008193E-3</v>
      </c>
      <c r="BV12" s="546">
        <f t="shared" si="43"/>
        <v>1.0593771631426843E-2</v>
      </c>
      <c r="BW12" s="546">
        <f t="shared" si="44"/>
        <v>2.4049816340877702E-3</v>
      </c>
      <c r="BX12" s="546">
        <f t="shared" si="45"/>
        <v>2.0032841711983791E-2</v>
      </c>
      <c r="BY12" s="656">
        <f t="shared" si="46"/>
        <v>7.9545454545454572E-3</v>
      </c>
      <c r="BZ12" s="472">
        <f t="shared" si="60"/>
        <v>27.987387166529249</v>
      </c>
      <c r="CA12" s="179">
        <f t="shared" si="61"/>
        <v>0.10916866019117089</v>
      </c>
      <c r="CB12" s="6">
        <f t="shared" si="62"/>
        <v>0.35000000000000003</v>
      </c>
      <c r="CC12" s="179">
        <f t="shared" si="63"/>
        <v>0.76224714433750884</v>
      </c>
      <c r="CD12" s="6">
        <f t="shared" si="64"/>
        <v>76.22471443375089</v>
      </c>
      <c r="CE12">
        <f t="shared" si="65"/>
        <v>7.0000000000000009</v>
      </c>
      <c r="CG12" s="581">
        <f t="shared" si="47"/>
        <v>-50</v>
      </c>
      <c r="CH12">
        <f t="shared" si="48"/>
        <v>-50</v>
      </c>
    </row>
    <row r="13" spans="2:86" s="78" customFormat="1" x14ac:dyDescent="0.2">
      <c r="E13" s="195">
        <v>8</v>
      </c>
      <c r="F13" s="223">
        <f t="shared" si="66"/>
        <v>0.04</v>
      </c>
      <c r="G13" s="223">
        <f t="shared" si="49"/>
        <v>0.04</v>
      </c>
      <c r="H13" s="223">
        <f t="shared" si="0"/>
        <v>0.2</v>
      </c>
      <c r="I13" s="223">
        <f t="shared" si="67"/>
        <v>0.2</v>
      </c>
      <c r="J13" s="559">
        <f t="shared" si="1"/>
        <v>24</v>
      </c>
      <c r="K13" s="454">
        <f t="shared" si="2"/>
        <v>15.75</v>
      </c>
      <c r="L13" s="553">
        <f t="shared" si="3"/>
        <v>39.75</v>
      </c>
      <c r="M13" s="553"/>
      <c r="N13" s="335">
        <f t="shared" si="4"/>
        <v>0.39622641509433965</v>
      </c>
      <c r="O13" s="178">
        <f t="shared" si="50"/>
        <v>1.6047169811320754</v>
      </c>
      <c r="P13" s="178">
        <f t="shared" si="5"/>
        <v>3.2094339622641508</v>
      </c>
      <c r="Q13" s="335">
        <f t="shared" si="6"/>
        <v>0.3209433962264151</v>
      </c>
      <c r="R13" s="223">
        <f t="shared" si="7"/>
        <v>0.3209433962264151</v>
      </c>
      <c r="S13" s="454">
        <f t="shared" si="8"/>
        <v>5</v>
      </c>
      <c r="T13" s="223">
        <f t="shared" si="9"/>
        <v>9.3474426807760136E-2</v>
      </c>
      <c r="U13" s="335">
        <f t="shared" si="10"/>
        <v>0.17136978248089357</v>
      </c>
      <c r="V13" s="223">
        <f t="shared" si="11"/>
        <v>0.26113490663755207</v>
      </c>
      <c r="W13" s="555">
        <f t="shared" si="12"/>
        <v>350</v>
      </c>
      <c r="X13" s="553">
        <f t="shared" si="51"/>
        <v>350</v>
      </c>
      <c r="Z13" s="335">
        <f t="shared" si="13"/>
        <v>0.61749571183533458</v>
      </c>
      <c r="AA13" s="179">
        <f t="shared" si="14"/>
        <v>1.7250673854447443</v>
      </c>
      <c r="AB13" s="179">
        <f t="shared" si="15"/>
        <v>0.55924139939803896</v>
      </c>
      <c r="AC13" s="556"/>
      <c r="AD13" s="179">
        <f t="shared" si="16"/>
        <v>0.419047619047619</v>
      </c>
      <c r="AE13" s="563">
        <f t="shared" si="17"/>
        <v>424.24242424242431</v>
      </c>
      <c r="AF13" s="546">
        <f t="shared" si="18"/>
        <v>3.2999999999999995E-2</v>
      </c>
      <c r="AG13"/>
      <c r="AH13" s="179">
        <f t="shared" si="19"/>
        <v>0.22792115291927589</v>
      </c>
      <c r="AI13" s="179">
        <f t="shared" si="20"/>
        <v>0.22792115291927589</v>
      </c>
      <c r="AJ13" s="179">
        <f t="shared" si="21"/>
        <v>1.2577193725327969</v>
      </c>
      <c r="AL13" s="563">
        <f t="shared" si="22"/>
        <v>40</v>
      </c>
      <c r="AM13" s="472">
        <f t="shared" si="23"/>
        <v>350</v>
      </c>
      <c r="AO13">
        <f t="shared" si="52"/>
        <v>40</v>
      </c>
      <c r="AP13" s="472">
        <f t="shared" si="24"/>
        <v>350</v>
      </c>
      <c r="AQ13" s="472"/>
      <c r="AR13" s="6">
        <f t="shared" si="53"/>
        <v>2.8571428571428572</v>
      </c>
      <c r="AS13" s="6">
        <f t="shared" si="25"/>
        <v>0.4178554470186725</v>
      </c>
      <c r="AT13" s="6">
        <f t="shared" si="54"/>
        <v>2.4392874101241846</v>
      </c>
      <c r="AU13" s="179">
        <f t="shared" si="55"/>
        <v>0.14624940645653536</v>
      </c>
      <c r="AW13" s="6">
        <f t="shared" si="26"/>
        <v>13.072048611111116</v>
      </c>
      <c r="AX13" s="472">
        <f t="shared" si="27"/>
        <v>0.20900118203309692</v>
      </c>
      <c r="AY13" s="6">
        <f t="shared" si="28"/>
        <v>13.072048611111116</v>
      </c>
      <c r="AZ13" s="472">
        <f t="shared" si="29"/>
        <v>0.31013888888888891</v>
      </c>
      <c r="BA13" s="6">
        <f t="shared" si="30"/>
        <v>1.8821662115155745E-2</v>
      </c>
      <c r="BB13" s="6">
        <f t="shared" si="31"/>
        <v>4.6097915002299716</v>
      </c>
      <c r="BC13" s="6"/>
      <c r="BD13" s="179">
        <f t="shared" si="56"/>
        <v>5.0323525856786115E-2</v>
      </c>
      <c r="BE13" s="179">
        <f t="shared" si="32"/>
        <v>0.36476299230079279</v>
      </c>
      <c r="BF13" s="179">
        <f t="shared" si="33"/>
        <v>0.36476299230079279</v>
      </c>
      <c r="BG13" s="179"/>
      <c r="BH13" s="546">
        <f t="shared" si="34"/>
        <v>8.8636003913051718E-4</v>
      </c>
      <c r="BI13" s="546">
        <f t="shared" si="35"/>
        <v>2.3782147799920692E-2</v>
      </c>
      <c r="BJ13" s="546">
        <f t="shared" si="36"/>
        <v>4.3749999999999995E-3</v>
      </c>
      <c r="BK13" s="546">
        <f t="shared" si="37"/>
        <v>2.7651093750000001E-2</v>
      </c>
      <c r="BL13">
        <f t="shared" si="38"/>
        <v>6.96E-3</v>
      </c>
      <c r="BM13">
        <f t="shared" si="39"/>
        <v>6.3793852801860298E-2</v>
      </c>
      <c r="BN13" s="472">
        <f t="shared" si="57"/>
        <v>63.793852801860297</v>
      </c>
      <c r="BO13" s="179">
        <f t="shared" si="40"/>
        <v>1.0920000000000001E-2</v>
      </c>
      <c r="BP13" s="179">
        <f t="shared" si="41"/>
        <v>1.0920000000000001E-2</v>
      </c>
      <c r="BQ13" s="546"/>
      <c r="BS13" s="472">
        <f t="shared" si="58"/>
        <v>21.840000000000003</v>
      </c>
      <c r="BT13" s="546">
        <f t="shared" si="42"/>
        <v>5.0649145093172412E-4</v>
      </c>
      <c r="BU13" s="546">
        <f t="shared" si="59"/>
        <v>5.3220816220891287E-3</v>
      </c>
      <c r="BV13" s="546">
        <f t="shared" si="43"/>
        <v>1.197468364970054E-2</v>
      </c>
      <c r="BW13" s="546">
        <f t="shared" si="44"/>
        <v>2.8418535784763979E-3</v>
      </c>
      <c r="BX13" s="546">
        <f t="shared" si="45"/>
        <v>2.281399417954429E-2</v>
      </c>
      <c r="BY13" s="656">
        <f t="shared" si="46"/>
        <v>9.0909090909090905E-3</v>
      </c>
      <c r="BZ13" s="472">
        <f t="shared" si="60"/>
        <v>31.904903270453381</v>
      </c>
      <c r="CA13" s="179">
        <f t="shared" si="61"/>
        <v>0.11753875607231368</v>
      </c>
      <c r="CB13" s="6">
        <f t="shared" si="62"/>
        <v>0.4</v>
      </c>
      <c r="CC13" s="179">
        <f t="shared" si="63"/>
        <v>0.77288897750511565</v>
      </c>
      <c r="CD13" s="6">
        <f t="shared" si="64"/>
        <v>77.288897750511566</v>
      </c>
      <c r="CE13">
        <f t="shared" si="65"/>
        <v>8</v>
      </c>
      <c r="CG13" s="581">
        <f t="shared" si="47"/>
        <v>-50</v>
      </c>
      <c r="CH13">
        <f t="shared" si="48"/>
        <v>-50</v>
      </c>
    </row>
    <row r="14" spans="2:86" x14ac:dyDescent="0.2">
      <c r="E14" s="176">
        <v>9</v>
      </c>
      <c r="F14" s="223">
        <f t="shared" si="66"/>
        <v>4.4999999999999998E-2</v>
      </c>
      <c r="G14" s="223">
        <f t="shared" si="49"/>
        <v>4.4999999999999998E-2</v>
      </c>
      <c r="H14" s="223">
        <f t="shared" si="0"/>
        <v>0.22499999999999998</v>
      </c>
      <c r="I14" s="223">
        <f t="shared" si="67"/>
        <v>0.22499999999999998</v>
      </c>
      <c r="J14" s="559">
        <f t="shared" si="1"/>
        <v>24</v>
      </c>
      <c r="K14" s="454">
        <f t="shared" si="2"/>
        <v>15.75</v>
      </c>
      <c r="L14" s="454">
        <f t="shared" si="3"/>
        <v>39.75</v>
      </c>
      <c r="M14" s="454"/>
      <c r="N14" s="223">
        <f t="shared" si="4"/>
        <v>0.39622641509433965</v>
      </c>
      <c r="O14" s="178">
        <f t="shared" si="50"/>
        <v>1.6047169811320754</v>
      </c>
      <c r="P14" s="178">
        <f t="shared" si="5"/>
        <v>3.2094339622641508</v>
      </c>
      <c r="Q14" s="223">
        <f t="shared" si="6"/>
        <v>0.3209433962264151</v>
      </c>
      <c r="R14" s="223">
        <f t="shared" si="7"/>
        <v>0.3209433962264151</v>
      </c>
      <c r="S14" s="454">
        <f t="shared" si="8"/>
        <v>5</v>
      </c>
      <c r="T14" s="223">
        <f t="shared" si="9"/>
        <v>0.10515873015873013</v>
      </c>
      <c r="U14" s="223">
        <f t="shared" si="10"/>
        <v>0.19279100529100524</v>
      </c>
      <c r="V14" s="223">
        <f t="shared" si="11"/>
        <v>0.29377676996724605</v>
      </c>
      <c r="W14" s="203">
        <f t="shared" si="12"/>
        <v>350</v>
      </c>
      <c r="X14" s="454">
        <f t="shared" si="51"/>
        <v>350</v>
      </c>
      <c r="Z14" s="223">
        <f t="shared" si="13"/>
        <v>0.61749571183533458</v>
      </c>
      <c r="AA14" s="179">
        <f t="shared" si="14"/>
        <v>1.7250673854447443</v>
      </c>
      <c r="AB14" s="179">
        <f t="shared" si="15"/>
        <v>0.55924139939803896</v>
      </c>
      <c r="AC14" s="179"/>
      <c r="AD14" s="179">
        <f t="shared" si="16"/>
        <v>0.419047619047619</v>
      </c>
      <c r="AE14" s="563">
        <f t="shared" si="17"/>
        <v>477.27272727272737</v>
      </c>
      <c r="AF14" s="546">
        <f t="shared" si="18"/>
        <v>3.2999999999999995E-2</v>
      </c>
      <c r="AH14" s="179">
        <f t="shared" si="19"/>
        <v>0.24174688920761409</v>
      </c>
      <c r="AI14" s="179">
        <f t="shared" si="20"/>
        <v>0.24174688920761409</v>
      </c>
      <c r="AJ14" s="179">
        <f t="shared" si="21"/>
        <v>1.2679606586723067</v>
      </c>
      <c r="AL14" s="563">
        <f t="shared" si="22"/>
        <v>45</v>
      </c>
      <c r="AM14" s="472">
        <f t="shared" si="23"/>
        <v>350</v>
      </c>
      <c r="AO14">
        <f t="shared" si="52"/>
        <v>45</v>
      </c>
      <c r="AP14" s="472">
        <f t="shared" si="24"/>
        <v>350</v>
      </c>
      <c r="AQ14" s="472"/>
      <c r="AR14" s="6">
        <f t="shared" si="53"/>
        <v>2.8571428571428572</v>
      </c>
      <c r="AS14" s="6">
        <f t="shared" si="25"/>
        <v>0.44320263021395917</v>
      </c>
      <c r="AT14" s="6">
        <f t="shared" si="54"/>
        <v>2.4139402269288981</v>
      </c>
      <c r="AU14" s="179">
        <f t="shared" si="55"/>
        <v>0.15512092057488572</v>
      </c>
      <c r="AW14" s="6">
        <f t="shared" si="26"/>
        <v>13.072048611111116</v>
      </c>
      <c r="AX14" s="472">
        <f t="shared" si="27"/>
        <v>0.24764212101063832</v>
      </c>
      <c r="AY14" s="6">
        <f t="shared" si="28"/>
        <v>13.072048611111116</v>
      </c>
      <c r="AZ14" s="472">
        <f t="shared" si="29"/>
        <v>0.37564453125000008</v>
      </c>
      <c r="BA14" s="6">
        <f t="shared" si="30"/>
        <v>2.0954342247646678E-2</v>
      </c>
      <c r="BB14" s="6">
        <f t="shared" si="31"/>
        <v>5.1332088061018704</v>
      </c>
      <c r="BC14" s="6"/>
      <c r="BD14" s="179">
        <f t="shared" si="56"/>
        <v>5.497122988523339E-2</v>
      </c>
      <c r="BE14" s="179">
        <f t="shared" si="32"/>
        <v>0.38487420060172745</v>
      </c>
      <c r="BF14" s="179">
        <f t="shared" si="33"/>
        <v>0.38487420060172745</v>
      </c>
      <c r="BG14" s="179"/>
      <c r="BH14" s="546">
        <f t="shared" si="34"/>
        <v>1.0576426402833117E-3</v>
      </c>
      <c r="BI14" s="546">
        <f t="shared" si="35"/>
        <v>2.5224776970756983E-2</v>
      </c>
      <c r="BJ14" s="546">
        <f t="shared" si="36"/>
        <v>4.3749999999999995E-3</v>
      </c>
      <c r="BK14" s="546">
        <f t="shared" si="37"/>
        <v>2.7651093750000001E-2</v>
      </c>
      <c r="BL14">
        <f t="shared" si="38"/>
        <v>6.96E-3</v>
      </c>
      <c r="BM14">
        <f t="shared" si="39"/>
        <v>6.5435275390598666E-2</v>
      </c>
      <c r="BN14" s="472">
        <f t="shared" si="57"/>
        <v>65.435275390598662</v>
      </c>
      <c r="BO14" s="179">
        <f t="shared" si="40"/>
        <v>1.2285000000000001E-2</v>
      </c>
      <c r="BP14" s="179">
        <f t="shared" si="41"/>
        <v>1.2285000000000001E-2</v>
      </c>
      <c r="BQ14" s="546"/>
      <c r="BS14" s="472">
        <f t="shared" si="58"/>
        <v>24.57</v>
      </c>
      <c r="BT14" s="546">
        <f t="shared" si="42"/>
        <v>6.0436722301903528E-4</v>
      </c>
      <c r="BU14" s="546">
        <f t="shared" si="59"/>
        <v>5.9251260115527494E-3</v>
      </c>
      <c r="BV14" s="546">
        <f t="shared" si="43"/>
        <v>1.3331533525993686E-2</v>
      </c>
      <c r="BW14" s="546">
        <f t="shared" si="44"/>
        <v>3.2926256036665607E-3</v>
      </c>
      <c r="BX14" s="546">
        <f t="shared" si="45"/>
        <v>2.5577615391801329E-2</v>
      </c>
      <c r="BY14" s="656">
        <f t="shared" si="46"/>
        <v>1.0227272727272729E-2</v>
      </c>
      <c r="BZ14" s="472">
        <f t="shared" si="60"/>
        <v>35.804888119074057</v>
      </c>
      <c r="CA14" s="179">
        <f t="shared" si="61"/>
        <v>0.12581016350967272</v>
      </c>
      <c r="CB14" s="6">
        <f t="shared" si="62"/>
        <v>0.44999999999999996</v>
      </c>
      <c r="CC14" s="179">
        <f t="shared" si="63"/>
        <v>0.78150756710712477</v>
      </c>
      <c r="CD14" s="6">
        <f t="shared" si="64"/>
        <v>78.150756710712471</v>
      </c>
      <c r="CE14">
        <f t="shared" si="65"/>
        <v>9</v>
      </c>
      <c r="CG14" s="581">
        <f t="shared" si="47"/>
        <v>-50</v>
      </c>
      <c r="CH14">
        <f t="shared" si="48"/>
        <v>-50</v>
      </c>
    </row>
    <row r="15" spans="2:86" x14ac:dyDescent="0.2">
      <c r="E15" s="176">
        <v>10</v>
      </c>
      <c r="F15" s="223">
        <f t="shared" si="66"/>
        <v>0.05</v>
      </c>
      <c r="G15" s="223">
        <f t="shared" si="49"/>
        <v>0.05</v>
      </c>
      <c r="H15" s="223">
        <f t="shared" si="0"/>
        <v>0.25</v>
      </c>
      <c r="I15" s="223">
        <f t="shared" si="67"/>
        <v>0.25</v>
      </c>
      <c r="J15" s="559">
        <f t="shared" si="1"/>
        <v>24</v>
      </c>
      <c r="K15" s="454">
        <f t="shared" si="2"/>
        <v>15.75</v>
      </c>
      <c r="L15" s="454">
        <f t="shared" si="3"/>
        <v>39.75</v>
      </c>
      <c r="M15" s="454"/>
      <c r="N15" s="223">
        <f t="shared" si="4"/>
        <v>0.39622641509433965</v>
      </c>
      <c r="O15" s="178">
        <f t="shared" si="50"/>
        <v>1.6047169811320754</v>
      </c>
      <c r="P15" s="178">
        <f t="shared" si="5"/>
        <v>3.2094339622641508</v>
      </c>
      <c r="Q15" s="223">
        <f t="shared" si="6"/>
        <v>0.3209433962264151</v>
      </c>
      <c r="R15" s="223">
        <f t="shared" si="7"/>
        <v>0.3209433962264151</v>
      </c>
      <c r="S15" s="454">
        <f t="shared" si="8"/>
        <v>5</v>
      </c>
      <c r="T15" s="223">
        <f t="shared" si="9"/>
        <v>0.11684303350970017</v>
      </c>
      <c r="U15" s="223">
        <f t="shared" si="10"/>
        <v>0.21421222810111698</v>
      </c>
      <c r="V15" s="223">
        <f t="shared" si="11"/>
        <v>0.32641863329694015</v>
      </c>
      <c r="W15" s="203">
        <f t="shared" si="12"/>
        <v>350</v>
      </c>
      <c r="X15" s="454">
        <f t="shared" si="51"/>
        <v>350</v>
      </c>
      <c r="Z15" s="223">
        <f t="shared" si="13"/>
        <v>0.61749571183533458</v>
      </c>
      <c r="AA15" s="179">
        <f t="shared" si="14"/>
        <v>1.7250673854447443</v>
      </c>
      <c r="AB15" s="179">
        <f t="shared" si="15"/>
        <v>0.55924139939803896</v>
      </c>
      <c r="AC15" s="179"/>
      <c r="AD15" s="179">
        <f t="shared" si="16"/>
        <v>0.419047619047619</v>
      </c>
      <c r="AE15" s="563">
        <f t="shared" si="17"/>
        <v>530.30303030303037</v>
      </c>
      <c r="AF15" s="546">
        <f t="shared" si="18"/>
        <v>3.2999999999999995E-2</v>
      </c>
      <c r="AH15" s="179">
        <f t="shared" si="19"/>
        <v>0.25482359571881275</v>
      </c>
      <c r="AI15" s="179">
        <f t="shared" si="20"/>
        <v>0.25482359571881275</v>
      </c>
      <c r="AJ15" s="179">
        <f t="shared" si="21"/>
        <v>1.2776471079398612</v>
      </c>
      <c r="AL15" s="563">
        <f t="shared" si="22"/>
        <v>50</v>
      </c>
      <c r="AM15" s="472">
        <f t="shared" si="23"/>
        <v>350</v>
      </c>
      <c r="AO15">
        <f t="shared" si="52"/>
        <v>50</v>
      </c>
      <c r="AP15" s="472">
        <f t="shared" si="24"/>
        <v>350</v>
      </c>
      <c r="AQ15" s="472"/>
      <c r="AR15" s="6">
        <f t="shared" si="53"/>
        <v>2.8571428571428572</v>
      </c>
      <c r="AS15" s="6">
        <f t="shared" si="25"/>
        <v>0.46717659215115676</v>
      </c>
      <c r="AT15" s="6">
        <f t="shared" si="54"/>
        <v>2.3899662649917004</v>
      </c>
      <c r="AU15" s="179">
        <f t="shared" si="55"/>
        <v>0.16351180725290487</v>
      </c>
      <c r="AW15" s="6">
        <f t="shared" si="26"/>
        <v>13.072048611111116</v>
      </c>
      <c r="AX15" s="472">
        <f t="shared" si="27"/>
        <v>0.28906434692671401</v>
      </c>
      <c r="AY15" s="6">
        <f t="shared" si="28"/>
        <v>13.072048611111116</v>
      </c>
      <c r="AZ15" s="472">
        <f t="shared" si="29"/>
        <v>0.44709201388888908</v>
      </c>
      <c r="BA15" s="6">
        <f t="shared" si="30"/>
        <v>2.3051372154626739E-2</v>
      </c>
      <c r="BB15" s="6">
        <f t="shared" si="31"/>
        <v>5.6480700578511582</v>
      </c>
      <c r="BC15" s="6"/>
      <c r="BD15" s="179">
        <f t="shared" si="56"/>
        <v>5.9491315393137283E-2</v>
      </c>
      <c r="BE15" s="179">
        <f t="shared" si="32"/>
        <v>0.40367343898297692</v>
      </c>
      <c r="BF15" s="179">
        <f t="shared" si="33"/>
        <v>0.40367343898297692</v>
      </c>
      <c r="BG15" s="179"/>
      <c r="BH15" s="546">
        <f t="shared" si="34"/>
        <v>1.2387258125220065E-3</v>
      </c>
      <c r="BI15" s="546">
        <f t="shared" si="35"/>
        <v>2.6589249565784866E-2</v>
      </c>
      <c r="BJ15" s="546">
        <f t="shared" si="36"/>
        <v>4.3749999999999995E-3</v>
      </c>
      <c r="BK15" s="546">
        <f t="shared" si="37"/>
        <v>2.7651093750000001E-2</v>
      </c>
      <c r="BL15">
        <f t="shared" si="38"/>
        <v>6.96E-3</v>
      </c>
      <c r="BM15">
        <f t="shared" si="39"/>
        <v>6.7010059069636668E-2</v>
      </c>
      <c r="BN15" s="472">
        <f t="shared" si="57"/>
        <v>67.010059069636668</v>
      </c>
      <c r="BO15" s="179">
        <f t="shared" si="40"/>
        <v>1.3650000000000001E-2</v>
      </c>
      <c r="BP15" s="179">
        <f t="shared" si="41"/>
        <v>1.3650000000000001E-2</v>
      </c>
      <c r="BQ15" s="546"/>
      <c r="BS15" s="472">
        <f t="shared" si="58"/>
        <v>27.3</v>
      </c>
      <c r="BT15" s="546">
        <f t="shared" si="42"/>
        <v>7.078433214411467E-4</v>
      </c>
      <c r="BU15" s="546">
        <f t="shared" si="59"/>
        <v>6.518089813613728E-3</v>
      </c>
      <c r="BV15" s="546">
        <f t="shared" si="43"/>
        <v>1.4665702080630887E-2</v>
      </c>
      <c r="BW15" s="546">
        <f t="shared" si="44"/>
        <v>3.7561178859833451E-3</v>
      </c>
      <c r="BX15" s="546">
        <f t="shared" si="45"/>
        <v>2.8324354642716047E-2</v>
      </c>
      <c r="BY15" s="656">
        <f t="shared" si="46"/>
        <v>1.136363636363636E-2</v>
      </c>
      <c r="BZ15" s="472">
        <f t="shared" si="60"/>
        <v>39.687991006352412</v>
      </c>
      <c r="CA15" s="179">
        <f t="shared" si="61"/>
        <v>0.13399805007598906</v>
      </c>
      <c r="CB15" s="6">
        <f t="shared" si="62"/>
        <v>0.5</v>
      </c>
      <c r="CC15" s="179">
        <f t="shared" si="63"/>
        <v>0.78864595867459142</v>
      </c>
      <c r="CD15" s="6">
        <f t="shared" si="64"/>
        <v>78.864595867459144</v>
      </c>
      <c r="CE15">
        <f t="shared" si="65"/>
        <v>10</v>
      </c>
      <c r="CG15" s="581">
        <f t="shared" si="47"/>
        <v>-50</v>
      </c>
      <c r="CH15">
        <f t="shared" si="48"/>
        <v>-50</v>
      </c>
    </row>
    <row r="16" spans="2:86" x14ac:dyDescent="0.2">
      <c r="E16" s="176">
        <v>11</v>
      </c>
      <c r="F16" s="223">
        <f t="shared" si="66"/>
        <v>5.5E-2</v>
      </c>
      <c r="G16" s="223">
        <f t="shared" si="49"/>
        <v>5.5E-2</v>
      </c>
      <c r="H16" s="223">
        <f t="shared" si="0"/>
        <v>0.27500000000000002</v>
      </c>
      <c r="I16" s="223">
        <f t="shared" si="67"/>
        <v>0.27500000000000002</v>
      </c>
      <c r="J16" s="559">
        <f t="shared" si="1"/>
        <v>24</v>
      </c>
      <c r="K16" s="454">
        <f t="shared" si="2"/>
        <v>15.75</v>
      </c>
      <c r="L16" s="454">
        <f t="shared" si="3"/>
        <v>39.75</v>
      </c>
      <c r="M16" s="454"/>
      <c r="N16" s="223">
        <f t="shared" si="4"/>
        <v>0.39622641509433965</v>
      </c>
      <c r="O16" s="178">
        <f t="shared" si="50"/>
        <v>1.6047169811320754</v>
      </c>
      <c r="P16" s="178">
        <f t="shared" si="5"/>
        <v>3.2094339622641508</v>
      </c>
      <c r="Q16" s="223">
        <f t="shared" si="6"/>
        <v>0.3209433962264151</v>
      </c>
      <c r="R16" s="223">
        <f t="shared" si="7"/>
        <v>0.3209433962264151</v>
      </c>
      <c r="S16" s="454">
        <f t="shared" si="8"/>
        <v>5</v>
      </c>
      <c r="T16" s="223">
        <f t="shared" si="9"/>
        <v>0.12852733686067019</v>
      </c>
      <c r="U16" s="223">
        <f t="shared" si="10"/>
        <v>0.23563345091122867</v>
      </c>
      <c r="V16" s="223">
        <f t="shared" si="11"/>
        <v>0.35906049662663414</v>
      </c>
      <c r="W16" s="203">
        <f t="shared" si="12"/>
        <v>350</v>
      </c>
      <c r="X16" s="454">
        <f t="shared" si="51"/>
        <v>350</v>
      </c>
      <c r="Z16" s="223">
        <f t="shared" si="13"/>
        <v>0.61749571183533458</v>
      </c>
      <c r="AA16" s="179">
        <f t="shared" si="14"/>
        <v>1.7250673854447443</v>
      </c>
      <c r="AB16" s="179">
        <f t="shared" si="15"/>
        <v>0.55924139939803896</v>
      </c>
      <c r="AC16" s="179"/>
      <c r="AD16" s="179">
        <f t="shared" si="16"/>
        <v>0.419047619047619</v>
      </c>
      <c r="AE16" s="563">
        <f t="shared" si="17"/>
        <v>583.33333333333348</v>
      </c>
      <c r="AF16" s="546">
        <f t="shared" si="18"/>
        <v>3.2999999999999995E-2</v>
      </c>
      <c r="AH16" s="179">
        <f t="shared" si="19"/>
        <v>0.2672612419124244</v>
      </c>
      <c r="AI16" s="179">
        <f t="shared" si="20"/>
        <v>0.2672612419124244</v>
      </c>
      <c r="AJ16" s="179">
        <f t="shared" si="21"/>
        <v>1.2868601791943883</v>
      </c>
      <c r="AL16" s="563">
        <f t="shared" si="22"/>
        <v>55</v>
      </c>
      <c r="AM16" s="472">
        <f t="shared" si="23"/>
        <v>350</v>
      </c>
      <c r="AO16">
        <f t="shared" si="52"/>
        <v>55</v>
      </c>
      <c r="AP16" s="472">
        <f t="shared" si="24"/>
        <v>350</v>
      </c>
      <c r="AQ16" s="472"/>
      <c r="AR16" s="6">
        <f t="shared" si="53"/>
        <v>2.8571428571428572</v>
      </c>
      <c r="AS16" s="6">
        <f t="shared" si="25"/>
        <v>0.48997894350611132</v>
      </c>
      <c r="AT16" s="6">
        <f t="shared" si="54"/>
        <v>2.3671639136367459</v>
      </c>
      <c r="AU16" s="179">
        <f t="shared" si="55"/>
        <v>0.17149263022713895</v>
      </c>
      <c r="AW16" s="6">
        <f t="shared" si="26"/>
        <v>13.072048611111116</v>
      </c>
      <c r="AX16" s="472">
        <f t="shared" si="27"/>
        <v>0.33326785978132395</v>
      </c>
      <c r="AY16" s="6">
        <f t="shared" si="28"/>
        <v>13.072048611111116</v>
      </c>
      <c r="AZ16" s="472">
        <f t="shared" si="29"/>
        <v>0.52448133680555564</v>
      </c>
      <c r="BA16" s="6">
        <f t="shared" si="30"/>
        <v>2.5114586275081216E-2</v>
      </c>
      <c r="BB16" s="6">
        <f t="shared" si="31"/>
        <v>6.1548155208343074</v>
      </c>
      <c r="BC16" s="6"/>
      <c r="BD16" s="179">
        <f t="shared" si="56"/>
        <v>6.3899592037437364E-2</v>
      </c>
      <c r="BE16" s="179">
        <f t="shared" si="32"/>
        <v>0.42135174560307209</v>
      </c>
      <c r="BF16" s="179">
        <f t="shared" si="33"/>
        <v>0.42135174560307209</v>
      </c>
      <c r="BG16" s="179"/>
      <c r="BH16" s="546">
        <f t="shared" si="34"/>
        <v>1.4291052518928249E-3</v>
      </c>
      <c r="BI16" s="546">
        <f t="shared" si="35"/>
        <v>2.7887040210799529E-2</v>
      </c>
      <c r="BJ16" s="546">
        <f t="shared" si="36"/>
        <v>4.3749999999999995E-3</v>
      </c>
      <c r="BK16" s="546">
        <f t="shared" si="37"/>
        <v>2.7651093750000001E-2</v>
      </c>
      <c r="BL16">
        <f t="shared" si="38"/>
        <v>6.96E-3</v>
      </c>
      <c r="BM16">
        <f t="shared" si="39"/>
        <v>6.8529103003497779E-2</v>
      </c>
      <c r="BN16" s="472">
        <f t="shared" si="57"/>
        <v>68.529103003497781</v>
      </c>
      <c r="BO16" s="179">
        <f t="shared" si="40"/>
        <v>1.5015000000000001E-2</v>
      </c>
      <c r="BP16" s="179">
        <f t="shared" si="41"/>
        <v>1.5015000000000001E-2</v>
      </c>
      <c r="BQ16" s="546"/>
      <c r="BS16" s="472">
        <f t="shared" si="58"/>
        <v>30.03</v>
      </c>
      <c r="BT16" s="546">
        <f t="shared" si="42"/>
        <v>8.1663157251018581E-4</v>
      </c>
      <c r="BU16" s="546">
        <f t="shared" si="59"/>
        <v>7.10149174091024E-3</v>
      </c>
      <c r="BV16" s="546">
        <f t="shared" si="43"/>
        <v>1.5978356417048038E-2</v>
      </c>
      <c r="BW16" s="546">
        <f t="shared" si="44"/>
        <v>4.2313609193355209E-3</v>
      </c>
      <c r="BX16" s="546">
        <f t="shared" si="45"/>
        <v>3.1054786223021196E-2</v>
      </c>
      <c r="BY16" s="656">
        <f t="shared" si="46"/>
        <v>1.2500000000000004E-2</v>
      </c>
      <c r="BZ16" s="472">
        <f t="shared" si="60"/>
        <v>43.554786223021196</v>
      </c>
      <c r="CA16" s="179">
        <f t="shared" si="61"/>
        <v>0.14211388922651899</v>
      </c>
      <c r="CB16" s="6">
        <f t="shared" si="62"/>
        <v>0.55000000000000004</v>
      </c>
      <c r="CC16" s="179">
        <f t="shared" si="63"/>
        <v>0.79466690173586851</v>
      </c>
      <c r="CD16" s="6">
        <f t="shared" si="64"/>
        <v>79.466690173586855</v>
      </c>
      <c r="CE16">
        <f t="shared" si="65"/>
        <v>11</v>
      </c>
      <c r="CG16" s="581">
        <f t="shared" si="47"/>
        <v>-50</v>
      </c>
      <c r="CH16">
        <f t="shared" si="48"/>
        <v>-50</v>
      </c>
    </row>
    <row r="17" spans="5:86" x14ac:dyDescent="0.2">
      <c r="E17" s="176">
        <v>12</v>
      </c>
      <c r="F17" s="223">
        <f t="shared" si="66"/>
        <v>0.06</v>
      </c>
      <c r="G17" s="223">
        <f t="shared" si="49"/>
        <v>0.06</v>
      </c>
      <c r="H17" s="223">
        <f t="shared" si="0"/>
        <v>0.3</v>
      </c>
      <c r="I17" s="223">
        <f t="shared" si="67"/>
        <v>0.3</v>
      </c>
      <c r="J17" s="559">
        <f t="shared" si="1"/>
        <v>24</v>
      </c>
      <c r="K17" s="454">
        <f t="shared" si="2"/>
        <v>15.75</v>
      </c>
      <c r="L17" s="454">
        <f t="shared" si="3"/>
        <v>39.75</v>
      </c>
      <c r="M17" s="454"/>
      <c r="N17" s="223">
        <f t="shared" si="4"/>
        <v>0.39622641509433965</v>
      </c>
      <c r="O17" s="178">
        <f t="shared" si="50"/>
        <v>1.6047169811320754</v>
      </c>
      <c r="P17" s="178">
        <f t="shared" si="5"/>
        <v>3.2094339622641508</v>
      </c>
      <c r="Q17" s="223">
        <f t="shared" si="6"/>
        <v>0.3209433962264151</v>
      </c>
      <c r="R17" s="223">
        <f t="shared" si="7"/>
        <v>0.3209433962264151</v>
      </c>
      <c r="S17" s="454">
        <f t="shared" si="8"/>
        <v>5</v>
      </c>
      <c r="T17" s="223">
        <f t="shared" si="9"/>
        <v>0.1402116402116402</v>
      </c>
      <c r="U17" s="223">
        <f t="shared" si="10"/>
        <v>0.25705467372134033</v>
      </c>
      <c r="V17" s="223">
        <f t="shared" si="11"/>
        <v>0.39170235995632818</v>
      </c>
      <c r="W17" s="203">
        <f t="shared" si="12"/>
        <v>350</v>
      </c>
      <c r="X17" s="454">
        <f t="shared" si="51"/>
        <v>350</v>
      </c>
      <c r="Z17" s="223">
        <f t="shared" si="13"/>
        <v>0.61749571183533458</v>
      </c>
      <c r="AA17" s="179">
        <f t="shared" si="14"/>
        <v>1.7250673854447443</v>
      </c>
      <c r="AB17" s="179">
        <f t="shared" si="15"/>
        <v>0.55924139939803896</v>
      </c>
      <c r="AC17" s="179"/>
      <c r="AD17" s="179">
        <f t="shared" si="16"/>
        <v>0.419047619047619</v>
      </c>
      <c r="AE17" s="563">
        <f t="shared" si="17"/>
        <v>636.36363636363649</v>
      </c>
      <c r="AF17" s="546">
        <f t="shared" si="18"/>
        <v>3.2999999999999995E-2</v>
      </c>
      <c r="AH17" s="179">
        <f t="shared" si="19"/>
        <v>0.27914526311954124</v>
      </c>
      <c r="AI17" s="179">
        <f t="shared" si="20"/>
        <v>0.27914526311954124</v>
      </c>
      <c r="AJ17" s="179">
        <f t="shared" si="21"/>
        <v>1.2956631578663269</v>
      </c>
      <c r="AL17" s="563">
        <f t="shared" si="22"/>
        <v>60</v>
      </c>
      <c r="AM17" s="472">
        <f t="shared" si="23"/>
        <v>350</v>
      </c>
      <c r="AO17">
        <f t="shared" si="52"/>
        <v>60</v>
      </c>
      <c r="AP17" s="472">
        <f t="shared" si="24"/>
        <v>350</v>
      </c>
      <c r="AQ17" s="472"/>
      <c r="AR17" s="6">
        <f t="shared" si="53"/>
        <v>2.8571428571428572</v>
      </c>
      <c r="AS17" s="6">
        <f t="shared" si="25"/>
        <v>0.51176631571915898</v>
      </c>
      <c r="AT17" s="6">
        <f t="shared" si="54"/>
        <v>2.3453765414236982</v>
      </c>
      <c r="AU17" s="179">
        <f t="shared" si="55"/>
        <v>0.17911821050170565</v>
      </c>
      <c r="AW17" s="6">
        <f t="shared" si="26"/>
        <v>13.072048611111116</v>
      </c>
      <c r="AX17" s="472">
        <f t="shared" si="27"/>
        <v>0.38025265957446813</v>
      </c>
      <c r="AY17" s="6">
        <f t="shared" si="28"/>
        <v>13.072048611111116</v>
      </c>
      <c r="AZ17" s="472">
        <f t="shared" si="29"/>
        <v>0.60781250000000009</v>
      </c>
      <c r="BA17" s="6">
        <f t="shared" si="30"/>
        <v>2.7145561822033537E-2</v>
      </c>
      <c r="BB17" s="6">
        <f t="shared" si="31"/>
        <v>6.6538237261769382</v>
      </c>
      <c r="BC17" s="6"/>
      <c r="BD17" s="179">
        <f t="shared" si="56"/>
        <v>6.8208658189355661E-2</v>
      </c>
      <c r="BE17" s="179">
        <f t="shared" si="32"/>
        <v>0.43805758103051085</v>
      </c>
      <c r="BF17" s="179">
        <f t="shared" si="33"/>
        <v>0.43805758103051085</v>
      </c>
      <c r="BG17" s="179"/>
      <c r="BH17" s="546">
        <f t="shared" si="34"/>
        <v>1.6283473681973242E-3</v>
      </c>
      <c r="BI17" s="546">
        <f t="shared" si="35"/>
        <v>2.9127063548629633E-2</v>
      </c>
      <c r="BJ17" s="546">
        <f t="shared" si="36"/>
        <v>4.3749999999999995E-3</v>
      </c>
      <c r="BK17" s="546">
        <f t="shared" si="37"/>
        <v>2.7651093750000001E-2</v>
      </c>
      <c r="BL17">
        <f t="shared" si="38"/>
        <v>6.96E-3</v>
      </c>
      <c r="BM17">
        <f t="shared" si="39"/>
        <v>7.0000827593896198E-2</v>
      </c>
      <c r="BN17" s="472">
        <f t="shared" si="57"/>
        <v>70.000827593896204</v>
      </c>
      <c r="BO17" s="179">
        <f t="shared" si="40"/>
        <v>1.6379999999999999E-2</v>
      </c>
      <c r="BP17" s="179">
        <f t="shared" si="41"/>
        <v>1.6379999999999999E-2</v>
      </c>
      <c r="BQ17" s="546"/>
      <c r="BS17" s="472">
        <f t="shared" si="58"/>
        <v>32.76</v>
      </c>
      <c r="BT17" s="546">
        <f t="shared" si="42"/>
        <v>9.3048421039847108E-4</v>
      </c>
      <c r="BU17" s="546">
        <f t="shared" si="59"/>
        <v>7.6757777719321033E-3</v>
      </c>
      <c r="BV17" s="546">
        <f t="shared" si="43"/>
        <v>1.7270499986847231E-2</v>
      </c>
      <c r="BW17" s="546">
        <f t="shared" si="44"/>
        <v>4.7175419606032311E-3</v>
      </c>
      <c r="BX17" s="546">
        <f t="shared" si="45"/>
        <v>3.3769422831397937E-2</v>
      </c>
      <c r="BY17" s="656">
        <f t="shared" si="46"/>
        <v>1.3636363636363636E-2</v>
      </c>
      <c r="BZ17" s="472">
        <f t="shared" si="60"/>
        <v>47.405786467761573</v>
      </c>
      <c r="CA17" s="179">
        <f t="shared" si="61"/>
        <v>0.15016661406165779</v>
      </c>
      <c r="CB17" s="6">
        <f t="shared" si="62"/>
        <v>0.6</v>
      </c>
      <c r="CC17" s="179">
        <f t="shared" si="63"/>
        <v>0.79982231780670088</v>
      </c>
      <c r="CD17" s="6">
        <f t="shared" si="64"/>
        <v>79.982231780670091</v>
      </c>
      <c r="CE17">
        <f t="shared" si="65"/>
        <v>12</v>
      </c>
      <c r="CG17" s="581">
        <f t="shared" si="47"/>
        <v>-50</v>
      </c>
      <c r="CH17">
        <f t="shared" si="48"/>
        <v>-50</v>
      </c>
    </row>
    <row r="18" spans="5:86" x14ac:dyDescent="0.2">
      <c r="E18" s="176">
        <v>13</v>
      </c>
      <c r="F18" s="223">
        <f t="shared" si="66"/>
        <v>6.5000000000000002E-2</v>
      </c>
      <c r="G18" s="223">
        <f t="shared" si="49"/>
        <v>6.5000000000000002E-2</v>
      </c>
      <c r="H18" s="223">
        <f t="shared" si="0"/>
        <v>0.32500000000000001</v>
      </c>
      <c r="I18" s="223">
        <f t="shared" si="67"/>
        <v>0.32500000000000001</v>
      </c>
      <c r="J18" s="559">
        <f t="shared" si="1"/>
        <v>24</v>
      </c>
      <c r="K18" s="454">
        <f t="shared" si="2"/>
        <v>15.75</v>
      </c>
      <c r="L18" s="454">
        <f t="shared" si="3"/>
        <v>39.75</v>
      </c>
      <c r="M18" s="454"/>
      <c r="N18" s="223">
        <f t="shared" si="4"/>
        <v>0.39622641509433965</v>
      </c>
      <c r="O18" s="178">
        <f t="shared" si="50"/>
        <v>1.6047169811320754</v>
      </c>
      <c r="P18" s="178">
        <f t="shared" si="5"/>
        <v>3.2094339622641508</v>
      </c>
      <c r="Q18" s="223">
        <f t="shared" si="6"/>
        <v>0.3209433962264151</v>
      </c>
      <c r="R18" s="223">
        <f t="shared" si="7"/>
        <v>0.3209433962264151</v>
      </c>
      <c r="S18" s="454">
        <f t="shared" si="8"/>
        <v>5</v>
      </c>
      <c r="T18" s="223">
        <f t="shared" si="9"/>
        <v>0.15189594356261021</v>
      </c>
      <c r="U18" s="223">
        <f t="shared" si="10"/>
        <v>0.27847589653145205</v>
      </c>
      <c r="V18" s="223">
        <f t="shared" si="11"/>
        <v>0.42434422328602217</v>
      </c>
      <c r="W18" s="203">
        <f t="shared" si="12"/>
        <v>350</v>
      </c>
      <c r="X18" s="454">
        <f t="shared" si="51"/>
        <v>350</v>
      </c>
      <c r="Z18" s="223">
        <f t="shared" si="13"/>
        <v>0.61749571183533458</v>
      </c>
      <c r="AA18" s="179">
        <f t="shared" si="14"/>
        <v>1.7250673854447443</v>
      </c>
      <c r="AB18" s="179">
        <f t="shared" si="15"/>
        <v>0.55924139939803896</v>
      </c>
      <c r="AC18" s="179"/>
      <c r="AD18" s="179">
        <f t="shared" si="16"/>
        <v>0.419047619047619</v>
      </c>
      <c r="AE18" s="563">
        <f t="shared" si="17"/>
        <v>689.3939393939396</v>
      </c>
      <c r="AF18" s="546">
        <f t="shared" si="18"/>
        <v>3.2999999999999995E-2</v>
      </c>
      <c r="AH18" s="179">
        <f t="shared" si="19"/>
        <v>0.29054360157398823</v>
      </c>
      <c r="AI18" s="179">
        <f t="shared" si="20"/>
        <v>0.29054360157398823</v>
      </c>
      <c r="AJ18" s="179">
        <f t="shared" si="21"/>
        <v>1.3041063715362875</v>
      </c>
      <c r="AL18" s="563">
        <f t="shared" si="22"/>
        <v>65</v>
      </c>
      <c r="AM18" s="472">
        <f t="shared" si="23"/>
        <v>350</v>
      </c>
      <c r="AO18">
        <f t="shared" si="52"/>
        <v>65</v>
      </c>
      <c r="AP18" s="472">
        <f t="shared" si="24"/>
        <v>350</v>
      </c>
      <c r="AQ18" s="472"/>
      <c r="AR18" s="6">
        <f t="shared" si="53"/>
        <v>2.8571428571428572</v>
      </c>
      <c r="AS18" s="6">
        <f t="shared" si="25"/>
        <v>0.5326632695523118</v>
      </c>
      <c r="AT18" s="6">
        <f t="shared" si="54"/>
        <v>2.3244795875905453</v>
      </c>
      <c r="AU18" s="179">
        <f t="shared" si="55"/>
        <v>0.18643214434330913</v>
      </c>
      <c r="AW18" s="6">
        <f t="shared" si="26"/>
        <v>13.072048611111116</v>
      </c>
      <c r="AX18" s="472">
        <f t="shared" si="27"/>
        <v>0.43001874630614667</v>
      </c>
      <c r="AY18" s="6">
        <f t="shared" si="28"/>
        <v>13.072048611111116</v>
      </c>
      <c r="AZ18" s="472">
        <f t="shared" si="29"/>
        <v>0.69708550347222253</v>
      </c>
      <c r="BA18" s="6">
        <f t="shared" si="30"/>
        <v>2.9145673841316628E-2</v>
      </c>
      <c r="BB18" s="6">
        <f t="shared" si="31"/>
        <v>7.1454246848789564</v>
      </c>
      <c r="BC18" s="6"/>
      <c r="BD18" s="179">
        <f t="shared" si="56"/>
        <v>7.2428765967192513E-2</v>
      </c>
      <c r="BE18" s="179">
        <f t="shared" si="32"/>
        <v>0.45390904153913936</v>
      </c>
      <c r="BF18" s="179">
        <f t="shared" si="33"/>
        <v>0.45390904153913936</v>
      </c>
      <c r="BG18" s="179"/>
      <c r="BH18" s="546">
        <f t="shared" si="34"/>
        <v>1.8360741488356205E-3</v>
      </c>
      <c r="BI18" s="546">
        <f t="shared" si="35"/>
        <v>3.031640892673583E-2</v>
      </c>
      <c r="BJ18" s="546">
        <f t="shared" si="36"/>
        <v>4.3749999999999995E-3</v>
      </c>
      <c r="BK18" s="546">
        <f t="shared" si="37"/>
        <v>2.7651093750000001E-2</v>
      </c>
      <c r="BL18">
        <f t="shared" si="38"/>
        <v>6.96E-3</v>
      </c>
      <c r="BM18">
        <f t="shared" si="39"/>
        <v>7.1431891783256568E-2</v>
      </c>
      <c r="BN18" s="472">
        <f t="shared" si="57"/>
        <v>71.431891783256575</v>
      </c>
      <c r="BO18" s="179">
        <f t="shared" si="40"/>
        <v>1.7745E-2</v>
      </c>
      <c r="BP18" s="179">
        <f t="shared" si="41"/>
        <v>1.7745E-2</v>
      </c>
      <c r="BQ18" s="546"/>
      <c r="BS18" s="472">
        <f t="shared" si="58"/>
        <v>35.49</v>
      </c>
      <c r="BT18" s="546">
        <f t="shared" si="42"/>
        <v>1.049185227906069E-3</v>
      </c>
      <c r="BU18" s="546">
        <f t="shared" si="59"/>
        <v>8.241336719639206E-3</v>
      </c>
      <c r="BV18" s="546">
        <f t="shared" si="43"/>
        <v>1.8543007619188211E-2</v>
      </c>
      <c r="BW18" s="546">
        <f t="shared" si="44"/>
        <v>5.2139685178123271E-3</v>
      </c>
      <c r="BX18" s="546">
        <f t="shared" si="45"/>
        <v>3.6468725901404861E-2</v>
      </c>
      <c r="BY18" s="656">
        <f t="shared" si="46"/>
        <v>1.4772727272727274E-2</v>
      </c>
      <c r="BZ18" s="472">
        <f t="shared" si="60"/>
        <v>51.241453174132133</v>
      </c>
      <c r="CA18" s="179">
        <f t="shared" si="61"/>
        <v>0.15816334495738871</v>
      </c>
      <c r="CB18" s="6">
        <f t="shared" si="62"/>
        <v>0.65</v>
      </c>
      <c r="CC18" s="179">
        <f t="shared" si="63"/>
        <v>0.80429285002312489</v>
      </c>
      <c r="CD18" s="6">
        <f t="shared" si="64"/>
        <v>80.429285002312483</v>
      </c>
      <c r="CE18">
        <f t="shared" si="65"/>
        <v>13</v>
      </c>
      <c r="CG18" s="581">
        <f t="shared" si="47"/>
        <v>-50</v>
      </c>
      <c r="CH18">
        <f t="shared" si="48"/>
        <v>-50</v>
      </c>
    </row>
    <row r="19" spans="5:86" x14ac:dyDescent="0.2">
      <c r="E19" s="176">
        <v>14</v>
      </c>
      <c r="F19" s="223">
        <f t="shared" si="66"/>
        <v>7.0000000000000007E-2</v>
      </c>
      <c r="G19" s="223">
        <f t="shared" si="49"/>
        <v>7.0000000000000007E-2</v>
      </c>
      <c r="H19" s="223">
        <f t="shared" si="0"/>
        <v>0.35000000000000003</v>
      </c>
      <c r="I19" s="223">
        <f t="shared" si="67"/>
        <v>0.35000000000000003</v>
      </c>
      <c r="J19" s="559">
        <f t="shared" si="1"/>
        <v>24</v>
      </c>
      <c r="K19" s="454">
        <f t="shared" si="2"/>
        <v>15.75</v>
      </c>
      <c r="L19" s="454">
        <f t="shared" si="3"/>
        <v>39.75</v>
      </c>
      <c r="M19" s="454"/>
      <c r="N19" s="223">
        <f t="shared" si="4"/>
        <v>0.39622641509433965</v>
      </c>
      <c r="O19" s="178">
        <f t="shared" si="50"/>
        <v>1.6047169811320754</v>
      </c>
      <c r="P19" s="178">
        <f t="shared" si="5"/>
        <v>3.2094339622641508</v>
      </c>
      <c r="Q19" s="223">
        <f t="shared" si="6"/>
        <v>0.3209433962264151</v>
      </c>
      <c r="R19" s="223">
        <f t="shared" si="7"/>
        <v>0.3209433962264151</v>
      </c>
      <c r="S19" s="454">
        <f t="shared" si="8"/>
        <v>5</v>
      </c>
      <c r="T19" s="223">
        <f t="shared" si="9"/>
        <v>0.16358024691358025</v>
      </c>
      <c r="U19" s="223">
        <f t="shared" si="10"/>
        <v>0.29989711934156377</v>
      </c>
      <c r="V19" s="223">
        <f t="shared" si="11"/>
        <v>0.45698608661571627</v>
      </c>
      <c r="W19" s="203">
        <f t="shared" si="12"/>
        <v>350</v>
      </c>
      <c r="X19" s="454">
        <f t="shared" si="51"/>
        <v>350</v>
      </c>
      <c r="Z19" s="223">
        <f t="shared" si="13"/>
        <v>0.61749571183533458</v>
      </c>
      <c r="AA19" s="179">
        <f t="shared" si="14"/>
        <v>1.7250673854447443</v>
      </c>
      <c r="AB19" s="179">
        <f t="shared" si="15"/>
        <v>0.55924139939803896</v>
      </c>
      <c r="AC19" s="179"/>
      <c r="AD19" s="179">
        <f t="shared" si="16"/>
        <v>0.419047619047619</v>
      </c>
      <c r="AE19" s="563">
        <f t="shared" si="17"/>
        <v>742.42424242424272</v>
      </c>
      <c r="AF19" s="546">
        <f t="shared" si="18"/>
        <v>3.2999999999999995E-2</v>
      </c>
      <c r="AH19" s="179">
        <f t="shared" si="19"/>
        <v>0.30151134457776363</v>
      </c>
      <c r="AI19" s="179">
        <f t="shared" si="20"/>
        <v>0.30151134457776363</v>
      </c>
      <c r="AJ19" s="179">
        <f t="shared" si="21"/>
        <v>1.3122306256131582</v>
      </c>
      <c r="AL19" s="563">
        <f t="shared" si="22"/>
        <v>70</v>
      </c>
      <c r="AM19" s="472">
        <f t="shared" si="23"/>
        <v>350</v>
      </c>
      <c r="AO19">
        <f t="shared" si="52"/>
        <v>70</v>
      </c>
      <c r="AP19" s="472">
        <f t="shared" si="24"/>
        <v>350</v>
      </c>
      <c r="AQ19" s="472"/>
      <c r="AR19" s="6">
        <f t="shared" si="53"/>
        <v>2.8571428571428572</v>
      </c>
      <c r="AS19" s="6">
        <f t="shared" si="25"/>
        <v>0.5527707983925666</v>
      </c>
      <c r="AT19" s="6">
        <f t="shared" si="54"/>
        <v>2.3043720587502907</v>
      </c>
      <c r="AU19" s="179">
        <f t="shared" si="55"/>
        <v>0.19346977943739829</v>
      </c>
      <c r="AW19" s="6">
        <f t="shared" si="26"/>
        <v>13.072048611111116</v>
      </c>
      <c r="AX19" s="472">
        <f t="shared" si="27"/>
        <v>0.48256611997635945</v>
      </c>
      <c r="AY19" s="6">
        <f t="shared" si="28"/>
        <v>13.072048611111116</v>
      </c>
      <c r="AZ19" s="472">
        <f t="shared" si="29"/>
        <v>0.79230034722222253</v>
      </c>
      <c r="BA19" s="6">
        <f t="shared" si="30"/>
        <v>3.1116135052569507E-2</v>
      </c>
      <c r="BB19" s="6">
        <f t="shared" si="31"/>
        <v>7.629909449653721</v>
      </c>
      <c r="BC19" s="6"/>
      <c r="BD19" s="179">
        <f t="shared" si="56"/>
        <v>7.6568404639329346E-2</v>
      </c>
      <c r="BE19" s="179">
        <f t="shared" si="32"/>
        <v>0.4690019055677323</v>
      </c>
      <c r="BF19" s="179">
        <f t="shared" si="33"/>
        <v>0.4690019055677323</v>
      </c>
      <c r="BG19" s="179"/>
      <c r="BH19" s="546">
        <f t="shared" si="34"/>
        <v>2.0519522061542249E-3</v>
      </c>
      <c r="BI19" s="546">
        <f t="shared" si="35"/>
        <v>3.1460824360786017E-2</v>
      </c>
      <c r="BJ19" s="546">
        <f t="shared" si="36"/>
        <v>4.3749999999999995E-3</v>
      </c>
      <c r="BK19" s="546">
        <f t="shared" si="37"/>
        <v>2.7651093750000001E-2</v>
      </c>
      <c r="BL19">
        <f t="shared" si="38"/>
        <v>6.96E-3</v>
      </c>
      <c r="BM19">
        <f t="shared" si="39"/>
        <v>7.2827664439017711E-2</v>
      </c>
      <c r="BN19" s="472">
        <f t="shared" si="57"/>
        <v>72.82766443901771</v>
      </c>
      <c r="BO19" s="179">
        <f t="shared" si="40"/>
        <v>1.9110000000000002E-2</v>
      </c>
      <c r="BP19" s="179">
        <f t="shared" si="41"/>
        <v>1.9110000000000002E-2</v>
      </c>
      <c r="BQ19" s="546"/>
      <c r="BS19" s="472">
        <f t="shared" si="58"/>
        <v>38.220000000000006</v>
      </c>
      <c r="BT19" s="546">
        <f t="shared" si="42"/>
        <v>1.1725441178024145E-3</v>
      </c>
      <c r="BU19" s="546">
        <f t="shared" si="59"/>
        <v>8.7985114970465638E-3</v>
      </c>
      <c r="BV19" s="546">
        <f t="shared" si="43"/>
        <v>1.9796650868354769E-2</v>
      </c>
      <c r="BW19" s="546">
        <f t="shared" si="44"/>
        <v>5.7200425414160915E-3</v>
      </c>
      <c r="BX19" s="546">
        <f t="shared" si="45"/>
        <v>3.9153113674265015E-2</v>
      </c>
      <c r="BY19" s="656">
        <f t="shared" si="46"/>
        <v>1.5909090909090914E-2</v>
      </c>
      <c r="BZ19" s="472">
        <f t="shared" si="60"/>
        <v>55.062204583355928</v>
      </c>
      <c r="CA19" s="179">
        <f t="shared" si="61"/>
        <v>0.16610986902237362</v>
      </c>
      <c r="CB19" s="6">
        <f t="shared" si="62"/>
        <v>0.70000000000000007</v>
      </c>
      <c r="CC19" s="179">
        <f t="shared" si="63"/>
        <v>0.80821155033151737</v>
      </c>
      <c r="CD19" s="6">
        <f t="shared" si="64"/>
        <v>80.82115503315174</v>
      </c>
      <c r="CE19">
        <f t="shared" si="65"/>
        <v>14.000000000000002</v>
      </c>
      <c r="CG19" s="581">
        <f t="shared" si="47"/>
        <v>-50</v>
      </c>
      <c r="CH19">
        <f t="shared" si="48"/>
        <v>-50</v>
      </c>
    </row>
    <row r="20" spans="5:86" x14ac:dyDescent="0.2">
      <c r="E20" s="176">
        <v>15</v>
      </c>
      <c r="F20" s="223">
        <f t="shared" si="66"/>
        <v>7.4999999999999997E-2</v>
      </c>
      <c r="G20" s="223">
        <f t="shared" si="49"/>
        <v>7.4999999999999997E-2</v>
      </c>
      <c r="H20" s="223">
        <f t="shared" si="0"/>
        <v>0.375</v>
      </c>
      <c r="I20" s="223">
        <f t="shared" si="67"/>
        <v>0.375</v>
      </c>
      <c r="J20" s="559">
        <f t="shared" si="1"/>
        <v>24</v>
      </c>
      <c r="K20" s="454">
        <f t="shared" si="2"/>
        <v>15.75</v>
      </c>
      <c r="L20" s="454">
        <f t="shared" si="3"/>
        <v>39.75</v>
      </c>
      <c r="M20" s="454"/>
      <c r="N20" s="223">
        <f t="shared" si="4"/>
        <v>0.39622641509433965</v>
      </c>
      <c r="O20" s="178">
        <f t="shared" si="50"/>
        <v>1.6047169811320754</v>
      </c>
      <c r="P20" s="178">
        <f t="shared" si="5"/>
        <v>3.2094339622641508</v>
      </c>
      <c r="Q20" s="223">
        <f t="shared" si="6"/>
        <v>0.3209433962264151</v>
      </c>
      <c r="R20" s="223">
        <f t="shared" si="7"/>
        <v>0.3209433962264151</v>
      </c>
      <c r="S20" s="454">
        <f t="shared" si="8"/>
        <v>5</v>
      </c>
      <c r="T20" s="223">
        <f t="shared" si="9"/>
        <v>0.17526455026455026</v>
      </c>
      <c r="U20" s="223">
        <f t="shared" si="10"/>
        <v>0.32131834215167548</v>
      </c>
      <c r="V20" s="223">
        <f t="shared" si="11"/>
        <v>0.4896279499454102</v>
      </c>
      <c r="W20" s="203">
        <f t="shared" si="12"/>
        <v>350</v>
      </c>
      <c r="X20" s="454">
        <f t="shared" si="51"/>
        <v>350</v>
      </c>
      <c r="Z20" s="223">
        <f t="shared" si="13"/>
        <v>0.61749571183533458</v>
      </c>
      <c r="AA20" s="179">
        <f t="shared" si="14"/>
        <v>1.7250673854447443</v>
      </c>
      <c r="AB20" s="179">
        <f t="shared" si="15"/>
        <v>0.55924139939803896</v>
      </c>
      <c r="AC20" s="179"/>
      <c r="AD20" s="179">
        <f t="shared" si="16"/>
        <v>0.419047619047619</v>
      </c>
      <c r="AE20" s="563">
        <f t="shared" si="17"/>
        <v>795.4545454545455</v>
      </c>
      <c r="AF20" s="546">
        <f t="shared" si="18"/>
        <v>3.2999999999999995E-2</v>
      </c>
      <c r="AH20" s="179">
        <f t="shared" si="19"/>
        <v>0.31209389196617965</v>
      </c>
      <c r="AI20" s="179">
        <f t="shared" si="20"/>
        <v>0.31209389196617965</v>
      </c>
      <c r="AJ20" s="179">
        <f t="shared" si="21"/>
        <v>1.3200695496045776</v>
      </c>
      <c r="AL20" s="563">
        <f t="shared" si="22"/>
        <v>75</v>
      </c>
      <c r="AM20" s="472">
        <f t="shared" si="23"/>
        <v>350</v>
      </c>
      <c r="AO20">
        <f t="shared" si="52"/>
        <v>75</v>
      </c>
      <c r="AP20" s="472">
        <f t="shared" si="24"/>
        <v>350</v>
      </c>
      <c r="AQ20" s="472"/>
      <c r="AR20" s="6">
        <f t="shared" si="53"/>
        <v>2.8571428571428572</v>
      </c>
      <c r="AS20" s="6">
        <f t="shared" si="25"/>
        <v>0.57217213527132937</v>
      </c>
      <c r="AT20" s="6">
        <f t="shared" si="54"/>
        <v>2.2849707218715278</v>
      </c>
      <c r="AU20" s="179">
        <f t="shared" si="55"/>
        <v>0.20026024734496528</v>
      </c>
      <c r="AW20" s="6">
        <f t="shared" si="26"/>
        <v>13.072048611111116</v>
      </c>
      <c r="AX20" s="472">
        <f t="shared" si="27"/>
        <v>0.53789478058510642</v>
      </c>
      <c r="AY20" s="6">
        <f t="shared" si="28"/>
        <v>13.072048611111116</v>
      </c>
      <c r="AZ20" s="472">
        <f t="shared" si="29"/>
        <v>0.89345703125000009</v>
      </c>
      <c r="BA20" s="6">
        <f t="shared" si="30"/>
        <v>3.3058025490039451E-2</v>
      </c>
      <c r="BB20" s="6">
        <f t="shared" si="31"/>
        <v>8.1075372287205827</v>
      </c>
      <c r="BC20" s="6"/>
      <c r="BD20" s="179">
        <f t="shared" si="56"/>
        <v>8.0634707679936093E-2</v>
      </c>
      <c r="BE20" s="179">
        <f t="shared" si="32"/>
        <v>0.48341512953581994</v>
      </c>
      <c r="BF20" s="179">
        <f t="shared" si="33"/>
        <v>0.48341512953581994</v>
      </c>
      <c r="BG20" s="179"/>
      <c r="BH20" s="546">
        <f t="shared" si="34"/>
        <v>2.2756846289200606E-3</v>
      </c>
      <c r="BI20" s="546">
        <f t="shared" si="35"/>
        <v>3.2565047039846057E-2</v>
      </c>
      <c r="BJ20" s="546">
        <f t="shared" si="36"/>
        <v>4.3749999999999995E-3</v>
      </c>
      <c r="BK20" s="546">
        <f t="shared" si="37"/>
        <v>2.7651093750000001E-2</v>
      </c>
      <c r="BL20">
        <f t="shared" si="38"/>
        <v>6.96E-3</v>
      </c>
      <c r="BM20">
        <f t="shared" si="39"/>
        <v>7.4192545500127785E-2</v>
      </c>
      <c r="BN20" s="472">
        <f t="shared" si="57"/>
        <v>74.192545500127778</v>
      </c>
      <c r="BO20" s="179">
        <f t="shared" si="40"/>
        <v>2.0475E-2</v>
      </c>
      <c r="BP20" s="179">
        <f t="shared" si="41"/>
        <v>2.0475E-2</v>
      </c>
      <c r="BQ20" s="546"/>
      <c r="BS20" s="472">
        <f t="shared" si="58"/>
        <v>40.950000000000003</v>
      </c>
      <c r="BT20" s="546">
        <f t="shared" si="42"/>
        <v>1.3003912165257491E-3</v>
      </c>
      <c r="BU20" s="546">
        <f t="shared" si="59"/>
        <v>9.3476074985653444E-3</v>
      </c>
      <c r="BV20" s="546">
        <f t="shared" si="43"/>
        <v>2.1032116871772023E-2</v>
      </c>
      <c r="BW20" s="546">
        <f t="shared" si="44"/>
        <v>6.2352416290211467E-3</v>
      </c>
      <c r="BX20" s="546">
        <f t="shared" si="45"/>
        <v>4.182296760213354E-2</v>
      </c>
      <c r="BY20" s="656">
        <f t="shared" si="46"/>
        <v>1.7045454545454551E-2</v>
      </c>
      <c r="BZ20" s="472">
        <f t="shared" si="60"/>
        <v>58.868422147588092</v>
      </c>
      <c r="CA20" s="179">
        <f t="shared" si="61"/>
        <v>0.17401096764771587</v>
      </c>
      <c r="CB20" s="6">
        <f t="shared" si="62"/>
        <v>0.75</v>
      </c>
      <c r="CC20" s="179">
        <f t="shared" si="63"/>
        <v>0.81167867726646026</v>
      </c>
      <c r="CD20" s="6">
        <f t="shared" si="64"/>
        <v>81.167867726646023</v>
      </c>
      <c r="CE20">
        <f t="shared" si="65"/>
        <v>15</v>
      </c>
      <c r="CG20" s="581">
        <f t="shared" si="47"/>
        <v>-50</v>
      </c>
      <c r="CH20">
        <f t="shared" si="48"/>
        <v>-50</v>
      </c>
    </row>
    <row r="21" spans="5:86" s="78" customFormat="1" x14ac:dyDescent="0.2">
      <c r="E21" s="195">
        <v>16</v>
      </c>
      <c r="F21" s="335">
        <f t="shared" si="66"/>
        <v>0.08</v>
      </c>
      <c r="G21" s="223">
        <f t="shared" si="49"/>
        <v>0.08</v>
      </c>
      <c r="H21" s="223">
        <f t="shared" si="0"/>
        <v>0.4</v>
      </c>
      <c r="I21" s="223">
        <f t="shared" si="67"/>
        <v>0.4</v>
      </c>
      <c r="J21" s="559">
        <f t="shared" si="1"/>
        <v>24</v>
      </c>
      <c r="K21" s="454">
        <f t="shared" si="2"/>
        <v>15.75</v>
      </c>
      <c r="L21" s="553">
        <f t="shared" si="3"/>
        <v>39.75</v>
      </c>
      <c r="M21" s="553"/>
      <c r="N21" s="335">
        <f t="shared" si="4"/>
        <v>0.39622641509433965</v>
      </c>
      <c r="O21" s="178">
        <f t="shared" si="50"/>
        <v>1.6047169811320754</v>
      </c>
      <c r="P21" s="178">
        <f t="shared" si="5"/>
        <v>3.2094339622641508</v>
      </c>
      <c r="Q21" s="335">
        <f t="shared" si="6"/>
        <v>0.3209433962264151</v>
      </c>
      <c r="R21" s="223">
        <f t="shared" si="7"/>
        <v>0.3209433962264151</v>
      </c>
      <c r="S21" s="454">
        <f t="shared" si="8"/>
        <v>5</v>
      </c>
      <c r="T21" s="223">
        <f t="shared" si="9"/>
        <v>0.18694885361552027</v>
      </c>
      <c r="U21" s="335">
        <f t="shared" si="10"/>
        <v>0.34273956496178715</v>
      </c>
      <c r="V21" s="223">
        <f t="shared" si="11"/>
        <v>0.52226981327510413</v>
      </c>
      <c r="W21" s="555">
        <f t="shared" si="12"/>
        <v>350</v>
      </c>
      <c r="X21" s="553">
        <f t="shared" si="51"/>
        <v>350</v>
      </c>
      <c r="Z21" s="335">
        <f t="shared" si="13"/>
        <v>0.61749571183533458</v>
      </c>
      <c r="AA21" s="179">
        <f t="shared" si="14"/>
        <v>1.7250673854447443</v>
      </c>
      <c r="AB21" s="179">
        <f t="shared" si="15"/>
        <v>0.55924139939803896</v>
      </c>
      <c r="AC21" s="556"/>
      <c r="AD21" s="179">
        <f t="shared" si="16"/>
        <v>0.419047619047619</v>
      </c>
      <c r="AE21" s="563">
        <f t="shared" si="17"/>
        <v>848.48484848484861</v>
      </c>
      <c r="AF21" s="546">
        <f t="shared" si="18"/>
        <v>3.2999999999999995E-2</v>
      </c>
      <c r="AG21"/>
      <c r="AH21" s="179">
        <f t="shared" si="19"/>
        <v>0.32232918561015211</v>
      </c>
      <c r="AI21" s="179">
        <f t="shared" si="20"/>
        <v>0.32232918561015211</v>
      </c>
      <c r="AJ21" s="179">
        <f t="shared" si="21"/>
        <v>1.3276512486001126</v>
      </c>
      <c r="AL21" s="563">
        <f t="shared" si="22"/>
        <v>80</v>
      </c>
      <c r="AM21" s="472">
        <f t="shared" si="23"/>
        <v>350</v>
      </c>
      <c r="AO21">
        <f t="shared" si="52"/>
        <v>80</v>
      </c>
      <c r="AP21" s="472">
        <f t="shared" si="24"/>
        <v>350</v>
      </c>
      <c r="AQ21" s="472"/>
      <c r="AR21" s="6">
        <f t="shared" si="53"/>
        <v>2.8571428571428572</v>
      </c>
      <c r="AS21" s="6">
        <f t="shared" si="25"/>
        <v>0.59093684028527882</v>
      </c>
      <c r="AT21" s="6">
        <f t="shared" si="54"/>
        <v>2.2662060168575784</v>
      </c>
      <c r="AU21" s="179">
        <f t="shared" si="55"/>
        <v>0.20682789409984759</v>
      </c>
      <c r="AW21" s="6">
        <f t="shared" si="26"/>
        <v>13.072048611111116</v>
      </c>
      <c r="AX21" s="472">
        <f t="shared" si="27"/>
        <v>0.5960047281323877</v>
      </c>
      <c r="AY21" s="6">
        <f t="shared" si="28"/>
        <v>13.072048611111116</v>
      </c>
      <c r="AZ21" s="472">
        <f t="shared" si="29"/>
        <v>1.0005555555555556</v>
      </c>
      <c r="BA21" s="6">
        <f t="shared" si="30"/>
        <v>3.4972315074962623E-2</v>
      </c>
      <c r="BB21" s="6">
        <f t="shared" si="31"/>
        <v>8.5785408031762156</v>
      </c>
      <c r="BC21" s="6"/>
      <c r="BD21" s="179">
        <f t="shared" si="56"/>
        <v>8.4633744991798113E-2</v>
      </c>
      <c r="BE21" s="179">
        <f t="shared" si="32"/>
        <v>0.4972147167635742</v>
      </c>
      <c r="BF21" s="179">
        <f t="shared" si="33"/>
        <v>0.4972147167635742</v>
      </c>
      <c r="BG21" s="179"/>
      <c r="BH21" s="546">
        <f t="shared" si="34"/>
        <v>2.5070047769678492E-3</v>
      </c>
      <c r="BI21" s="546">
        <f t="shared" si="35"/>
        <v>3.3633035961009305E-2</v>
      </c>
      <c r="BJ21" s="546">
        <f t="shared" si="36"/>
        <v>4.3749999999999995E-3</v>
      </c>
      <c r="BK21" s="546">
        <f t="shared" si="37"/>
        <v>2.7651093750000001E-2</v>
      </c>
      <c r="BL21">
        <f t="shared" si="38"/>
        <v>6.96E-3</v>
      </c>
      <c r="BM21">
        <f t="shared" si="39"/>
        <v>7.5530191484739939E-2</v>
      </c>
      <c r="BN21" s="472">
        <f t="shared" si="57"/>
        <v>75.530191484739944</v>
      </c>
      <c r="BO21" s="179">
        <f t="shared" si="40"/>
        <v>2.1840000000000002E-2</v>
      </c>
      <c r="BP21" s="179">
        <f t="shared" si="41"/>
        <v>2.1840000000000002E-2</v>
      </c>
      <c r="BQ21" s="546"/>
      <c r="BS21" s="472">
        <f t="shared" si="58"/>
        <v>43.680000000000007</v>
      </c>
      <c r="BT21" s="546">
        <f t="shared" si="42"/>
        <v>1.4325741582673426E-3</v>
      </c>
      <c r="BU21" s="546">
        <f t="shared" si="59"/>
        <v>9.8888989826512539E-3</v>
      </c>
      <c r="BV21" s="546">
        <f t="shared" si="43"/>
        <v>2.2250022710965319E-2</v>
      </c>
      <c r="BW21" s="546">
        <f t="shared" si="44"/>
        <v>6.7591049906401525E-3</v>
      </c>
      <c r="BX21" s="546">
        <f t="shared" si="45"/>
        <v>4.4478637496286465E-2</v>
      </c>
      <c r="BY21" s="656">
        <f t="shared" si="46"/>
        <v>1.8181818181818181E-2</v>
      </c>
      <c r="BZ21" s="472">
        <f t="shared" si="60"/>
        <v>62.660455678104647</v>
      </c>
      <c r="CA21" s="179">
        <f t="shared" si="61"/>
        <v>0.1818706471628446</v>
      </c>
      <c r="CB21" s="6">
        <f t="shared" si="62"/>
        <v>0.8</v>
      </c>
      <c r="CC21" s="179">
        <f t="shared" si="63"/>
        <v>0.81477127594315268</v>
      </c>
      <c r="CD21" s="6">
        <f t="shared" si="64"/>
        <v>81.477127594315263</v>
      </c>
      <c r="CE21">
        <f t="shared" si="65"/>
        <v>16</v>
      </c>
      <c r="CG21" s="581">
        <f t="shared" si="47"/>
        <v>-50</v>
      </c>
      <c r="CH21">
        <f t="shared" si="48"/>
        <v>-50</v>
      </c>
    </row>
    <row r="22" spans="5:86" x14ac:dyDescent="0.2">
      <c r="E22" s="176">
        <v>17</v>
      </c>
      <c r="F22" s="223">
        <f t="shared" si="66"/>
        <v>8.5000000000000006E-2</v>
      </c>
      <c r="G22" s="223">
        <f t="shared" si="49"/>
        <v>8.5000000000000006E-2</v>
      </c>
      <c r="H22" s="223">
        <f t="shared" si="0"/>
        <v>0.42500000000000004</v>
      </c>
      <c r="I22" s="223">
        <f t="shared" si="67"/>
        <v>0.42500000000000004</v>
      </c>
      <c r="J22" s="559">
        <f t="shared" si="1"/>
        <v>24</v>
      </c>
      <c r="K22" s="454">
        <f t="shared" si="2"/>
        <v>15.75</v>
      </c>
      <c r="L22" s="454">
        <f t="shared" si="3"/>
        <v>39.75</v>
      </c>
      <c r="M22" s="454"/>
      <c r="N22" s="223">
        <f t="shared" si="4"/>
        <v>0.39622641509433965</v>
      </c>
      <c r="O22" s="178">
        <f t="shared" si="50"/>
        <v>1.6047169811320754</v>
      </c>
      <c r="P22" s="178">
        <f t="shared" si="5"/>
        <v>3.2094339622641508</v>
      </c>
      <c r="Q22" s="223">
        <f t="shared" si="6"/>
        <v>0.3209433962264151</v>
      </c>
      <c r="R22" s="223">
        <f t="shared" si="7"/>
        <v>0.3209433962264151</v>
      </c>
      <c r="S22" s="454">
        <f t="shared" si="8"/>
        <v>5</v>
      </c>
      <c r="T22" s="223">
        <f t="shared" si="9"/>
        <v>0.19863315696649031</v>
      </c>
      <c r="U22" s="223">
        <f t="shared" si="10"/>
        <v>0.36416078777189886</v>
      </c>
      <c r="V22" s="223">
        <f t="shared" si="11"/>
        <v>0.55491167660479823</v>
      </c>
      <c r="W22" s="203">
        <f t="shared" si="12"/>
        <v>350</v>
      </c>
      <c r="X22" s="454">
        <f t="shared" si="51"/>
        <v>350</v>
      </c>
      <c r="Z22" s="223">
        <f t="shared" si="13"/>
        <v>0.61749571183533458</v>
      </c>
      <c r="AA22" s="179">
        <f t="shared" si="14"/>
        <v>1.7250673854447443</v>
      </c>
      <c r="AB22" s="179">
        <f t="shared" si="15"/>
        <v>0.55924139939803896</v>
      </c>
      <c r="AC22" s="179"/>
      <c r="AD22" s="179">
        <f t="shared" si="16"/>
        <v>0.419047619047619</v>
      </c>
      <c r="AE22" s="563">
        <f t="shared" si="17"/>
        <v>901.51515151515173</v>
      </c>
      <c r="AF22" s="546">
        <f t="shared" si="18"/>
        <v>3.2999999999999995E-2</v>
      </c>
      <c r="AH22" s="179">
        <f t="shared" si="19"/>
        <v>0.33224931962249432</v>
      </c>
      <c r="AI22" s="179">
        <f t="shared" si="20"/>
        <v>0.33224931962249432</v>
      </c>
      <c r="AJ22" s="179">
        <f t="shared" si="21"/>
        <v>1.3349994960166625</v>
      </c>
      <c r="AL22" s="563">
        <f t="shared" si="22"/>
        <v>85</v>
      </c>
      <c r="AM22" s="472">
        <f t="shared" si="23"/>
        <v>350</v>
      </c>
      <c r="AO22">
        <f t="shared" si="52"/>
        <v>85</v>
      </c>
      <c r="AP22" s="472">
        <f t="shared" si="24"/>
        <v>350</v>
      </c>
      <c r="AQ22" s="472"/>
      <c r="AR22" s="6">
        <f t="shared" si="53"/>
        <v>2.8571428571428572</v>
      </c>
      <c r="AS22" s="6">
        <f t="shared" si="25"/>
        <v>0.60912375264123964</v>
      </c>
      <c r="AT22" s="6">
        <f t="shared" si="54"/>
        <v>2.2480191045016173</v>
      </c>
      <c r="AU22" s="179">
        <f t="shared" si="55"/>
        <v>0.21319331342443387</v>
      </c>
      <c r="AW22" s="6">
        <f t="shared" si="26"/>
        <v>13.072048611111116</v>
      </c>
      <c r="AX22" s="472">
        <f t="shared" si="27"/>
        <v>0.6568959626182036</v>
      </c>
      <c r="AY22" s="6">
        <f t="shared" si="28"/>
        <v>13.072048611111116</v>
      </c>
      <c r="AZ22" s="472">
        <f t="shared" si="29"/>
        <v>1.1135959201388894</v>
      </c>
      <c r="BA22" s="6">
        <f t="shared" si="30"/>
        <v>3.6859881150200127E-2</v>
      </c>
      <c r="BB22" s="6">
        <f t="shared" si="31"/>
        <v>9.0431307353072921</v>
      </c>
      <c r="BC22" s="6"/>
      <c r="BD22" s="179">
        <f t="shared" si="56"/>
        <v>8.8570737843814903E-2</v>
      </c>
      <c r="BE22" s="179">
        <f t="shared" si="32"/>
        <v>0.51045651210367671</v>
      </c>
      <c r="BF22" s="179">
        <f t="shared" si="33"/>
        <v>0.51045651210367671</v>
      </c>
      <c r="BG22" s="179"/>
      <c r="BH22" s="546">
        <f t="shared" si="34"/>
        <v>2.7456714607692243E-3</v>
      </c>
      <c r="BI22" s="546">
        <f t="shared" si="35"/>
        <v>3.466813994435964E-2</v>
      </c>
      <c r="BJ22" s="546">
        <f t="shared" si="36"/>
        <v>4.3749999999999995E-3</v>
      </c>
      <c r="BK22" s="546">
        <f t="shared" si="37"/>
        <v>2.7651093750000001E-2</v>
      </c>
      <c r="BL22">
        <f t="shared" si="38"/>
        <v>6.96E-3</v>
      </c>
      <c r="BM22">
        <f t="shared" si="39"/>
        <v>7.6843677968844185E-2</v>
      </c>
      <c r="BN22" s="472">
        <f t="shared" si="57"/>
        <v>76.84367796884419</v>
      </c>
      <c r="BO22" s="179">
        <f t="shared" si="40"/>
        <v>2.3205000000000003E-2</v>
      </c>
      <c r="BP22" s="179">
        <f t="shared" si="41"/>
        <v>2.3205000000000003E-2</v>
      </c>
      <c r="BQ22" s="546"/>
      <c r="BS22" s="472">
        <f t="shared" si="58"/>
        <v>46.410000000000004</v>
      </c>
      <c r="BT22" s="546">
        <f t="shared" si="42"/>
        <v>1.5689551204395571E-3</v>
      </c>
      <c r="BU22" s="546">
        <f t="shared" si="59"/>
        <v>1.0422634029962042E-2</v>
      </c>
      <c r="BV22" s="546">
        <f t="shared" si="43"/>
        <v>2.3450926567414591E-2</v>
      </c>
      <c r="BW22" s="546">
        <f t="shared" si="44"/>
        <v>7.2912227427339091E-3</v>
      </c>
      <c r="BX22" s="546">
        <f t="shared" si="45"/>
        <v>4.7120445717726535E-2</v>
      </c>
      <c r="BY22" s="656">
        <f t="shared" si="46"/>
        <v>1.9318181818181821E-2</v>
      </c>
      <c r="BZ22" s="472">
        <f t="shared" si="60"/>
        <v>66.438627535908353</v>
      </c>
      <c r="CA22" s="179">
        <f t="shared" si="61"/>
        <v>0.18969230550475255</v>
      </c>
      <c r="CB22" s="6">
        <f t="shared" si="62"/>
        <v>0.85000000000000009</v>
      </c>
      <c r="CC22" s="179">
        <f t="shared" si="63"/>
        <v>0.81754957259911598</v>
      </c>
      <c r="CD22" s="6">
        <f t="shared" si="64"/>
        <v>81.754957259911592</v>
      </c>
      <c r="CE22">
        <f t="shared" si="65"/>
        <v>17</v>
      </c>
      <c r="CG22" s="581">
        <f t="shared" si="47"/>
        <v>-50</v>
      </c>
      <c r="CH22">
        <f t="shared" si="48"/>
        <v>-50</v>
      </c>
    </row>
    <row r="23" spans="5:86" x14ac:dyDescent="0.2">
      <c r="E23" s="176">
        <v>18</v>
      </c>
      <c r="F23" s="223">
        <f t="shared" si="66"/>
        <v>0.09</v>
      </c>
      <c r="G23" s="223">
        <f t="shared" si="49"/>
        <v>0.09</v>
      </c>
      <c r="H23" s="223">
        <f t="shared" si="0"/>
        <v>0.44999999999999996</v>
      </c>
      <c r="I23" s="223">
        <f t="shared" si="67"/>
        <v>0.44999999999999996</v>
      </c>
      <c r="J23" s="559">
        <f t="shared" si="1"/>
        <v>24</v>
      </c>
      <c r="K23" s="454">
        <f t="shared" si="2"/>
        <v>15.75</v>
      </c>
      <c r="L23" s="454">
        <f t="shared" si="3"/>
        <v>39.75</v>
      </c>
      <c r="M23" s="454"/>
      <c r="N23" s="223">
        <f t="shared" si="4"/>
        <v>0.39622641509433965</v>
      </c>
      <c r="O23" s="178">
        <f t="shared" si="50"/>
        <v>1.6047169811320754</v>
      </c>
      <c r="P23" s="178">
        <f t="shared" si="5"/>
        <v>3.2094339622641508</v>
      </c>
      <c r="Q23" s="223">
        <f t="shared" si="6"/>
        <v>0.3209433962264151</v>
      </c>
      <c r="R23" s="223">
        <f t="shared" si="7"/>
        <v>0.3209433962264151</v>
      </c>
      <c r="S23" s="454">
        <f t="shared" si="8"/>
        <v>5</v>
      </c>
      <c r="T23" s="223">
        <f t="shared" si="9"/>
        <v>0.21031746031746026</v>
      </c>
      <c r="U23" s="223">
        <f t="shared" si="10"/>
        <v>0.38558201058201047</v>
      </c>
      <c r="V23" s="223">
        <f t="shared" si="11"/>
        <v>0.58755353993449211</v>
      </c>
      <c r="W23" s="203">
        <f t="shared" si="12"/>
        <v>350</v>
      </c>
      <c r="X23" s="454">
        <f t="shared" si="51"/>
        <v>350</v>
      </c>
      <c r="Z23" s="223">
        <f t="shared" si="13"/>
        <v>0.61749571183533458</v>
      </c>
      <c r="AA23" s="179">
        <f t="shared" si="14"/>
        <v>1.7250673854447443</v>
      </c>
      <c r="AB23" s="179">
        <f t="shared" si="15"/>
        <v>0.55924139939803896</v>
      </c>
      <c r="AC23" s="179"/>
      <c r="AD23" s="179">
        <f t="shared" si="16"/>
        <v>0.419047619047619</v>
      </c>
      <c r="AE23" s="563">
        <f t="shared" si="17"/>
        <v>954.54545454545473</v>
      </c>
      <c r="AF23" s="546">
        <f t="shared" si="18"/>
        <v>3.2999999999999995E-2</v>
      </c>
      <c r="AH23" s="179">
        <f t="shared" si="19"/>
        <v>0.34188172937891381</v>
      </c>
      <c r="AI23" s="179">
        <f t="shared" si="20"/>
        <v>0.34188172937891381</v>
      </c>
      <c r="AJ23" s="179">
        <f t="shared" si="21"/>
        <v>1.342134614354751</v>
      </c>
      <c r="AL23" s="563">
        <f t="shared" si="22"/>
        <v>90</v>
      </c>
      <c r="AM23" s="472">
        <f t="shared" si="23"/>
        <v>350</v>
      </c>
      <c r="AO23">
        <f t="shared" si="52"/>
        <v>90</v>
      </c>
      <c r="AP23" s="472">
        <f t="shared" si="24"/>
        <v>350</v>
      </c>
      <c r="AQ23" s="472"/>
      <c r="AR23" s="6">
        <f t="shared" si="53"/>
        <v>2.8571428571428572</v>
      </c>
      <c r="AS23" s="6">
        <f t="shared" si="25"/>
        <v>0.62678317052800869</v>
      </c>
      <c r="AT23" s="6">
        <f t="shared" si="54"/>
        <v>2.2303596866148485</v>
      </c>
      <c r="AU23" s="179">
        <f t="shared" si="55"/>
        <v>0.21937410968480303</v>
      </c>
      <c r="AW23" s="6">
        <f t="shared" si="26"/>
        <v>13.072048611111116</v>
      </c>
      <c r="AX23" s="472">
        <f t="shared" si="27"/>
        <v>0.72056848404255325</v>
      </c>
      <c r="AY23" s="6">
        <f t="shared" si="28"/>
        <v>13.072048611111116</v>
      </c>
      <c r="AZ23" s="472">
        <f t="shared" si="29"/>
        <v>1.2325781250000003</v>
      </c>
      <c r="BA23" s="6">
        <f t="shared" si="30"/>
        <v>3.8721522337063337E-2</v>
      </c>
      <c r="BB23" s="6">
        <f t="shared" si="31"/>
        <v>9.501498694228534</v>
      </c>
      <c r="BC23" s="6"/>
      <c r="BD23" s="179">
        <f t="shared" si="56"/>
        <v>9.2450220305161229E-2</v>
      </c>
      <c r="BE23" s="179">
        <f t="shared" si="32"/>
        <v>0.52318826586525724</v>
      </c>
      <c r="BF23" s="179">
        <f t="shared" si="33"/>
        <v>0.52318826586525724</v>
      </c>
      <c r="BG23" s="179"/>
      <c r="BH23" s="546">
        <f t="shared" si="34"/>
        <v>2.9914651320654961E-3</v>
      </c>
      <c r="BI23" s="546">
        <f t="shared" si="35"/>
        <v>3.567322169988104E-2</v>
      </c>
      <c r="BJ23" s="546">
        <f t="shared" si="36"/>
        <v>4.3749999999999995E-3</v>
      </c>
      <c r="BK23" s="546">
        <f t="shared" si="37"/>
        <v>2.7651093750000001E-2</v>
      </c>
      <c r="BL23">
        <f t="shared" si="38"/>
        <v>6.96E-3</v>
      </c>
      <c r="BM23">
        <f t="shared" si="39"/>
        <v>7.8135619278068058E-2</v>
      </c>
      <c r="BN23" s="472">
        <f t="shared" si="57"/>
        <v>78.135619278068063</v>
      </c>
      <c r="BO23" s="179">
        <f t="shared" si="40"/>
        <v>2.4570000000000002E-2</v>
      </c>
      <c r="BP23" s="179">
        <f t="shared" si="41"/>
        <v>2.4570000000000002E-2</v>
      </c>
      <c r="BQ23" s="546"/>
      <c r="BS23" s="472">
        <f t="shared" si="58"/>
        <v>49.14</v>
      </c>
      <c r="BT23" s="546">
        <f t="shared" si="42"/>
        <v>1.7094086468945693E-3</v>
      </c>
      <c r="BU23" s="546">
        <f t="shared" si="59"/>
        <v>1.0949038461563806E-2</v>
      </c>
      <c r="BV23" s="546">
        <f t="shared" si="43"/>
        <v>2.463533653851856E-2</v>
      </c>
      <c r="BW23" s="546">
        <f t="shared" si="44"/>
        <v>7.8312275898408078E-3</v>
      </c>
      <c r="BX23" s="546">
        <f t="shared" si="45"/>
        <v>4.9748690626851631E-2</v>
      </c>
      <c r="BY23" s="656">
        <f t="shared" si="46"/>
        <v>2.0454545454545454E-2</v>
      </c>
      <c r="BZ23" s="472">
        <f t="shared" si="60"/>
        <v>70.20323608139708</v>
      </c>
      <c r="CA23" s="179">
        <f t="shared" si="61"/>
        <v>0.19747885535946516</v>
      </c>
      <c r="CB23" s="6">
        <f t="shared" si="62"/>
        <v>0.89999999999999991</v>
      </c>
      <c r="CC23" s="179">
        <f t="shared" si="63"/>
        <v>0.82006135754225218</v>
      </c>
      <c r="CD23" s="6">
        <f t="shared" si="64"/>
        <v>82.006135754225213</v>
      </c>
      <c r="CE23">
        <f t="shared" si="65"/>
        <v>18</v>
      </c>
      <c r="CG23" s="581">
        <f t="shared" si="47"/>
        <v>-50</v>
      </c>
      <c r="CH23">
        <f t="shared" si="48"/>
        <v>-50</v>
      </c>
    </row>
    <row r="24" spans="5:86" x14ac:dyDescent="0.2">
      <c r="E24" s="176">
        <v>19</v>
      </c>
      <c r="F24" s="223">
        <f t="shared" si="66"/>
        <v>9.5000000000000001E-2</v>
      </c>
      <c r="G24" s="223">
        <f t="shared" si="49"/>
        <v>9.5000000000000001E-2</v>
      </c>
      <c r="H24" s="223">
        <f t="shared" si="0"/>
        <v>0.47499999999999998</v>
      </c>
      <c r="I24" s="223">
        <f t="shared" si="67"/>
        <v>0.47499999999999998</v>
      </c>
      <c r="J24" s="559">
        <f t="shared" si="1"/>
        <v>24</v>
      </c>
      <c r="K24" s="454">
        <f t="shared" si="2"/>
        <v>15.75</v>
      </c>
      <c r="L24" s="454">
        <f t="shared" si="3"/>
        <v>39.75</v>
      </c>
      <c r="M24" s="454"/>
      <c r="N24" s="223">
        <f t="shared" si="4"/>
        <v>0.39622641509433965</v>
      </c>
      <c r="O24" s="178">
        <f t="shared" si="50"/>
        <v>1.6047169811320754</v>
      </c>
      <c r="P24" s="178">
        <f t="shared" si="5"/>
        <v>3.2094339622641508</v>
      </c>
      <c r="Q24" s="223">
        <f t="shared" si="6"/>
        <v>0.3209433962264151</v>
      </c>
      <c r="R24" s="223">
        <f t="shared" si="7"/>
        <v>0.3209433962264151</v>
      </c>
      <c r="S24" s="454">
        <f t="shared" si="8"/>
        <v>5</v>
      </c>
      <c r="T24" s="223">
        <f t="shared" si="9"/>
        <v>0.2220017636684303</v>
      </c>
      <c r="U24" s="223">
        <f t="shared" si="10"/>
        <v>0.40700323339212213</v>
      </c>
      <c r="V24" s="223">
        <f t="shared" si="11"/>
        <v>0.6201954032641861</v>
      </c>
      <c r="W24" s="203">
        <f t="shared" si="12"/>
        <v>350</v>
      </c>
      <c r="X24" s="454">
        <f t="shared" si="51"/>
        <v>350</v>
      </c>
      <c r="Z24" s="223">
        <f t="shared" si="13"/>
        <v>0.61749571183533458</v>
      </c>
      <c r="AA24" s="179">
        <f t="shared" si="14"/>
        <v>1.7250673854447443</v>
      </c>
      <c r="AB24" s="179">
        <f t="shared" si="15"/>
        <v>0.55924139939803896</v>
      </c>
      <c r="AC24" s="179"/>
      <c r="AD24" s="179">
        <f t="shared" si="16"/>
        <v>0.419047619047619</v>
      </c>
      <c r="AE24" s="563">
        <f t="shared" si="17"/>
        <v>1007.5757575757577</v>
      </c>
      <c r="AF24" s="546">
        <f t="shared" si="18"/>
        <v>3.2999999999999995E-2</v>
      </c>
      <c r="AH24" s="179">
        <f t="shared" si="19"/>
        <v>0.35125008665710444</v>
      </c>
      <c r="AI24" s="179">
        <f t="shared" si="20"/>
        <v>0.35125008665710444</v>
      </c>
      <c r="AJ24" s="179">
        <f t="shared" si="21"/>
        <v>1.3490741382645217</v>
      </c>
      <c r="AL24" s="563">
        <f t="shared" si="22"/>
        <v>95</v>
      </c>
      <c r="AM24" s="472">
        <f t="shared" si="23"/>
        <v>350</v>
      </c>
      <c r="AO24">
        <f t="shared" si="52"/>
        <v>95</v>
      </c>
      <c r="AP24" s="472">
        <f t="shared" si="24"/>
        <v>350</v>
      </c>
      <c r="AQ24" s="472"/>
      <c r="AR24" s="6">
        <f t="shared" si="53"/>
        <v>2.8571428571428572</v>
      </c>
      <c r="AS24" s="6">
        <f t="shared" si="25"/>
        <v>0.64395849220469148</v>
      </c>
      <c r="AT24" s="6">
        <f t="shared" si="54"/>
        <v>2.2131843649381659</v>
      </c>
      <c r="AU24" s="179">
        <f t="shared" si="55"/>
        <v>0.22538547227164202</v>
      </c>
      <c r="AW24" s="6">
        <f t="shared" si="26"/>
        <v>13.072048611111116</v>
      </c>
      <c r="AX24" s="472">
        <f t="shared" si="27"/>
        <v>0.78702229240543742</v>
      </c>
      <c r="AY24" s="6">
        <f t="shared" si="28"/>
        <v>13.072048611111116</v>
      </c>
      <c r="AZ24" s="472">
        <f t="shared" si="29"/>
        <v>1.3575021701388894</v>
      </c>
      <c r="BA24" s="6">
        <f t="shared" si="30"/>
        <v>4.055796965068012E-2</v>
      </c>
      <c r="BB24" s="6">
        <f t="shared" si="31"/>
        <v>9.9538201235706349</v>
      </c>
      <c r="BC24" s="6"/>
      <c r="BD24" s="179">
        <f t="shared" si="56"/>
        <v>9.6276162724772768E-2</v>
      </c>
      <c r="BE24" s="179">
        <f t="shared" si="32"/>
        <v>0.53545118783023338</v>
      </c>
      <c r="BF24" s="179">
        <f t="shared" si="33"/>
        <v>0.53545118783023338</v>
      </c>
      <c r="BG24" s="179"/>
      <c r="BH24" s="546">
        <f t="shared" si="34"/>
        <v>3.2441848281524236E-3</v>
      </c>
      <c r="BI24" s="546">
        <f t="shared" si="35"/>
        <v>3.6650751229627236E-2</v>
      </c>
      <c r="BJ24" s="546">
        <f t="shared" si="36"/>
        <v>4.3749999999999995E-3</v>
      </c>
      <c r="BK24" s="546">
        <f t="shared" si="37"/>
        <v>2.7651093750000001E-2</v>
      </c>
      <c r="BL24">
        <f t="shared" si="38"/>
        <v>6.96E-3</v>
      </c>
      <c r="BM24">
        <f t="shared" si="39"/>
        <v>7.9408258380319091E-2</v>
      </c>
      <c r="BN24" s="472">
        <f t="shared" si="57"/>
        <v>79.408258380319097</v>
      </c>
      <c r="BO24" s="179">
        <f t="shared" si="40"/>
        <v>2.5935E-2</v>
      </c>
      <c r="BP24" s="179">
        <f t="shared" si="41"/>
        <v>2.5935E-2</v>
      </c>
      <c r="BQ24" s="546"/>
      <c r="BS24" s="472">
        <f t="shared" si="58"/>
        <v>51.87</v>
      </c>
      <c r="BT24" s="546">
        <f t="shared" si="42"/>
        <v>1.8538199018013849E-3</v>
      </c>
      <c r="BU24" s="546">
        <f t="shared" si="59"/>
        <v>1.1468318981952315E-2</v>
      </c>
      <c r="BV24" s="546">
        <f t="shared" si="43"/>
        <v>2.5803717709392708E-2</v>
      </c>
      <c r="BW24" s="546">
        <f t="shared" si="44"/>
        <v>8.3787882568188837E-3</v>
      </c>
      <c r="BX24" s="546">
        <f t="shared" si="45"/>
        <v>5.2363649452275944E-2</v>
      </c>
      <c r="BY24" s="656">
        <f t="shared" si="46"/>
        <v>2.1590909090909095E-2</v>
      </c>
      <c r="BZ24" s="472">
        <f t="shared" si="60"/>
        <v>73.954558543185044</v>
      </c>
      <c r="CA24" s="179">
        <f t="shared" si="61"/>
        <v>0.20523281692350415</v>
      </c>
      <c r="CB24" s="6">
        <f t="shared" si="62"/>
        <v>0.95</v>
      </c>
      <c r="CC24" s="179">
        <f t="shared" si="63"/>
        <v>0.82234505987281514</v>
      </c>
      <c r="CD24" s="6">
        <f t="shared" si="64"/>
        <v>82.234505987281509</v>
      </c>
      <c r="CE24">
        <f t="shared" si="65"/>
        <v>19</v>
      </c>
      <c r="CG24" s="581">
        <f t="shared" si="47"/>
        <v>-50</v>
      </c>
      <c r="CH24">
        <f t="shared" si="48"/>
        <v>-50</v>
      </c>
    </row>
    <row r="25" spans="5:86" x14ac:dyDescent="0.2">
      <c r="E25" s="176">
        <v>20</v>
      </c>
      <c r="F25" s="223">
        <f t="shared" si="66"/>
        <v>0.1</v>
      </c>
      <c r="G25" s="223">
        <f t="shared" si="49"/>
        <v>0.1</v>
      </c>
      <c r="H25" s="223">
        <f t="shared" si="0"/>
        <v>0.5</v>
      </c>
      <c r="I25" s="223">
        <f t="shared" si="67"/>
        <v>0.5</v>
      </c>
      <c r="J25" s="559">
        <f t="shared" si="1"/>
        <v>24</v>
      </c>
      <c r="K25" s="454">
        <f t="shared" si="2"/>
        <v>15.75</v>
      </c>
      <c r="L25" s="454">
        <f t="shared" si="3"/>
        <v>39.75</v>
      </c>
      <c r="M25" s="454"/>
      <c r="N25" s="223">
        <f t="shared" si="4"/>
        <v>0.39622641509433965</v>
      </c>
      <c r="O25" s="178">
        <f t="shared" si="50"/>
        <v>1.6047169811320754</v>
      </c>
      <c r="P25" s="178">
        <f t="shared" si="5"/>
        <v>3.2094339622641508</v>
      </c>
      <c r="Q25" s="223">
        <f t="shared" si="6"/>
        <v>0.3209433962264151</v>
      </c>
      <c r="R25" s="223">
        <f t="shared" si="7"/>
        <v>0.3209433962264151</v>
      </c>
      <c r="S25" s="454">
        <f t="shared" si="8"/>
        <v>5</v>
      </c>
      <c r="T25" s="223">
        <f t="shared" si="9"/>
        <v>0.23368606701940034</v>
      </c>
      <c r="U25" s="223">
        <f t="shared" si="10"/>
        <v>0.42842445620223396</v>
      </c>
      <c r="V25" s="223">
        <f t="shared" si="11"/>
        <v>0.65283726659388031</v>
      </c>
      <c r="W25" s="203">
        <f t="shared" si="12"/>
        <v>350</v>
      </c>
      <c r="X25" s="454">
        <f t="shared" si="51"/>
        <v>350</v>
      </c>
      <c r="Z25" s="223">
        <f t="shared" si="13"/>
        <v>0.61749571183533458</v>
      </c>
      <c r="AA25" s="179">
        <f t="shared" si="14"/>
        <v>1.7250673854447443</v>
      </c>
      <c r="AB25" s="179">
        <f t="shared" si="15"/>
        <v>0.55924139939803896</v>
      </c>
      <c r="AC25" s="179"/>
      <c r="AD25" s="179">
        <f t="shared" si="16"/>
        <v>0.419047619047619</v>
      </c>
      <c r="AE25" s="563">
        <f t="shared" si="17"/>
        <v>1060.6060606060607</v>
      </c>
      <c r="AF25" s="546">
        <f t="shared" si="18"/>
        <v>3.2999999999999995E-2</v>
      </c>
      <c r="AH25" s="179">
        <f t="shared" si="19"/>
        <v>0.36037498507822358</v>
      </c>
      <c r="AI25" s="179">
        <f t="shared" si="20"/>
        <v>0.36037498507822358</v>
      </c>
      <c r="AJ25" s="179">
        <f t="shared" si="21"/>
        <v>1.3558333222801655</v>
      </c>
      <c r="AL25" s="563">
        <f t="shared" si="22"/>
        <v>100</v>
      </c>
      <c r="AM25" s="472">
        <f t="shared" si="23"/>
        <v>350</v>
      </c>
      <c r="AO25">
        <f t="shared" si="52"/>
        <v>100</v>
      </c>
      <c r="AP25" s="472">
        <f t="shared" si="24"/>
        <v>350</v>
      </c>
      <c r="AQ25" s="472"/>
      <c r="AR25" s="6">
        <f t="shared" si="53"/>
        <v>2.8571428571428572</v>
      </c>
      <c r="AS25" s="6">
        <f t="shared" si="25"/>
        <v>0.66068747264340988</v>
      </c>
      <c r="AT25" s="6">
        <f t="shared" si="54"/>
        <v>2.1964553844994472</v>
      </c>
      <c r="AU25" s="179">
        <f t="shared" si="55"/>
        <v>0.23124061542519345</v>
      </c>
      <c r="AW25" s="6">
        <f t="shared" si="26"/>
        <v>13.072048611111116</v>
      </c>
      <c r="AX25" s="472">
        <f t="shared" si="27"/>
        <v>0.85625738770685611</v>
      </c>
      <c r="AY25" s="6">
        <f t="shared" si="28"/>
        <v>13.072048611111116</v>
      </c>
      <c r="AZ25" s="472">
        <f t="shared" si="29"/>
        <v>1.4883680555555563</v>
      </c>
      <c r="BA25" s="6">
        <f t="shared" si="30"/>
        <v>4.2369895534325755E-2</v>
      </c>
      <c r="BB25" s="6">
        <f t="shared" si="31"/>
        <v>10.400256409719663</v>
      </c>
      <c r="BC25" s="6"/>
      <c r="BD25" s="179">
        <f t="shared" si="56"/>
        <v>0.10005206770563453</v>
      </c>
      <c r="BE25" s="179">
        <f t="shared" si="32"/>
        <v>0.54728113738811945</v>
      </c>
      <c r="BF25" s="179">
        <f t="shared" si="33"/>
        <v>0.54728113738811945</v>
      </c>
      <c r="BG25" s="179"/>
      <c r="BH25" s="546">
        <f t="shared" si="34"/>
        <v>3.5036456882605064E-3</v>
      </c>
      <c r="BI25" s="546">
        <f t="shared" si="35"/>
        <v>3.7602877349255881E-2</v>
      </c>
      <c r="BJ25" s="546">
        <f t="shared" si="36"/>
        <v>4.3749999999999995E-3</v>
      </c>
      <c r="BK25" s="546">
        <f t="shared" si="37"/>
        <v>2.7651093750000001E-2</v>
      </c>
      <c r="BL25">
        <f t="shared" si="38"/>
        <v>6.96E-3</v>
      </c>
      <c r="BM25">
        <f t="shared" si="39"/>
        <v>8.066353555485295E-2</v>
      </c>
      <c r="BN25" s="472">
        <f t="shared" si="57"/>
        <v>80.663535554852956</v>
      </c>
      <c r="BO25" s="179">
        <f t="shared" si="40"/>
        <v>2.7300000000000001E-2</v>
      </c>
      <c r="BP25" s="179">
        <f t="shared" si="41"/>
        <v>2.7300000000000001E-2</v>
      </c>
      <c r="BQ25" s="546"/>
      <c r="BS25" s="472">
        <f t="shared" si="58"/>
        <v>54.6</v>
      </c>
      <c r="BT25" s="546">
        <f t="shared" si="42"/>
        <v>2.0020832504345754E-3</v>
      </c>
      <c r="BU25" s="546">
        <f t="shared" si="59"/>
        <v>1.1980665733633346E-2</v>
      </c>
      <c r="BV25" s="546">
        <f t="shared" si="43"/>
        <v>2.695649790067503E-2</v>
      </c>
      <c r="BW25" s="546">
        <f t="shared" si="44"/>
        <v>8.9336042296007511E-3</v>
      </c>
      <c r="BX25" s="546">
        <f t="shared" si="45"/>
        <v>5.4965580698784128E-2</v>
      </c>
      <c r="BY25" s="656">
        <f t="shared" si="46"/>
        <v>2.2727272727272724E-2</v>
      </c>
      <c r="BZ25" s="472">
        <f t="shared" si="60"/>
        <v>77.692853426056843</v>
      </c>
      <c r="CA25" s="179">
        <f t="shared" si="61"/>
        <v>0.21295638898090982</v>
      </c>
      <c r="CB25" s="6">
        <f t="shared" si="62"/>
        <v>1</v>
      </c>
      <c r="CC25" s="179">
        <f t="shared" si="63"/>
        <v>0.82443194914878226</v>
      </c>
      <c r="CD25" s="6">
        <f t="shared" si="64"/>
        <v>82.443194914878219</v>
      </c>
      <c r="CE25">
        <f t="shared" si="65"/>
        <v>20</v>
      </c>
      <c r="CG25" s="581">
        <f t="shared" si="47"/>
        <v>-50</v>
      </c>
      <c r="CH25">
        <f t="shared" si="48"/>
        <v>-50</v>
      </c>
    </row>
    <row r="26" spans="5:86" x14ac:dyDescent="0.2">
      <c r="E26" s="176">
        <v>21</v>
      </c>
      <c r="F26" s="223">
        <f t="shared" si="66"/>
        <v>0.105</v>
      </c>
      <c r="G26" s="223">
        <f t="shared" si="49"/>
        <v>0.105</v>
      </c>
      <c r="H26" s="223">
        <f t="shared" si="0"/>
        <v>0.52500000000000002</v>
      </c>
      <c r="I26" s="223">
        <f t="shared" si="67"/>
        <v>0.52500000000000002</v>
      </c>
      <c r="J26" s="559">
        <f t="shared" si="1"/>
        <v>24</v>
      </c>
      <c r="K26" s="454">
        <f t="shared" si="2"/>
        <v>15.75</v>
      </c>
      <c r="L26" s="454">
        <f t="shared" si="3"/>
        <v>39.75</v>
      </c>
      <c r="M26" s="454"/>
      <c r="N26" s="223">
        <f t="shared" si="4"/>
        <v>0.39622641509433965</v>
      </c>
      <c r="O26" s="178">
        <f t="shared" si="50"/>
        <v>1.6047169811320754</v>
      </c>
      <c r="P26" s="178">
        <f t="shared" si="5"/>
        <v>3.2094339622641508</v>
      </c>
      <c r="Q26" s="223">
        <f t="shared" si="6"/>
        <v>0.3209433962264151</v>
      </c>
      <c r="R26" s="223">
        <f t="shared" si="7"/>
        <v>0.3209433962264151</v>
      </c>
      <c r="S26" s="454">
        <f t="shared" si="8"/>
        <v>5</v>
      </c>
      <c r="T26" s="223">
        <f t="shared" si="9"/>
        <v>0.24537037037037035</v>
      </c>
      <c r="U26" s="223">
        <f t="shared" si="10"/>
        <v>0.44984567901234562</v>
      </c>
      <c r="V26" s="223">
        <f t="shared" si="11"/>
        <v>0.68547912992357429</v>
      </c>
      <c r="W26" s="203">
        <f t="shared" si="12"/>
        <v>350</v>
      </c>
      <c r="X26" s="454">
        <f t="shared" si="51"/>
        <v>350</v>
      </c>
      <c r="Z26" s="223">
        <f t="shared" si="13"/>
        <v>0.61749571183533458</v>
      </c>
      <c r="AA26" s="179">
        <f t="shared" si="14"/>
        <v>1.7250673854447443</v>
      </c>
      <c r="AB26" s="179">
        <f t="shared" si="15"/>
        <v>0.55924139939803896</v>
      </c>
      <c r="AC26" s="179"/>
      <c r="AD26" s="179">
        <f t="shared" si="16"/>
        <v>0.419047619047619</v>
      </c>
      <c r="AE26" s="563">
        <f t="shared" si="17"/>
        <v>1113.6363636363637</v>
      </c>
      <c r="AF26" s="546">
        <f t="shared" si="18"/>
        <v>3.2999999999999995E-2</v>
      </c>
      <c r="AH26" s="179">
        <f t="shared" si="19"/>
        <v>0.3692744729379982</v>
      </c>
      <c r="AI26" s="179">
        <f t="shared" si="20"/>
        <v>0.3692744729379982</v>
      </c>
      <c r="AJ26" s="179">
        <f t="shared" si="21"/>
        <v>1.3624255355096282</v>
      </c>
      <c r="AL26" s="563">
        <f t="shared" si="22"/>
        <v>105</v>
      </c>
      <c r="AM26" s="472">
        <f t="shared" si="23"/>
        <v>350</v>
      </c>
      <c r="AO26">
        <f t="shared" si="52"/>
        <v>105</v>
      </c>
      <c r="AP26" s="472">
        <f t="shared" si="24"/>
        <v>350</v>
      </c>
      <c r="AQ26" s="472"/>
      <c r="AR26" s="6">
        <f t="shared" si="53"/>
        <v>2.8571428571428572</v>
      </c>
      <c r="AS26" s="6">
        <f t="shared" si="25"/>
        <v>0.67700320038632988</v>
      </c>
      <c r="AT26" s="6">
        <f t="shared" si="54"/>
        <v>2.1801396567565274</v>
      </c>
      <c r="AU26" s="179">
        <f t="shared" si="55"/>
        <v>0.23695112013521547</v>
      </c>
      <c r="AW26" s="6">
        <f t="shared" si="26"/>
        <v>13.072048611111116</v>
      </c>
      <c r="AX26" s="472">
        <f t="shared" si="27"/>
        <v>0.92827376994680866</v>
      </c>
      <c r="AY26" s="6">
        <f t="shared" si="28"/>
        <v>13.072048611111116</v>
      </c>
      <c r="AZ26" s="472">
        <f t="shared" si="29"/>
        <v>1.6251757812500003</v>
      </c>
      <c r="BA26" s="6">
        <f t="shared" si="30"/>
        <v>4.4157921288471326E-2</v>
      </c>
      <c r="BB26" s="6">
        <f t="shared" si="31"/>
        <v>10.840956664788674</v>
      </c>
      <c r="BC26" s="6"/>
      <c r="BD26" s="179">
        <f t="shared" si="56"/>
        <v>0.10378104576796097</v>
      </c>
      <c r="BE26" s="179">
        <f t="shared" si="32"/>
        <v>0.55870954882182255</v>
      </c>
      <c r="BF26" s="179">
        <f t="shared" si="33"/>
        <v>0.55870954882182255</v>
      </c>
      <c r="BG26" s="179"/>
      <c r="BH26" s="546">
        <f t="shared" si="34"/>
        <v>3.7696769112420636E-3</v>
      </c>
      <c r="BI26" s="546">
        <f t="shared" si="35"/>
        <v>3.8531483285624252E-2</v>
      </c>
      <c r="BJ26" s="546">
        <f t="shared" si="36"/>
        <v>4.3749999999999995E-3</v>
      </c>
      <c r="BK26" s="546">
        <f t="shared" si="37"/>
        <v>2.7651093750000001E-2</v>
      </c>
      <c r="BL26">
        <f t="shared" si="38"/>
        <v>6.96E-3</v>
      </c>
      <c r="BM26">
        <f t="shared" si="39"/>
        <v>8.1903141644252012E-2</v>
      </c>
      <c r="BN26" s="472">
        <f t="shared" si="57"/>
        <v>81.903141644252017</v>
      </c>
      <c r="BO26" s="179">
        <f t="shared" si="40"/>
        <v>2.8665E-2</v>
      </c>
      <c r="BP26" s="179">
        <f t="shared" si="41"/>
        <v>2.8665E-2</v>
      </c>
      <c r="BQ26" s="546"/>
      <c r="BS26" s="472">
        <f t="shared" si="58"/>
        <v>57.33</v>
      </c>
      <c r="BT26" s="546">
        <f t="shared" si="42"/>
        <v>2.1541010921383224E-3</v>
      </c>
      <c r="BU26" s="546">
        <f t="shared" si="59"/>
        <v>1.2486254397787382E-2</v>
      </c>
      <c r="BV26" s="546">
        <f t="shared" si="43"/>
        <v>2.8094072395021607E-2</v>
      </c>
      <c r="BW26" s="546">
        <f t="shared" si="44"/>
        <v>9.4954014907528052E-3</v>
      </c>
      <c r="BX26" s="546">
        <f t="shared" si="45"/>
        <v>5.7554726185542915E-2</v>
      </c>
      <c r="BY26" s="656">
        <f t="shared" si="46"/>
        <v>2.3863636363636365E-2</v>
      </c>
      <c r="BZ26" s="472">
        <f t="shared" si="60"/>
        <v>81.418362549179278</v>
      </c>
      <c r="CA26" s="179">
        <f t="shared" si="61"/>
        <v>0.2206515041934313</v>
      </c>
      <c r="CB26" s="6">
        <f t="shared" si="62"/>
        <v>1.05</v>
      </c>
      <c r="CC26" s="179">
        <f t="shared" si="63"/>
        <v>0.82634774093035535</v>
      </c>
      <c r="CD26" s="6">
        <f t="shared" si="64"/>
        <v>82.634774093035531</v>
      </c>
      <c r="CE26">
        <f t="shared" si="65"/>
        <v>21</v>
      </c>
      <c r="CG26" s="581">
        <f t="shared" si="47"/>
        <v>-50</v>
      </c>
      <c r="CH26">
        <f t="shared" si="48"/>
        <v>-50</v>
      </c>
    </row>
    <row r="27" spans="5:86" x14ac:dyDescent="0.2">
      <c r="E27" s="176">
        <v>22</v>
      </c>
      <c r="F27" s="223">
        <f t="shared" si="66"/>
        <v>0.11</v>
      </c>
      <c r="G27" s="223">
        <f t="shared" si="49"/>
        <v>0.11</v>
      </c>
      <c r="H27" s="223">
        <f t="shared" si="0"/>
        <v>0.55000000000000004</v>
      </c>
      <c r="I27" s="223">
        <f t="shared" si="67"/>
        <v>0.55000000000000004</v>
      </c>
      <c r="J27" s="559">
        <f t="shared" si="1"/>
        <v>24</v>
      </c>
      <c r="K27" s="454">
        <f t="shared" si="2"/>
        <v>15.75</v>
      </c>
      <c r="L27" s="454">
        <f t="shared" si="3"/>
        <v>39.75</v>
      </c>
      <c r="M27" s="454"/>
      <c r="N27" s="223">
        <f t="shared" si="4"/>
        <v>0.39622641509433965</v>
      </c>
      <c r="O27" s="178">
        <f t="shared" si="50"/>
        <v>1.6047169811320754</v>
      </c>
      <c r="P27" s="178">
        <f t="shared" si="5"/>
        <v>3.2094339622641508</v>
      </c>
      <c r="Q27" s="223">
        <f t="shared" si="6"/>
        <v>0.3209433962264151</v>
      </c>
      <c r="R27" s="223">
        <f t="shared" si="7"/>
        <v>0.3209433962264151</v>
      </c>
      <c r="S27" s="454">
        <f t="shared" si="8"/>
        <v>5</v>
      </c>
      <c r="T27" s="223">
        <f t="shared" si="9"/>
        <v>0.25705467372134039</v>
      </c>
      <c r="U27" s="223">
        <f t="shared" si="10"/>
        <v>0.47126690182245734</v>
      </c>
      <c r="V27" s="223">
        <f t="shared" si="11"/>
        <v>0.71812099325326828</v>
      </c>
      <c r="W27" s="203">
        <f t="shared" si="12"/>
        <v>350</v>
      </c>
      <c r="X27" s="454">
        <f t="shared" si="51"/>
        <v>350</v>
      </c>
      <c r="Z27" s="223">
        <f t="shared" si="13"/>
        <v>0.61749571183533458</v>
      </c>
      <c r="AA27" s="179">
        <f t="shared" si="14"/>
        <v>1.7250673854447443</v>
      </c>
      <c r="AB27" s="179">
        <f t="shared" si="15"/>
        <v>0.55924139939803896</v>
      </c>
      <c r="AC27" s="179"/>
      <c r="AD27" s="179">
        <f t="shared" si="16"/>
        <v>0.419047619047619</v>
      </c>
      <c r="AE27" s="563">
        <f t="shared" si="17"/>
        <v>1166.666666666667</v>
      </c>
      <c r="AF27" s="546">
        <f t="shared" si="18"/>
        <v>3.2999999999999995E-2</v>
      </c>
      <c r="AH27" s="179">
        <f t="shared" si="19"/>
        <v>0.37796447300922725</v>
      </c>
      <c r="AI27" s="179">
        <f t="shared" si="20"/>
        <v>0.37796447300922725</v>
      </c>
      <c r="AJ27" s="179">
        <f t="shared" si="21"/>
        <v>1.3688625725994275</v>
      </c>
      <c r="AL27" s="563">
        <f t="shared" si="22"/>
        <v>110</v>
      </c>
      <c r="AM27" s="472">
        <f t="shared" si="23"/>
        <v>350</v>
      </c>
      <c r="AO27">
        <f t="shared" si="52"/>
        <v>110</v>
      </c>
      <c r="AP27" s="472">
        <f t="shared" si="24"/>
        <v>350</v>
      </c>
      <c r="AQ27" s="472"/>
      <c r="AR27" s="6">
        <f t="shared" si="53"/>
        <v>2.8571428571428572</v>
      </c>
      <c r="AS27" s="6">
        <f t="shared" si="25"/>
        <v>0.69293486718358321</v>
      </c>
      <c r="AT27" s="6">
        <f t="shared" si="54"/>
        <v>2.1642079899592739</v>
      </c>
      <c r="AU27" s="179">
        <f t="shared" si="55"/>
        <v>0.24252720351425411</v>
      </c>
      <c r="AW27" s="6">
        <f t="shared" si="26"/>
        <v>13.072048611111116</v>
      </c>
      <c r="AX27" s="472">
        <f t="shared" si="27"/>
        <v>1.0030714391252957</v>
      </c>
      <c r="AY27" s="6">
        <f t="shared" si="28"/>
        <v>13.072048611111116</v>
      </c>
      <c r="AZ27" s="472">
        <f t="shared" si="29"/>
        <v>1.7679253472222227</v>
      </c>
      <c r="BA27" s="6">
        <f t="shared" si="30"/>
        <v>4.5922623243734591E-2</v>
      </c>
      <c r="BB27" s="6">
        <f t="shared" si="31"/>
        <v>11.276059208125931</v>
      </c>
      <c r="BC27" s="6"/>
      <c r="BD27" s="179">
        <f t="shared" si="56"/>
        <v>0.10746587576091177</v>
      </c>
      <c r="BE27" s="179">
        <f t="shared" si="32"/>
        <v>0.56976416041542233</v>
      </c>
      <c r="BF27" s="179">
        <f t="shared" si="33"/>
        <v>0.56976416041542233</v>
      </c>
      <c r="BG27" s="179"/>
      <c r="BH27" s="546">
        <f t="shared" si="34"/>
        <v>4.0421200585709031E-3</v>
      </c>
      <c r="BI27" s="546">
        <f t="shared" si="35"/>
        <v>3.9438230480556551E-2</v>
      </c>
      <c r="BJ27" s="546">
        <f t="shared" si="36"/>
        <v>4.3749999999999995E-3</v>
      </c>
      <c r="BK27" s="546">
        <f t="shared" si="37"/>
        <v>2.7651093750000001E-2</v>
      </c>
      <c r="BL27">
        <f t="shared" si="38"/>
        <v>6.96E-3</v>
      </c>
      <c r="BM27">
        <f t="shared" si="39"/>
        <v>8.3128559909173588E-2</v>
      </c>
      <c r="BN27" s="472">
        <f t="shared" si="57"/>
        <v>83.128559909173589</v>
      </c>
      <c r="BO27" s="179">
        <f t="shared" si="40"/>
        <v>3.0030000000000001E-2</v>
      </c>
      <c r="BP27" s="179">
        <f t="shared" si="41"/>
        <v>3.0030000000000001E-2</v>
      </c>
      <c r="BQ27" s="546"/>
      <c r="BS27" s="472">
        <f t="shared" si="58"/>
        <v>60.06</v>
      </c>
      <c r="BT27" s="546">
        <f t="shared" si="42"/>
        <v>2.3097828906119447E-3</v>
      </c>
      <c r="BU27" s="546">
        <f t="shared" si="59"/>
        <v>1.2985247939755645E-2</v>
      </c>
      <c r="BV27" s="546">
        <f t="shared" si="43"/>
        <v>2.92168078644502E-2</v>
      </c>
      <c r="BW27" s="546">
        <f t="shared" si="44"/>
        <v>1.0063929022836513E-2</v>
      </c>
      <c r="BX27" s="546">
        <f t="shared" si="45"/>
        <v>6.0131312784646673E-2</v>
      </c>
      <c r="BY27" s="656">
        <f t="shared" si="46"/>
        <v>2.5000000000000008E-2</v>
      </c>
      <c r="BZ27" s="472">
        <f t="shared" si="60"/>
        <v>85.131312784646681</v>
      </c>
      <c r="CA27" s="179">
        <f t="shared" si="61"/>
        <v>0.22831987269382026</v>
      </c>
      <c r="CB27" s="6">
        <f t="shared" si="62"/>
        <v>1.1000000000000001</v>
      </c>
      <c r="CC27" s="179">
        <f t="shared" si="63"/>
        <v>0.8281137869067714</v>
      </c>
      <c r="CD27" s="6">
        <f t="shared" si="64"/>
        <v>82.811378690677145</v>
      </c>
      <c r="CE27">
        <f t="shared" si="65"/>
        <v>22</v>
      </c>
      <c r="CG27" s="581">
        <f t="shared" si="47"/>
        <v>-50</v>
      </c>
      <c r="CH27">
        <f t="shared" si="48"/>
        <v>-50</v>
      </c>
    </row>
    <row r="28" spans="5:86" x14ac:dyDescent="0.2">
      <c r="E28" s="176">
        <v>23</v>
      </c>
      <c r="F28" s="223">
        <f t="shared" si="66"/>
        <v>0.115</v>
      </c>
      <c r="G28" s="223">
        <f t="shared" si="49"/>
        <v>0.115</v>
      </c>
      <c r="H28" s="223">
        <f t="shared" si="0"/>
        <v>0.57500000000000007</v>
      </c>
      <c r="I28" s="223">
        <f t="shared" si="67"/>
        <v>0.57500000000000007</v>
      </c>
      <c r="J28" s="559">
        <f t="shared" si="1"/>
        <v>24</v>
      </c>
      <c r="K28" s="454">
        <f t="shared" si="2"/>
        <v>15.75</v>
      </c>
      <c r="L28" s="454">
        <f t="shared" si="3"/>
        <v>39.75</v>
      </c>
      <c r="M28" s="454"/>
      <c r="N28" s="223">
        <f t="shared" si="4"/>
        <v>0.39622641509433965</v>
      </c>
      <c r="O28" s="178">
        <f t="shared" si="50"/>
        <v>1.6047169811320754</v>
      </c>
      <c r="P28" s="178">
        <f t="shared" si="5"/>
        <v>3.2094339622641508</v>
      </c>
      <c r="Q28" s="223">
        <f t="shared" si="6"/>
        <v>0.3209433962264151</v>
      </c>
      <c r="R28" s="223">
        <f t="shared" si="7"/>
        <v>0.3209433962264151</v>
      </c>
      <c r="S28" s="454">
        <f t="shared" si="8"/>
        <v>5</v>
      </c>
      <c r="T28" s="223">
        <f t="shared" si="9"/>
        <v>0.26873897707231043</v>
      </c>
      <c r="U28" s="223">
        <f t="shared" si="10"/>
        <v>0.49268812463256906</v>
      </c>
      <c r="V28" s="223">
        <f t="shared" si="11"/>
        <v>0.75076285658296238</v>
      </c>
      <c r="W28" s="203">
        <f t="shared" si="12"/>
        <v>350</v>
      </c>
      <c r="X28" s="454">
        <f t="shared" si="51"/>
        <v>350</v>
      </c>
      <c r="Z28" s="223">
        <f t="shared" si="13"/>
        <v>0.61749571183533458</v>
      </c>
      <c r="AA28" s="179">
        <f t="shared" si="14"/>
        <v>1.7250673854447443</v>
      </c>
      <c r="AB28" s="179">
        <f t="shared" si="15"/>
        <v>0.55924139939803896</v>
      </c>
      <c r="AC28" s="179"/>
      <c r="AD28" s="179">
        <f t="shared" si="16"/>
        <v>0.419047619047619</v>
      </c>
      <c r="AE28" s="563">
        <f t="shared" si="17"/>
        <v>1219.69696969697</v>
      </c>
      <c r="AF28" s="546">
        <f t="shared" si="18"/>
        <v>3.2999999999999995E-2</v>
      </c>
      <c r="AH28" s="179">
        <f t="shared" si="19"/>
        <v>0.38645911730822108</v>
      </c>
      <c r="AI28" s="179">
        <f t="shared" si="20"/>
        <v>0.38645911730822108</v>
      </c>
      <c r="AJ28" s="179">
        <f t="shared" si="21"/>
        <v>1.3751549017097933</v>
      </c>
      <c r="AL28" s="563">
        <f t="shared" si="22"/>
        <v>115</v>
      </c>
      <c r="AM28" s="472">
        <f t="shared" si="23"/>
        <v>350</v>
      </c>
      <c r="AO28">
        <f t="shared" si="52"/>
        <v>115</v>
      </c>
      <c r="AP28" s="472">
        <f t="shared" si="24"/>
        <v>350</v>
      </c>
      <c r="AQ28" s="472"/>
      <c r="AR28" s="6">
        <f t="shared" si="53"/>
        <v>2.8571428571428572</v>
      </c>
      <c r="AS28" s="6">
        <f t="shared" si="25"/>
        <v>0.70850838173173858</v>
      </c>
      <c r="AT28" s="6">
        <f t="shared" si="54"/>
        <v>2.1486344754111188</v>
      </c>
      <c r="AU28" s="179">
        <f t="shared" si="55"/>
        <v>0.24797793360610851</v>
      </c>
      <c r="AW28" s="6">
        <f t="shared" si="26"/>
        <v>13.072048611111116</v>
      </c>
      <c r="AX28" s="472">
        <f t="shared" si="27"/>
        <v>1.080650395242317</v>
      </c>
      <c r="AY28" s="6">
        <f t="shared" si="28"/>
        <v>13.072048611111116</v>
      </c>
      <c r="AZ28" s="472">
        <f t="shared" si="29"/>
        <v>1.9166167534722225</v>
      </c>
      <c r="BA28" s="6">
        <f t="shared" si="30"/>
        <v>4.7664537938325355E-2</v>
      </c>
      <c r="BB28" s="6">
        <f t="shared" si="31"/>
        <v>11.705692808901791</v>
      </c>
      <c r="BC28" s="6"/>
      <c r="BD28" s="179">
        <f t="shared" si="56"/>
        <v>0.11110905364956317</v>
      </c>
      <c r="BE28" s="179">
        <f t="shared" si="32"/>
        <v>0.58046959595299608</v>
      </c>
      <c r="BF28" s="179">
        <f t="shared" si="33"/>
        <v>0.58046959595299608</v>
      </c>
      <c r="BG28" s="179"/>
      <c r="BH28" s="546">
        <f t="shared" si="34"/>
        <v>4.3208276310155265E-3</v>
      </c>
      <c r="BI28" s="546">
        <f t="shared" si="35"/>
        <v>4.0324593521629697E-2</v>
      </c>
      <c r="BJ28" s="546">
        <f t="shared" si="36"/>
        <v>4.3749999999999995E-3</v>
      </c>
      <c r="BK28" s="546">
        <f t="shared" si="37"/>
        <v>2.7651093750000001E-2</v>
      </c>
      <c r="BL28">
        <f t="shared" si="38"/>
        <v>6.96E-3</v>
      </c>
      <c r="BM28">
        <f t="shared" si="39"/>
        <v>8.434109932443587E-2</v>
      </c>
      <c r="BN28" s="472">
        <f t="shared" si="57"/>
        <v>84.341099324435874</v>
      </c>
      <c r="BO28" s="179">
        <f t="shared" si="40"/>
        <v>3.1395000000000006E-2</v>
      </c>
      <c r="BP28" s="179">
        <f t="shared" si="41"/>
        <v>3.1395000000000006E-2</v>
      </c>
      <c r="BQ28" s="546"/>
      <c r="BS28" s="472">
        <f t="shared" si="58"/>
        <v>62.790000000000013</v>
      </c>
      <c r="BT28" s="546">
        <f t="shared" si="42"/>
        <v>2.4690443605803014E-3</v>
      </c>
      <c r="BU28" s="546">
        <f t="shared" si="59"/>
        <v>1.3477798073033381E-2</v>
      </c>
      <c r="BV28" s="546">
        <f t="shared" si="43"/>
        <v>3.0325045664325104E-2</v>
      </c>
      <c r="BW28" s="546">
        <f t="shared" si="44"/>
        <v>1.0638955912423146E-2</v>
      </c>
      <c r="BX28" s="546">
        <f t="shared" si="45"/>
        <v>6.2695553914512231E-2</v>
      </c>
      <c r="BY28" s="656">
        <f t="shared" si="46"/>
        <v>2.6136363636363645E-2</v>
      </c>
      <c r="BZ28" s="472">
        <f t="shared" si="60"/>
        <v>88.831917550875886</v>
      </c>
      <c r="CA28" s="179">
        <f t="shared" si="61"/>
        <v>0.23596301687531177</v>
      </c>
      <c r="CB28" s="6">
        <f t="shared" si="62"/>
        <v>1.1500000000000001</v>
      </c>
      <c r="CC28" s="179">
        <f t="shared" si="63"/>
        <v>0.82974797018228075</v>
      </c>
      <c r="CD28" s="6">
        <f t="shared" si="64"/>
        <v>82.974797018228074</v>
      </c>
      <c r="CE28">
        <f t="shared" si="65"/>
        <v>23</v>
      </c>
      <c r="CG28" s="581">
        <f t="shared" si="47"/>
        <v>-50</v>
      </c>
      <c r="CH28">
        <f t="shared" si="48"/>
        <v>-50</v>
      </c>
    </row>
    <row r="29" spans="5:86" x14ac:dyDescent="0.2">
      <c r="E29" s="176">
        <v>24</v>
      </c>
      <c r="F29" s="223">
        <f t="shared" si="66"/>
        <v>0.12</v>
      </c>
      <c r="G29" s="223">
        <f t="shared" si="49"/>
        <v>0.12</v>
      </c>
      <c r="H29" s="223">
        <f t="shared" si="0"/>
        <v>0.6</v>
      </c>
      <c r="I29" s="223">
        <f t="shared" si="67"/>
        <v>0.6</v>
      </c>
      <c r="J29" s="559">
        <f t="shared" si="1"/>
        <v>24</v>
      </c>
      <c r="K29" s="454">
        <f t="shared" si="2"/>
        <v>15.75</v>
      </c>
      <c r="L29" s="454">
        <f t="shared" si="3"/>
        <v>39.75</v>
      </c>
      <c r="M29" s="454"/>
      <c r="N29" s="223">
        <f t="shared" si="4"/>
        <v>0.39622641509433965</v>
      </c>
      <c r="O29" s="178">
        <f t="shared" si="50"/>
        <v>1.6047169811320754</v>
      </c>
      <c r="P29" s="178">
        <f t="shared" si="5"/>
        <v>3.2094339622641508</v>
      </c>
      <c r="Q29" s="223">
        <f t="shared" si="6"/>
        <v>0.3209433962264151</v>
      </c>
      <c r="R29" s="223">
        <f t="shared" si="7"/>
        <v>0.3209433962264151</v>
      </c>
      <c r="S29" s="454">
        <f t="shared" si="8"/>
        <v>5</v>
      </c>
      <c r="T29" s="223">
        <f t="shared" si="9"/>
        <v>0.28042328042328041</v>
      </c>
      <c r="U29" s="223">
        <f t="shared" si="10"/>
        <v>0.51410934744268066</v>
      </c>
      <c r="V29" s="223">
        <f t="shared" si="11"/>
        <v>0.78340471991265637</v>
      </c>
      <c r="W29" s="203">
        <f t="shared" si="12"/>
        <v>350</v>
      </c>
      <c r="X29" s="454">
        <f t="shared" si="51"/>
        <v>350</v>
      </c>
      <c r="Z29" s="223">
        <f t="shared" si="13"/>
        <v>0.61749571183533458</v>
      </c>
      <c r="AA29" s="179">
        <f t="shared" si="14"/>
        <v>1.7250673854447443</v>
      </c>
      <c r="AB29" s="179">
        <f t="shared" si="15"/>
        <v>0.55924139939803896</v>
      </c>
      <c r="AC29" s="179"/>
      <c r="AD29" s="179">
        <f t="shared" si="16"/>
        <v>0.419047619047619</v>
      </c>
      <c r="AE29" s="563">
        <f t="shared" si="17"/>
        <v>1272.727272727273</v>
      </c>
      <c r="AF29" s="546">
        <f t="shared" si="18"/>
        <v>3.2999999999999995E-2</v>
      </c>
      <c r="AH29" s="179">
        <f t="shared" si="19"/>
        <v>0.39477101697586137</v>
      </c>
      <c r="AI29" s="179">
        <f t="shared" si="20"/>
        <v>0.39477101697586137</v>
      </c>
      <c r="AJ29" s="179">
        <f t="shared" si="21"/>
        <v>1.3813118644265638</v>
      </c>
      <c r="AL29" s="563">
        <f t="shared" si="22"/>
        <v>120</v>
      </c>
      <c r="AM29" s="472">
        <f t="shared" si="23"/>
        <v>350</v>
      </c>
      <c r="AO29">
        <f t="shared" si="52"/>
        <v>120</v>
      </c>
      <c r="AP29" s="472">
        <f t="shared" si="24"/>
        <v>350</v>
      </c>
      <c r="AQ29" s="472"/>
      <c r="AR29" s="6">
        <f t="shared" si="53"/>
        <v>2.8571428571428572</v>
      </c>
      <c r="AS29" s="6">
        <f t="shared" si="25"/>
        <v>0.72374686445574576</v>
      </c>
      <c r="AT29" s="6">
        <f t="shared" si="54"/>
        <v>2.1333959926871113</v>
      </c>
      <c r="AU29" s="179">
        <f t="shared" si="55"/>
        <v>0.25331140255951101</v>
      </c>
      <c r="AW29" s="6">
        <f t="shared" si="26"/>
        <v>13.072048611111116</v>
      </c>
      <c r="AX29" s="472">
        <f t="shared" si="27"/>
        <v>1.1610106382978724</v>
      </c>
      <c r="AY29" s="6">
        <f t="shared" si="28"/>
        <v>13.072048611111116</v>
      </c>
      <c r="AZ29" s="472">
        <f t="shared" si="29"/>
        <v>2.0712500000000005</v>
      </c>
      <c r="BA29" s="6">
        <f t="shared" si="30"/>
        <v>4.9384166497386826E-2</v>
      </c>
      <c r="BB29" s="6">
        <f t="shared" si="31"/>
        <v>12.129977737150618</v>
      </c>
      <c r="BC29" s="6"/>
      <c r="BD29" s="179">
        <f t="shared" si="56"/>
        <v>0.11471283232139015</v>
      </c>
      <c r="BE29" s="179">
        <f t="shared" si="32"/>
        <v>0.59084783357452464</v>
      </c>
      <c r="BF29" s="179">
        <f t="shared" si="33"/>
        <v>0.59084783357452464</v>
      </c>
      <c r="BG29" s="179"/>
      <c r="BH29" s="546">
        <f t="shared" si="34"/>
        <v>4.6056618647183807E-3</v>
      </c>
      <c r="BI29" s="546">
        <f t="shared" si="35"/>
        <v>4.119188830257503E-2</v>
      </c>
      <c r="BJ29" s="546">
        <f t="shared" si="36"/>
        <v>4.3749999999999995E-3</v>
      </c>
      <c r="BK29" s="546">
        <f t="shared" si="37"/>
        <v>2.7651093750000001E-2</v>
      </c>
      <c r="BL29">
        <f t="shared" si="38"/>
        <v>6.96E-3</v>
      </c>
      <c r="BM29">
        <f t="shared" si="39"/>
        <v>8.5541921356712361E-2</v>
      </c>
      <c r="BN29" s="472">
        <f t="shared" si="57"/>
        <v>85.541921356712365</v>
      </c>
      <c r="BO29" s="179">
        <f t="shared" si="40"/>
        <v>3.2759999999999997E-2</v>
      </c>
      <c r="BP29" s="179">
        <f t="shared" si="41"/>
        <v>3.2759999999999997E-2</v>
      </c>
      <c r="BQ29" s="546"/>
      <c r="BS29" s="472">
        <f t="shared" si="58"/>
        <v>65.52</v>
      </c>
      <c r="BT29" s="546">
        <f t="shared" si="42"/>
        <v>2.6318067798390748E-3</v>
      </c>
      <c r="BU29" s="546">
        <f t="shared" si="59"/>
        <v>1.3964046497588367E-2</v>
      </c>
      <c r="BV29" s="546">
        <f t="shared" si="43"/>
        <v>3.1419104619573826E-2</v>
      </c>
      <c r="BW29" s="546">
        <f t="shared" si="44"/>
        <v>1.1220268929746499E-2</v>
      </c>
      <c r="BX29" s="546">
        <f t="shared" si="45"/>
        <v>6.524765083099017E-2</v>
      </c>
      <c r="BY29" s="656">
        <f t="shared" si="46"/>
        <v>2.7272727272727271E-2</v>
      </c>
      <c r="BZ29" s="472">
        <f t="shared" si="60"/>
        <v>92.520378103717434</v>
      </c>
      <c r="CA29" s="179">
        <f t="shared" si="61"/>
        <v>0.24358229946042981</v>
      </c>
      <c r="CB29" s="6">
        <f t="shared" si="62"/>
        <v>1.2</v>
      </c>
      <c r="CC29" s="179">
        <f t="shared" si="63"/>
        <v>0.8312653878123375</v>
      </c>
      <c r="CD29" s="6">
        <f t="shared" si="64"/>
        <v>83.126538781233748</v>
      </c>
      <c r="CE29">
        <f t="shared" si="65"/>
        <v>24</v>
      </c>
      <c r="CG29" s="581">
        <f t="shared" si="47"/>
        <v>-50</v>
      </c>
      <c r="CH29">
        <f t="shared" si="48"/>
        <v>-50</v>
      </c>
    </row>
    <row r="30" spans="5:86" x14ac:dyDescent="0.2">
      <c r="E30" s="176">
        <v>25</v>
      </c>
      <c r="F30" s="223">
        <f t="shared" si="66"/>
        <v>0.125</v>
      </c>
      <c r="G30" s="223">
        <f t="shared" si="49"/>
        <v>0.125</v>
      </c>
      <c r="H30" s="223">
        <f t="shared" si="0"/>
        <v>0.625</v>
      </c>
      <c r="I30" s="223">
        <f t="shared" si="67"/>
        <v>0.625</v>
      </c>
      <c r="J30" s="559">
        <f t="shared" si="1"/>
        <v>24</v>
      </c>
      <c r="K30" s="454">
        <f t="shared" si="2"/>
        <v>15.75</v>
      </c>
      <c r="L30" s="454">
        <f t="shared" si="3"/>
        <v>39.75</v>
      </c>
      <c r="M30" s="454"/>
      <c r="N30" s="223">
        <f t="shared" si="4"/>
        <v>0.39622641509433965</v>
      </c>
      <c r="O30" s="178">
        <f t="shared" si="50"/>
        <v>1.6047169811320754</v>
      </c>
      <c r="P30" s="178">
        <f t="shared" si="5"/>
        <v>3.2094339622641508</v>
      </c>
      <c r="Q30" s="223">
        <f t="shared" si="6"/>
        <v>0.3209433962264151</v>
      </c>
      <c r="R30" s="223">
        <f t="shared" si="7"/>
        <v>0.3209433962264151</v>
      </c>
      <c r="S30" s="454">
        <f t="shared" si="8"/>
        <v>5</v>
      </c>
      <c r="T30" s="223">
        <f t="shared" si="9"/>
        <v>0.29210758377425039</v>
      </c>
      <c r="U30" s="223">
        <f t="shared" si="10"/>
        <v>0.53553057025279238</v>
      </c>
      <c r="V30" s="223">
        <f t="shared" si="11"/>
        <v>0.81604658324235035</v>
      </c>
      <c r="W30" s="203">
        <f t="shared" si="12"/>
        <v>350</v>
      </c>
      <c r="X30" s="454">
        <f t="shared" si="51"/>
        <v>350</v>
      </c>
      <c r="Z30" s="223">
        <f t="shared" si="13"/>
        <v>0.61749571183533458</v>
      </c>
      <c r="AA30" s="179">
        <f t="shared" si="14"/>
        <v>1.7250673854447443</v>
      </c>
      <c r="AB30" s="179">
        <f t="shared" si="15"/>
        <v>0.55924139939803896</v>
      </c>
      <c r="AC30" s="179"/>
      <c r="AD30" s="179">
        <f t="shared" si="16"/>
        <v>0.419047619047619</v>
      </c>
      <c r="AE30" s="563">
        <f t="shared" si="17"/>
        <v>1325.757575757576</v>
      </c>
      <c r="AF30" s="546">
        <f t="shared" si="18"/>
        <v>3.2999999999999995E-2</v>
      </c>
      <c r="AH30" s="179">
        <f t="shared" si="19"/>
        <v>0.40291148201269017</v>
      </c>
      <c r="AI30" s="179">
        <f t="shared" si="20"/>
        <v>0.40291148201269017</v>
      </c>
      <c r="AJ30" s="179">
        <f t="shared" si="21"/>
        <v>1.3873418385279186</v>
      </c>
      <c r="AL30" s="563">
        <f t="shared" si="22"/>
        <v>125</v>
      </c>
      <c r="AM30" s="472">
        <f t="shared" si="23"/>
        <v>350</v>
      </c>
      <c r="AO30">
        <f t="shared" si="52"/>
        <v>125</v>
      </c>
      <c r="AP30" s="472">
        <f t="shared" si="24"/>
        <v>350</v>
      </c>
      <c r="AQ30" s="472"/>
      <c r="AR30" s="6">
        <f t="shared" si="53"/>
        <v>2.8571428571428572</v>
      </c>
      <c r="AS30" s="6">
        <f t="shared" si="25"/>
        <v>0.73867105035659864</v>
      </c>
      <c r="AT30" s="6">
        <f t="shared" si="54"/>
        <v>2.1184718067862587</v>
      </c>
      <c r="AU30" s="179">
        <f t="shared" si="55"/>
        <v>0.25853486762480954</v>
      </c>
      <c r="AW30" s="6">
        <f t="shared" si="26"/>
        <v>13.072048611111116</v>
      </c>
      <c r="AX30" s="472">
        <f t="shared" si="27"/>
        <v>1.2441521682919625</v>
      </c>
      <c r="AY30" s="6">
        <f t="shared" si="28"/>
        <v>13.072048611111116</v>
      </c>
      <c r="AZ30" s="472">
        <f t="shared" si="29"/>
        <v>2.2318250868055562</v>
      </c>
      <c r="BA30" s="6">
        <f t="shared" si="30"/>
        <v>5.10819783657952E-2</v>
      </c>
      <c r="BB30" s="6">
        <f t="shared" si="31"/>
        <v>12.549026659642701</v>
      </c>
      <c r="BC30" s="6"/>
      <c r="BD30" s="179">
        <f t="shared" si="56"/>
        <v>0.11827925437002687</v>
      </c>
      <c r="BE30" s="179">
        <f t="shared" si="32"/>
        <v>0.60091858756741856</v>
      </c>
      <c r="BF30" s="179">
        <f t="shared" si="33"/>
        <v>0.60091858756741856</v>
      </c>
      <c r="BG30" s="179"/>
      <c r="BH30" s="546">
        <f t="shared" si="34"/>
        <v>4.8964937050153317E-3</v>
      </c>
      <c r="BI30" s="546">
        <f t="shared" si="35"/>
        <v>4.2041294951261639E-2</v>
      </c>
      <c r="BJ30" s="546">
        <f t="shared" si="36"/>
        <v>4.3749999999999995E-3</v>
      </c>
      <c r="BK30" s="546">
        <f t="shared" si="37"/>
        <v>2.7651093750000001E-2</v>
      </c>
      <c r="BL30">
        <f t="shared" si="38"/>
        <v>6.96E-3</v>
      </c>
      <c r="BM30">
        <f t="shared" si="39"/>
        <v>8.6732061713946193E-2</v>
      </c>
      <c r="BN30" s="472">
        <f t="shared" si="57"/>
        <v>86.732061713946194</v>
      </c>
      <c r="BO30" s="179">
        <f t="shared" si="40"/>
        <v>3.4125000000000003E-2</v>
      </c>
      <c r="BP30" s="179">
        <f t="shared" si="41"/>
        <v>3.4125000000000003E-2</v>
      </c>
      <c r="BQ30" s="546"/>
      <c r="BS30" s="472">
        <f t="shared" si="58"/>
        <v>68.25</v>
      </c>
      <c r="BT30" s="546">
        <f t="shared" si="42"/>
        <v>2.7979964028659043E-3</v>
      </c>
      <c r="BU30" s="546">
        <f t="shared" si="59"/>
        <v>1.4444125955360852E-2</v>
      </c>
      <c r="BV30" s="546">
        <f t="shared" si="43"/>
        <v>3.2499283399561915E-2</v>
      </c>
      <c r="BW30" s="546">
        <f t="shared" si="44"/>
        <v>1.1807670489163645E-2</v>
      </c>
      <c r="BX30" s="546">
        <f t="shared" si="45"/>
        <v>6.7787793750235428E-2</v>
      </c>
      <c r="BY30" s="656">
        <f t="shared" si="46"/>
        <v>2.8409090909090919E-2</v>
      </c>
      <c r="BZ30" s="472">
        <f t="shared" si="60"/>
        <v>96.196884659326358</v>
      </c>
      <c r="CA30" s="179">
        <f t="shared" si="61"/>
        <v>0.25117894637327254</v>
      </c>
      <c r="CB30" s="6">
        <f t="shared" si="62"/>
        <v>1.25</v>
      </c>
      <c r="CC30" s="179">
        <f t="shared" si="63"/>
        <v>0.83267887750484337</v>
      </c>
      <c r="CD30" s="6">
        <f t="shared" si="64"/>
        <v>83.267887750484334</v>
      </c>
      <c r="CE30">
        <f t="shared" si="65"/>
        <v>25</v>
      </c>
      <c r="CG30" s="581">
        <f t="shared" si="47"/>
        <v>-50</v>
      </c>
      <c r="CH30">
        <f t="shared" si="48"/>
        <v>-50</v>
      </c>
    </row>
    <row r="31" spans="5:86" x14ac:dyDescent="0.2">
      <c r="E31" s="176">
        <v>26</v>
      </c>
      <c r="F31" s="223">
        <f t="shared" si="66"/>
        <v>0.13</v>
      </c>
      <c r="G31" s="223">
        <f t="shared" si="49"/>
        <v>0.13</v>
      </c>
      <c r="H31" s="223">
        <f t="shared" si="0"/>
        <v>0.65</v>
      </c>
      <c r="I31" s="223">
        <f t="shared" si="67"/>
        <v>0.65</v>
      </c>
      <c r="J31" s="559">
        <f t="shared" si="1"/>
        <v>24</v>
      </c>
      <c r="K31" s="454">
        <f t="shared" si="2"/>
        <v>15.75</v>
      </c>
      <c r="L31" s="454">
        <f t="shared" si="3"/>
        <v>39.75</v>
      </c>
      <c r="M31" s="454"/>
      <c r="N31" s="223">
        <f t="shared" si="4"/>
        <v>0.39622641509433965</v>
      </c>
      <c r="O31" s="178">
        <f t="shared" si="50"/>
        <v>1.6047169811320754</v>
      </c>
      <c r="P31" s="178">
        <f t="shared" si="5"/>
        <v>3.2094339622641508</v>
      </c>
      <c r="Q31" s="223">
        <f t="shared" si="6"/>
        <v>0.3209433962264151</v>
      </c>
      <c r="R31" s="223">
        <f t="shared" si="7"/>
        <v>0.3209433962264151</v>
      </c>
      <c r="S31" s="454">
        <f t="shared" si="8"/>
        <v>5</v>
      </c>
      <c r="T31" s="223">
        <f t="shared" si="9"/>
        <v>0.30379188712522043</v>
      </c>
      <c r="U31" s="223">
        <f t="shared" si="10"/>
        <v>0.5569517930629041</v>
      </c>
      <c r="V31" s="223">
        <f t="shared" si="11"/>
        <v>0.84868844657204434</v>
      </c>
      <c r="W31" s="203">
        <f t="shared" si="12"/>
        <v>350</v>
      </c>
      <c r="X31" s="454">
        <f t="shared" si="51"/>
        <v>350</v>
      </c>
      <c r="Z31" s="223">
        <f t="shared" si="13"/>
        <v>0.61749571183533458</v>
      </c>
      <c r="AA31" s="179">
        <f t="shared" si="14"/>
        <v>1.7250673854447443</v>
      </c>
      <c r="AB31" s="179">
        <f t="shared" si="15"/>
        <v>0.55924139939803896</v>
      </c>
      <c r="AC31" s="179"/>
      <c r="AD31" s="179">
        <f t="shared" si="16"/>
        <v>0.419047619047619</v>
      </c>
      <c r="AE31" s="563">
        <f t="shared" si="17"/>
        <v>1378.7878787878792</v>
      </c>
      <c r="AF31" s="546">
        <f t="shared" si="18"/>
        <v>3.2999999999999995E-2</v>
      </c>
      <c r="AH31" s="179">
        <f t="shared" si="19"/>
        <v>0.4108907018066591</v>
      </c>
      <c r="AI31" s="179">
        <f t="shared" si="20"/>
        <v>0.4108907018066591</v>
      </c>
      <c r="AJ31" s="179">
        <f t="shared" si="21"/>
        <v>1.3932523717086363</v>
      </c>
      <c r="AL31" s="563">
        <f t="shared" si="22"/>
        <v>130</v>
      </c>
      <c r="AM31" s="472">
        <f t="shared" si="23"/>
        <v>350</v>
      </c>
      <c r="AO31">
        <f t="shared" si="52"/>
        <v>130</v>
      </c>
      <c r="AP31" s="472">
        <f t="shared" si="24"/>
        <v>350</v>
      </c>
      <c r="AQ31" s="472"/>
      <c r="AR31" s="6">
        <f t="shared" si="53"/>
        <v>2.8571428571428572</v>
      </c>
      <c r="AS31" s="6">
        <f t="shared" si="25"/>
        <v>0.75329961997887496</v>
      </c>
      <c r="AT31" s="6">
        <f t="shared" si="54"/>
        <v>2.1038432371639821</v>
      </c>
      <c r="AU31" s="179">
        <f t="shared" si="55"/>
        <v>0.26365486699260621</v>
      </c>
      <c r="AW31" s="6">
        <f t="shared" si="26"/>
        <v>13.072048611111116</v>
      </c>
      <c r="AX31" s="472">
        <f t="shared" si="27"/>
        <v>1.3300749852245866</v>
      </c>
      <c r="AY31" s="6">
        <f t="shared" si="28"/>
        <v>13.072048611111116</v>
      </c>
      <c r="AZ31" s="472">
        <f t="shared" si="29"/>
        <v>2.39834201388889</v>
      </c>
      <c r="BA31" s="6">
        <f t="shared" si="30"/>
        <v>5.2758414512214045E-2</v>
      </c>
      <c r="BB31" s="6">
        <f t="shared" si="31"/>
        <v>12.962945408857303</v>
      </c>
      <c r="BC31" s="6"/>
      <c r="BD31" s="179">
        <f t="shared" si="56"/>
        <v>0.12181017932612483</v>
      </c>
      <c r="BE31" s="179">
        <f t="shared" si="32"/>
        <v>0.61069962207810669</v>
      </c>
      <c r="BF31" s="179">
        <f t="shared" si="33"/>
        <v>0.61069962207810669</v>
      </c>
      <c r="BG31" s="179"/>
      <c r="BH31" s="546">
        <f t="shared" si="34"/>
        <v>5.1932019256119401E-3</v>
      </c>
      <c r="BI31" s="546">
        <f t="shared" si="35"/>
        <v>4.2873876666638583E-2</v>
      </c>
      <c r="BJ31" s="546">
        <f t="shared" si="36"/>
        <v>4.3749999999999995E-3</v>
      </c>
      <c r="BK31" s="546">
        <f t="shared" si="37"/>
        <v>2.7651093750000001E-2</v>
      </c>
      <c r="BL31">
        <f t="shared" si="38"/>
        <v>6.96E-3</v>
      </c>
      <c r="BM31">
        <f t="shared" si="39"/>
        <v>8.7912448170668997E-2</v>
      </c>
      <c r="BN31" s="472">
        <f t="shared" si="57"/>
        <v>87.912448170668995</v>
      </c>
      <c r="BO31" s="179">
        <f t="shared" si="40"/>
        <v>3.5490000000000001E-2</v>
      </c>
      <c r="BP31" s="179">
        <f t="shared" si="41"/>
        <v>3.5490000000000001E-2</v>
      </c>
      <c r="BQ31" s="546"/>
      <c r="BS31" s="472">
        <f t="shared" si="58"/>
        <v>70.98</v>
      </c>
      <c r="BT31" s="546">
        <f t="shared" si="42"/>
        <v>2.967543957492538E-3</v>
      </c>
      <c r="BU31" s="546">
        <f t="shared" si="59"/>
        <v>1.4918161136253693E-2</v>
      </c>
      <c r="BV31" s="546">
        <f t="shared" si="43"/>
        <v>3.3565862556570812E-2</v>
      </c>
      <c r="BW31" s="546">
        <f t="shared" si="44"/>
        <v>1.2400976917565219E-2</v>
      </c>
      <c r="BX31" s="546">
        <f t="shared" si="45"/>
        <v>7.0316162830623544E-2</v>
      </c>
      <c r="BY31" s="656">
        <f t="shared" si="46"/>
        <v>2.9545454545454555E-2</v>
      </c>
      <c r="BZ31" s="472">
        <f t="shared" si="60"/>
        <v>99.861617376078101</v>
      </c>
      <c r="CA31" s="179">
        <f t="shared" si="61"/>
        <v>0.25875406554674707</v>
      </c>
      <c r="CB31" s="6">
        <f t="shared" si="62"/>
        <v>1.3</v>
      </c>
      <c r="CC31" s="179">
        <f t="shared" si="63"/>
        <v>0.83399942860390441</v>
      </c>
      <c r="CD31" s="6">
        <f t="shared" si="64"/>
        <v>83.399942860390439</v>
      </c>
      <c r="CE31">
        <f t="shared" si="65"/>
        <v>26</v>
      </c>
      <c r="CG31" s="581">
        <f t="shared" si="47"/>
        <v>-50</v>
      </c>
      <c r="CH31">
        <f t="shared" si="48"/>
        <v>-50</v>
      </c>
    </row>
    <row r="32" spans="5:86" x14ac:dyDescent="0.2">
      <c r="E32" s="176">
        <v>27</v>
      </c>
      <c r="F32" s="223">
        <f t="shared" si="66"/>
        <v>0.13500000000000001</v>
      </c>
      <c r="G32" s="223">
        <f t="shared" si="49"/>
        <v>0.13500000000000001</v>
      </c>
      <c r="H32" s="223">
        <f t="shared" si="0"/>
        <v>0.67500000000000004</v>
      </c>
      <c r="I32" s="223">
        <f t="shared" si="67"/>
        <v>0.67500000000000004</v>
      </c>
      <c r="J32" s="559">
        <f t="shared" si="1"/>
        <v>24</v>
      </c>
      <c r="K32" s="454">
        <f t="shared" si="2"/>
        <v>15.75</v>
      </c>
      <c r="L32" s="454">
        <f t="shared" si="3"/>
        <v>39.75</v>
      </c>
      <c r="M32" s="454"/>
      <c r="N32" s="223">
        <f t="shared" si="4"/>
        <v>0.39622641509433965</v>
      </c>
      <c r="O32" s="178">
        <f t="shared" si="50"/>
        <v>1.6047169811320754</v>
      </c>
      <c r="P32" s="178">
        <f t="shared" si="5"/>
        <v>3.2094339622641508</v>
      </c>
      <c r="Q32" s="223">
        <f t="shared" si="6"/>
        <v>0.3209433962264151</v>
      </c>
      <c r="R32" s="223">
        <f t="shared" si="7"/>
        <v>0.3209433962264151</v>
      </c>
      <c r="S32" s="454">
        <f t="shared" si="8"/>
        <v>5</v>
      </c>
      <c r="T32" s="223">
        <f t="shared" si="9"/>
        <v>0.31547619047619047</v>
      </c>
      <c r="U32" s="223">
        <f t="shared" si="10"/>
        <v>0.57837301587301593</v>
      </c>
      <c r="V32" s="223">
        <f t="shared" si="11"/>
        <v>0.88133030990173844</v>
      </c>
      <c r="W32" s="203">
        <f t="shared" si="12"/>
        <v>350</v>
      </c>
      <c r="X32" s="454">
        <f t="shared" si="51"/>
        <v>350</v>
      </c>
      <c r="Z32" s="223">
        <f t="shared" si="13"/>
        <v>0.61749571183533458</v>
      </c>
      <c r="AA32" s="179">
        <f t="shared" si="14"/>
        <v>1.7250673854447443</v>
      </c>
      <c r="AB32" s="179">
        <f t="shared" si="15"/>
        <v>0.55924139939803896</v>
      </c>
      <c r="AC32" s="179"/>
      <c r="AD32" s="179">
        <f t="shared" si="16"/>
        <v>0.419047619047619</v>
      </c>
      <c r="AE32" s="563">
        <f t="shared" si="17"/>
        <v>1431.8181818181822</v>
      </c>
      <c r="AF32" s="546">
        <f t="shared" si="18"/>
        <v>3.2999999999999995E-2</v>
      </c>
      <c r="AH32" s="179">
        <f t="shared" si="19"/>
        <v>0.41871789467931192</v>
      </c>
      <c r="AI32" s="179">
        <f t="shared" si="20"/>
        <v>0.41871789467931192</v>
      </c>
      <c r="AJ32" s="179">
        <f t="shared" si="21"/>
        <v>1.3990502923550459</v>
      </c>
      <c r="AL32" s="563">
        <f t="shared" si="22"/>
        <v>135</v>
      </c>
      <c r="AM32" s="472">
        <f t="shared" si="23"/>
        <v>350</v>
      </c>
      <c r="AO32">
        <f t="shared" si="52"/>
        <v>135</v>
      </c>
      <c r="AP32" s="472">
        <f t="shared" si="24"/>
        <v>350</v>
      </c>
      <c r="AQ32" s="472"/>
      <c r="AR32" s="6">
        <f t="shared" si="53"/>
        <v>2.8571428571428572</v>
      </c>
      <c r="AS32" s="6">
        <f t="shared" si="25"/>
        <v>0.76764947357873847</v>
      </c>
      <c r="AT32" s="6">
        <f t="shared" si="54"/>
        <v>2.0894933835641187</v>
      </c>
      <c r="AU32" s="179">
        <f t="shared" si="55"/>
        <v>0.26867731575255843</v>
      </c>
      <c r="AW32" s="6">
        <f t="shared" si="26"/>
        <v>13.072048611111116</v>
      </c>
      <c r="AX32" s="472">
        <f t="shared" si="27"/>
        <v>1.418779089095745</v>
      </c>
      <c r="AY32" s="6">
        <f t="shared" si="28"/>
        <v>13.072048611111116</v>
      </c>
      <c r="AZ32" s="472">
        <f t="shared" si="29"/>
        <v>2.5708007812500009</v>
      </c>
      <c r="BA32" s="6">
        <f t="shared" si="30"/>
        <v>5.4413890196982249E-2</v>
      </c>
      <c r="BB32" s="6">
        <f t="shared" si="31"/>
        <v>13.371833647275743</v>
      </c>
      <c r="BC32" s="6"/>
      <c r="BD32" s="179">
        <f t="shared" si="56"/>
        <v>0.12530730645287286</v>
      </c>
      <c r="BE32" s="179">
        <f t="shared" si="32"/>
        <v>0.6202070110211253</v>
      </c>
      <c r="BF32" s="179">
        <f t="shared" si="33"/>
        <v>0.6202070110211253</v>
      </c>
      <c r="BG32" s="179"/>
      <c r="BH32" s="546">
        <f t="shared" si="34"/>
        <v>5.4956723676659663E-3</v>
      </c>
      <c r="BI32" s="546">
        <f t="shared" si="35"/>
        <v>4.3690595322944448E-2</v>
      </c>
      <c r="BJ32" s="546">
        <f t="shared" si="36"/>
        <v>4.3749999999999995E-3</v>
      </c>
      <c r="BK32" s="546">
        <f t="shared" si="37"/>
        <v>2.7651093750000001E-2</v>
      </c>
      <c r="BL32">
        <f t="shared" si="38"/>
        <v>6.96E-3</v>
      </c>
      <c r="BM32">
        <f t="shared" si="39"/>
        <v>8.9083915298302258E-2</v>
      </c>
      <c r="BN32" s="472">
        <f t="shared" si="57"/>
        <v>89.083915298302259</v>
      </c>
      <c r="BO32" s="179">
        <f t="shared" si="40"/>
        <v>3.6855000000000006E-2</v>
      </c>
      <c r="BP32" s="179">
        <f t="shared" si="41"/>
        <v>3.6855000000000006E-2</v>
      </c>
      <c r="BQ32" s="546"/>
      <c r="BS32" s="472">
        <f t="shared" si="58"/>
        <v>73.710000000000008</v>
      </c>
      <c r="BT32" s="546">
        <f t="shared" si="42"/>
        <v>3.1403842100948386E-3</v>
      </c>
      <c r="BU32" s="546">
        <f t="shared" si="59"/>
        <v>1.5386269460790331E-2</v>
      </c>
      <c r="BV32" s="546">
        <f t="shared" si="43"/>
        <v>3.4619106286778237E-2</v>
      </c>
      <c r="BW32" s="546">
        <f t="shared" si="44"/>
        <v>1.3000016974102722E-2</v>
      </c>
      <c r="BX32" s="546">
        <f t="shared" si="45"/>
        <v>7.2832929035769628E-2</v>
      </c>
      <c r="BY32" s="656">
        <f t="shared" si="46"/>
        <v>3.0681818181818196E-2</v>
      </c>
      <c r="BZ32" s="472">
        <f t="shared" si="60"/>
        <v>103.51474721758782</v>
      </c>
      <c r="CA32" s="179">
        <f t="shared" si="61"/>
        <v>0.26630866251589008</v>
      </c>
      <c r="CB32" s="6">
        <f t="shared" si="62"/>
        <v>1.35</v>
      </c>
      <c r="CC32" s="179">
        <f t="shared" si="63"/>
        <v>0.83523650606353661</v>
      </c>
      <c r="CD32" s="6">
        <f t="shared" si="64"/>
        <v>83.523650606353655</v>
      </c>
      <c r="CE32">
        <f t="shared" si="65"/>
        <v>27</v>
      </c>
      <c r="CG32" s="581">
        <f t="shared" si="47"/>
        <v>-50</v>
      </c>
      <c r="CH32">
        <f t="shared" si="48"/>
        <v>-50</v>
      </c>
    </row>
    <row r="33" spans="5:86" x14ac:dyDescent="0.2">
      <c r="E33" s="176">
        <v>28</v>
      </c>
      <c r="F33" s="223">
        <f t="shared" si="66"/>
        <v>0.14000000000000001</v>
      </c>
      <c r="G33" s="223">
        <f t="shared" si="49"/>
        <v>0.14000000000000001</v>
      </c>
      <c r="H33" s="223">
        <f t="shared" si="0"/>
        <v>0.70000000000000007</v>
      </c>
      <c r="I33" s="223">
        <f t="shared" si="67"/>
        <v>0.70000000000000007</v>
      </c>
      <c r="J33" s="559">
        <f t="shared" si="1"/>
        <v>24</v>
      </c>
      <c r="K33" s="454">
        <f t="shared" si="2"/>
        <v>15.75</v>
      </c>
      <c r="L33" s="454">
        <f t="shared" si="3"/>
        <v>39.75</v>
      </c>
      <c r="M33" s="454"/>
      <c r="N33" s="223">
        <f t="shared" si="4"/>
        <v>0.39622641509433965</v>
      </c>
      <c r="O33" s="178">
        <f t="shared" si="50"/>
        <v>1.6047169811320754</v>
      </c>
      <c r="P33" s="178">
        <f t="shared" si="5"/>
        <v>3.2094339622641508</v>
      </c>
      <c r="Q33" s="223">
        <f t="shared" si="6"/>
        <v>0.3209433962264151</v>
      </c>
      <c r="R33" s="223">
        <f t="shared" si="7"/>
        <v>0.3209433962264151</v>
      </c>
      <c r="S33" s="454">
        <f t="shared" si="8"/>
        <v>5</v>
      </c>
      <c r="T33" s="223">
        <f t="shared" si="9"/>
        <v>0.3271604938271605</v>
      </c>
      <c r="U33" s="223">
        <f t="shared" si="10"/>
        <v>0.59979423868312753</v>
      </c>
      <c r="V33" s="223">
        <f t="shared" si="11"/>
        <v>0.91397217323143254</v>
      </c>
      <c r="W33" s="203">
        <f t="shared" si="12"/>
        <v>350</v>
      </c>
      <c r="X33" s="454">
        <f t="shared" si="51"/>
        <v>350</v>
      </c>
      <c r="Z33" s="223">
        <f t="shared" si="13"/>
        <v>0.61749571183533458</v>
      </c>
      <c r="AA33" s="179">
        <f t="shared" si="14"/>
        <v>1.7250673854447443</v>
      </c>
      <c r="AB33" s="179">
        <f t="shared" si="15"/>
        <v>0.55924139939803896</v>
      </c>
      <c r="AC33" s="179"/>
      <c r="AD33" s="179">
        <f t="shared" si="16"/>
        <v>0.419047619047619</v>
      </c>
      <c r="AE33" s="563">
        <f t="shared" si="17"/>
        <v>1484.8484848484854</v>
      </c>
      <c r="AF33" s="546">
        <f t="shared" si="18"/>
        <v>3.2999999999999995E-2</v>
      </c>
      <c r="AH33" s="179">
        <f t="shared" si="19"/>
        <v>0.42640143271122088</v>
      </c>
      <c r="AI33" s="179">
        <f t="shared" si="20"/>
        <v>0.42640143271122088</v>
      </c>
      <c r="AJ33" s="179">
        <f t="shared" si="21"/>
        <v>1.4047418020083118</v>
      </c>
      <c r="AL33" s="563">
        <f t="shared" si="22"/>
        <v>140</v>
      </c>
      <c r="AM33" s="472">
        <f t="shared" si="23"/>
        <v>350</v>
      </c>
      <c r="AO33">
        <f t="shared" si="52"/>
        <v>140</v>
      </c>
      <c r="AP33" s="472">
        <f t="shared" si="24"/>
        <v>350</v>
      </c>
      <c r="AQ33" s="472"/>
      <c r="AR33" s="6">
        <f t="shared" si="53"/>
        <v>2.8571428571428572</v>
      </c>
      <c r="AS33" s="6">
        <f t="shared" si="25"/>
        <v>0.78173595997057166</v>
      </c>
      <c r="AT33" s="6">
        <f t="shared" si="54"/>
        <v>2.0754068971722854</v>
      </c>
      <c r="AU33" s="179">
        <f t="shared" si="55"/>
        <v>0.27360758598970009</v>
      </c>
      <c r="AW33" s="6">
        <f t="shared" si="26"/>
        <v>13.072048611111116</v>
      </c>
      <c r="AX33" s="472">
        <f t="shared" si="27"/>
        <v>1.5102644799054379</v>
      </c>
      <c r="AY33" s="6">
        <f t="shared" si="28"/>
        <v>13.072048611111116</v>
      </c>
      <c r="AZ33" s="472">
        <f t="shared" si="29"/>
        <v>2.7492013888888898</v>
      </c>
      <c r="BA33" s="6">
        <f t="shared" si="30"/>
        <v>5.6048797377337943E-2</v>
      </c>
      <c r="BB33" s="6">
        <f t="shared" si="31"/>
        <v>13.775785444635185</v>
      </c>
      <c r="BC33" s="6"/>
      <c r="BD33" s="179">
        <f t="shared" si="56"/>
        <v>0.12877219396581585</v>
      </c>
      <c r="BE33" s="179">
        <f t="shared" si="32"/>
        <v>0.62945535505357186</v>
      </c>
      <c r="BF33" s="179">
        <f t="shared" si="33"/>
        <v>0.62945535505357186</v>
      </c>
      <c r="BG33" s="179"/>
      <c r="BH33" s="546">
        <f t="shared" si="34"/>
        <v>5.8037972785693944E-3</v>
      </c>
      <c r="BI33" s="546">
        <f t="shared" si="35"/>
        <v>4.4492324494461451E-2</v>
      </c>
      <c r="BJ33" s="546">
        <f t="shared" si="36"/>
        <v>4.3749999999999995E-3</v>
      </c>
      <c r="BK33" s="546">
        <f t="shared" si="37"/>
        <v>2.7651093750000001E-2</v>
      </c>
      <c r="BL33">
        <f t="shared" si="38"/>
        <v>6.96E-3</v>
      </c>
      <c r="BM33">
        <f t="shared" si="39"/>
        <v>9.0247216730510352E-2</v>
      </c>
      <c r="BN33" s="472">
        <f t="shared" si="57"/>
        <v>90.247216730510345</v>
      </c>
      <c r="BO33" s="179">
        <f t="shared" si="40"/>
        <v>3.8220000000000004E-2</v>
      </c>
      <c r="BP33" s="179">
        <f t="shared" si="41"/>
        <v>3.8220000000000004E-2</v>
      </c>
      <c r="BQ33" s="546"/>
      <c r="BS33" s="472">
        <f t="shared" si="58"/>
        <v>76.440000000000012</v>
      </c>
      <c r="BT33" s="546">
        <f t="shared" si="42"/>
        <v>3.3164555877539404E-3</v>
      </c>
      <c r="BU33" s="546">
        <f t="shared" si="59"/>
        <v>1.5848561760224728E-2</v>
      </c>
      <c r="BV33" s="546">
        <f t="shared" si="43"/>
        <v>3.5659263960505637E-2</v>
      </c>
      <c r="BW33" s="546">
        <f t="shared" si="44"/>
        <v>1.3604630576740533E-2</v>
      </c>
      <c r="BX33" s="546">
        <f t="shared" si="45"/>
        <v>7.5338254896622367E-2</v>
      </c>
      <c r="BY33" s="656">
        <f t="shared" si="46"/>
        <v>3.1818181818181829E-2</v>
      </c>
      <c r="BZ33" s="472">
        <f t="shared" si="60"/>
        <v>107.1564367148042</v>
      </c>
      <c r="CA33" s="179">
        <f t="shared" si="61"/>
        <v>0.27384365344531458</v>
      </c>
      <c r="CB33" s="6">
        <f t="shared" si="62"/>
        <v>1.4000000000000001</v>
      </c>
      <c r="CC33" s="179">
        <f t="shared" si="63"/>
        <v>0.83639830824004668</v>
      </c>
      <c r="CD33" s="6">
        <f t="shared" si="64"/>
        <v>83.639830824004662</v>
      </c>
      <c r="CE33">
        <f t="shared" si="65"/>
        <v>28.000000000000004</v>
      </c>
      <c r="CG33" s="581">
        <f t="shared" si="47"/>
        <v>-50</v>
      </c>
      <c r="CH33">
        <f t="shared" si="48"/>
        <v>-50</v>
      </c>
    </row>
    <row r="34" spans="5:86" x14ac:dyDescent="0.2">
      <c r="E34" s="176">
        <v>29</v>
      </c>
      <c r="F34" s="223">
        <f t="shared" si="66"/>
        <v>0.14499999999999999</v>
      </c>
      <c r="G34" s="223">
        <f t="shared" si="49"/>
        <v>0.14499999999999999</v>
      </c>
      <c r="H34" s="223">
        <f t="shared" si="0"/>
        <v>0.72499999999999998</v>
      </c>
      <c r="I34" s="223">
        <f t="shared" si="67"/>
        <v>0.72499999999999998</v>
      </c>
      <c r="J34" s="559">
        <f t="shared" si="1"/>
        <v>24</v>
      </c>
      <c r="K34" s="454">
        <f t="shared" si="2"/>
        <v>15.75</v>
      </c>
      <c r="L34" s="454">
        <f t="shared" si="3"/>
        <v>39.75</v>
      </c>
      <c r="M34" s="454"/>
      <c r="N34" s="223">
        <f t="shared" si="4"/>
        <v>0.39622641509433965</v>
      </c>
      <c r="O34" s="178">
        <f t="shared" si="50"/>
        <v>1.6047169811320754</v>
      </c>
      <c r="P34" s="178">
        <f t="shared" si="5"/>
        <v>3.2094339622641508</v>
      </c>
      <c r="Q34" s="223">
        <f t="shared" si="6"/>
        <v>0.3209433962264151</v>
      </c>
      <c r="R34" s="223">
        <f t="shared" si="7"/>
        <v>0.3209433962264151</v>
      </c>
      <c r="S34" s="454">
        <f t="shared" si="8"/>
        <v>5</v>
      </c>
      <c r="T34" s="223">
        <f t="shared" si="9"/>
        <v>0.33884479717813049</v>
      </c>
      <c r="U34" s="223">
        <f t="shared" si="10"/>
        <v>0.62121546149323914</v>
      </c>
      <c r="V34" s="223">
        <f t="shared" si="11"/>
        <v>0.94661403656112642</v>
      </c>
      <c r="W34" s="203">
        <f t="shared" si="12"/>
        <v>350</v>
      </c>
      <c r="X34" s="454">
        <f t="shared" si="51"/>
        <v>350</v>
      </c>
      <c r="Z34" s="223">
        <f t="shared" si="13"/>
        <v>0.61749571183533458</v>
      </c>
      <c r="AA34" s="179">
        <f t="shared" si="14"/>
        <v>1.7250673854447443</v>
      </c>
      <c r="AB34" s="179">
        <f t="shared" si="15"/>
        <v>0.55924139939803896</v>
      </c>
      <c r="AC34" s="179"/>
      <c r="AD34" s="179">
        <f t="shared" si="16"/>
        <v>0.419047619047619</v>
      </c>
      <c r="AE34" s="563">
        <f t="shared" si="17"/>
        <v>1537.878787878788</v>
      </c>
      <c r="AF34" s="546">
        <f t="shared" si="18"/>
        <v>3.2999999999999995E-2</v>
      </c>
      <c r="AH34" s="179">
        <f t="shared" si="19"/>
        <v>0.43394894666502914</v>
      </c>
      <c r="AI34" s="179">
        <f t="shared" si="20"/>
        <v>0.43394894666502914</v>
      </c>
      <c r="AJ34" s="179">
        <f t="shared" si="21"/>
        <v>1.4103325530852067</v>
      </c>
      <c r="AL34" s="563">
        <f t="shared" si="22"/>
        <v>145</v>
      </c>
      <c r="AM34" s="472">
        <f t="shared" si="23"/>
        <v>350</v>
      </c>
      <c r="AO34">
        <f t="shared" si="52"/>
        <v>145</v>
      </c>
      <c r="AP34" s="472">
        <f t="shared" si="24"/>
        <v>350</v>
      </c>
      <c r="AQ34" s="472"/>
      <c r="AR34" s="6">
        <f t="shared" si="53"/>
        <v>2.8571428571428572</v>
      </c>
      <c r="AS34" s="6">
        <f t="shared" si="25"/>
        <v>0.79557306888588664</v>
      </c>
      <c r="AT34" s="6">
        <f t="shared" si="54"/>
        <v>2.0615697882569703</v>
      </c>
      <c r="AU34" s="179">
        <f t="shared" si="55"/>
        <v>0.2784505741100603</v>
      </c>
      <c r="AW34" s="6">
        <f t="shared" si="26"/>
        <v>13.072048611111116</v>
      </c>
      <c r="AX34" s="472">
        <f t="shared" si="27"/>
        <v>1.6045311576536645</v>
      </c>
      <c r="AY34" s="6">
        <f t="shared" si="28"/>
        <v>13.072048611111116</v>
      </c>
      <c r="AZ34" s="472">
        <f t="shared" si="29"/>
        <v>2.9335438368055562</v>
      </c>
      <c r="BA34" s="6">
        <f t="shared" si="30"/>
        <v>5.766350680888515E-2</v>
      </c>
      <c r="BB34" s="6">
        <f t="shared" si="31"/>
        <v>14.174889782280585</v>
      </c>
      <c r="BC34" s="6"/>
      <c r="BD34" s="179">
        <f t="shared" si="56"/>
        <v>0.13220627534529053</v>
      </c>
      <c r="BE34" s="179">
        <f t="shared" si="32"/>
        <v>0.6384579639796123</v>
      </c>
      <c r="BF34" s="179">
        <f t="shared" si="33"/>
        <v>0.6384579639796123</v>
      </c>
      <c r="BG34" s="179"/>
      <c r="BH34" s="546">
        <f t="shared" si="34"/>
        <v>6.1174747342361705E-3</v>
      </c>
      <c r="BI34" s="546">
        <f t="shared" si="35"/>
        <v>4.5279860403579127E-2</v>
      </c>
      <c r="BJ34" s="546">
        <f t="shared" si="36"/>
        <v>4.3749999999999995E-3</v>
      </c>
      <c r="BK34" s="546">
        <f t="shared" si="37"/>
        <v>2.7651093750000001E-2</v>
      </c>
      <c r="BL34">
        <f t="shared" si="38"/>
        <v>6.96E-3</v>
      </c>
      <c r="BM34">
        <f t="shared" si="39"/>
        <v>9.1403035447771716E-2</v>
      </c>
      <c r="BN34" s="472">
        <f t="shared" si="57"/>
        <v>91.403035447771714</v>
      </c>
      <c r="BO34" s="179">
        <f t="shared" si="40"/>
        <v>3.9584999999999995E-2</v>
      </c>
      <c r="BP34" s="179">
        <f t="shared" si="41"/>
        <v>3.9584999999999995E-2</v>
      </c>
      <c r="BQ34" s="546"/>
      <c r="BS34" s="472">
        <f t="shared" si="58"/>
        <v>79.169999999999987</v>
      </c>
      <c r="BT34" s="546">
        <f t="shared" si="42"/>
        <v>3.4956998481349547E-3</v>
      </c>
      <c r="BU34" s="546">
        <f t="shared" si="59"/>
        <v>1.6305142870759678E-2</v>
      </c>
      <c r="BV34" s="546">
        <f t="shared" si="43"/>
        <v>3.6686571459209269E-2</v>
      </c>
      <c r="BW34" s="546">
        <f t="shared" si="44"/>
        <v>1.4214667700335313E-2</v>
      </c>
      <c r="BX34" s="546">
        <f t="shared" si="45"/>
        <v>7.7832295187386283E-2</v>
      </c>
      <c r="BY34" s="656">
        <f t="shared" si="46"/>
        <v>3.2954545454545459E-2</v>
      </c>
      <c r="BZ34" s="472">
        <f t="shared" si="60"/>
        <v>110.78684064193175</v>
      </c>
      <c r="CA34" s="179">
        <f t="shared" si="61"/>
        <v>0.28135987608970342</v>
      </c>
      <c r="CB34" s="6">
        <f t="shared" si="62"/>
        <v>1.45</v>
      </c>
      <c r="CC34" s="179">
        <f t="shared" si="63"/>
        <v>0.83749197380895879</v>
      </c>
      <c r="CD34" s="6">
        <f t="shared" si="64"/>
        <v>83.749197380895879</v>
      </c>
      <c r="CE34">
        <f t="shared" si="65"/>
        <v>28.999999999999996</v>
      </c>
      <c r="CG34" s="581">
        <f t="shared" si="47"/>
        <v>-50</v>
      </c>
      <c r="CH34">
        <f t="shared" si="48"/>
        <v>-50</v>
      </c>
    </row>
    <row r="35" spans="5:86" x14ac:dyDescent="0.2">
      <c r="E35" s="176">
        <v>30</v>
      </c>
      <c r="F35" s="223">
        <f t="shared" si="66"/>
        <v>0.15</v>
      </c>
      <c r="G35" s="223">
        <f t="shared" si="49"/>
        <v>0.15</v>
      </c>
      <c r="H35" s="223">
        <f t="shared" si="0"/>
        <v>0.75</v>
      </c>
      <c r="I35" s="223">
        <f t="shared" si="67"/>
        <v>0.75</v>
      </c>
      <c r="J35" s="559">
        <f t="shared" si="1"/>
        <v>24</v>
      </c>
      <c r="K35" s="454">
        <f t="shared" si="2"/>
        <v>15.75</v>
      </c>
      <c r="L35" s="454">
        <f t="shared" si="3"/>
        <v>39.75</v>
      </c>
      <c r="M35" s="454"/>
      <c r="N35" s="223">
        <f t="shared" si="4"/>
        <v>0.39622641509433965</v>
      </c>
      <c r="O35" s="178">
        <f t="shared" si="50"/>
        <v>1.6047169811320754</v>
      </c>
      <c r="P35" s="178">
        <f t="shared" si="5"/>
        <v>3.2094339622641508</v>
      </c>
      <c r="Q35" s="223">
        <f t="shared" si="6"/>
        <v>0.3209433962264151</v>
      </c>
      <c r="R35" s="223">
        <f t="shared" si="7"/>
        <v>0.3209433962264151</v>
      </c>
      <c r="S35" s="454">
        <f t="shared" si="8"/>
        <v>5</v>
      </c>
      <c r="T35" s="223">
        <f t="shared" si="9"/>
        <v>0.35052910052910052</v>
      </c>
      <c r="U35" s="223">
        <f t="shared" si="10"/>
        <v>0.64263668430335097</v>
      </c>
      <c r="V35" s="223">
        <f t="shared" si="11"/>
        <v>0.9792558998908204</v>
      </c>
      <c r="W35" s="203">
        <f t="shared" si="12"/>
        <v>350</v>
      </c>
      <c r="X35" s="454">
        <f t="shared" si="51"/>
        <v>350</v>
      </c>
      <c r="Z35" s="223">
        <f t="shared" si="13"/>
        <v>0.61749571183533458</v>
      </c>
      <c r="AA35" s="179">
        <f t="shared" si="14"/>
        <v>1.7250673854447443</v>
      </c>
      <c r="AB35" s="179">
        <f t="shared" si="15"/>
        <v>0.55924139939803896</v>
      </c>
      <c r="AC35" s="179"/>
      <c r="AD35" s="179">
        <f t="shared" si="16"/>
        <v>0.419047619047619</v>
      </c>
      <c r="AE35" s="563">
        <f t="shared" si="17"/>
        <v>1590.909090909091</v>
      </c>
      <c r="AF35" s="546">
        <f t="shared" si="18"/>
        <v>3.2999999999999995E-2</v>
      </c>
      <c r="AH35" s="179">
        <f t="shared" si="19"/>
        <v>0.44136741475237479</v>
      </c>
      <c r="AI35" s="179">
        <f t="shared" si="20"/>
        <v>0.44136741475237479</v>
      </c>
      <c r="AJ35" s="179">
        <f t="shared" si="21"/>
        <v>1.4158277146313887</v>
      </c>
      <c r="AL35" s="563">
        <f t="shared" si="22"/>
        <v>150</v>
      </c>
      <c r="AM35" s="472">
        <f t="shared" si="23"/>
        <v>350</v>
      </c>
      <c r="AO35">
        <f t="shared" si="52"/>
        <v>150</v>
      </c>
      <c r="AP35" s="472">
        <f t="shared" si="24"/>
        <v>350</v>
      </c>
      <c r="AQ35" s="472"/>
      <c r="AR35" s="6">
        <f t="shared" si="53"/>
        <v>2.8571428571428572</v>
      </c>
      <c r="AS35" s="6">
        <f t="shared" si="25"/>
        <v>0.80917359371268716</v>
      </c>
      <c r="AT35" s="6">
        <f t="shared" si="54"/>
        <v>2.0479692634301703</v>
      </c>
      <c r="AU35" s="179">
        <f t="shared" si="55"/>
        <v>0.28321075779944049</v>
      </c>
      <c r="AW35" s="6">
        <f t="shared" si="26"/>
        <v>13.072048611111116</v>
      </c>
      <c r="AX35" s="472">
        <f t="shared" si="27"/>
        <v>1.7015791223404257</v>
      </c>
      <c r="AY35" s="6">
        <f t="shared" si="28"/>
        <v>13.072048611111116</v>
      </c>
      <c r="AZ35" s="472">
        <f t="shared" si="29"/>
        <v>3.1238281250000002</v>
      </c>
      <c r="BA35" s="6">
        <f t="shared" si="30"/>
        <v>5.925836989091926E-2</v>
      </c>
      <c r="BB35" s="6">
        <f t="shared" si="31"/>
        <v>14.569230996042849</v>
      </c>
      <c r="BC35" s="6"/>
      <c r="BD35" s="179">
        <f t="shared" si="56"/>
        <v>0.13561087326617882</v>
      </c>
      <c r="BE35" s="179">
        <f t="shared" si="32"/>
        <v>0.64722701108918801</v>
      </c>
      <c r="BF35" s="179">
        <f t="shared" si="33"/>
        <v>0.64722701108918801</v>
      </c>
      <c r="BG35" s="179"/>
      <c r="BH35" s="546">
        <f t="shared" si="34"/>
        <v>6.4366081318054649E-3</v>
      </c>
      <c r="BI35" s="546">
        <f t="shared" si="35"/>
        <v>4.6053931183068102E-2</v>
      </c>
      <c r="BJ35" s="546">
        <f t="shared" si="36"/>
        <v>4.3749999999999995E-3</v>
      </c>
      <c r="BK35" s="546">
        <f t="shared" si="37"/>
        <v>2.7651093750000001E-2</v>
      </c>
      <c r="BL35">
        <f t="shared" si="38"/>
        <v>6.96E-3</v>
      </c>
      <c r="BM35">
        <f t="shared" si="39"/>
        <v>9.2551992457034188E-2</v>
      </c>
      <c r="BN35" s="472">
        <f t="shared" si="57"/>
        <v>92.551992457034189</v>
      </c>
      <c r="BO35" s="179">
        <f t="shared" si="40"/>
        <v>4.095E-2</v>
      </c>
      <c r="BP35" s="179">
        <f t="shared" si="41"/>
        <v>4.095E-2</v>
      </c>
      <c r="BQ35" s="546"/>
      <c r="BS35" s="472">
        <f t="shared" si="58"/>
        <v>81.900000000000006</v>
      </c>
      <c r="BT35" s="546">
        <f t="shared" si="42"/>
        <v>3.6780617896031232E-3</v>
      </c>
      <c r="BU35" s="546">
        <f t="shared" si="59"/>
        <v>1.6756112155337757E-2</v>
      </c>
      <c r="BV35" s="546">
        <f t="shared" si="43"/>
        <v>3.7701252349509953E-2</v>
      </c>
      <c r="BW35" s="546">
        <f t="shared" si="44"/>
        <v>1.4829987417986211E-2</v>
      </c>
      <c r="BX35" s="546">
        <f t="shared" si="45"/>
        <v>8.0315197527465729E-2</v>
      </c>
      <c r="BY35" s="656">
        <f t="shared" si="46"/>
        <v>3.4090909090909102E-2</v>
      </c>
      <c r="BZ35" s="472">
        <f t="shared" si="60"/>
        <v>114.40610661837484</v>
      </c>
      <c r="CA35" s="179">
        <f t="shared" si="61"/>
        <v>0.28885809907540905</v>
      </c>
      <c r="CB35" s="6">
        <f t="shared" si="62"/>
        <v>1.5</v>
      </c>
      <c r="CC35" s="179">
        <f t="shared" si="63"/>
        <v>0.83852374918686479</v>
      </c>
      <c r="CD35" s="6">
        <f t="shared" si="64"/>
        <v>83.852374918686479</v>
      </c>
      <c r="CE35">
        <f t="shared" si="65"/>
        <v>30</v>
      </c>
      <c r="CG35" s="581">
        <f t="shared" si="47"/>
        <v>-50</v>
      </c>
      <c r="CH35">
        <f t="shared" si="48"/>
        <v>-50</v>
      </c>
    </row>
    <row r="36" spans="5:86" x14ac:dyDescent="0.2">
      <c r="E36" s="176">
        <v>31</v>
      </c>
      <c r="F36" s="223">
        <f t="shared" si="66"/>
        <v>0.155</v>
      </c>
      <c r="G36" s="223">
        <f t="shared" si="49"/>
        <v>0.155</v>
      </c>
      <c r="H36" s="223">
        <f t="shared" si="0"/>
        <v>0.77500000000000002</v>
      </c>
      <c r="I36" s="223">
        <f t="shared" si="67"/>
        <v>0.77500000000000002</v>
      </c>
      <c r="J36" s="559">
        <f t="shared" si="1"/>
        <v>24</v>
      </c>
      <c r="K36" s="454">
        <f t="shared" si="2"/>
        <v>15.75</v>
      </c>
      <c r="L36" s="454">
        <f t="shared" si="3"/>
        <v>39.75</v>
      </c>
      <c r="M36" s="454"/>
      <c r="N36" s="223">
        <f t="shared" si="4"/>
        <v>0.39622641509433965</v>
      </c>
      <c r="O36" s="178">
        <f t="shared" si="50"/>
        <v>1.6047169811320754</v>
      </c>
      <c r="P36" s="178">
        <f t="shared" si="5"/>
        <v>3.2094339622641508</v>
      </c>
      <c r="Q36" s="223">
        <f t="shared" si="6"/>
        <v>0.3209433962264151</v>
      </c>
      <c r="R36" s="223">
        <f t="shared" si="7"/>
        <v>0.3209433962264151</v>
      </c>
      <c r="S36" s="454">
        <f t="shared" si="8"/>
        <v>5</v>
      </c>
      <c r="T36" s="223">
        <f t="shared" si="9"/>
        <v>0.36221340388007051</v>
      </c>
      <c r="U36" s="223">
        <f t="shared" si="10"/>
        <v>0.66405790711346258</v>
      </c>
      <c r="V36" s="223">
        <f t="shared" si="11"/>
        <v>1.0118977632205144</v>
      </c>
      <c r="W36" s="203">
        <f t="shared" si="12"/>
        <v>350</v>
      </c>
      <c r="X36" s="454">
        <f t="shared" si="51"/>
        <v>350</v>
      </c>
      <c r="Z36" s="223">
        <f t="shared" si="13"/>
        <v>0.61749571183533458</v>
      </c>
      <c r="AA36" s="179">
        <f t="shared" si="14"/>
        <v>1.7250673854447443</v>
      </c>
      <c r="AB36" s="179">
        <f t="shared" si="15"/>
        <v>0.55924139939803896</v>
      </c>
      <c r="AC36" s="179"/>
      <c r="AD36" s="179">
        <f t="shared" si="16"/>
        <v>0.419047619047619</v>
      </c>
      <c r="AE36" s="563">
        <f t="shared" si="17"/>
        <v>1643.9393939393944</v>
      </c>
      <c r="AF36" s="546">
        <f t="shared" si="18"/>
        <v>3.2999999999999995E-2</v>
      </c>
      <c r="AH36" s="179">
        <f t="shared" si="19"/>
        <v>0.44866323818505716</v>
      </c>
      <c r="AI36" s="179">
        <f t="shared" si="20"/>
        <v>0.44866323818505716</v>
      </c>
      <c r="AJ36" s="179">
        <f t="shared" si="21"/>
        <v>1.4212320282852275</v>
      </c>
      <c r="AL36" s="563">
        <f t="shared" si="22"/>
        <v>155</v>
      </c>
      <c r="AM36" s="472">
        <f t="shared" si="23"/>
        <v>350</v>
      </c>
      <c r="AO36">
        <f t="shared" si="52"/>
        <v>155</v>
      </c>
      <c r="AP36" s="472">
        <f t="shared" si="24"/>
        <v>350</v>
      </c>
      <c r="AQ36" s="472"/>
      <c r="AR36" s="6">
        <f t="shared" si="53"/>
        <v>2.8571428571428572</v>
      </c>
      <c r="AS36" s="6">
        <f t="shared" si="25"/>
        <v>0.82254927000593814</v>
      </c>
      <c r="AT36" s="6">
        <f t="shared" si="54"/>
        <v>2.0345935871369192</v>
      </c>
      <c r="AU36" s="179">
        <f t="shared" si="55"/>
        <v>0.28789224450207834</v>
      </c>
      <c r="AW36" s="6">
        <f t="shared" si="26"/>
        <v>13.072048611111116</v>
      </c>
      <c r="AX36" s="472">
        <f t="shared" si="27"/>
        <v>1.8014083739657214</v>
      </c>
      <c r="AY36" s="6">
        <f t="shared" si="28"/>
        <v>13.072048611111116</v>
      </c>
      <c r="AZ36" s="472">
        <f t="shared" si="29"/>
        <v>3.3200542534722235</v>
      </c>
      <c r="BA36" s="6">
        <f t="shared" si="30"/>
        <v>6.0833720294410192E-2</v>
      </c>
      <c r="BB36" s="6">
        <f t="shared" si="31"/>
        <v>14.958889166954744</v>
      </c>
      <c r="BC36" s="6"/>
      <c r="BD36" s="179">
        <f t="shared" si="56"/>
        <v>0.13898721156067628</v>
      </c>
      <c r="BE36" s="179">
        <f t="shared" si="32"/>
        <v>0.65577366453632013</v>
      </c>
      <c r="BF36" s="179">
        <f t="shared" si="33"/>
        <v>0.65577366453632013</v>
      </c>
      <c r="BG36" s="179"/>
      <c r="BH36" s="546">
        <f t="shared" si="34"/>
        <v>6.7611057420942644E-3</v>
      </c>
      <c r="BI36" s="546">
        <f t="shared" si="35"/>
        <v>4.6815204759372051E-2</v>
      </c>
      <c r="BJ36" s="546">
        <f t="shared" si="36"/>
        <v>4.3749999999999995E-3</v>
      </c>
      <c r="BK36" s="546">
        <f t="shared" si="37"/>
        <v>2.7651093750000001E-2</v>
      </c>
      <c r="BL36">
        <f t="shared" si="38"/>
        <v>6.96E-3</v>
      </c>
      <c r="BM36">
        <f t="shared" si="39"/>
        <v>9.3694654161012206E-2</v>
      </c>
      <c r="BN36" s="472">
        <f t="shared" si="57"/>
        <v>93.69465416101221</v>
      </c>
      <c r="BO36" s="179">
        <f t="shared" si="40"/>
        <v>4.2314999999999998E-2</v>
      </c>
      <c r="BP36" s="179">
        <f t="shared" si="41"/>
        <v>4.2314999999999998E-2</v>
      </c>
      <c r="BQ36" s="546"/>
      <c r="BS36" s="472">
        <f t="shared" si="58"/>
        <v>84.63</v>
      </c>
      <c r="BT36" s="546">
        <f t="shared" si="42"/>
        <v>3.8634889954824374E-3</v>
      </c>
      <c r="BU36" s="546">
        <f t="shared" si="59"/>
        <v>1.7201563963975767E-2</v>
      </c>
      <c r="BV36" s="546">
        <f t="shared" si="43"/>
        <v>3.8703518918945475E-2</v>
      </c>
      <c r="BW36" s="546">
        <f t="shared" si="44"/>
        <v>1.545045706284618E-2</v>
      </c>
      <c r="BX36" s="546">
        <f t="shared" si="45"/>
        <v>8.2787102919574571E-2</v>
      </c>
      <c r="BY36" s="656">
        <f t="shared" si="46"/>
        <v>3.5227272727272739E-2</v>
      </c>
      <c r="BZ36" s="472">
        <f t="shared" si="60"/>
        <v>118.0143756468473</v>
      </c>
      <c r="CA36" s="179">
        <f t="shared" si="61"/>
        <v>0.29633902980785948</v>
      </c>
      <c r="CB36" s="6">
        <f t="shared" si="62"/>
        <v>1.55</v>
      </c>
      <c r="CC36" s="179">
        <f t="shared" si="63"/>
        <v>0.83949912501243174</v>
      </c>
      <c r="CD36" s="6">
        <f t="shared" si="64"/>
        <v>83.949912501243176</v>
      </c>
      <c r="CE36">
        <f t="shared" si="65"/>
        <v>31</v>
      </c>
      <c r="CG36" s="581">
        <f t="shared" si="47"/>
        <v>-50</v>
      </c>
      <c r="CH36">
        <f t="shared" si="48"/>
        <v>-50</v>
      </c>
    </row>
    <row r="37" spans="5:86" x14ac:dyDescent="0.2">
      <c r="E37" s="176">
        <v>32</v>
      </c>
      <c r="F37" s="223">
        <f t="shared" si="66"/>
        <v>0.16</v>
      </c>
      <c r="G37" s="223">
        <f t="shared" si="49"/>
        <v>0.16</v>
      </c>
      <c r="H37" s="223">
        <f t="shared" ref="H37:H68" si="68">F37*Vout</f>
        <v>0.8</v>
      </c>
      <c r="I37" s="223">
        <f t="shared" si="67"/>
        <v>0.8</v>
      </c>
      <c r="J37" s="559">
        <f t="shared" si="1"/>
        <v>24</v>
      </c>
      <c r="K37" s="454">
        <f t="shared" si="2"/>
        <v>15.75</v>
      </c>
      <c r="L37" s="454">
        <f t="shared" si="3"/>
        <v>39.75</v>
      </c>
      <c r="M37" s="454"/>
      <c r="N37" s="223">
        <f t="shared" si="4"/>
        <v>0.39622641509433965</v>
      </c>
      <c r="O37" s="178">
        <f t="shared" si="50"/>
        <v>1.6047169811320754</v>
      </c>
      <c r="P37" s="178">
        <f t="shared" ref="P37:P68" si="69">N37*J37*Isw_max*0.5*Efficiency*(Pout2/Pout_total)</f>
        <v>3.2094339622641508</v>
      </c>
      <c r="Q37" s="223">
        <f t="shared" si="6"/>
        <v>0.3209433962264151</v>
      </c>
      <c r="R37" s="223">
        <f t="shared" ref="R37:R68" si="70">O37/Vout2</f>
        <v>0.3209433962264151</v>
      </c>
      <c r="S37" s="454">
        <f t="shared" ref="S37:S68" si="71">MIN(Vout,O37/F37)</f>
        <v>5</v>
      </c>
      <c r="T37" s="223">
        <f t="shared" ref="T37:T68" si="72">MIN(2*(Vout*F37+Vout2*G37)/(Efficiency*J37*N37), Isw_max)</f>
        <v>0.37389770723104054</v>
      </c>
      <c r="U37" s="223">
        <f t="shared" si="10"/>
        <v>0.68547912992357429</v>
      </c>
      <c r="V37" s="223">
        <f t="shared" si="11"/>
        <v>1.0445396265502083</v>
      </c>
      <c r="W37" s="203">
        <f t="shared" si="12"/>
        <v>350</v>
      </c>
      <c r="X37" s="454">
        <f t="shared" si="51"/>
        <v>350</v>
      </c>
      <c r="Z37" s="223">
        <f t="shared" si="13"/>
        <v>0.61749571183533458</v>
      </c>
      <c r="AA37" s="179">
        <f t="shared" si="14"/>
        <v>1.7250673854447443</v>
      </c>
      <c r="AB37" s="179">
        <f t="shared" ref="AB37:AB68" si="73">0.5*AA37*Z37*Nps*W37/1000*(Pout/Pout_total)</f>
        <v>0.55924139939803896</v>
      </c>
      <c r="AC37" s="179"/>
      <c r="AD37" s="179">
        <f t="shared" si="16"/>
        <v>0.419047619047619</v>
      </c>
      <c r="AE37" s="563">
        <f t="shared" ref="AE37:AE68" si="74">MAX(10, F37/(0.5*AD37/1000000*Isw_min*Nps)/1000*Pout_total/Pout)</f>
        <v>1696.9696969696972</v>
      </c>
      <c r="AF37" s="546">
        <f t="shared" ref="AF37:AF68" si="75">0.5*AD37/1000000*Isw_min*Nps*W37*1000*(Pout/Pout_total)</f>
        <v>3.2999999999999995E-2</v>
      </c>
      <c r="AH37" s="179">
        <f t="shared" ref="AH37:AH68" si="76">SQRT((H37+I37)/(0.5*L*Fsw_DCM))</f>
        <v>0.45584230583855179</v>
      </c>
      <c r="AI37" s="179">
        <f t="shared" ref="AI37:AI68" si="77">MAX(IF(F37&gt;AB37,T37,AH37),Isw_min)</f>
        <v>0.45584230583855179</v>
      </c>
      <c r="AJ37" s="179">
        <f t="shared" ref="AJ37:AJ68" si="78">IF(F37&gt;AF37, (AI37-Isw_min)/1.08*0.8+1.2, AE37*0.2/350+1)</f>
        <v>1.4265498561767049</v>
      </c>
      <c r="AL37" s="563">
        <f t="shared" ref="AL37:AL68" si="79">F37*1000</f>
        <v>160</v>
      </c>
      <c r="AM37" s="472">
        <f t="shared" ref="AM37:AM68" si="80">IF(F37&gt;AF37, X37, AE37)</f>
        <v>350</v>
      </c>
      <c r="AO37">
        <f t="shared" si="52"/>
        <v>160</v>
      </c>
      <c r="AP37" s="472">
        <f t="shared" si="24"/>
        <v>350</v>
      </c>
      <c r="AQ37" s="472"/>
      <c r="AR37" s="6">
        <f t="shared" si="53"/>
        <v>2.8571428571428572</v>
      </c>
      <c r="AS37" s="6">
        <f t="shared" si="25"/>
        <v>0.835710894037345</v>
      </c>
      <c r="AT37" s="6">
        <f t="shared" si="54"/>
        <v>2.0214319631055124</v>
      </c>
      <c r="AU37" s="179">
        <f t="shared" si="55"/>
        <v>0.29249881291307073</v>
      </c>
      <c r="AW37" s="6">
        <f t="shared" ref="AW37:AW68" si="81">L*Iout^2/(2*Vripple1_spec*Vout*Npri_sec1^2)*1000000000*((1+N37)/(1-N37))^2</f>
        <v>13.072048611111116</v>
      </c>
      <c r="AX37" s="472">
        <f t="shared" ref="AX37:AX68" si="82">L*F37^2/(2*Cout*Vout*Nps^2)*1000000000*((1+N37)/(1-N37))^2+F37*RCoutEsr</f>
        <v>1.904018912529551</v>
      </c>
      <c r="AY37" s="6">
        <f t="shared" ref="AY37:AY68" si="83">L*Iout2^2/(2*Vripple2_spec*Vout2*Npri_sec2^2)*1000000000*((1+N37)/(1-N37))^2</f>
        <v>13.072048611111116</v>
      </c>
      <c r="AZ37" s="472">
        <f t="shared" ref="AZ37:AZ68" si="84">L*G37^2/(2*Cout2*Vout2*Npri_sec2^2)*1000000000*((1+N37)/(1-N37))^2+G37*CoutEsr2</f>
        <v>3.5222222222222226</v>
      </c>
      <c r="BA37" s="6">
        <f t="shared" si="30"/>
        <v>6.2389875404491119E-2</v>
      </c>
      <c r="BB37" s="6">
        <f t="shared" ref="BB37:BB68" si="85">((CB37/J37/Efficiency)*AT37/Cin+(CB37/J37/Efficiency)*RCinEsr)*1000</f>
        <v>15.343940467448238</v>
      </c>
      <c r="BC37" s="6"/>
      <c r="BD37" s="179">
        <f t="shared" si="56"/>
        <v>0.1423364255462001</v>
      </c>
      <c r="BE37" s="179">
        <f t="shared" ref="BE37:BE68" si="86">AI37*Npri_sec1*SQRT((1-AU37)/3)*(Pout/Pout_total)</f>
        <v>0.66410819979970326</v>
      </c>
      <c r="BF37" s="179">
        <f t="shared" ref="BF37:BF68" si="87">AI37*Npri_sec2*SQRT((1-AU37)/3)*(Pout2/Pout_total)</f>
        <v>0.66410819979970326</v>
      </c>
      <c r="BG37" s="179"/>
      <c r="BH37" s="546">
        <f t="shared" si="34"/>
        <v>7.0908803130441374E-3</v>
      </c>
      <c r="BI37" s="546">
        <f t="shared" si="35"/>
        <v>4.7564295599841384E-2</v>
      </c>
      <c r="BJ37" s="546">
        <f t="shared" si="36"/>
        <v>4.3749999999999995E-3</v>
      </c>
      <c r="BK37" s="546">
        <f t="shared" si="37"/>
        <v>2.7651093750000001E-2</v>
      </c>
      <c r="BL37">
        <f t="shared" si="38"/>
        <v>6.96E-3</v>
      </c>
      <c r="BM37">
        <f t="shared" ref="BM37:BM68" si="88">(BI37+BJ37+BK37+BL37+BH37*(1+RdsonTC*(Ta-25)))/(1-BH37*RdsonTC*ThetaJA)</f>
        <v>9.4831538649993954E-2</v>
      </c>
      <c r="BN37" s="472">
        <f t="shared" si="57"/>
        <v>94.831538649993959</v>
      </c>
      <c r="BO37" s="179">
        <f t="shared" ref="BO37:BO68" si="89">Vfwd2*F37*(1+Diode_TC/1000*(Ta-25))</f>
        <v>4.3680000000000004E-2</v>
      </c>
      <c r="BP37" s="179">
        <f t="shared" ref="BP37:BP68" si="90">Vfwd2*G37*(1+Diode_TC/1000*(Ta-25))</f>
        <v>4.3680000000000004E-2</v>
      </c>
      <c r="BQ37" s="546"/>
      <c r="BS37" s="472">
        <f t="shared" si="58"/>
        <v>87.360000000000014</v>
      </c>
      <c r="BT37" s="546">
        <f t="shared" si="42"/>
        <v>4.0519316074537929E-3</v>
      </c>
      <c r="BU37" s="546">
        <f t="shared" si="59"/>
        <v>1.7641588041648105E-2</v>
      </c>
      <c r="BV37" s="546">
        <f t="shared" ref="BV37:BV68" si="91">Rdcr_sec2*BF37^2</f>
        <v>3.9693573093708232E-2</v>
      </c>
      <c r="BW37" s="546">
        <f t="shared" si="44"/>
        <v>1.6075951491839338E-2</v>
      </c>
      <c r="BX37" s="546">
        <f t="shared" ref="BX37:BX68" si="92">(BW37+(BT37+BU37+BV37)*(1+Ltc*(Ta-25)))/(1-(BT37+BU37+BV37)*Ltc*ThetaCa)</f>
        <v>8.5248146232500849E-2</v>
      </c>
      <c r="BY37" s="656">
        <f t="shared" ref="BY37:BY68" si="93">0.5*Lleak*0.000000001*AI37^2*AM37*1000</f>
        <v>3.6363636363636362E-2</v>
      </c>
      <c r="BZ37" s="472">
        <f t="shared" si="60"/>
        <v>121.61178259613722</v>
      </c>
      <c r="CA37" s="179">
        <f t="shared" si="61"/>
        <v>0.30380332124613119</v>
      </c>
      <c r="CB37" s="6">
        <f t="shared" si="62"/>
        <v>1.6</v>
      </c>
      <c r="CC37" s="179">
        <f t="shared" si="63"/>
        <v>0.84042294818181251</v>
      </c>
      <c r="CD37" s="6">
        <f t="shared" si="64"/>
        <v>84.042294818181247</v>
      </c>
      <c r="CE37">
        <f t="shared" si="65"/>
        <v>32</v>
      </c>
      <c r="CG37" s="581">
        <f t="shared" ref="CG37:CG68" si="94">IF(ABS(F37-Ioutmax_Vinnom)&lt;Iout/200, AM37, -50)</f>
        <v>-50</v>
      </c>
      <c r="CH37">
        <f t="shared" ref="CH37:CH68" si="95">IF(ABS(F37-Ioutmax_Vinnom)&lt;Iout/200, (O37+P37)*CC37, -50)</f>
        <v>-50</v>
      </c>
    </row>
    <row r="38" spans="5:86" x14ac:dyDescent="0.2">
      <c r="E38" s="176">
        <v>33</v>
      </c>
      <c r="F38" s="223">
        <f t="shared" si="66"/>
        <v>0.16500000000000001</v>
      </c>
      <c r="G38" s="223">
        <f t="shared" ref="G38:G69" si="96">IF(PLOT_TYPE=1, E38/100*Iout2, min_I*EXP(Q38*rr/100))</f>
        <v>0.16500000000000001</v>
      </c>
      <c r="H38" s="223">
        <f t="shared" si="68"/>
        <v>0.82500000000000007</v>
      </c>
      <c r="I38" s="223">
        <f t="shared" si="67"/>
        <v>0.82500000000000007</v>
      </c>
      <c r="J38" s="559">
        <f t="shared" si="1"/>
        <v>24</v>
      </c>
      <c r="K38" s="454">
        <f t="shared" si="2"/>
        <v>15.75</v>
      </c>
      <c r="L38" s="454">
        <f t="shared" si="3"/>
        <v>39.75</v>
      </c>
      <c r="M38" s="454"/>
      <c r="N38" s="223">
        <f t="shared" si="4"/>
        <v>0.39622641509433965</v>
      </c>
      <c r="O38" s="178">
        <f t="shared" ref="O38:O69" si="97">N38*J38*Isw_max*0.5*Efficiency*Pout/(Pout+Pout2)</f>
        <v>1.6047169811320754</v>
      </c>
      <c r="P38" s="178">
        <f t="shared" si="69"/>
        <v>3.2094339622641508</v>
      </c>
      <c r="Q38" s="223">
        <f t="shared" si="6"/>
        <v>0.3209433962264151</v>
      </c>
      <c r="R38" s="223">
        <f t="shared" si="70"/>
        <v>0.3209433962264151</v>
      </c>
      <c r="S38" s="454">
        <f t="shared" si="71"/>
        <v>5</v>
      </c>
      <c r="T38" s="223">
        <f t="shared" si="72"/>
        <v>0.38558201058201058</v>
      </c>
      <c r="U38" s="223">
        <f t="shared" si="10"/>
        <v>0.70690035273368601</v>
      </c>
      <c r="V38" s="223">
        <f t="shared" si="11"/>
        <v>1.0771814898799026</v>
      </c>
      <c r="W38" s="203">
        <f t="shared" si="12"/>
        <v>350</v>
      </c>
      <c r="X38" s="454">
        <f t="shared" si="51"/>
        <v>350</v>
      </c>
      <c r="Z38" s="223">
        <f t="shared" si="13"/>
        <v>0.61749571183533458</v>
      </c>
      <c r="AA38" s="179">
        <f t="shared" si="14"/>
        <v>1.7250673854447443</v>
      </c>
      <c r="AB38" s="179">
        <f t="shared" si="73"/>
        <v>0.55924139939803896</v>
      </c>
      <c r="AC38" s="179"/>
      <c r="AD38" s="179">
        <f t="shared" si="16"/>
        <v>0.419047619047619</v>
      </c>
      <c r="AE38" s="563">
        <f t="shared" si="74"/>
        <v>1750.0000000000005</v>
      </c>
      <c r="AF38" s="546">
        <f t="shared" si="75"/>
        <v>3.2999999999999995E-2</v>
      </c>
      <c r="AH38" s="179">
        <f t="shared" si="76"/>
        <v>0.46291004988627577</v>
      </c>
      <c r="AI38" s="179">
        <f t="shared" si="77"/>
        <v>0.46291004988627577</v>
      </c>
      <c r="AJ38" s="179">
        <f t="shared" si="78"/>
        <v>1.4317852221379821</v>
      </c>
      <c r="AL38" s="563">
        <f t="shared" si="79"/>
        <v>165</v>
      </c>
      <c r="AM38" s="472">
        <f t="shared" si="80"/>
        <v>350</v>
      </c>
      <c r="AO38">
        <f t="shared" si="52"/>
        <v>165</v>
      </c>
      <c r="AP38" s="472">
        <f t="shared" si="24"/>
        <v>350</v>
      </c>
      <c r="AQ38" s="472"/>
      <c r="AR38" s="6">
        <f t="shared" si="53"/>
        <v>2.8571428571428572</v>
      </c>
      <c r="AS38" s="6">
        <f t="shared" si="25"/>
        <v>0.8486684247915055</v>
      </c>
      <c r="AT38" s="6">
        <f t="shared" si="54"/>
        <v>2.0084744323513517</v>
      </c>
      <c r="AU38" s="179">
        <f t="shared" si="55"/>
        <v>0.29703394867702693</v>
      </c>
      <c r="AW38" s="6">
        <f t="shared" si="81"/>
        <v>13.072048611111116</v>
      </c>
      <c r="AX38" s="472">
        <f t="shared" si="82"/>
        <v>2.0094107380319155</v>
      </c>
      <c r="AY38" s="6">
        <f t="shared" si="83"/>
        <v>13.072048611111116</v>
      </c>
      <c r="AZ38" s="472">
        <f t="shared" si="84"/>
        <v>3.730332031250001</v>
      </c>
      <c r="BA38" s="6">
        <f t="shared" si="30"/>
        <v>6.3927137603775649E-2</v>
      </c>
      <c r="BB38" s="6">
        <f t="shared" si="85"/>
        <v>15.724457469350604</v>
      </c>
      <c r="BC38" s="6"/>
      <c r="BD38" s="179">
        <f t="shared" si="56"/>
        <v>0.14565957098586979</v>
      </c>
      <c r="BE38" s="179">
        <f t="shared" si="86"/>
        <v>0.67224009645293714</v>
      </c>
      <c r="BF38" s="179">
        <f t="shared" si="87"/>
        <v>0.67224009645293714</v>
      </c>
      <c r="BG38" s="179"/>
      <c r="BH38" s="546">
        <f t="shared" si="34"/>
        <v>7.4258487169256739E-3</v>
      </c>
      <c r="BI38" s="546">
        <f t="shared" si="35"/>
        <v>4.8301770517821078E-2</v>
      </c>
      <c r="BJ38" s="546">
        <f t="shared" si="36"/>
        <v>4.3749999999999995E-3</v>
      </c>
      <c r="BK38" s="546">
        <f t="shared" si="37"/>
        <v>2.7651093750000001E-2</v>
      </c>
      <c r="BL38">
        <f t="shared" si="38"/>
        <v>6.96E-3</v>
      </c>
      <c r="BM38">
        <f t="shared" si="88"/>
        <v>9.5963121101759724E-2</v>
      </c>
      <c r="BN38" s="472">
        <f t="shared" si="57"/>
        <v>95.963121101759725</v>
      </c>
      <c r="BO38" s="179">
        <f t="shared" si="89"/>
        <v>4.5045000000000002E-2</v>
      </c>
      <c r="BP38" s="179">
        <f t="shared" si="90"/>
        <v>4.5045000000000002E-2</v>
      </c>
      <c r="BQ38" s="546"/>
      <c r="BS38" s="472">
        <f t="shared" si="58"/>
        <v>90.09</v>
      </c>
      <c r="BT38" s="546">
        <f t="shared" si="42"/>
        <v>4.243342123957528E-3</v>
      </c>
      <c r="BU38" s="546">
        <f t="shared" si="59"/>
        <v>1.8076269891162171E-2</v>
      </c>
      <c r="BV38" s="546">
        <f t="shared" si="91"/>
        <v>4.0671607255114879E-2</v>
      </c>
      <c r="BW38" s="546">
        <f t="shared" si="44"/>
        <v>1.6706352436080738E-2</v>
      </c>
      <c r="BX38" s="546">
        <f t="shared" si="92"/>
        <v>8.7698456635671357E-2</v>
      </c>
      <c r="BY38" s="656">
        <f t="shared" si="93"/>
        <v>3.7500000000000012E-2</v>
      </c>
      <c r="BZ38" s="472">
        <f t="shared" si="60"/>
        <v>125.19845663567136</v>
      </c>
      <c r="CA38" s="179">
        <f t="shared" si="61"/>
        <v>0.31125157773743112</v>
      </c>
      <c r="CB38" s="6">
        <f t="shared" si="62"/>
        <v>1.6500000000000001</v>
      </c>
      <c r="CC38" s="179">
        <f t="shared" si="63"/>
        <v>0.84129951441696127</v>
      </c>
      <c r="CD38" s="6">
        <f t="shared" si="64"/>
        <v>84.129951441696122</v>
      </c>
      <c r="CE38">
        <f t="shared" ref="CE38:CE69" si="98">F38/Iout*100</f>
        <v>33</v>
      </c>
      <c r="CG38" s="581">
        <f t="shared" si="94"/>
        <v>-50</v>
      </c>
      <c r="CH38">
        <f t="shared" si="95"/>
        <v>-50</v>
      </c>
    </row>
    <row r="39" spans="5:86" x14ac:dyDescent="0.2">
      <c r="E39" s="176">
        <v>34</v>
      </c>
      <c r="F39" s="223">
        <f t="shared" si="66"/>
        <v>0.17</v>
      </c>
      <c r="G39" s="223">
        <f t="shared" si="96"/>
        <v>0.17</v>
      </c>
      <c r="H39" s="223">
        <f t="shared" si="68"/>
        <v>0.85000000000000009</v>
      </c>
      <c r="I39" s="223">
        <f t="shared" si="67"/>
        <v>0.85000000000000009</v>
      </c>
      <c r="J39" s="559">
        <f t="shared" si="1"/>
        <v>24</v>
      </c>
      <c r="K39" s="454">
        <f t="shared" si="2"/>
        <v>15.75</v>
      </c>
      <c r="L39" s="454">
        <f t="shared" si="3"/>
        <v>39.75</v>
      </c>
      <c r="M39" s="454"/>
      <c r="N39" s="223">
        <f t="shared" si="4"/>
        <v>0.39622641509433965</v>
      </c>
      <c r="O39" s="178">
        <f t="shared" si="97"/>
        <v>1.6047169811320754</v>
      </c>
      <c r="P39" s="178">
        <f t="shared" si="69"/>
        <v>3.2094339622641508</v>
      </c>
      <c r="Q39" s="223">
        <f t="shared" si="6"/>
        <v>0.3209433962264151</v>
      </c>
      <c r="R39" s="223">
        <f t="shared" si="70"/>
        <v>0.3209433962264151</v>
      </c>
      <c r="S39" s="454">
        <f t="shared" si="71"/>
        <v>5</v>
      </c>
      <c r="T39" s="223">
        <f t="shared" si="72"/>
        <v>0.39726631393298062</v>
      </c>
      <c r="U39" s="223">
        <f t="shared" si="10"/>
        <v>0.72832157554379773</v>
      </c>
      <c r="V39" s="223">
        <f t="shared" si="11"/>
        <v>1.1098233532095965</v>
      </c>
      <c r="W39" s="203">
        <f t="shared" si="12"/>
        <v>350</v>
      </c>
      <c r="X39" s="454">
        <f t="shared" si="51"/>
        <v>350</v>
      </c>
      <c r="Z39" s="223">
        <f t="shared" si="13"/>
        <v>0.61749571183533458</v>
      </c>
      <c r="AA39" s="179">
        <f t="shared" si="14"/>
        <v>1.7250673854447443</v>
      </c>
      <c r="AB39" s="179">
        <f t="shared" si="73"/>
        <v>0.55924139939803896</v>
      </c>
      <c r="AC39" s="179"/>
      <c r="AD39" s="179">
        <f t="shared" si="16"/>
        <v>0.419047619047619</v>
      </c>
      <c r="AE39" s="563">
        <f t="shared" si="74"/>
        <v>1803.0303030303035</v>
      </c>
      <c r="AF39" s="546">
        <f t="shared" si="75"/>
        <v>3.2999999999999995E-2</v>
      </c>
      <c r="AH39" s="179">
        <f t="shared" si="76"/>
        <v>0.46987149389936478</v>
      </c>
      <c r="AI39" s="179">
        <f t="shared" si="77"/>
        <v>0.46987149389936478</v>
      </c>
      <c r="AJ39" s="179">
        <f t="shared" si="78"/>
        <v>1.4369418473328628</v>
      </c>
      <c r="AL39" s="563">
        <f t="shared" si="79"/>
        <v>170</v>
      </c>
      <c r="AM39" s="472">
        <f t="shared" si="80"/>
        <v>350</v>
      </c>
      <c r="AO39">
        <f t="shared" si="52"/>
        <v>170</v>
      </c>
      <c r="AP39" s="472">
        <f t="shared" si="24"/>
        <v>350</v>
      </c>
      <c r="AQ39" s="472"/>
      <c r="AR39" s="6">
        <f t="shared" si="53"/>
        <v>2.8571428571428572</v>
      </c>
      <c r="AS39" s="6">
        <f t="shared" si="25"/>
        <v>0.86143107214883541</v>
      </c>
      <c r="AT39" s="6">
        <f t="shared" si="54"/>
        <v>1.9957117849940218</v>
      </c>
      <c r="AU39" s="179">
        <f t="shared" si="55"/>
        <v>0.3015008752520924</v>
      </c>
      <c r="AW39" s="6">
        <f t="shared" si="81"/>
        <v>13.072048611111116</v>
      </c>
      <c r="AX39" s="472">
        <f t="shared" si="82"/>
        <v>2.1175838504728142</v>
      </c>
      <c r="AY39" s="6">
        <f t="shared" si="83"/>
        <v>13.072048611111116</v>
      </c>
      <c r="AZ39" s="472">
        <f t="shared" si="84"/>
        <v>3.9443836805555579</v>
      </c>
      <c r="BA39" s="6">
        <f t="shared" si="30"/>
        <v>6.5445795418399622E-2</v>
      </c>
      <c r="BB39" s="6">
        <f t="shared" si="85"/>
        <v>16.100509418934436</v>
      </c>
      <c r="BC39" s="6"/>
      <c r="BD39" s="179">
        <f t="shared" si="56"/>
        <v>0.14895763189848091</v>
      </c>
      <c r="BE39" s="179">
        <f t="shared" si="86"/>
        <v>0.68017812184047222</v>
      </c>
      <c r="BF39" s="179">
        <f t="shared" si="87"/>
        <v>0.68017812184047222</v>
      </c>
      <c r="BG39" s="179"/>
      <c r="BH39" s="546">
        <f t="shared" si="34"/>
        <v>7.7659316352811673E-3</v>
      </c>
      <c r="BI39" s="546">
        <f t="shared" si="35"/>
        <v>4.9028153691561847E-2</v>
      </c>
      <c r="BJ39" s="546">
        <f t="shared" si="36"/>
        <v>4.3749999999999995E-3</v>
      </c>
      <c r="BK39" s="546">
        <f t="shared" si="37"/>
        <v>2.7651093750000001E-2</v>
      </c>
      <c r="BL39">
        <f t="shared" si="38"/>
        <v>6.96E-3</v>
      </c>
      <c r="BM39">
        <f t="shared" si="88"/>
        <v>9.7089838438666989E-2</v>
      </c>
      <c r="BN39" s="472">
        <f t="shared" si="57"/>
        <v>97.089838438666987</v>
      </c>
      <c r="BO39" s="179">
        <f t="shared" si="89"/>
        <v>4.6410000000000007E-2</v>
      </c>
      <c r="BP39" s="179">
        <f t="shared" si="90"/>
        <v>4.6410000000000007E-2</v>
      </c>
      <c r="BQ39" s="546"/>
      <c r="BS39" s="472">
        <f t="shared" si="58"/>
        <v>92.820000000000007</v>
      </c>
      <c r="BT39" s="546">
        <f t="shared" si="42"/>
        <v>4.4376752201606678E-3</v>
      </c>
      <c r="BU39" s="546">
        <f t="shared" si="59"/>
        <v>1.8505691097217291E-2</v>
      </c>
      <c r="BV39" s="546">
        <f t="shared" si="91"/>
        <v>4.1637804968738902E-2</v>
      </c>
      <c r="BW39" s="546">
        <f t="shared" si="44"/>
        <v>1.7341547925457629E-2</v>
      </c>
      <c r="BX39" s="546">
        <f t="shared" si="92"/>
        <v>9.0138157991561968E-2</v>
      </c>
      <c r="BY39" s="656">
        <f t="shared" si="93"/>
        <v>3.8636363636363649E-2</v>
      </c>
      <c r="BZ39" s="472">
        <f t="shared" si="60"/>
        <v>128.77452162792562</v>
      </c>
      <c r="CA39" s="179">
        <f t="shared" si="61"/>
        <v>0.31868436006659256</v>
      </c>
      <c r="CB39" s="6">
        <f t="shared" si="62"/>
        <v>1.7000000000000002</v>
      </c>
      <c r="CC39" s="179">
        <f t="shared" si="63"/>
        <v>0.84213264521647169</v>
      </c>
      <c r="CD39" s="6">
        <f t="shared" si="64"/>
        <v>84.213264521647176</v>
      </c>
      <c r="CE39">
        <f t="shared" si="98"/>
        <v>34</v>
      </c>
      <c r="CG39" s="581">
        <f t="shared" si="94"/>
        <v>-50</v>
      </c>
      <c r="CH39">
        <f t="shared" si="95"/>
        <v>-50</v>
      </c>
    </row>
    <row r="40" spans="5:86" x14ac:dyDescent="0.2">
      <c r="E40" s="176">
        <v>35</v>
      </c>
      <c r="F40" s="223">
        <f t="shared" ref="F40:F71" si="99">IF(PLOT_TYPE=1, E40/100*Iout_max, min_I*EXP(O40*rr/100))</f>
        <v>0.17499999999999999</v>
      </c>
      <c r="G40" s="223">
        <f t="shared" si="96"/>
        <v>0.17499999999999999</v>
      </c>
      <c r="H40" s="223">
        <f t="shared" si="68"/>
        <v>0.875</v>
      </c>
      <c r="I40" s="223">
        <f t="shared" ref="I40:I71" si="100">Vout2*G40</f>
        <v>0.875</v>
      </c>
      <c r="J40" s="559">
        <f t="shared" si="1"/>
        <v>24</v>
      </c>
      <c r="K40" s="454">
        <f t="shared" si="2"/>
        <v>15.75</v>
      </c>
      <c r="L40" s="454">
        <f t="shared" si="3"/>
        <v>39.75</v>
      </c>
      <c r="M40" s="454"/>
      <c r="N40" s="223">
        <f t="shared" si="4"/>
        <v>0.39622641509433965</v>
      </c>
      <c r="O40" s="178">
        <f t="shared" si="97"/>
        <v>1.6047169811320754</v>
      </c>
      <c r="P40" s="178">
        <f t="shared" si="69"/>
        <v>3.2094339622641508</v>
      </c>
      <c r="Q40" s="223">
        <f t="shared" si="6"/>
        <v>0.3209433962264151</v>
      </c>
      <c r="R40" s="223">
        <f t="shared" si="70"/>
        <v>0.3209433962264151</v>
      </c>
      <c r="S40" s="454">
        <f t="shared" si="71"/>
        <v>5</v>
      </c>
      <c r="T40" s="223">
        <f t="shared" si="72"/>
        <v>0.4089506172839506</v>
      </c>
      <c r="U40" s="223">
        <f t="shared" si="10"/>
        <v>0.74974279835390933</v>
      </c>
      <c r="V40" s="223">
        <f t="shared" si="11"/>
        <v>1.1424652165392906</v>
      </c>
      <c r="W40" s="203">
        <f t="shared" si="12"/>
        <v>350</v>
      </c>
      <c r="X40" s="454">
        <f t="shared" si="51"/>
        <v>350</v>
      </c>
      <c r="Z40" s="223">
        <f t="shared" si="13"/>
        <v>0.61749571183533458</v>
      </c>
      <c r="AA40" s="179">
        <f t="shared" si="14"/>
        <v>1.7250673854447443</v>
      </c>
      <c r="AB40" s="179">
        <f t="shared" si="73"/>
        <v>0.55924139939803896</v>
      </c>
      <c r="AC40" s="179"/>
      <c r="AD40" s="179">
        <f t="shared" si="16"/>
        <v>0.419047619047619</v>
      </c>
      <c r="AE40" s="563">
        <f t="shared" si="74"/>
        <v>1856.0606060606065</v>
      </c>
      <c r="AF40" s="546">
        <f t="shared" si="75"/>
        <v>3.2999999999999995E-2</v>
      </c>
      <c r="AH40" s="179">
        <f t="shared" si="76"/>
        <v>0.47673129462279618</v>
      </c>
      <c r="AI40" s="179">
        <f t="shared" si="77"/>
        <v>0.47673129462279618</v>
      </c>
      <c r="AJ40" s="179">
        <f t="shared" si="78"/>
        <v>1.4420231812020712</v>
      </c>
      <c r="AL40" s="563">
        <f t="shared" si="79"/>
        <v>175</v>
      </c>
      <c r="AM40" s="472">
        <f t="shared" si="80"/>
        <v>350</v>
      </c>
      <c r="AO40">
        <f t="shared" si="52"/>
        <v>175</v>
      </c>
      <c r="AP40" s="472">
        <f t="shared" si="24"/>
        <v>350</v>
      </c>
      <c r="AQ40" s="472"/>
      <c r="AR40" s="6">
        <f t="shared" si="53"/>
        <v>2.8571428571428572</v>
      </c>
      <c r="AS40" s="6">
        <f t="shared" si="25"/>
        <v>0.87400737347512625</v>
      </c>
      <c r="AT40" s="6">
        <f t="shared" si="54"/>
        <v>1.9831354836677311</v>
      </c>
      <c r="AU40" s="179">
        <f t="shared" si="55"/>
        <v>0.30590258071629417</v>
      </c>
      <c r="AW40" s="6">
        <f t="shared" si="81"/>
        <v>13.072048611111116</v>
      </c>
      <c r="AX40" s="472">
        <f t="shared" si="82"/>
        <v>2.2285382498522459</v>
      </c>
      <c r="AY40" s="6">
        <f t="shared" si="83"/>
        <v>13.072048611111116</v>
      </c>
      <c r="AZ40" s="472">
        <f t="shared" si="84"/>
        <v>4.1643771701388888</v>
      </c>
      <c r="BA40" s="6">
        <f t="shared" si="30"/>
        <v>6.6946124545110508E-2</v>
      </c>
      <c r="BB40" s="6">
        <f t="shared" si="85"/>
        <v>16.472162483419115</v>
      </c>
      <c r="BC40" s="6"/>
      <c r="BD40" s="179">
        <f t="shared" si="56"/>
        <v>0.15223152739512466</v>
      </c>
      <c r="BE40" s="179">
        <f t="shared" si="86"/>
        <v>0.68793040376240722</v>
      </c>
      <c r="BF40" s="179">
        <f t="shared" si="87"/>
        <v>0.68793040376240722</v>
      </c>
      <c r="BG40" s="179"/>
      <c r="BH40" s="546">
        <f t="shared" si="34"/>
        <v>8.1110532765684053E-3</v>
      </c>
      <c r="BI40" s="546">
        <f t="shared" si="35"/>
        <v>4.9743931023297383E-2</v>
      </c>
      <c r="BJ40" s="546">
        <f t="shared" si="36"/>
        <v>4.3749999999999995E-3</v>
      </c>
      <c r="BK40" s="546">
        <f t="shared" si="37"/>
        <v>2.7651093750000001E-2</v>
      </c>
      <c r="BL40">
        <f t="shared" si="38"/>
        <v>6.96E-3</v>
      </c>
      <c r="BM40">
        <f t="shared" si="88"/>
        <v>9.8212093362459868E-2</v>
      </c>
      <c r="BN40" s="472">
        <f t="shared" si="57"/>
        <v>98.212093362459868</v>
      </c>
      <c r="BO40" s="179">
        <f t="shared" si="89"/>
        <v>4.7774999999999998E-2</v>
      </c>
      <c r="BP40" s="179">
        <f t="shared" si="90"/>
        <v>4.7774999999999998E-2</v>
      </c>
      <c r="BQ40" s="546"/>
      <c r="BS40" s="472">
        <f t="shared" si="58"/>
        <v>95.55</v>
      </c>
      <c r="BT40" s="546">
        <f t="shared" si="42"/>
        <v>4.6348875866105178E-3</v>
      </c>
      <c r="BU40" s="546">
        <f t="shared" si="59"/>
        <v>1.8929929616828347E-2</v>
      </c>
      <c r="BV40" s="546">
        <f t="shared" si="91"/>
        <v>4.2592341637863775E-2</v>
      </c>
      <c r="BW40" s="546">
        <f t="shared" si="44"/>
        <v>1.798143177696283E-2</v>
      </c>
      <c r="BX40" s="546">
        <f t="shared" si="92"/>
        <v>9.2567369211095388E-2</v>
      </c>
      <c r="BY40" s="656">
        <f t="shared" si="93"/>
        <v>3.9772727272727279E-2</v>
      </c>
      <c r="BZ40" s="472">
        <f t="shared" si="60"/>
        <v>132.34009648382266</v>
      </c>
      <c r="CA40" s="179">
        <f t="shared" si="61"/>
        <v>0.32610218984628253</v>
      </c>
      <c r="CB40" s="6">
        <f t="shared" si="62"/>
        <v>1.75</v>
      </c>
      <c r="CC40" s="179">
        <f t="shared" si="63"/>
        <v>0.84292575219024868</v>
      </c>
      <c r="CD40" s="6">
        <f t="shared" si="64"/>
        <v>84.292575219024869</v>
      </c>
      <c r="CE40">
        <f t="shared" si="98"/>
        <v>35</v>
      </c>
      <c r="CG40" s="581">
        <f t="shared" si="94"/>
        <v>-50</v>
      </c>
      <c r="CH40">
        <f t="shared" si="95"/>
        <v>-50</v>
      </c>
    </row>
    <row r="41" spans="5:86" x14ac:dyDescent="0.2">
      <c r="E41" s="176">
        <v>36</v>
      </c>
      <c r="F41" s="223">
        <f t="shared" si="99"/>
        <v>0.18</v>
      </c>
      <c r="G41" s="223">
        <f t="shared" si="96"/>
        <v>0.18</v>
      </c>
      <c r="H41" s="223">
        <f t="shared" si="68"/>
        <v>0.89999999999999991</v>
      </c>
      <c r="I41" s="223">
        <f t="shared" si="100"/>
        <v>0.89999999999999991</v>
      </c>
      <c r="J41" s="559">
        <f t="shared" si="1"/>
        <v>24</v>
      </c>
      <c r="K41" s="454">
        <f t="shared" si="2"/>
        <v>15.75</v>
      </c>
      <c r="L41" s="454">
        <f t="shared" si="3"/>
        <v>39.75</v>
      </c>
      <c r="M41" s="454"/>
      <c r="N41" s="223">
        <f t="shared" si="4"/>
        <v>0.39622641509433965</v>
      </c>
      <c r="O41" s="178">
        <f t="shared" si="97"/>
        <v>1.6047169811320754</v>
      </c>
      <c r="P41" s="178">
        <f t="shared" si="69"/>
        <v>3.2094339622641508</v>
      </c>
      <c r="Q41" s="223">
        <f t="shared" si="6"/>
        <v>0.3209433962264151</v>
      </c>
      <c r="R41" s="223">
        <f t="shared" si="70"/>
        <v>0.3209433962264151</v>
      </c>
      <c r="S41" s="454">
        <f t="shared" si="71"/>
        <v>5</v>
      </c>
      <c r="T41" s="223">
        <f t="shared" si="72"/>
        <v>0.42063492063492053</v>
      </c>
      <c r="U41" s="223">
        <f t="shared" si="10"/>
        <v>0.77116402116402094</v>
      </c>
      <c r="V41" s="223">
        <f t="shared" si="11"/>
        <v>1.1751070798689842</v>
      </c>
      <c r="W41" s="203">
        <f t="shared" si="12"/>
        <v>350</v>
      </c>
      <c r="X41" s="454">
        <f t="shared" si="51"/>
        <v>350</v>
      </c>
      <c r="Z41" s="223">
        <f t="shared" si="13"/>
        <v>0.61749571183533458</v>
      </c>
      <c r="AA41" s="179">
        <f t="shared" si="14"/>
        <v>1.7250673854447443</v>
      </c>
      <c r="AB41" s="179">
        <f t="shared" si="73"/>
        <v>0.55924139939803896</v>
      </c>
      <c r="AC41" s="179"/>
      <c r="AD41" s="179">
        <f t="shared" si="16"/>
        <v>0.419047619047619</v>
      </c>
      <c r="AE41" s="563">
        <f t="shared" si="74"/>
        <v>1909.0909090909095</v>
      </c>
      <c r="AF41" s="546">
        <f t="shared" si="75"/>
        <v>3.2999999999999995E-2</v>
      </c>
      <c r="AH41" s="179">
        <f t="shared" si="76"/>
        <v>0.48349377841522817</v>
      </c>
      <c r="AI41" s="179">
        <f t="shared" si="77"/>
        <v>0.48349377841522817</v>
      </c>
      <c r="AJ41" s="179">
        <f t="shared" si="78"/>
        <v>1.4470324284557246</v>
      </c>
      <c r="AL41" s="563">
        <f t="shared" si="79"/>
        <v>180</v>
      </c>
      <c r="AM41" s="472">
        <f t="shared" si="80"/>
        <v>350</v>
      </c>
      <c r="AO41">
        <f t="shared" si="52"/>
        <v>180</v>
      </c>
      <c r="AP41" s="472">
        <f t="shared" si="24"/>
        <v>350</v>
      </c>
      <c r="AQ41" s="472"/>
      <c r="AR41" s="6">
        <f t="shared" si="53"/>
        <v>2.8571428571428572</v>
      </c>
      <c r="AS41" s="6">
        <f t="shared" si="25"/>
        <v>0.88640526042791834</v>
      </c>
      <c r="AT41" s="6">
        <f t="shared" si="54"/>
        <v>1.970737596714939</v>
      </c>
      <c r="AU41" s="179">
        <f t="shared" si="55"/>
        <v>0.31024184114977144</v>
      </c>
      <c r="AW41" s="6">
        <f t="shared" si="81"/>
        <v>13.072048611111116</v>
      </c>
      <c r="AX41" s="472">
        <f t="shared" si="82"/>
        <v>2.342273936170213</v>
      </c>
      <c r="AY41" s="6">
        <f t="shared" si="83"/>
        <v>13.072048611111116</v>
      </c>
      <c r="AZ41" s="472">
        <f t="shared" si="84"/>
        <v>4.3903125000000012</v>
      </c>
      <c r="BA41" s="6">
        <f t="shared" si="30"/>
        <v>6.8428388774824253E-2</v>
      </c>
      <c r="BB41" s="6">
        <f t="shared" si="85"/>
        <v>16.839479972624488</v>
      </c>
      <c r="BC41" s="6"/>
      <c r="BD41" s="179">
        <f t="shared" si="56"/>
        <v>0.15548211768805251</v>
      </c>
      <c r="BE41" s="179">
        <f t="shared" si="86"/>
        <v>0.69550449388328806</v>
      </c>
      <c r="BF41" s="179">
        <f t="shared" si="87"/>
        <v>0.69550449388328806</v>
      </c>
      <c r="BG41" s="179"/>
      <c r="BH41" s="546">
        <f t="shared" si="34"/>
        <v>8.461141122266494E-3</v>
      </c>
      <c r="BI41" s="546">
        <f t="shared" si="35"/>
        <v>5.0449553941513965E-2</v>
      </c>
      <c r="BJ41" s="546">
        <f t="shared" si="36"/>
        <v>4.3749999999999995E-3</v>
      </c>
      <c r="BK41" s="546">
        <f t="shared" si="37"/>
        <v>2.7651093750000001E-2</v>
      </c>
      <c r="BL41">
        <f t="shared" si="38"/>
        <v>6.96E-3</v>
      </c>
      <c r="BM41">
        <f t="shared" si="88"/>
        <v>9.9330257864960456E-2</v>
      </c>
      <c r="BN41" s="472">
        <f t="shared" si="57"/>
        <v>99.330257864960458</v>
      </c>
      <c r="BO41" s="179">
        <f t="shared" si="89"/>
        <v>4.9140000000000003E-2</v>
      </c>
      <c r="BP41" s="179">
        <f t="shared" si="90"/>
        <v>4.9140000000000003E-2</v>
      </c>
      <c r="BQ41" s="546"/>
      <c r="BS41" s="472">
        <f t="shared" si="58"/>
        <v>98.28</v>
      </c>
      <c r="BT41" s="546">
        <f t="shared" si="42"/>
        <v>4.8349377841522823E-3</v>
      </c>
      <c r="BU41" s="546">
        <f t="shared" si="59"/>
        <v>1.9349060040473948E-2</v>
      </c>
      <c r="BV41" s="546">
        <f t="shared" si="91"/>
        <v>4.3535385091066379E-2</v>
      </c>
      <c r="BW41" s="546">
        <f t="shared" si="44"/>
        <v>1.8625903138088599E-2</v>
      </c>
      <c r="BX41" s="546">
        <f t="shared" si="92"/>
        <v>9.4986204576417835E-2</v>
      </c>
      <c r="BY41" s="656">
        <f t="shared" si="93"/>
        <v>4.0909090909090916E-2</v>
      </c>
      <c r="BZ41" s="472">
        <f t="shared" si="60"/>
        <v>135.89529548550874</v>
      </c>
      <c r="CA41" s="179">
        <f t="shared" si="61"/>
        <v>0.33350555335046916</v>
      </c>
      <c r="CB41" s="6">
        <f t="shared" si="62"/>
        <v>1.7999999999999998</v>
      </c>
      <c r="CC41" s="179">
        <f t="shared" si="63"/>
        <v>0.8436818911360553</v>
      </c>
      <c r="CD41" s="6">
        <f t="shared" si="64"/>
        <v>84.368189113605524</v>
      </c>
      <c r="CE41">
        <f t="shared" si="98"/>
        <v>36</v>
      </c>
      <c r="CG41" s="581">
        <f t="shared" si="94"/>
        <v>-50</v>
      </c>
      <c r="CH41">
        <f t="shared" si="95"/>
        <v>-50</v>
      </c>
    </row>
    <row r="42" spans="5:86" x14ac:dyDescent="0.2">
      <c r="E42" s="176">
        <v>37</v>
      </c>
      <c r="F42" s="223">
        <f t="shared" si="99"/>
        <v>0.185</v>
      </c>
      <c r="G42" s="223">
        <f t="shared" si="96"/>
        <v>0.185</v>
      </c>
      <c r="H42" s="223">
        <f t="shared" si="68"/>
        <v>0.92500000000000004</v>
      </c>
      <c r="I42" s="223">
        <f t="shared" si="100"/>
        <v>0.92500000000000004</v>
      </c>
      <c r="J42" s="559">
        <f t="shared" si="1"/>
        <v>24</v>
      </c>
      <c r="K42" s="454">
        <f t="shared" si="2"/>
        <v>15.75</v>
      </c>
      <c r="L42" s="454">
        <f t="shared" si="3"/>
        <v>39.75</v>
      </c>
      <c r="M42" s="454"/>
      <c r="N42" s="223">
        <f t="shared" si="4"/>
        <v>0.39622641509433965</v>
      </c>
      <c r="O42" s="178">
        <f t="shared" si="97"/>
        <v>1.6047169811320754</v>
      </c>
      <c r="P42" s="178">
        <f t="shared" si="69"/>
        <v>3.2094339622641508</v>
      </c>
      <c r="Q42" s="223">
        <f t="shared" si="6"/>
        <v>0.3209433962264151</v>
      </c>
      <c r="R42" s="223">
        <f t="shared" si="70"/>
        <v>0.3209433962264151</v>
      </c>
      <c r="S42" s="454">
        <f t="shared" si="71"/>
        <v>5</v>
      </c>
      <c r="T42" s="223">
        <f t="shared" si="72"/>
        <v>0.43231922398589062</v>
      </c>
      <c r="U42" s="223">
        <f t="shared" si="10"/>
        <v>0.79258524397413288</v>
      </c>
      <c r="V42" s="223">
        <f t="shared" si="11"/>
        <v>1.2077489431986785</v>
      </c>
      <c r="W42" s="203">
        <f t="shared" si="12"/>
        <v>350</v>
      </c>
      <c r="X42" s="454">
        <f t="shared" si="51"/>
        <v>350</v>
      </c>
      <c r="Z42" s="223">
        <f t="shared" si="13"/>
        <v>0.61749571183533458</v>
      </c>
      <c r="AA42" s="179">
        <f t="shared" si="14"/>
        <v>1.7250673854447443</v>
      </c>
      <c r="AB42" s="179">
        <f t="shared" si="73"/>
        <v>0.55924139939803896</v>
      </c>
      <c r="AC42" s="179"/>
      <c r="AD42" s="179">
        <f t="shared" si="16"/>
        <v>0.419047619047619</v>
      </c>
      <c r="AE42" s="563">
        <f t="shared" si="74"/>
        <v>1962.1212121212125</v>
      </c>
      <c r="AF42" s="546">
        <f t="shared" si="75"/>
        <v>3.2999999999999995E-2</v>
      </c>
      <c r="AH42" s="179">
        <f t="shared" si="76"/>
        <v>0.49016297316274338</v>
      </c>
      <c r="AI42" s="179">
        <f t="shared" si="77"/>
        <v>0.49016297316274338</v>
      </c>
      <c r="AJ42" s="179">
        <f t="shared" si="78"/>
        <v>1.4519725727131432</v>
      </c>
      <c r="AL42" s="563">
        <f t="shared" si="79"/>
        <v>185</v>
      </c>
      <c r="AM42" s="472">
        <f t="shared" si="80"/>
        <v>350</v>
      </c>
      <c r="AO42">
        <f t="shared" si="52"/>
        <v>185</v>
      </c>
      <c r="AP42" s="472">
        <f t="shared" si="24"/>
        <v>350</v>
      </c>
      <c r="AQ42" s="472"/>
      <c r="AR42" s="6">
        <f t="shared" si="53"/>
        <v>2.8571428571428572</v>
      </c>
      <c r="AS42" s="6">
        <f t="shared" si="25"/>
        <v>0.89863211746502958</v>
      </c>
      <c r="AT42" s="6">
        <f t="shared" si="54"/>
        <v>1.9585107396778276</v>
      </c>
      <c r="AU42" s="179">
        <f t="shared" si="55"/>
        <v>0.31452124111276036</v>
      </c>
      <c r="AW42" s="6">
        <f t="shared" si="81"/>
        <v>13.072048611111116</v>
      </c>
      <c r="AX42" s="472">
        <f t="shared" si="82"/>
        <v>2.458790909426714</v>
      </c>
      <c r="AY42" s="6">
        <f t="shared" si="83"/>
        <v>13.072048611111116</v>
      </c>
      <c r="AZ42" s="472">
        <f t="shared" si="84"/>
        <v>4.6221896701388889</v>
      </c>
      <c r="BA42" s="6">
        <f t="shared" si="30"/>
        <v>6.9892840825694066E-2</v>
      </c>
      <c r="BB42" s="6">
        <f t="shared" si="85"/>
        <v>17.202522538907321</v>
      </c>
      <c r="BC42" s="6"/>
      <c r="BD42" s="179">
        <f t="shared" si="56"/>
        <v>0.15871020939217378</v>
      </c>
      <c r="BE42" s="179">
        <f t="shared" si="86"/>
        <v>0.70290742327240507</v>
      </c>
      <c r="BF42" s="179">
        <f t="shared" si="87"/>
        <v>0.70290742327240507</v>
      </c>
      <c r="BG42" s="179"/>
      <c r="BH42" s="546">
        <f t="shared" si="34"/>
        <v>8.8161256978576755E-3</v>
      </c>
      <c r="BI42" s="546">
        <f t="shared" si="35"/>
        <v>5.1145442730949994E-2</v>
      </c>
      <c r="BJ42" s="546">
        <f t="shared" si="36"/>
        <v>4.3749999999999995E-3</v>
      </c>
      <c r="BK42" s="546">
        <f t="shared" si="37"/>
        <v>2.7651093750000001E-2</v>
      </c>
      <c r="BL42">
        <f t="shared" si="38"/>
        <v>6.96E-3</v>
      </c>
      <c r="BM42">
        <f t="shared" si="88"/>
        <v>0.10044467629506107</v>
      </c>
      <c r="BN42" s="472">
        <f t="shared" si="57"/>
        <v>100.44467629506107</v>
      </c>
      <c r="BO42" s="179">
        <f t="shared" si="89"/>
        <v>5.0505000000000001E-2</v>
      </c>
      <c r="BP42" s="179">
        <f t="shared" si="90"/>
        <v>5.0505000000000001E-2</v>
      </c>
      <c r="BQ42" s="546"/>
      <c r="BS42" s="472">
        <f t="shared" si="58"/>
        <v>101.01</v>
      </c>
      <c r="BT42" s="546">
        <f t="shared" si="42"/>
        <v>5.0377861130615296E-3</v>
      </c>
      <c r="BU42" s="546">
        <f t="shared" si="59"/>
        <v>1.9763153827658083E-2</v>
      </c>
      <c r="BV42" s="546">
        <f t="shared" si="91"/>
        <v>4.4467096112230681E-2</v>
      </c>
      <c r="BW42" s="546">
        <f t="shared" si="44"/>
        <v>1.9274866077984398E-2</v>
      </c>
      <c r="BX42" s="546">
        <f t="shared" si="92"/>
        <v>9.7394774034825785E-2</v>
      </c>
      <c r="BY42" s="656">
        <f t="shared" si="93"/>
        <v>4.2045454545454559E-2</v>
      </c>
      <c r="BZ42" s="472">
        <f t="shared" si="60"/>
        <v>139.44022858028035</v>
      </c>
      <c r="CA42" s="179">
        <f t="shared" si="61"/>
        <v>0.34089490487534141</v>
      </c>
      <c r="CB42" s="6">
        <f t="shared" si="62"/>
        <v>1.85</v>
      </c>
      <c r="CC42" s="179">
        <f t="shared" si="63"/>
        <v>0.84440380772406898</v>
      </c>
      <c r="CD42" s="6">
        <f t="shared" si="64"/>
        <v>84.440380772406897</v>
      </c>
      <c r="CE42">
        <f t="shared" si="98"/>
        <v>37</v>
      </c>
      <c r="CG42" s="581">
        <f t="shared" si="94"/>
        <v>-50</v>
      </c>
      <c r="CH42">
        <f t="shared" si="95"/>
        <v>-50</v>
      </c>
    </row>
    <row r="43" spans="5:86" x14ac:dyDescent="0.2">
      <c r="E43" s="176">
        <v>38</v>
      </c>
      <c r="F43" s="223">
        <f t="shared" si="99"/>
        <v>0.19</v>
      </c>
      <c r="G43" s="223">
        <f t="shared" si="96"/>
        <v>0.19</v>
      </c>
      <c r="H43" s="223">
        <f t="shared" si="68"/>
        <v>0.95</v>
      </c>
      <c r="I43" s="223">
        <f t="shared" si="100"/>
        <v>0.95</v>
      </c>
      <c r="J43" s="559">
        <f t="shared" si="1"/>
        <v>24</v>
      </c>
      <c r="K43" s="454">
        <f t="shared" si="2"/>
        <v>15.75</v>
      </c>
      <c r="L43" s="454">
        <f t="shared" si="3"/>
        <v>39.75</v>
      </c>
      <c r="M43" s="454"/>
      <c r="N43" s="223">
        <f t="shared" si="4"/>
        <v>0.39622641509433965</v>
      </c>
      <c r="O43" s="178">
        <f t="shared" si="97"/>
        <v>1.6047169811320754</v>
      </c>
      <c r="P43" s="178">
        <f t="shared" si="69"/>
        <v>3.2094339622641508</v>
      </c>
      <c r="Q43" s="223">
        <f t="shared" si="6"/>
        <v>0.3209433962264151</v>
      </c>
      <c r="R43" s="223">
        <f t="shared" si="70"/>
        <v>0.3209433962264151</v>
      </c>
      <c r="S43" s="454">
        <f t="shared" si="71"/>
        <v>5</v>
      </c>
      <c r="T43" s="223">
        <f t="shared" si="72"/>
        <v>0.4440035273368606</v>
      </c>
      <c r="U43" s="223">
        <f t="shared" si="10"/>
        <v>0.81400646678424426</v>
      </c>
      <c r="V43" s="223">
        <f t="shared" si="11"/>
        <v>1.2403908065283722</v>
      </c>
      <c r="W43" s="203">
        <f t="shared" si="12"/>
        <v>350</v>
      </c>
      <c r="X43" s="454">
        <f t="shared" si="51"/>
        <v>350</v>
      </c>
      <c r="Z43" s="223">
        <f t="shared" si="13"/>
        <v>0.61749571183533458</v>
      </c>
      <c r="AA43" s="179">
        <f t="shared" si="14"/>
        <v>1.7250673854447443</v>
      </c>
      <c r="AB43" s="179">
        <f t="shared" si="73"/>
        <v>0.55924139939803896</v>
      </c>
      <c r="AC43" s="179"/>
      <c r="AD43" s="179">
        <f t="shared" si="16"/>
        <v>0.419047619047619</v>
      </c>
      <c r="AE43" s="563">
        <f t="shared" si="74"/>
        <v>2015.1515151515155</v>
      </c>
      <c r="AF43" s="546">
        <f t="shared" si="75"/>
        <v>3.2999999999999995E-2</v>
      </c>
      <c r="AH43" s="179">
        <f t="shared" si="76"/>
        <v>0.49674263633520199</v>
      </c>
      <c r="AI43" s="179">
        <f t="shared" si="77"/>
        <v>0.49674263633520199</v>
      </c>
      <c r="AJ43" s="179">
        <f t="shared" si="78"/>
        <v>1.4568463972853347</v>
      </c>
      <c r="AL43" s="563">
        <f t="shared" si="79"/>
        <v>190</v>
      </c>
      <c r="AM43" s="472">
        <f t="shared" si="80"/>
        <v>350</v>
      </c>
      <c r="AO43">
        <f t="shared" si="52"/>
        <v>190</v>
      </c>
      <c r="AP43" s="472">
        <f t="shared" si="24"/>
        <v>350</v>
      </c>
      <c r="AQ43" s="472"/>
      <c r="AR43" s="6">
        <f t="shared" si="53"/>
        <v>2.8571428571428572</v>
      </c>
      <c r="AS43" s="6">
        <f t="shared" si="25"/>
        <v>0.9106948332812036</v>
      </c>
      <c r="AT43" s="6">
        <f t="shared" si="54"/>
        <v>1.9464480238616537</v>
      </c>
      <c r="AU43" s="179">
        <f t="shared" si="55"/>
        <v>0.31874319164842124</v>
      </c>
      <c r="AW43" s="6">
        <f t="shared" si="81"/>
        <v>13.072048611111116</v>
      </c>
      <c r="AX43" s="472">
        <f t="shared" si="82"/>
        <v>2.5780891696217498</v>
      </c>
      <c r="AY43" s="6">
        <f t="shared" si="83"/>
        <v>13.072048611111116</v>
      </c>
      <c r="AZ43" s="472">
        <f t="shared" si="84"/>
        <v>4.8600086805555573</v>
      </c>
      <c r="BA43" s="6">
        <f t="shared" si="30"/>
        <v>7.1339723096781285E-2</v>
      </c>
      <c r="BB43" s="6">
        <f t="shared" si="85"/>
        <v>17.561348358042324</v>
      </c>
      <c r="BC43" s="6"/>
      <c r="BD43" s="179">
        <f t="shared" si="56"/>
        <v>0.16191656021928938</v>
      </c>
      <c r="BE43" s="179">
        <f t="shared" si="86"/>
        <v>0.71014575123739154</v>
      </c>
      <c r="BF43" s="179">
        <f t="shared" si="87"/>
        <v>0.71014575123739154</v>
      </c>
      <c r="BG43" s="179"/>
      <c r="BH43" s="546">
        <f t="shared" si="34"/>
        <v>9.1759403656363672E-3</v>
      </c>
      <c r="BI43" s="546">
        <f t="shared" si="35"/>
        <v>5.1831989460101237E-2</v>
      </c>
      <c r="BJ43" s="546">
        <f t="shared" si="36"/>
        <v>4.3749999999999995E-3</v>
      </c>
      <c r="BK43" s="546">
        <f t="shared" si="37"/>
        <v>2.7651093750000001E-2</v>
      </c>
      <c r="BL43">
        <f t="shared" si="38"/>
        <v>6.96E-3</v>
      </c>
      <c r="BM43">
        <f t="shared" si="88"/>
        <v>0.10155566804829143</v>
      </c>
      <c r="BN43" s="472">
        <f t="shared" si="57"/>
        <v>101.55566804829142</v>
      </c>
      <c r="BO43" s="179">
        <f t="shared" si="89"/>
        <v>5.1869999999999999E-2</v>
      </c>
      <c r="BP43" s="179">
        <f t="shared" si="90"/>
        <v>5.1869999999999999E-2</v>
      </c>
      <c r="BQ43" s="546"/>
      <c r="BS43" s="472">
        <f t="shared" si="58"/>
        <v>103.74</v>
      </c>
      <c r="BT43" s="546">
        <f t="shared" si="42"/>
        <v>5.2433944946493529E-3</v>
      </c>
      <c r="BU43" s="546">
        <f t="shared" si="59"/>
        <v>2.0172279520020767E-2</v>
      </c>
      <c r="BV43" s="546">
        <f t="shared" si="91"/>
        <v>4.5387628920046726E-2</v>
      </c>
      <c r="BW43" s="546">
        <f t="shared" si="44"/>
        <v>1.9928229220220528E-2</v>
      </c>
      <c r="BX43" s="546">
        <f t="shared" si="92"/>
        <v>9.9793183467090624E-2</v>
      </c>
      <c r="BY43" s="656">
        <f t="shared" si="93"/>
        <v>4.3181818181818189E-2</v>
      </c>
      <c r="BZ43" s="472">
        <f t="shared" si="60"/>
        <v>142.9750016489088</v>
      </c>
      <c r="CA43" s="179">
        <f t="shared" si="61"/>
        <v>0.34827066969720027</v>
      </c>
      <c r="CB43" s="6">
        <f t="shared" si="62"/>
        <v>1.9</v>
      </c>
      <c r="CC43" s="179">
        <f t="shared" si="63"/>
        <v>0.84509397627639482</v>
      </c>
      <c r="CD43" s="6">
        <f t="shared" si="64"/>
        <v>84.509397627639487</v>
      </c>
      <c r="CE43">
        <f t="shared" si="98"/>
        <v>38</v>
      </c>
      <c r="CG43" s="581">
        <f t="shared" si="94"/>
        <v>-50</v>
      </c>
      <c r="CH43">
        <f t="shared" si="95"/>
        <v>-50</v>
      </c>
    </row>
    <row r="44" spans="5:86" x14ac:dyDescent="0.2">
      <c r="E44" s="176">
        <v>39</v>
      </c>
      <c r="F44" s="223">
        <f t="shared" si="99"/>
        <v>0.19500000000000001</v>
      </c>
      <c r="G44" s="223">
        <f t="shared" si="96"/>
        <v>0.19500000000000001</v>
      </c>
      <c r="H44" s="223">
        <f t="shared" si="68"/>
        <v>0.97500000000000009</v>
      </c>
      <c r="I44" s="223">
        <f t="shared" si="100"/>
        <v>0.97500000000000009</v>
      </c>
      <c r="J44" s="559">
        <f t="shared" si="1"/>
        <v>24</v>
      </c>
      <c r="K44" s="454">
        <f t="shared" si="2"/>
        <v>15.75</v>
      </c>
      <c r="L44" s="454">
        <f t="shared" si="3"/>
        <v>39.75</v>
      </c>
      <c r="M44" s="454"/>
      <c r="N44" s="223">
        <f t="shared" si="4"/>
        <v>0.39622641509433965</v>
      </c>
      <c r="O44" s="178">
        <f t="shared" si="97"/>
        <v>1.6047169811320754</v>
      </c>
      <c r="P44" s="178">
        <f t="shared" si="69"/>
        <v>3.2094339622641508</v>
      </c>
      <c r="Q44" s="223">
        <f t="shared" si="6"/>
        <v>0.3209433962264151</v>
      </c>
      <c r="R44" s="223">
        <f t="shared" si="70"/>
        <v>0.3209433962264151</v>
      </c>
      <c r="S44" s="454">
        <f t="shared" si="71"/>
        <v>5</v>
      </c>
      <c r="T44" s="223">
        <f t="shared" si="72"/>
        <v>0.4556878306878307</v>
      </c>
      <c r="U44" s="223">
        <f t="shared" si="10"/>
        <v>0.83542768959435632</v>
      </c>
      <c r="V44" s="223">
        <f t="shared" si="11"/>
        <v>1.2730326698580667</v>
      </c>
      <c r="W44" s="203">
        <f t="shared" si="12"/>
        <v>350</v>
      </c>
      <c r="X44" s="454">
        <f t="shared" si="51"/>
        <v>350</v>
      </c>
      <c r="Z44" s="223">
        <f t="shared" si="13"/>
        <v>0.61749571183533458</v>
      </c>
      <c r="AA44" s="179">
        <f t="shared" si="14"/>
        <v>1.7250673854447443</v>
      </c>
      <c r="AB44" s="179">
        <f t="shared" si="73"/>
        <v>0.55924139939803896</v>
      </c>
      <c r="AC44" s="179"/>
      <c r="AD44" s="179">
        <f t="shared" si="16"/>
        <v>0.419047619047619</v>
      </c>
      <c r="AE44" s="563">
        <f t="shared" si="74"/>
        <v>2068.1818181818185</v>
      </c>
      <c r="AF44" s="546">
        <f t="shared" si="75"/>
        <v>3.2999999999999995E-2</v>
      </c>
      <c r="AH44" s="179">
        <f t="shared" si="76"/>
        <v>0.50323627974019647</v>
      </c>
      <c r="AI44" s="179">
        <f t="shared" si="77"/>
        <v>0.50323627974019647</v>
      </c>
      <c r="AJ44" s="179">
        <f t="shared" si="78"/>
        <v>1.4616565035112565</v>
      </c>
      <c r="AL44" s="563">
        <f t="shared" si="79"/>
        <v>195</v>
      </c>
      <c r="AM44" s="472">
        <f t="shared" si="80"/>
        <v>350</v>
      </c>
      <c r="AO44">
        <f t="shared" si="52"/>
        <v>195</v>
      </c>
      <c r="AP44" s="472">
        <f t="shared" si="24"/>
        <v>350</v>
      </c>
      <c r="AQ44" s="472"/>
      <c r="AR44" s="6">
        <f t="shared" si="53"/>
        <v>2.8571428571428572</v>
      </c>
      <c r="AS44" s="6">
        <f t="shared" si="25"/>
        <v>0.92259984619036006</v>
      </c>
      <c r="AT44" s="6">
        <f t="shared" si="54"/>
        <v>1.9345430109524973</v>
      </c>
      <c r="AU44" s="179">
        <f t="shared" si="55"/>
        <v>0.32290994616662599</v>
      </c>
      <c r="AW44" s="6">
        <f t="shared" si="81"/>
        <v>13.072048611111116</v>
      </c>
      <c r="AX44" s="472">
        <f t="shared" si="82"/>
        <v>2.7001687167553201</v>
      </c>
      <c r="AY44" s="6">
        <f t="shared" si="83"/>
        <v>13.072048611111116</v>
      </c>
      <c r="AZ44" s="472">
        <f t="shared" si="84"/>
        <v>5.103769531250002</v>
      </c>
      <c r="BA44" s="6">
        <f t="shared" si="30"/>
        <v>7.2769268351801114E-2</v>
      </c>
      <c r="BB44" s="6">
        <f t="shared" si="85"/>
        <v>17.916013293321157</v>
      </c>
      <c r="BC44" s="6"/>
      <c r="BD44" s="179">
        <f t="shared" si="56"/>
        <v>0.16510188314874133</v>
      </c>
      <c r="BE44" s="179">
        <f t="shared" si="86"/>
        <v>0.71722560841545102</v>
      </c>
      <c r="BF44" s="179">
        <f t="shared" si="87"/>
        <v>0.71722560841545102</v>
      </c>
      <c r="BG44" s="179"/>
      <c r="BH44" s="546">
        <f t="shared" si="34"/>
        <v>9.5405211367412222E-3</v>
      </c>
      <c r="BI44" s="546">
        <f t="shared" si="35"/>
        <v>5.2509560564141126E-2</v>
      </c>
      <c r="BJ44" s="546">
        <f t="shared" si="36"/>
        <v>4.3749999999999995E-3</v>
      </c>
      <c r="BK44" s="546">
        <f t="shared" si="37"/>
        <v>2.7651093750000001E-2</v>
      </c>
      <c r="BL44">
        <f t="shared" si="38"/>
        <v>6.96E-3</v>
      </c>
      <c r="BM44">
        <f t="shared" si="88"/>
        <v>0.10266352993387916</v>
      </c>
      <c r="BN44" s="472">
        <f t="shared" si="57"/>
        <v>102.66352993387916</v>
      </c>
      <c r="BO44" s="179">
        <f t="shared" si="89"/>
        <v>5.3234999999999998E-2</v>
      </c>
      <c r="BP44" s="179">
        <f t="shared" si="90"/>
        <v>5.3234999999999998E-2</v>
      </c>
      <c r="BQ44" s="546"/>
      <c r="BS44" s="472">
        <f t="shared" si="58"/>
        <v>106.47</v>
      </c>
      <c r="BT44" s="546">
        <f t="shared" si="42"/>
        <v>5.4517263638521277E-3</v>
      </c>
      <c r="BU44" s="546">
        <f t="shared" si="59"/>
        <v>2.0576502934676558E-2</v>
      </c>
      <c r="BV44" s="546">
        <f t="shared" si="91"/>
        <v>4.6297131603022249E-2</v>
      </c>
      <c r="BW44" s="546">
        <f t="shared" si="44"/>
        <v>2.0585905411935689E-2</v>
      </c>
      <c r="BX44" s="546">
        <f t="shared" si="92"/>
        <v>0.10218153493299301</v>
      </c>
      <c r="BY44" s="656">
        <f t="shared" si="93"/>
        <v>4.4318181818181826E-2</v>
      </c>
      <c r="BZ44" s="472">
        <f t="shared" si="60"/>
        <v>146.49971675117484</v>
      </c>
      <c r="CA44" s="179">
        <f t="shared" si="61"/>
        <v>0.35563324668505397</v>
      </c>
      <c r="CB44" s="6">
        <f t="shared" si="62"/>
        <v>1.9500000000000002</v>
      </c>
      <c r="CC44" s="179">
        <f t="shared" si="63"/>
        <v>0.8457546328340082</v>
      </c>
      <c r="CD44" s="6">
        <f t="shared" si="64"/>
        <v>84.575463283400822</v>
      </c>
      <c r="CE44">
        <f t="shared" si="98"/>
        <v>39</v>
      </c>
      <c r="CG44" s="581">
        <f t="shared" si="94"/>
        <v>-50</v>
      </c>
      <c r="CH44">
        <f t="shared" si="95"/>
        <v>-50</v>
      </c>
    </row>
    <row r="45" spans="5:86" x14ac:dyDescent="0.2">
      <c r="E45" s="176">
        <v>40</v>
      </c>
      <c r="F45" s="223">
        <f t="shared" si="99"/>
        <v>0.2</v>
      </c>
      <c r="G45" s="223">
        <f t="shared" si="96"/>
        <v>0.2</v>
      </c>
      <c r="H45" s="223">
        <f t="shared" si="68"/>
        <v>1</v>
      </c>
      <c r="I45" s="223">
        <f t="shared" si="100"/>
        <v>1</v>
      </c>
      <c r="J45" s="559">
        <f t="shared" si="1"/>
        <v>24</v>
      </c>
      <c r="K45" s="454">
        <f t="shared" si="2"/>
        <v>15.75</v>
      </c>
      <c r="L45" s="454">
        <f t="shared" si="3"/>
        <v>39.75</v>
      </c>
      <c r="M45" s="454"/>
      <c r="N45" s="223">
        <f t="shared" si="4"/>
        <v>0.39622641509433965</v>
      </c>
      <c r="O45" s="178">
        <f t="shared" si="97"/>
        <v>1.6047169811320754</v>
      </c>
      <c r="P45" s="178">
        <f t="shared" si="69"/>
        <v>3.2094339622641508</v>
      </c>
      <c r="Q45" s="223">
        <f t="shared" si="6"/>
        <v>0.3209433962264151</v>
      </c>
      <c r="R45" s="223">
        <f t="shared" si="70"/>
        <v>0.3209433962264151</v>
      </c>
      <c r="S45" s="454">
        <f t="shared" si="71"/>
        <v>5</v>
      </c>
      <c r="T45" s="223">
        <f t="shared" si="72"/>
        <v>0.46737213403880068</v>
      </c>
      <c r="U45" s="223">
        <f t="shared" si="10"/>
        <v>0.85684891240446792</v>
      </c>
      <c r="V45" s="223">
        <f t="shared" si="11"/>
        <v>1.3056745331877606</v>
      </c>
      <c r="W45" s="203">
        <f t="shared" si="12"/>
        <v>350</v>
      </c>
      <c r="X45" s="454">
        <f t="shared" si="51"/>
        <v>350</v>
      </c>
      <c r="Z45" s="223">
        <f t="shared" si="13"/>
        <v>0.61749571183533458</v>
      </c>
      <c r="AA45" s="179">
        <f t="shared" si="14"/>
        <v>1.7250673854447443</v>
      </c>
      <c r="AB45" s="179">
        <f t="shared" si="73"/>
        <v>0.55924139939803896</v>
      </c>
      <c r="AC45" s="179"/>
      <c r="AD45" s="179">
        <f t="shared" si="16"/>
        <v>0.419047619047619</v>
      </c>
      <c r="AE45" s="563">
        <f t="shared" si="74"/>
        <v>2121.2121212121215</v>
      </c>
      <c r="AF45" s="546">
        <f t="shared" si="75"/>
        <v>3.2999999999999995E-2</v>
      </c>
      <c r="AH45" s="179">
        <f t="shared" si="76"/>
        <v>0.50964719143762549</v>
      </c>
      <c r="AI45" s="179">
        <f t="shared" si="77"/>
        <v>0.50964719143762549</v>
      </c>
      <c r="AJ45" s="179">
        <f t="shared" si="78"/>
        <v>1.4664053269908337</v>
      </c>
      <c r="AL45" s="563">
        <f t="shared" si="79"/>
        <v>200</v>
      </c>
      <c r="AM45" s="472">
        <f t="shared" si="80"/>
        <v>350</v>
      </c>
      <c r="AO45">
        <f t="shared" si="52"/>
        <v>200</v>
      </c>
      <c r="AP45" s="472">
        <f t="shared" si="24"/>
        <v>350</v>
      </c>
      <c r="AQ45" s="472"/>
      <c r="AR45" s="6">
        <f t="shared" si="53"/>
        <v>2.8571428571428572</v>
      </c>
      <c r="AS45" s="6">
        <f t="shared" si="25"/>
        <v>0.93435318430231351</v>
      </c>
      <c r="AT45" s="6">
        <f t="shared" si="54"/>
        <v>1.9227896728405436</v>
      </c>
      <c r="AU45" s="179">
        <f t="shared" si="55"/>
        <v>0.32702361450580975</v>
      </c>
      <c r="AW45" s="6">
        <f t="shared" si="81"/>
        <v>13.072048611111116</v>
      </c>
      <c r="AX45" s="472">
        <f t="shared" si="82"/>
        <v>2.8250295508274244</v>
      </c>
      <c r="AY45" s="6">
        <f t="shared" si="83"/>
        <v>13.072048611111116</v>
      </c>
      <c r="AZ45" s="472">
        <f t="shared" si="84"/>
        <v>5.3534722222222246</v>
      </c>
      <c r="BA45" s="6">
        <f t="shared" si="30"/>
        <v>7.4181700341070356E-2</v>
      </c>
      <c r="BB45" s="6">
        <f t="shared" si="85"/>
        <v>18.266571044819848</v>
      </c>
      <c r="BC45" s="6"/>
      <c r="BD45" s="179">
        <f t="shared" si="56"/>
        <v>0.16826685014478004</v>
      </c>
      <c r="BE45" s="179">
        <f t="shared" si="86"/>
        <v>0.72415273492680143</v>
      </c>
      <c r="BF45" s="179">
        <f t="shared" si="87"/>
        <v>0.72415273492680143</v>
      </c>
      <c r="BG45" s="179"/>
      <c r="BH45" s="546">
        <f t="shared" si="34"/>
        <v>9.9098065001760518E-3</v>
      </c>
      <c r="BI45" s="546">
        <f t="shared" si="35"/>
        <v>5.3178499131569731E-2</v>
      </c>
      <c r="BJ45" s="546">
        <f t="shared" si="36"/>
        <v>4.3749999999999995E-3</v>
      </c>
      <c r="BK45" s="546">
        <f t="shared" si="37"/>
        <v>2.7651093750000001E-2</v>
      </c>
      <c r="BL45">
        <f t="shared" si="38"/>
        <v>6.96E-3</v>
      </c>
      <c r="BM45">
        <f t="shared" si="88"/>
        <v>0.10376853826505147</v>
      </c>
      <c r="BN45" s="472">
        <f t="shared" si="57"/>
        <v>103.76853826505148</v>
      </c>
      <c r="BO45" s="179">
        <f t="shared" si="89"/>
        <v>5.4600000000000003E-2</v>
      </c>
      <c r="BP45" s="179">
        <f t="shared" si="90"/>
        <v>5.4600000000000003E-2</v>
      </c>
      <c r="BQ45" s="546"/>
      <c r="BS45" s="472">
        <f t="shared" si="58"/>
        <v>109.2</v>
      </c>
      <c r="BT45" s="546">
        <f t="shared" si="42"/>
        <v>5.6627465715291736E-3</v>
      </c>
      <c r="BU45" s="546">
        <f t="shared" si="59"/>
        <v>2.0975887340078651E-2</v>
      </c>
      <c r="BV45" s="546">
        <f t="shared" si="91"/>
        <v>4.7195746515176967E-2</v>
      </c>
      <c r="BW45" s="546">
        <f t="shared" si="44"/>
        <v>2.124781142491923E-2</v>
      </c>
      <c r="BX45" s="546">
        <f t="shared" si="92"/>
        <v>0.10455992689650809</v>
      </c>
      <c r="BY45" s="656">
        <f t="shared" si="93"/>
        <v>4.5454545454545442E-2</v>
      </c>
      <c r="BZ45" s="472">
        <f t="shared" si="60"/>
        <v>150.01447235105354</v>
      </c>
      <c r="CA45" s="179">
        <f t="shared" si="61"/>
        <v>0.36298301061610505</v>
      </c>
      <c r="CB45" s="6">
        <f t="shared" si="62"/>
        <v>2</v>
      </c>
      <c r="CC45" s="179">
        <f t="shared" si="63"/>
        <v>0.84638780347326159</v>
      </c>
      <c r="CD45" s="6">
        <f t="shared" si="64"/>
        <v>84.638780347326161</v>
      </c>
      <c r="CE45">
        <f t="shared" si="98"/>
        <v>40</v>
      </c>
      <c r="CG45" s="581">
        <f t="shared" si="94"/>
        <v>-50</v>
      </c>
      <c r="CH45">
        <f t="shared" si="95"/>
        <v>-50</v>
      </c>
    </row>
    <row r="46" spans="5:86" x14ac:dyDescent="0.2">
      <c r="E46" s="176">
        <v>41</v>
      </c>
      <c r="F46" s="223">
        <f t="shared" si="99"/>
        <v>0.20499999999999999</v>
      </c>
      <c r="G46" s="223">
        <f t="shared" si="96"/>
        <v>0.20499999999999999</v>
      </c>
      <c r="H46" s="223">
        <f t="shared" si="68"/>
        <v>1.0249999999999999</v>
      </c>
      <c r="I46" s="223">
        <f t="shared" si="100"/>
        <v>1.0249999999999999</v>
      </c>
      <c r="J46" s="559">
        <f t="shared" si="1"/>
        <v>24</v>
      </c>
      <c r="K46" s="454">
        <f t="shared" si="2"/>
        <v>15.75</v>
      </c>
      <c r="L46" s="454">
        <f t="shared" si="3"/>
        <v>39.75</v>
      </c>
      <c r="M46" s="454"/>
      <c r="N46" s="223">
        <f t="shared" si="4"/>
        <v>0.39622641509433965</v>
      </c>
      <c r="O46" s="178">
        <f t="shared" si="97"/>
        <v>1.6047169811320754</v>
      </c>
      <c r="P46" s="178">
        <f t="shared" si="69"/>
        <v>3.2094339622641508</v>
      </c>
      <c r="Q46" s="223">
        <f t="shared" si="6"/>
        <v>0.3209433962264151</v>
      </c>
      <c r="R46" s="223">
        <f t="shared" si="70"/>
        <v>0.3209433962264151</v>
      </c>
      <c r="S46" s="454">
        <f t="shared" si="71"/>
        <v>5</v>
      </c>
      <c r="T46" s="223">
        <f t="shared" si="72"/>
        <v>0.47905643738977066</v>
      </c>
      <c r="U46" s="223">
        <f t="shared" si="10"/>
        <v>0.87827013521457953</v>
      </c>
      <c r="V46" s="223">
        <f t="shared" si="11"/>
        <v>1.3383163965174545</v>
      </c>
      <c r="W46" s="203">
        <f t="shared" si="12"/>
        <v>350</v>
      </c>
      <c r="X46" s="454">
        <f t="shared" si="51"/>
        <v>350</v>
      </c>
      <c r="Z46" s="223">
        <f t="shared" si="13"/>
        <v>0.61749571183533458</v>
      </c>
      <c r="AA46" s="179">
        <f t="shared" si="14"/>
        <v>1.7250673854447443</v>
      </c>
      <c r="AB46" s="179">
        <f t="shared" si="73"/>
        <v>0.55924139939803896</v>
      </c>
      <c r="AC46" s="179"/>
      <c r="AD46" s="179">
        <f t="shared" si="16"/>
        <v>0.419047619047619</v>
      </c>
      <c r="AE46" s="563">
        <f t="shared" si="74"/>
        <v>2174.2424242424245</v>
      </c>
      <c r="AF46" s="546">
        <f t="shared" si="75"/>
        <v>3.2999999999999995E-2</v>
      </c>
      <c r="AH46" s="179">
        <f t="shared" si="76"/>
        <v>0.51597845520308905</v>
      </c>
      <c r="AI46" s="179">
        <f t="shared" si="77"/>
        <v>0.51597845520308905</v>
      </c>
      <c r="AJ46" s="179">
        <f t="shared" si="78"/>
        <v>1.4710951520022881</v>
      </c>
      <c r="AL46" s="563">
        <f t="shared" si="79"/>
        <v>205</v>
      </c>
      <c r="AM46" s="472">
        <f t="shared" si="80"/>
        <v>350</v>
      </c>
      <c r="AO46">
        <f t="shared" si="52"/>
        <v>205</v>
      </c>
      <c r="AP46" s="472">
        <f t="shared" si="24"/>
        <v>350</v>
      </c>
      <c r="AQ46" s="472"/>
      <c r="AR46" s="6">
        <f t="shared" si="53"/>
        <v>2.8571428571428572</v>
      </c>
      <c r="AS46" s="6">
        <f t="shared" si="25"/>
        <v>0.94596050120566322</v>
      </c>
      <c r="AT46" s="6">
        <f t="shared" si="54"/>
        <v>1.9111823559371941</v>
      </c>
      <c r="AU46" s="179">
        <f t="shared" si="55"/>
        <v>0.3310861754219821</v>
      </c>
      <c r="AW46" s="6">
        <f t="shared" si="81"/>
        <v>13.072048611111116</v>
      </c>
      <c r="AX46" s="472">
        <f t="shared" si="82"/>
        <v>2.9526716718380612</v>
      </c>
      <c r="AY46" s="6">
        <f t="shared" si="83"/>
        <v>13.072048611111116</v>
      </c>
      <c r="AZ46" s="472">
        <f t="shared" si="84"/>
        <v>5.6091167534722226</v>
      </c>
      <c r="BA46" s="6">
        <f t="shared" si="30"/>
        <v>7.5577234368658319E-2</v>
      </c>
      <c r="BB46" s="6">
        <f t="shared" si="85"/>
        <v>18.613073285515032</v>
      </c>
      <c r="BC46" s="6"/>
      <c r="BD46" s="179">
        <f t="shared" si="56"/>
        <v>0.17141209547999395</v>
      </c>
      <c r="BE46" s="179">
        <f t="shared" si="86"/>
        <v>0.73093251426497341</v>
      </c>
      <c r="BF46" s="179">
        <f t="shared" si="87"/>
        <v>0.73093251426497341</v>
      </c>
      <c r="BG46" s="179"/>
      <c r="BH46" s="546">
        <f t="shared" si="34"/>
        <v>1.0283737266894896E-2</v>
      </c>
      <c r="BI46" s="546">
        <f t="shared" si="35"/>
        <v>5.383912693509732E-2</v>
      </c>
      <c r="BJ46" s="546">
        <f t="shared" si="36"/>
        <v>4.3749999999999995E-3</v>
      </c>
      <c r="BK46" s="546">
        <f t="shared" si="37"/>
        <v>2.7651093750000001E-2</v>
      </c>
      <c r="BL46">
        <f t="shared" si="38"/>
        <v>6.96E-3</v>
      </c>
      <c r="BM46">
        <f t="shared" si="88"/>
        <v>0.10487095071087292</v>
      </c>
      <c r="BN46" s="472">
        <f t="shared" si="57"/>
        <v>104.87095071087292</v>
      </c>
      <c r="BO46" s="179">
        <f t="shared" si="89"/>
        <v>5.5964999999999994E-2</v>
      </c>
      <c r="BP46" s="179">
        <f t="shared" si="90"/>
        <v>5.5964999999999994E-2</v>
      </c>
      <c r="BQ46" s="546"/>
      <c r="BS46" s="472">
        <f t="shared" si="58"/>
        <v>111.92999999999999</v>
      </c>
      <c r="BT46" s="546">
        <f t="shared" si="42"/>
        <v>5.8764212953685124E-3</v>
      </c>
      <c r="BU46" s="546">
        <f t="shared" si="59"/>
        <v>2.1370493616388622E-2</v>
      </c>
      <c r="BV46" s="546">
        <f t="shared" si="91"/>
        <v>4.8083610636874399E-2</v>
      </c>
      <c r="BW46" s="546">
        <f t="shared" si="44"/>
        <v>2.1913867684821561E-2</v>
      </c>
      <c r="BX46" s="546">
        <f t="shared" si="92"/>
        <v>0.10692845443277078</v>
      </c>
      <c r="BY46" s="656">
        <f t="shared" si="93"/>
        <v>4.6590909090909086E-2</v>
      </c>
      <c r="BZ46" s="472">
        <f t="shared" si="60"/>
        <v>153.51936352367986</v>
      </c>
      <c r="CA46" s="179">
        <f t="shared" si="61"/>
        <v>0.37032031423455275</v>
      </c>
      <c r="CB46" s="6">
        <f t="shared" si="62"/>
        <v>2.0499999999999998</v>
      </c>
      <c r="CC46" s="179">
        <f t="shared" si="63"/>
        <v>0.84699532865274085</v>
      </c>
      <c r="CD46" s="6">
        <f t="shared" si="64"/>
        <v>84.69953286527408</v>
      </c>
      <c r="CE46">
        <f t="shared" si="98"/>
        <v>41</v>
      </c>
      <c r="CG46" s="581">
        <f t="shared" si="94"/>
        <v>-50</v>
      </c>
      <c r="CH46">
        <f t="shared" si="95"/>
        <v>-50</v>
      </c>
    </row>
    <row r="47" spans="5:86" x14ac:dyDescent="0.2">
      <c r="E47" s="176">
        <v>42</v>
      </c>
      <c r="F47" s="223">
        <f t="shared" si="99"/>
        <v>0.21</v>
      </c>
      <c r="G47" s="223">
        <f t="shared" si="96"/>
        <v>0.21</v>
      </c>
      <c r="H47" s="223">
        <f t="shared" si="68"/>
        <v>1.05</v>
      </c>
      <c r="I47" s="223">
        <f t="shared" si="100"/>
        <v>1.05</v>
      </c>
      <c r="J47" s="559">
        <f t="shared" si="1"/>
        <v>24</v>
      </c>
      <c r="K47" s="454">
        <f t="shared" si="2"/>
        <v>15.75</v>
      </c>
      <c r="L47" s="454">
        <f t="shared" si="3"/>
        <v>39.75</v>
      </c>
      <c r="M47" s="454"/>
      <c r="N47" s="223">
        <f t="shared" si="4"/>
        <v>0.39622641509433965</v>
      </c>
      <c r="O47" s="178">
        <f t="shared" si="97"/>
        <v>1.6047169811320754</v>
      </c>
      <c r="P47" s="178">
        <f t="shared" si="69"/>
        <v>3.2094339622641508</v>
      </c>
      <c r="Q47" s="223">
        <f t="shared" si="6"/>
        <v>0.3209433962264151</v>
      </c>
      <c r="R47" s="223">
        <f t="shared" si="70"/>
        <v>0.3209433962264151</v>
      </c>
      <c r="S47" s="454">
        <f t="shared" si="71"/>
        <v>5</v>
      </c>
      <c r="T47" s="223">
        <f t="shared" si="72"/>
        <v>0.4907407407407407</v>
      </c>
      <c r="U47" s="223">
        <f t="shared" si="10"/>
        <v>0.89969135802469125</v>
      </c>
      <c r="V47" s="223">
        <f t="shared" si="11"/>
        <v>1.3709582598471486</v>
      </c>
      <c r="W47" s="203">
        <f t="shared" si="12"/>
        <v>350</v>
      </c>
      <c r="X47" s="454">
        <f t="shared" si="51"/>
        <v>350</v>
      </c>
      <c r="Z47" s="223">
        <f t="shared" si="13"/>
        <v>0.61749571183533458</v>
      </c>
      <c r="AA47" s="179">
        <f t="shared" si="14"/>
        <v>1.7250673854447443</v>
      </c>
      <c r="AB47" s="179">
        <f t="shared" si="73"/>
        <v>0.55924139939803896</v>
      </c>
      <c r="AC47" s="179"/>
      <c r="AD47" s="179">
        <f t="shared" si="16"/>
        <v>0.419047619047619</v>
      </c>
      <c r="AE47" s="563">
        <f t="shared" si="74"/>
        <v>2227.2727272727275</v>
      </c>
      <c r="AF47" s="546">
        <f t="shared" si="75"/>
        <v>3.2999999999999995E-2</v>
      </c>
      <c r="AH47" s="179">
        <f t="shared" si="76"/>
        <v>0.5222329678670935</v>
      </c>
      <c r="AI47" s="179">
        <f t="shared" si="77"/>
        <v>0.5222329678670935</v>
      </c>
      <c r="AJ47" s="179">
        <f t="shared" si="78"/>
        <v>1.4757281243459952</v>
      </c>
      <c r="AL47" s="563">
        <f t="shared" si="79"/>
        <v>210</v>
      </c>
      <c r="AM47" s="472">
        <f t="shared" si="80"/>
        <v>350</v>
      </c>
      <c r="AO47">
        <f t="shared" si="52"/>
        <v>210</v>
      </c>
      <c r="AP47" s="472">
        <f t="shared" si="24"/>
        <v>350</v>
      </c>
      <c r="AQ47" s="472"/>
      <c r="AR47" s="6">
        <f t="shared" si="53"/>
        <v>2.8571428571428572</v>
      </c>
      <c r="AS47" s="6">
        <f t="shared" si="25"/>
        <v>0.9574271077563381</v>
      </c>
      <c r="AT47" s="6">
        <f t="shared" si="54"/>
        <v>1.8997157493865191</v>
      </c>
      <c r="AU47" s="179">
        <f t="shared" si="55"/>
        <v>0.33509948771471831</v>
      </c>
      <c r="AW47" s="6">
        <f t="shared" si="81"/>
        <v>13.072048611111116</v>
      </c>
      <c r="AX47" s="472">
        <f t="shared" si="82"/>
        <v>3.0830950797872343</v>
      </c>
      <c r="AY47" s="6">
        <f t="shared" si="83"/>
        <v>13.072048611111116</v>
      </c>
      <c r="AZ47" s="472">
        <f t="shared" si="84"/>
        <v>5.8707031250000012</v>
      </c>
      <c r="BA47" s="6">
        <f t="shared" si="30"/>
        <v>7.6956077810796483E-2</v>
      </c>
      <c r="BB47" s="6">
        <f t="shared" si="85"/>
        <v>18.95556978570227</v>
      </c>
      <c r="BC47" s="6"/>
      <c r="BD47" s="179">
        <f t="shared" si="56"/>
        <v>0.17453821871512015</v>
      </c>
      <c r="BE47" s="179">
        <f t="shared" si="86"/>
        <v>0.73757000349227475</v>
      </c>
      <c r="BF47" s="179">
        <f t="shared" si="87"/>
        <v>0.73757000349227475</v>
      </c>
      <c r="BG47" s="179"/>
      <c r="BH47" s="546">
        <f t="shared" si="34"/>
        <v>1.0662256427286491E-2</v>
      </c>
      <c r="BI47" s="546">
        <f t="shared" si="35"/>
        <v>5.4491746240882037E-2</v>
      </c>
      <c r="BJ47" s="546">
        <f t="shared" si="36"/>
        <v>4.3749999999999995E-3</v>
      </c>
      <c r="BK47" s="546">
        <f t="shared" si="37"/>
        <v>2.7651093750000001E-2</v>
      </c>
      <c r="BL47">
        <f t="shared" si="38"/>
        <v>6.96E-3</v>
      </c>
      <c r="BM47">
        <f t="shared" si="88"/>
        <v>0.10597100794182714</v>
      </c>
      <c r="BN47" s="472">
        <f t="shared" si="57"/>
        <v>105.97100794182714</v>
      </c>
      <c r="BO47" s="179">
        <f t="shared" si="89"/>
        <v>5.7329999999999999E-2</v>
      </c>
      <c r="BP47" s="179">
        <f t="shared" si="90"/>
        <v>5.7329999999999999E-2</v>
      </c>
      <c r="BQ47" s="546"/>
      <c r="BS47" s="472">
        <f t="shared" si="58"/>
        <v>114.66</v>
      </c>
      <c r="BT47" s="546">
        <f t="shared" si="42"/>
        <v>6.0927179584494241E-3</v>
      </c>
      <c r="BU47" s="546">
        <f t="shared" si="59"/>
        <v>2.1760380402063767E-2</v>
      </c>
      <c r="BV47" s="546">
        <f t="shared" si="91"/>
        <v>4.8960855904643469E-2</v>
      </c>
      <c r="BW47" s="546">
        <f t="shared" si="44"/>
        <v>2.2583998025221354E-2</v>
      </c>
      <c r="BX47" s="546">
        <f t="shared" si="92"/>
        <v>0.10928720941868109</v>
      </c>
      <c r="BY47" s="656">
        <f t="shared" si="93"/>
        <v>4.7727272727272729E-2</v>
      </c>
      <c r="BZ47" s="472">
        <f t="shared" si="60"/>
        <v>157.01448214595382</v>
      </c>
      <c r="CA47" s="179">
        <f t="shared" si="61"/>
        <v>0.37764549008778092</v>
      </c>
      <c r="CB47" s="6">
        <f t="shared" si="62"/>
        <v>2.1</v>
      </c>
      <c r="CC47" s="179">
        <f t="shared" si="63"/>
        <v>0.84757888422754091</v>
      </c>
      <c r="CD47" s="6">
        <f t="shared" si="64"/>
        <v>84.757888422754093</v>
      </c>
      <c r="CE47">
        <f t="shared" si="98"/>
        <v>42</v>
      </c>
      <c r="CG47" s="581">
        <f t="shared" si="94"/>
        <v>-50</v>
      </c>
      <c r="CH47">
        <f t="shared" si="95"/>
        <v>-50</v>
      </c>
    </row>
    <row r="48" spans="5:86" x14ac:dyDescent="0.2">
      <c r="E48" s="176">
        <v>43</v>
      </c>
      <c r="F48" s="223">
        <f t="shared" si="99"/>
        <v>0.215</v>
      </c>
      <c r="G48" s="223">
        <f t="shared" si="96"/>
        <v>0.215</v>
      </c>
      <c r="H48" s="223">
        <f t="shared" si="68"/>
        <v>1.075</v>
      </c>
      <c r="I48" s="223">
        <f t="shared" si="100"/>
        <v>1.075</v>
      </c>
      <c r="J48" s="559">
        <f t="shared" si="1"/>
        <v>24</v>
      </c>
      <c r="K48" s="454">
        <f t="shared" si="2"/>
        <v>15.75</v>
      </c>
      <c r="L48" s="454">
        <f t="shared" si="3"/>
        <v>39.75</v>
      </c>
      <c r="M48" s="454"/>
      <c r="N48" s="223">
        <f t="shared" si="4"/>
        <v>0.39622641509433965</v>
      </c>
      <c r="O48" s="178">
        <f t="shared" si="97"/>
        <v>1.6047169811320754</v>
      </c>
      <c r="P48" s="178">
        <f t="shared" si="69"/>
        <v>3.2094339622641508</v>
      </c>
      <c r="Q48" s="223">
        <f t="shared" si="6"/>
        <v>0.3209433962264151</v>
      </c>
      <c r="R48" s="223">
        <f t="shared" si="70"/>
        <v>0.3209433962264151</v>
      </c>
      <c r="S48" s="454">
        <f t="shared" si="71"/>
        <v>5</v>
      </c>
      <c r="T48" s="223">
        <f t="shared" si="72"/>
        <v>0.50242504409171074</v>
      </c>
      <c r="U48" s="223">
        <f t="shared" si="10"/>
        <v>0.92111258083480296</v>
      </c>
      <c r="V48" s="223">
        <f t="shared" si="11"/>
        <v>1.4036001231768429</v>
      </c>
      <c r="W48" s="203">
        <f t="shared" si="12"/>
        <v>350</v>
      </c>
      <c r="X48" s="454">
        <f t="shared" si="51"/>
        <v>350</v>
      </c>
      <c r="Z48" s="223">
        <f t="shared" si="13"/>
        <v>0.61749571183533458</v>
      </c>
      <c r="AA48" s="179">
        <f t="shared" si="14"/>
        <v>1.7250673854447443</v>
      </c>
      <c r="AB48" s="179">
        <f t="shared" si="73"/>
        <v>0.55924139939803896</v>
      </c>
      <c r="AC48" s="179"/>
      <c r="AD48" s="179">
        <f t="shared" si="16"/>
        <v>0.419047619047619</v>
      </c>
      <c r="AE48" s="563">
        <f t="shared" si="74"/>
        <v>2280.3030303030309</v>
      </c>
      <c r="AF48" s="546">
        <f t="shared" si="75"/>
        <v>3.2999999999999995E-2</v>
      </c>
      <c r="AH48" s="179">
        <f t="shared" si="76"/>
        <v>0.52841345480672541</v>
      </c>
      <c r="AI48" s="179">
        <f t="shared" si="77"/>
        <v>0.52841345480672541</v>
      </c>
      <c r="AJ48" s="179">
        <f t="shared" si="78"/>
        <v>1.4803062628197965</v>
      </c>
      <c r="AL48" s="563">
        <f t="shared" si="79"/>
        <v>215</v>
      </c>
      <c r="AM48" s="472">
        <f t="shared" si="80"/>
        <v>350</v>
      </c>
      <c r="AO48">
        <f t="shared" si="52"/>
        <v>215</v>
      </c>
      <c r="AP48" s="472">
        <f t="shared" si="24"/>
        <v>350</v>
      </c>
      <c r="AQ48" s="472"/>
      <c r="AR48" s="6">
        <f t="shared" si="53"/>
        <v>2.8571428571428572</v>
      </c>
      <c r="AS48" s="6">
        <f t="shared" si="25"/>
        <v>0.96875800047899652</v>
      </c>
      <c r="AT48" s="6">
        <f t="shared" si="54"/>
        <v>1.8883848566638606</v>
      </c>
      <c r="AU48" s="179">
        <f t="shared" si="55"/>
        <v>0.3390653001676488</v>
      </c>
      <c r="AW48" s="6">
        <f t="shared" si="81"/>
        <v>13.072048611111116</v>
      </c>
      <c r="AX48" s="472">
        <f t="shared" si="82"/>
        <v>3.2162997746749413</v>
      </c>
      <c r="AY48" s="6">
        <f t="shared" si="83"/>
        <v>13.072048611111116</v>
      </c>
      <c r="AZ48" s="472">
        <f t="shared" si="84"/>
        <v>6.138231336805557</v>
      </c>
      <c r="BA48" s="6">
        <f t="shared" si="30"/>
        <v>7.8318430590804386E-2</v>
      </c>
      <c r="BB48" s="6">
        <f t="shared" si="85"/>
        <v>19.294108526978238</v>
      </c>
      <c r="BC48" s="6"/>
      <c r="BD48" s="179">
        <f t="shared" si="56"/>
        <v>0.17764578737808401</v>
      </c>
      <c r="BE48" s="179">
        <f t="shared" si="86"/>
        <v>0.74406996022129723</v>
      </c>
      <c r="BF48" s="179">
        <f t="shared" si="87"/>
        <v>0.74406996022129723</v>
      </c>
      <c r="BG48" s="179"/>
      <c r="BH48" s="546">
        <f t="shared" si="34"/>
        <v>1.1045309020612801E-2</v>
      </c>
      <c r="BI48" s="546">
        <f t="shared" si="35"/>
        <v>5.5136641424989245E-2</v>
      </c>
      <c r="BJ48" s="546">
        <f t="shared" si="36"/>
        <v>4.3749999999999995E-3</v>
      </c>
      <c r="BK48" s="546">
        <f t="shared" si="37"/>
        <v>2.7651093750000001E-2</v>
      </c>
      <c r="BL48">
        <f t="shared" si="38"/>
        <v>6.96E-3</v>
      </c>
      <c r="BM48">
        <f t="shared" si="88"/>
        <v>0.10706893509634999</v>
      </c>
      <c r="BN48" s="472">
        <f t="shared" si="57"/>
        <v>107.06893509634999</v>
      </c>
      <c r="BO48" s="179">
        <f t="shared" si="89"/>
        <v>5.8695000000000004E-2</v>
      </c>
      <c r="BP48" s="179">
        <f t="shared" si="90"/>
        <v>5.8695000000000004E-2</v>
      </c>
      <c r="BQ48" s="546"/>
      <c r="BS48" s="472">
        <f t="shared" si="58"/>
        <v>117.39000000000001</v>
      </c>
      <c r="BT48" s="546">
        <f t="shared" si="42"/>
        <v>6.3116051546358871E-3</v>
      </c>
      <c r="BU48" s="546">
        <f t="shared" si="59"/>
        <v>2.2145604228148912E-2</v>
      </c>
      <c r="BV48" s="546">
        <f t="shared" si="91"/>
        <v>4.982760951333505E-2</v>
      </c>
      <c r="BW48" s="546">
        <f t="shared" si="44"/>
        <v>2.3258129463728364E-2</v>
      </c>
      <c r="BX48" s="546">
        <f t="shared" si="92"/>
        <v>0.11163628070878448</v>
      </c>
      <c r="BY48" s="656">
        <f t="shared" si="93"/>
        <v>4.886363636363638E-2</v>
      </c>
      <c r="BZ48" s="472">
        <f t="shared" si="60"/>
        <v>160.49991707242086</v>
      </c>
      <c r="CA48" s="179">
        <f t="shared" si="61"/>
        <v>0.38495885216877085</v>
      </c>
      <c r="CB48" s="6">
        <f t="shared" si="62"/>
        <v>2.15</v>
      </c>
      <c r="CC48" s="179">
        <f t="shared" si="63"/>
        <v>0.84813999965347708</v>
      </c>
      <c r="CD48" s="6">
        <f t="shared" si="64"/>
        <v>84.813999965347705</v>
      </c>
      <c r="CE48">
        <f t="shared" si="98"/>
        <v>43</v>
      </c>
      <c r="CG48" s="581">
        <f t="shared" si="94"/>
        <v>-50</v>
      </c>
      <c r="CH48">
        <f t="shared" si="95"/>
        <v>-50</v>
      </c>
    </row>
    <row r="49" spans="5:86" x14ac:dyDescent="0.2">
      <c r="E49" s="176">
        <v>44</v>
      </c>
      <c r="F49" s="223">
        <f t="shared" si="99"/>
        <v>0.22</v>
      </c>
      <c r="G49" s="223">
        <f t="shared" si="96"/>
        <v>0.22</v>
      </c>
      <c r="H49" s="223">
        <f t="shared" si="68"/>
        <v>1.1000000000000001</v>
      </c>
      <c r="I49" s="223">
        <f t="shared" si="100"/>
        <v>1.1000000000000001</v>
      </c>
      <c r="J49" s="559">
        <f t="shared" si="1"/>
        <v>24</v>
      </c>
      <c r="K49" s="454">
        <f t="shared" si="2"/>
        <v>15.75</v>
      </c>
      <c r="L49" s="454">
        <f t="shared" si="3"/>
        <v>39.75</v>
      </c>
      <c r="M49" s="454"/>
      <c r="N49" s="223">
        <f t="shared" si="4"/>
        <v>0.39622641509433965</v>
      </c>
      <c r="O49" s="178">
        <f t="shared" si="97"/>
        <v>1.6047169811320754</v>
      </c>
      <c r="P49" s="178">
        <f t="shared" si="69"/>
        <v>3.2094339622641508</v>
      </c>
      <c r="Q49" s="223">
        <f t="shared" si="6"/>
        <v>0.3209433962264151</v>
      </c>
      <c r="R49" s="223">
        <f t="shared" si="70"/>
        <v>0.3209433962264151</v>
      </c>
      <c r="S49" s="454">
        <f t="shared" si="71"/>
        <v>5</v>
      </c>
      <c r="T49" s="223">
        <f t="shared" si="72"/>
        <v>0.51410934744268078</v>
      </c>
      <c r="U49" s="223">
        <f t="shared" si="10"/>
        <v>0.94253380364491468</v>
      </c>
      <c r="V49" s="223">
        <f t="shared" si="11"/>
        <v>1.4362419865065366</v>
      </c>
      <c r="W49" s="203">
        <f t="shared" si="12"/>
        <v>350</v>
      </c>
      <c r="X49" s="454">
        <f t="shared" si="51"/>
        <v>350</v>
      </c>
      <c r="Z49" s="223">
        <f t="shared" si="13"/>
        <v>0.61749571183533458</v>
      </c>
      <c r="AA49" s="179">
        <f t="shared" si="14"/>
        <v>1.7250673854447443</v>
      </c>
      <c r="AB49" s="179">
        <f t="shared" si="73"/>
        <v>0.55924139939803896</v>
      </c>
      <c r="AC49" s="179"/>
      <c r="AD49" s="179">
        <f t="shared" si="16"/>
        <v>0.419047619047619</v>
      </c>
      <c r="AE49" s="563">
        <f t="shared" si="74"/>
        <v>2333.3333333333339</v>
      </c>
      <c r="AF49" s="546">
        <f t="shared" si="75"/>
        <v>3.2999999999999995E-2</v>
      </c>
      <c r="AH49" s="179">
        <f t="shared" si="76"/>
        <v>0.53452248382484879</v>
      </c>
      <c r="AI49" s="179">
        <f t="shared" si="77"/>
        <v>0.53452248382484879</v>
      </c>
      <c r="AJ49" s="179">
        <f t="shared" si="78"/>
        <v>1.4848314694998879</v>
      </c>
      <c r="AL49" s="563">
        <f t="shared" si="79"/>
        <v>220</v>
      </c>
      <c r="AM49" s="472">
        <f t="shared" si="80"/>
        <v>350</v>
      </c>
      <c r="AO49">
        <f t="shared" si="52"/>
        <v>220</v>
      </c>
      <c r="AP49" s="472">
        <f t="shared" si="24"/>
        <v>350</v>
      </c>
      <c r="AQ49" s="472"/>
      <c r="AR49" s="6">
        <f t="shared" si="53"/>
        <v>2.8571428571428572</v>
      </c>
      <c r="AS49" s="6">
        <f t="shared" si="25"/>
        <v>0.97995788701222264</v>
      </c>
      <c r="AT49" s="6">
        <f t="shared" si="54"/>
        <v>1.8771849701306347</v>
      </c>
      <c r="AU49" s="179">
        <f t="shared" si="55"/>
        <v>0.34298526045427791</v>
      </c>
      <c r="AW49" s="6">
        <f t="shared" si="81"/>
        <v>13.072048611111116</v>
      </c>
      <c r="AX49" s="472">
        <f t="shared" si="82"/>
        <v>3.3522857565011832</v>
      </c>
      <c r="AY49" s="6">
        <f t="shared" si="83"/>
        <v>13.072048611111116</v>
      </c>
      <c r="AZ49" s="472">
        <f t="shared" si="84"/>
        <v>6.4117013888888907</v>
      </c>
      <c r="BA49" s="6">
        <f t="shared" si="30"/>
        <v>7.9664485615111816E-2</v>
      </c>
      <c r="BB49" s="6">
        <f t="shared" si="85"/>
        <v>19.628735806886095</v>
      </c>
      <c r="BC49" s="6"/>
      <c r="BD49" s="179">
        <f t="shared" si="56"/>
        <v>0.18073533937890349</v>
      </c>
      <c r="BE49" s="179">
        <f t="shared" si="86"/>
        <v>0.75043686679106492</v>
      </c>
      <c r="BF49" s="179">
        <f t="shared" si="87"/>
        <v>0.75043686679106492</v>
      </c>
      <c r="BG49" s="179"/>
      <c r="BH49" s="546">
        <f t="shared" si="34"/>
        <v>1.1432842015142598E-2</v>
      </c>
      <c r="BI49" s="546">
        <f t="shared" si="35"/>
        <v>5.5774080421599058E-2</v>
      </c>
      <c r="BJ49" s="546">
        <f t="shared" si="36"/>
        <v>4.3749999999999995E-3</v>
      </c>
      <c r="BK49" s="546">
        <f t="shared" si="37"/>
        <v>2.7651093750000001E-2</v>
      </c>
      <c r="BL49">
        <f t="shared" si="38"/>
        <v>6.96E-3</v>
      </c>
      <c r="BM49">
        <f t="shared" si="88"/>
        <v>0.10816494309139438</v>
      </c>
      <c r="BN49" s="472">
        <f t="shared" si="57"/>
        <v>108.16494309139438</v>
      </c>
      <c r="BO49" s="179">
        <f t="shared" si="89"/>
        <v>6.0060000000000002E-2</v>
      </c>
      <c r="BP49" s="179">
        <f t="shared" si="90"/>
        <v>6.0060000000000002E-2</v>
      </c>
      <c r="BQ49" s="546"/>
      <c r="BS49" s="472">
        <f t="shared" si="58"/>
        <v>120.12</v>
      </c>
      <c r="BT49" s="546">
        <f t="shared" si="42"/>
        <v>6.5330525800814847E-3</v>
      </c>
      <c r="BU49" s="546">
        <f t="shared" si="59"/>
        <v>2.2526219641567619E-2</v>
      </c>
      <c r="BV49" s="546">
        <f t="shared" si="91"/>
        <v>5.0683994193527142E-2</v>
      </c>
      <c r="BW49" s="546">
        <f t="shared" si="44"/>
        <v>2.3936191997679122E-2</v>
      </c>
      <c r="BX49" s="546">
        <f t="shared" si="92"/>
        <v>0.11397575429786415</v>
      </c>
      <c r="BY49" s="656">
        <f t="shared" si="93"/>
        <v>5.0000000000000017E-2</v>
      </c>
      <c r="BZ49" s="472">
        <f t="shared" si="60"/>
        <v>163.97575429786414</v>
      </c>
      <c r="CA49" s="179">
        <f t="shared" si="61"/>
        <v>0.39226069738925851</v>
      </c>
      <c r="CB49" s="6">
        <f t="shared" si="62"/>
        <v>2.2000000000000002</v>
      </c>
      <c r="CC49" s="179">
        <f t="shared" si="63"/>
        <v>0.84868007381189869</v>
      </c>
      <c r="CD49" s="6">
        <f t="shared" si="64"/>
        <v>84.868007381189869</v>
      </c>
      <c r="CE49">
        <f t="shared" si="98"/>
        <v>44</v>
      </c>
      <c r="CG49" s="581">
        <f t="shared" si="94"/>
        <v>-50</v>
      </c>
      <c r="CH49">
        <f t="shared" si="95"/>
        <v>-50</v>
      </c>
    </row>
    <row r="50" spans="5:86" x14ac:dyDescent="0.2">
      <c r="E50" s="176">
        <v>45</v>
      </c>
      <c r="F50" s="223">
        <f t="shared" si="99"/>
        <v>0.22500000000000001</v>
      </c>
      <c r="G50" s="223">
        <f t="shared" si="96"/>
        <v>0.22500000000000001</v>
      </c>
      <c r="H50" s="223">
        <f t="shared" si="68"/>
        <v>1.125</v>
      </c>
      <c r="I50" s="223">
        <f t="shared" si="100"/>
        <v>1.125</v>
      </c>
      <c r="J50" s="559">
        <f t="shared" si="1"/>
        <v>24</v>
      </c>
      <c r="K50" s="454">
        <f t="shared" si="2"/>
        <v>15.75</v>
      </c>
      <c r="L50" s="454">
        <f t="shared" si="3"/>
        <v>39.75</v>
      </c>
      <c r="M50" s="454"/>
      <c r="N50" s="223">
        <f t="shared" si="4"/>
        <v>0.39622641509433965</v>
      </c>
      <c r="O50" s="178">
        <f t="shared" si="97"/>
        <v>1.6047169811320754</v>
      </c>
      <c r="P50" s="178">
        <f t="shared" si="69"/>
        <v>3.2094339622641508</v>
      </c>
      <c r="Q50" s="223">
        <f t="shared" si="6"/>
        <v>0.3209433962264151</v>
      </c>
      <c r="R50" s="223">
        <f t="shared" si="70"/>
        <v>0.3209433962264151</v>
      </c>
      <c r="S50" s="454">
        <f t="shared" si="71"/>
        <v>5</v>
      </c>
      <c r="T50" s="223">
        <f t="shared" si="72"/>
        <v>0.5257936507936507</v>
      </c>
      <c r="U50" s="223">
        <f t="shared" si="10"/>
        <v>0.96395502645502618</v>
      </c>
      <c r="V50" s="223">
        <f t="shared" si="11"/>
        <v>1.4688838498362304</v>
      </c>
      <c r="W50" s="203">
        <f t="shared" si="12"/>
        <v>350</v>
      </c>
      <c r="X50" s="454">
        <f t="shared" si="51"/>
        <v>350</v>
      </c>
      <c r="Z50" s="223">
        <f t="shared" si="13"/>
        <v>0.61749571183533458</v>
      </c>
      <c r="AA50" s="179">
        <f t="shared" si="14"/>
        <v>1.7250673854447443</v>
      </c>
      <c r="AB50" s="179">
        <f t="shared" si="73"/>
        <v>0.55924139939803896</v>
      </c>
      <c r="AC50" s="179"/>
      <c r="AD50" s="179">
        <f t="shared" si="16"/>
        <v>0.419047619047619</v>
      </c>
      <c r="AE50" s="563">
        <f t="shared" si="74"/>
        <v>2386.3636363636365</v>
      </c>
      <c r="AF50" s="546">
        <f t="shared" si="75"/>
        <v>3.2999999999999995E-2</v>
      </c>
      <c r="AH50" s="179">
        <f t="shared" si="76"/>
        <v>0.54056247761733534</v>
      </c>
      <c r="AI50" s="179">
        <f t="shared" si="77"/>
        <v>0.54056247761733534</v>
      </c>
      <c r="AJ50" s="179">
        <f t="shared" si="78"/>
        <v>1.4893055389758039</v>
      </c>
      <c r="AL50" s="563">
        <f t="shared" si="79"/>
        <v>225</v>
      </c>
      <c r="AM50" s="472">
        <f t="shared" si="80"/>
        <v>350</v>
      </c>
      <c r="AO50">
        <f t="shared" si="52"/>
        <v>225</v>
      </c>
      <c r="AP50" s="472">
        <f t="shared" si="24"/>
        <v>350</v>
      </c>
      <c r="AQ50" s="472"/>
      <c r="AR50" s="6">
        <f t="shared" si="53"/>
        <v>2.8571428571428572</v>
      </c>
      <c r="AS50" s="6">
        <f t="shared" si="25"/>
        <v>0.99103120896511465</v>
      </c>
      <c r="AT50" s="6">
        <f t="shared" si="54"/>
        <v>1.8661116481777427</v>
      </c>
      <c r="AU50" s="179">
        <f t="shared" si="55"/>
        <v>0.3468609231377901</v>
      </c>
      <c r="AW50" s="6">
        <f t="shared" si="81"/>
        <v>13.072048611111116</v>
      </c>
      <c r="AX50" s="472">
        <f t="shared" si="82"/>
        <v>3.4910530252659591</v>
      </c>
      <c r="AY50" s="6">
        <f t="shared" si="83"/>
        <v>13.072048611111116</v>
      </c>
      <c r="AZ50" s="472">
        <f t="shared" si="84"/>
        <v>6.6911132812500034</v>
      </c>
      <c r="BA50" s="6">
        <f t="shared" si="30"/>
        <v>8.0994429174381183E-2</v>
      </c>
      <c r="BB50" s="6">
        <f t="shared" si="85"/>
        <v>19.959496335184816</v>
      </c>
      <c r="BC50" s="6"/>
      <c r="BD50" s="179">
        <f t="shared" si="56"/>
        <v>0.18380738519189985</v>
      </c>
      <c r="BE50" s="179">
        <f t="shared" si="86"/>
        <v>0.756674951986403</v>
      </c>
      <c r="BF50" s="179">
        <f t="shared" si="87"/>
        <v>0.756674951986403</v>
      </c>
      <c r="BG50" s="179"/>
      <c r="BH50" s="546">
        <f t="shared" si="34"/>
        <v>1.1824804197879206E-2</v>
      </c>
      <c r="BI50" s="546">
        <f t="shared" si="35"/>
        <v>5.6404316023883821E-2</v>
      </c>
      <c r="BJ50" s="546">
        <f t="shared" si="36"/>
        <v>4.3749999999999995E-3</v>
      </c>
      <c r="BK50" s="546">
        <f t="shared" si="37"/>
        <v>2.7651093750000001E-2</v>
      </c>
      <c r="BL50">
        <f t="shared" si="38"/>
        <v>6.96E-3</v>
      </c>
      <c r="BM50">
        <f t="shared" si="88"/>
        <v>0.10925922979668456</v>
      </c>
      <c r="BN50" s="472">
        <f t="shared" si="57"/>
        <v>109.25922979668456</v>
      </c>
      <c r="BO50" s="179">
        <f t="shared" si="89"/>
        <v>6.1425000000000007E-2</v>
      </c>
      <c r="BP50" s="179">
        <f t="shared" si="90"/>
        <v>6.1425000000000007E-2</v>
      </c>
      <c r="BQ50" s="546"/>
      <c r="BS50" s="472">
        <f t="shared" si="58"/>
        <v>122.85000000000001</v>
      </c>
      <c r="BT50" s="546">
        <f t="shared" si="42"/>
        <v>6.7570309702166889E-3</v>
      </c>
      <c r="BU50" s="546">
        <f t="shared" si="59"/>
        <v>2.2902279318545014E-2</v>
      </c>
      <c r="BV50" s="546">
        <f t="shared" si="91"/>
        <v>5.1530128466726277E-2</v>
      </c>
      <c r="BW50" s="546">
        <f t="shared" si="44"/>
        <v>2.4618118417302881E-2</v>
      </c>
      <c r="BX50" s="546">
        <f t="shared" si="92"/>
        <v>0.11630571347151414</v>
      </c>
      <c r="BY50" s="656">
        <f t="shared" si="93"/>
        <v>5.1136363636363633E-2</v>
      </c>
      <c r="BZ50" s="472">
        <f t="shared" si="60"/>
        <v>167.44207710787779</v>
      </c>
      <c r="CA50" s="179">
        <f t="shared" si="61"/>
        <v>0.39955130690456236</v>
      </c>
      <c r="CB50" s="6">
        <f t="shared" si="62"/>
        <v>2.25</v>
      </c>
      <c r="CC50" s="179">
        <f t="shared" si="63"/>
        <v>0.84920038881173687</v>
      </c>
      <c r="CD50" s="6">
        <f t="shared" si="64"/>
        <v>84.920038881173681</v>
      </c>
      <c r="CE50">
        <f t="shared" si="98"/>
        <v>45</v>
      </c>
      <c r="CG50" s="581">
        <f t="shared" si="94"/>
        <v>-50</v>
      </c>
      <c r="CH50">
        <f t="shared" si="95"/>
        <v>-50</v>
      </c>
    </row>
    <row r="51" spans="5:86" x14ac:dyDescent="0.2">
      <c r="E51" s="176">
        <v>46</v>
      </c>
      <c r="F51" s="223">
        <f t="shared" si="99"/>
        <v>0.23</v>
      </c>
      <c r="G51" s="223">
        <f t="shared" si="96"/>
        <v>0.23</v>
      </c>
      <c r="H51" s="223">
        <f t="shared" si="68"/>
        <v>1.1500000000000001</v>
      </c>
      <c r="I51" s="223">
        <f t="shared" si="100"/>
        <v>1.1500000000000001</v>
      </c>
      <c r="J51" s="559">
        <f t="shared" si="1"/>
        <v>24</v>
      </c>
      <c r="K51" s="454">
        <f t="shared" si="2"/>
        <v>15.75</v>
      </c>
      <c r="L51" s="454">
        <f t="shared" si="3"/>
        <v>39.75</v>
      </c>
      <c r="M51" s="454"/>
      <c r="N51" s="223">
        <f t="shared" si="4"/>
        <v>0.39622641509433965</v>
      </c>
      <c r="O51" s="178">
        <f t="shared" si="97"/>
        <v>1.6047169811320754</v>
      </c>
      <c r="P51" s="178">
        <f t="shared" si="69"/>
        <v>3.2094339622641508</v>
      </c>
      <c r="Q51" s="223">
        <f t="shared" si="6"/>
        <v>0.3209433962264151</v>
      </c>
      <c r="R51" s="223">
        <f t="shared" si="70"/>
        <v>0.3209433962264151</v>
      </c>
      <c r="S51" s="454">
        <f t="shared" si="71"/>
        <v>5</v>
      </c>
      <c r="T51" s="223">
        <f t="shared" si="72"/>
        <v>0.53747795414462085</v>
      </c>
      <c r="U51" s="223">
        <f t="shared" si="10"/>
        <v>0.98537624926513812</v>
      </c>
      <c r="V51" s="223">
        <f t="shared" si="11"/>
        <v>1.5015257131659248</v>
      </c>
      <c r="W51" s="203">
        <f t="shared" si="12"/>
        <v>350</v>
      </c>
      <c r="X51" s="454">
        <f t="shared" si="51"/>
        <v>350</v>
      </c>
      <c r="Z51" s="223">
        <f t="shared" si="13"/>
        <v>0.61749571183533458</v>
      </c>
      <c r="AA51" s="179">
        <f t="shared" si="14"/>
        <v>1.7250673854447443</v>
      </c>
      <c r="AB51" s="179">
        <f t="shared" si="73"/>
        <v>0.55924139939803896</v>
      </c>
      <c r="AC51" s="179"/>
      <c r="AD51" s="179">
        <f t="shared" si="16"/>
        <v>0.419047619047619</v>
      </c>
      <c r="AE51" s="563">
        <f t="shared" si="74"/>
        <v>2439.3939393939399</v>
      </c>
      <c r="AF51" s="546">
        <f t="shared" si="75"/>
        <v>3.2999999999999995E-2</v>
      </c>
      <c r="AH51" s="179">
        <f t="shared" si="76"/>
        <v>0.54653572500002112</v>
      </c>
      <c r="AI51" s="179">
        <f t="shared" si="77"/>
        <v>0.54653572500002112</v>
      </c>
      <c r="AJ51" s="179">
        <f t="shared" si="78"/>
        <v>1.4937301666666822</v>
      </c>
      <c r="AL51" s="563">
        <f t="shared" si="79"/>
        <v>230</v>
      </c>
      <c r="AM51" s="472">
        <f t="shared" si="80"/>
        <v>350</v>
      </c>
      <c r="AO51">
        <f t="shared" si="52"/>
        <v>230</v>
      </c>
      <c r="AP51" s="472">
        <f t="shared" si="24"/>
        <v>350</v>
      </c>
      <c r="AQ51" s="472"/>
      <c r="AR51" s="6">
        <f t="shared" si="53"/>
        <v>2.8571428571428572</v>
      </c>
      <c r="AS51" s="6">
        <f t="shared" si="25"/>
        <v>1.0019821625000387</v>
      </c>
      <c r="AT51" s="6">
        <f t="shared" si="54"/>
        <v>1.8551606946428185</v>
      </c>
      <c r="AU51" s="179">
        <f t="shared" si="55"/>
        <v>0.35069375687501353</v>
      </c>
      <c r="AW51" s="6">
        <f t="shared" si="81"/>
        <v>13.072048611111116</v>
      </c>
      <c r="AX51" s="472">
        <f t="shared" si="82"/>
        <v>3.632601580969268</v>
      </c>
      <c r="AY51" s="6">
        <f t="shared" si="83"/>
        <v>13.072048611111116</v>
      </c>
      <c r="AZ51" s="472">
        <f t="shared" si="84"/>
        <v>6.9764670138888905</v>
      </c>
      <c r="BA51" s="6">
        <f t="shared" si="30"/>
        <v>8.2308441313242331E-2</v>
      </c>
      <c r="BB51" s="6">
        <f t="shared" si="85"/>
        <v>20.28643332258557</v>
      </c>
      <c r="BC51" s="6"/>
      <c r="BD51" s="179">
        <f t="shared" si="56"/>
        <v>0.18686240983230062</v>
      </c>
      <c r="BE51" s="179">
        <f t="shared" si="86"/>
        <v>0.76278821059903901</v>
      </c>
      <c r="BF51" s="179">
        <f t="shared" si="87"/>
        <v>0.76278821059903901</v>
      </c>
      <c r="BG51" s="179"/>
      <c r="BH51" s="546">
        <f t="shared" si="34"/>
        <v>1.2221146072917138E-2</v>
      </c>
      <c r="BI51" s="546">
        <f t="shared" si="35"/>
        <v>5.7027587055470945E-2</v>
      </c>
      <c r="BJ51" s="546">
        <f t="shared" si="36"/>
        <v>4.3749999999999995E-3</v>
      </c>
      <c r="BK51" s="546">
        <f t="shared" si="37"/>
        <v>2.7651093750000001E-2</v>
      </c>
      <c r="BL51">
        <f t="shared" si="38"/>
        <v>6.96E-3</v>
      </c>
      <c r="BM51">
        <f t="shared" si="88"/>
        <v>0.11035198108946628</v>
      </c>
      <c r="BN51" s="472">
        <f t="shared" si="57"/>
        <v>110.35198108946628</v>
      </c>
      <c r="BO51" s="179">
        <f t="shared" si="89"/>
        <v>6.2790000000000012E-2</v>
      </c>
      <c r="BP51" s="179">
        <f t="shared" si="90"/>
        <v>6.2790000000000012E-2</v>
      </c>
      <c r="BQ51" s="546"/>
      <c r="BS51" s="472">
        <f t="shared" si="58"/>
        <v>125.58000000000003</v>
      </c>
      <c r="BT51" s="546">
        <f t="shared" si="42"/>
        <v>6.9835120416669371E-3</v>
      </c>
      <c r="BU51" s="546">
        <f t="shared" si="59"/>
        <v>2.3273834169155357E-2</v>
      </c>
      <c r="BV51" s="546">
        <f t="shared" si="91"/>
        <v>5.2366126880599551E-2</v>
      </c>
      <c r="BW51" s="546">
        <f t="shared" si="44"/>
        <v>2.530384413450773E-2</v>
      </c>
      <c r="BX51" s="546">
        <f t="shared" si="92"/>
        <v>0.11862623894581831</v>
      </c>
      <c r="BY51" s="656">
        <f t="shared" si="93"/>
        <v>5.2272727272727283E-2</v>
      </c>
      <c r="BZ51" s="472">
        <f t="shared" si="60"/>
        <v>170.89896621854558</v>
      </c>
      <c r="CA51" s="179">
        <f t="shared" si="61"/>
        <v>0.40683094730801189</v>
      </c>
      <c r="CB51" s="6">
        <f t="shared" si="62"/>
        <v>2.3000000000000003</v>
      </c>
      <c r="CC51" s="179">
        <f t="shared" si="63"/>
        <v>0.84970212206543161</v>
      </c>
      <c r="CD51" s="6">
        <f t="shared" si="64"/>
        <v>84.970212206543167</v>
      </c>
      <c r="CE51">
        <f t="shared" si="98"/>
        <v>46</v>
      </c>
      <c r="CG51" s="581">
        <f t="shared" si="94"/>
        <v>-50</v>
      </c>
      <c r="CH51">
        <f t="shared" si="95"/>
        <v>-50</v>
      </c>
    </row>
    <row r="52" spans="5:86" x14ac:dyDescent="0.2">
      <c r="E52" s="176">
        <v>47</v>
      </c>
      <c r="F52" s="223">
        <f t="shared" si="99"/>
        <v>0.23499999999999999</v>
      </c>
      <c r="G52" s="223">
        <f t="shared" si="96"/>
        <v>0.23499999999999999</v>
      </c>
      <c r="H52" s="223">
        <f t="shared" si="68"/>
        <v>1.1749999999999998</v>
      </c>
      <c r="I52" s="223">
        <f t="shared" si="100"/>
        <v>1.1749999999999998</v>
      </c>
      <c r="J52" s="559">
        <f t="shared" si="1"/>
        <v>24</v>
      </c>
      <c r="K52" s="454">
        <f t="shared" si="2"/>
        <v>15.75</v>
      </c>
      <c r="L52" s="454">
        <f t="shared" si="3"/>
        <v>39.75</v>
      </c>
      <c r="M52" s="454"/>
      <c r="N52" s="223">
        <f t="shared" si="4"/>
        <v>0.39622641509433965</v>
      </c>
      <c r="O52" s="178">
        <f t="shared" si="97"/>
        <v>1.6047169811320754</v>
      </c>
      <c r="P52" s="178">
        <f t="shared" si="69"/>
        <v>3.2094339622641508</v>
      </c>
      <c r="Q52" s="223">
        <f t="shared" si="6"/>
        <v>0.3209433962264151</v>
      </c>
      <c r="R52" s="223">
        <f t="shared" si="70"/>
        <v>0.3209433962264151</v>
      </c>
      <c r="S52" s="454">
        <f t="shared" si="71"/>
        <v>5</v>
      </c>
      <c r="T52" s="223">
        <f t="shared" si="72"/>
        <v>0.54916225749559067</v>
      </c>
      <c r="U52" s="223">
        <f t="shared" si="10"/>
        <v>1.0067974720752495</v>
      </c>
      <c r="V52" s="223">
        <f t="shared" si="11"/>
        <v>1.5341675764956184</v>
      </c>
      <c r="W52" s="203">
        <f t="shared" si="12"/>
        <v>350</v>
      </c>
      <c r="X52" s="454">
        <f t="shared" si="51"/>
        <v>350</v>
      </c>
      <c r="Z52" s="223">
        <f t="shared" si="13"/>
        <v>0.61749571183533458</v>
      </c>
      <c r="AA52" s="179">
        <f t="shared" si="14"/>
        <v>1.7250673854447443</v>
      </c>
      <c r="AB52" s="179">
        <f t="shared" si="73"/>
        <v>0.55924139939803896</v>
      </c>
      <c r="AC52" s="179"/>
      <c r="AD52" s="179">
        <f t="shared" si="16"/>
        <v>0.419047619047619</v>
      </c>
      <c r="AE52" s="563">
        <f t="shared" si="74"/>
        <v>2492.4242424242425</v>
      </c>
      <c r="AF52" s="546">
        <f t="shared" si="75"/>
        <v>3.2999999999999995E-2</v>
      </c>
      <c r="AH52" s="179">
        <f t="shared" si="76"/>
        <v>0.5524443910429403</v>
      </c>
      <c r="AI52" s="179">
        <f t="shared" si="77"/>
        <v>0.5524443910429403</v>
      </c>
      <c r="AJ52" s="179">
        <f t="shared" si="78"/>
        <v>1.4981069563281038</v>
      </c>
      <c r="AL52" s="563">
        <f t="shared" si="79"/>
        <v>235</v>
      </c>
      <c r="AM52" s="472">
        <f t="shared" si="80"/>
        <v>350</v>
      </c>
      <c r="AO52">
        <f t="shared" si="52"/>
        <v>235</v>
      </c>
      <c r="AP52" s="472">
        <f t="shared" si="24"/>
        <v>350</v>
      </c>
      <c r="AQ52" s="472"/>
      <c r="AR52" s="6">
        <f t="shared" si="53"/>
        <v>2.8571428571428572</v>
      </c>
      <c r="AS52" s="6">
        <f t="shared" si="25"/>
        <v>1.0128147169120572</v>
      </c>
      <c r="AT52" s="6">
        <f t="shared" si="54"/>
        <v>1.8443281402308001</v>
      </c>
      <c r="AU52" s="179">
        <f t="shared" si="55"/>
        <v>0.35448515091922</v>
      </c>
      <c r="AW52" s="6">
        <f t="shared" si="81"/>
        <v>13.072048611111116</v>
      </c>
      <c r="AX52" s="472">
        <f t="shared" si="82"/>
        <v>3.7769314236111122</v>
      </c>
      <c r="AY52" s="6">
        <f t="shared" si="83"/>
        <v>13.072048611111116</v>
      </c>
      <c r="AZ52" s="472">
        <f t="shared" si="84"/>
        <v>7.2677625868055582</v>
      </c>
      <c r="BA52" s="6">
        <f t="shared" si="30"/>
        <v>8.3606696171727987E-2</v>
      </c>
      <c r="BB52" s="6">
        <f t="shared" si="85"/>
        <v>20.609588562696203</v>
      </c>
      <c r="BC52" s="6"/>
      <c r="BD52" s="179">
        <f t="shared" si="56"/>
        <v>0.18990087465064717</v>
      </c>
      <c r="BE52" s="179">
        <f t="shared" si="86"/>
        <v>0.76878042108698907</v>
      </c>
      <c r="BF52" s="179">
        <f t="shared" si="87"/>
        <v>0.76878042108698907</v>
      </c>
      <c r="BG52" s="179"/>
      <c r="BH52" s="546">
        <f t="shared" si="34"/>
        <v>1.2621819767578283E-2</v>
      </c>
      <c r="BI52" s="546">
        <f t="shared" si="35"/>
        <v>5.7644119427886789E-2</v>
      </c>
      <c r="BJ52" s="546">
        <f t="shared" si="36"/>
        <v>4.3749999999999995E-3</v>
      </c>
      <c r="BK52" s="546">
        <f t="shared" si="37"/>
        <v>2.7651093750000001E-2</v>
      </c>
      <c r="BL52">
        <f t="shared" si="38"/>
        <v>6.96E-3</v>
      </c>
      <c r="BM52">
        <f t="shared" si="88"/>
        <v>0.11144337180417314</v>
      </c>
      <c r="BN52" s="472">
        <f t="shared" si="57"/>
        <v>111.44337180417314</v>
      </c>
      <c r="BO52" s="179">
        <f t="shared" si="89"/>
        <v>6.415499999999999E-2</v>
      </c>
      <c r="BP52" s="179">
        <f t="shared" si="90"/>
        <v>6.415499999999999E-2</v>
      </c>
      <c r="BQ52" s="546"/>
      <c r="BS52" s="472">
        <f t="shared" si="58"/>
        <v>128.30999999999997</v>
      </c>
      <c r="BT52" s="546">
        <f t="shared" si="42"/>
        <v>7.212468438616163E-3</v>
      </c>
      <c r="BU52" s="546">
        <f t="shared" si="59"/>
        <v>2.3640933433867528E-2</v>
      </c>
      <c r="BV52" s="546">
        <f t="shared" si="91"/>
        <v>5.3192100226201938E-2</v>
      </c>
      <c r="BW52" s="546">
        <f t="shared" si="44"/>
        <v>2.5993307025668488E-2</v>
      </c>
      <c r="BX52" s="546">
        <f t="shared" si="92"/>
        <v>0.12093740899713065</v>
      </c>
      <c r="BY52" s="656">
        <f t="shared" si="93"/>
        <v>5.3409090909090906E-2</v>
      </c>
      <c r="BZ52" s="472">
        <f t="shared" si="60"/>
        <v>174.34649990622157</v>
      </c>
      <c r="CA52" s="179">
        <f t="shared" si="61"/>
        <v>0.4140998717103947</v>
      </c>
      <c r="CB52" s="6">
        <f t="shared" si="62"/>
        <v>2.3499999999999996</v>
      </c>
      <c r="CC52" s="179">
        <f t="shared" si="63"/>
        <v>0.85018635688653521</v>
      </c>
      <c r="CD52" s="6">
        <f t="shared" si="64"/>
        <v>85.018635688653518</v>
      </c>
      <c r="CE52">
        <f t="shared" si="98"/>
        <v>47</v>
      </c>
      <c r="CG52" s="581">
        <f t="shared" si="94"/>
        <v>-50</v>
      </c>
      <c r="CH52">
        <f t="shared" si="95"/>
        <v>-50</v>
      </c>
    </row>
    <row r="53" spans="5:86" x14ac:dyDescent="0.2">
      <c r="E53" s="176">
        <v>48</v>
      </c>
      <c r="F53" s="223">
        <f t="shared" si="99"/>
        <v>0.24</v>
      </c>
      <c r="G53" s="223">
        <f t="shared" si="96"/>
        <v>0.24</v>
      </c>
      <c r="H53" s="223">
        <f t="shared" si="68"/>
        <v>1.2</v>
      </c>
      <c r="I53" s="223">
        <f t="shared" si="100"/>
        <v>1.2</v>
      </c>
      <c r="J53" s="559">
        <f t="shared" si="1"/>
        <v>24</v>
      </c>
      <c r="K53" s="454">
        <f t="shared" si="2"/>
        <v>15.75</v>
      </c>
      <c r="L53" s="454">
        <f t="shared" si="3"/>
        <v>39.75</v>
      </c>
      <c r="M53" s="454"/>
      <c r="N53" s="223">
        <f t="shared" si="4"/>
        <v>0.39622641509433965</v>
      </c>
      <c r="O53" s="178">
        <f t="shared" si="97"/>
        <v>1.6047169811320754</v>
      </c>
      <c r="P53" s="178">
        <f t="shared" si="69"/>
        <v>3.2094339622641508</v>
      </c>
      <c r="Q53" s="223">
        <f t="shared" si="6"/>
        <v>0.3209433962264151</v>
      </c>
      <c r="R53" s="223">
        <f t="shared" si="70"/>
        <v>0.3209433962264151</v>
      </c>
      <c r="S53" s="454">
        <f t="shared" si="71"/>
        <v>5</v>
      </c>
      <c r="T53" s="223">
        <f t="shared" si="72"/>
        <v>0.56084656084656082</v>
      </c>
      <c r="U53" s="223">
        <f t="shared" si="10"/>
        <v>1.0282186948853613</v>
      </c>
      <c r="V53" s="223">
        <f t="shared" si="11"/>
        <v>1.5668094398253127</v>
      </c>
      <c r="W53" s="203">
        <f t="shared" si="12"/>
        <v>350</v>
      </c>
      <c r="X53" s="454">
        <f t="shared" si="51"/>
        <v>350</v>
      </c>
      <c r="Z53" s="223">
        <f t="shared" si="13"/>
        <v>0.61749571183533458</v>
      </c>
      <c r="AA53" s="179">
        <f t="shared" si="14"/>
        <v>1.7250673854447443</v>
      </c>
      <c r="AB53" s="179">
        <f t="shared" si="73"/>
        <v>0.55924139939803896</v>
      </c>
      <c r="AC53" s="179"/>
      <c r="AD53" s="179">
        <f t="shared" si="16"/>
        <v>0.419047619047619</v>
      </c>
      <c r="AE53" s="563">
        <f t="shared" si="74"/>
        <v>2545.454545454546</v>
      </c>
      <c r="AF53" s="546">
        <f t="shared" si="75"/>
        <v>3.2999999999999995E-2</v>
      </c>
      <c r="AH53" s="179">
        <f t="shared" si="76"/>
        <v>0.55829052623908249</v>
      </c>
      <c r="AI53" s="179">
        <f t="shared" si="77"/>
        <v>0.55829052623908249</v>
      </c>
      <c r="AJ53" s="179">
        <f t="shared" si="78"/>
        <v>1.5024374268437648</v>
      </c>
      <c r="AL53" s="563">
        <f t="shared" si="79"/>
        <v>240</v>
      </c>
      <c r="AM53" s="472">
        <f t="shared" si="80"/>
        <v>350</v>
      </c>
      <c r="AO53">
        <f t="shared" si="52"/>
        <v>240</v>
      </c>
      <c r="AP53" s="472">
        <f t="shared" si="24"/>
        <v>350</v>
      </c>
      <c r="AQ53" s="472"/>
      <c r="AR53" s="6">
        <f t="shared" si="53"/>
        <v>2.8571428571428572</v>
      </c>
      <c r="AS53" s="6">
        <f t="shared" si="25"/>
        <v>1.023532631438318</v>
      </c>
      <c r="AT53" s="6">
        <f t="shared" si="54"/>
        <v>1.8336102257045392</v>
      </c>
      <c r="AU53" s="179">
        <f t="shared" si="55"/>
        <v>0.3582364210034113</v>
      </c>
      <c r="AW53" s="6">
        <f t="shared" si="81"/>
        <v>13.072048611111116</v>
      </c>
      <c r="AX53" s="472">
        <f t="shared" si="82"/>
        <v>3.92404255319149</v>
      </c>
      <c r="AY53" s="6">
        <f t="shared" si="83"/>
        <v>13.072048611111116</v>
      </c>
      <c r="AZ53" s="472">
        <f t="shared" si="84"/>
        <v>7.5650000000000022</v>
      </c>
      <c r="BA53" s="6">
        <f t="shared" si="30"/>
        <v>8.4889362301136057E-2</v>
      </c>
      <c r="BB53" s="6">
        <f t="shared" si="85"/>
        <v>20.929002507828212</v>
      </c>
      <c r="BC53" s="6"/>
      <c r="BD53" s="179">
        <f t="shared" si="56"/>
        <v>0.19292321896531489</v>
      </c>
      <c r="BE53" s="179">
        <f t="shared" si="86"/>
        <v>0.77465516155350411</v>
      </c>
      <c r="BF53" s="179">
        <f t="shared" si="87"/>
        <v>0.77465516155350411</v>
      </c>
      <c r="BG53" s="179"/>
      <c r="BH53" s="546">
        <f t="shared" si="34"/>
        <v>1.3026778945578592E-2</v>
      </c>
      <c r="BI53" s="546">
        <f t="shared" si="35"/>
        <v>5.8254127097259266E-2</v>
      </c>
      <c r="BJ53" s="546">
        <f t="shared" si="36"/>
        <v>4.3749999999999995E-3</v>
      </c>
      <c r="BK53" s="546">
        <f t="shared" si="37"/>
        <v>2.7651093750000001E-2</v>
      </c>
      <c r="BL53">
        <f t="shared" si="38"/>
        <v>6.96E-3</v>
      </c>
      <c r="BM53">
        <f t="shared" si="88"/>
        <v>0.11253356658942655</v>
      </c>
      <c r="BN53" s="472">
        <f t="shared" si="57"/>
        <v>112.53356658942656</v>
      </c>
      <c r="BO53" s="179">
        <f t="shared" si="89"/>
        <v>6.5519999999999995E-2</v>
      </c>
      <c r="BP53" s="179">
        <f t="shared" si="90"/>
        <v>6.5519999999999995E-2</v>
      </c>
      <c r="BQ53" s="546"/>
      <c r="BS53" s="472">
        <f t="shared" si="58"/>
        <v>131.04</v>
      </c>
      <c r="BT53" s="546">
        <f t="shared" si="42"/>
        <v>7.4438736831877669E-3</v>
      </c>
      <c r="BU53" s="546">
        <f t="shared" si="59"/>
        <v>2.4003624772859423E-2</v>
      </c>
      <c r="BV53" s="546">
        <f t="shared" si="91"/>
        <v>5.4008155738933701E-2</v>
      </c>
      <c r="BW53" s="546">
        <f t="shared" si="44"/>
        <v>2.6686447286997008E-2</v>
      </c>
      <c r="BX53" s="546">
        <f t="shared" si="92"/>
        <v>0.12323929958284628</v>
      </c>
      <c r="BY53" s="656">
        <f t="shared" si="93"/>
        <v>5.4545454545454543E-2</v>
      </c>
      <c r="BZ53" s="472">
        <f t="shared" si="60"/>
        <v>177.78475412830082</v>
      </c>
      <c r="CA53" s="179">
        <f t="shared" si="61"/>
        <v>0.42135832071772739</v>
      </c>
      <c r="CB53" s="6">
        <f t="shared" si="62"/>
        <v>2.4</v>
      </c>
      <c r="CC53" s="179">
        <f t="shared" si="63"/>
        <v>0.85065409181683183</v>
      </c>
      <c r="CD53" s="6">
        <f t="shared" si="64"/>
        <v>85.065409181683179</v>
      </c>
      <c r="CE53">
        <f t="shared" si="98"/>
        <v>48</v>
      </c>
      <c r="CG53" s="581">
        <f t="shared" si="94"/>
        <v>-50</v>
      </c>
      <c r="CH53">
        <f t="shared" si="95"/>
        <v>-50</v>
      </c>
    </row>
    <row r="54" spans="5:86" x14ac:dyDescent="0.2">
      <c r="E54" s="176">
        <v>49</v>
      </c>
      <c r="F54" s="223">
        <f t="shared" si="99"/>
        <v>0.245</v>
      </c>
      <c r="G54" s="223">
        <f t="shared" si="96"/>
        <v>0.245</v>
      </c>
      <c r="H54" s="223">
        <f t="shared" si="68"/>
        <v>1.2250000000000001</v>
      </c>
      <c r="I54" s="223">
        <f t="shared" si="100"/>
        <v>1.2250000000000001</v>
      </c>
      <c r="J54" s="559">
        <f t="shared" si="1"/>
        <v>24</v>
      </c>
      <c r="K54" s="454">
        <f t="shared" si="2"/>
        <v>15.75</v>
      </c>
      <c r="L54" s="454">
        <f t="shared" si="3"/>
        <v>39.75</v>
      </c>
      <c r="M54" s="454"/>
      <c r="N54" s="223">
        <f t="shared" si="4"/>
        <v>0.39622641509433965</v>
      </c>
      <c r="O54" s="178">
        <f t="shared" si="97"/>
        <v>1.6047169811320754</v>
      </c>
      <c r="P54" s="178">
        <f t="shared" si="69"/>
        <v>3.2094339622641508</v>
      </c>
      <c r="Q54" s="223">
        <f t="shared" si="6"/>
        <v>0.3209433962264151</v>
      </c>
      <c r="R54" s="223">
        <f t="shared" si="70"/>
        <v>0.3209433962264151</v>
      </c>
      <c r="S54" s="454">
        <f t="shared" si="71"/>
        <v>5</v>
      </c>
      <c r="T54" s="223">
        <f t="shared" si="72"/>
        <v>0.57253086419753085</v>
      </c>
      <c r="U54" s="223">
        <f t="shared" si="10"/>
        <v>1.0496399176954734</v>
      </c>
      <c r="V54" s="223">
        <f t="shared" si="11"/>
        <v>1.5994513031550071</v>
      </c>
      <c r="W54" s="203">
        <f t="shared" si="12"/>
        <v>350</v>
      </c>
      <c r="X54" s="454">
        <f t="shared" si="51"/>
        <v>350</v>
      </c>
      <c r="Z54" s="223">
        <f t="shared" si="13"/>
        <v>0.61749571183533458</v>
      </c>
      <c r="AA54" s="179">
        <f t="shared" si="14"/>
        <v>1.7250673854447443</v>
      </c>
      <c r="AB54" s="179">
        <f t="shared" si="73"/>
        <v>0.55924139939803896</v>
      </c>
      <c r="AC54" s="179"/>
      <c r="AD54" s="179">
        <f t="shared" si="16"/>
        <v>0.419047619047619</v>
      </c>
      <c r="AE54" s="563">
        <f t="shared" si="74"/>
        <v>2598.484848484849</v>
      </c>
      <c r="AF54" s="546">
        <f t="shared" si="75"/>
        <v>3.2999999999999995E-2</v>
      </c>
      <c r="AH54" s="179">
        <f t="shared" si="76"/>
        <v>0.56407607481776623</v>
      </c>
      <c r="AI54" s="179">
        <f t="shared" si="77"/>
        <v>0.56407607481776623</v>
      </c>
      <c r="AJ54" s="179">
        <f t="shared" si="78"/>
        <v>1.5067230183835305</v>
      </c>
      <c r="AL54" s="563">
        <f t="shared" si="79"/>
        <v>245</v>
      </c>
      <c r="AM54" s="472">
        <f t="shared" si="80"/>
        <v>350</v>
      </c>
      <c r="AO54">
        <f t="shared" si="52"/>
        <v>245</v>
      </c>
      <c r="AP54" s="472">
        <f t="shared" si="24"/>
        <v>350</v>
      </c>
      <c r="AQ54" s="472"/>
      <c r="AR54" s="6">
        <f t="shared" si="53"/>
        <v>2.8571428571428572</v>
      </c>
      <c r="AS54" s="6">
        <f t="shared" si="25"/>
        <v>1.0341394704992382</v>
      </c>
      <c r="AT54" s="6">
        <f t="shared" si="54"/>
        <v>1.8230033866436191</v>
      </c>
      <c r="AU54" s="179">
        <f t="shared" si="55"/>
        <v>0.36194881467473333</v>
      </c>
      <c r="AW54" s="6">
        <f t="shared" si="81"/>
        <v>13.072048611111116</v>
      </c>
      <c r="AX54" s="472">
        <f t="shared" si="82"/>
        <v>4.073934969710403</v>
      </c>
      <c r="AY54" s="6">
        <f t="shared" si="83"/>
        <v>13.072048611111116</v>
      </c>
      <c r="AZ54" s="472">
        <f t="shared" si="84"/>
        <v>7.8681792534722241</v>
      </c>
      <c r="BA54" s="6">
        <f t="shared" si="30"/>
        <v>8.6156602956729667E-2</v>
      </c>
      <c r="BB54" s="6">
        <f t="shared" si="85"/>
        <v>21.244714339244751</v>
      </c>
      <c r="BC54" s="6"/>
      <c r="BD54" s="179">
        <f t="shared" si="56"/>
        <v>0.19592986155081163</v>
      </c>
      <c r="BE54" s="179">
        <f t="shared" si="86"/>
        <v>0.78041582423703626</v>
      </c>
      <c r="BF54" s="179">
        <f t="shared" si="87"/>
        <v>0.78041582423703626</v>
      </c>
      <c r="BG54" s="179"/>
      <c r="BH54" s="546">
        <f t="shared" si="34"/>
        <v>1.3435978726562074E-2</v>
      </c>
      <c r="BI54" s="546">
        <f t="shared" si="35"/>
        <v>5.8857812931766292E-2</v>
      </c>
      <c r="BJ54" s="546">
        <f t="shared" si="36"/>
        <v>4.3749999999999995E-3</v>
      </c>
      <c r="BK54" s="546">
        <f t="shared" si="37"/>
        <v>2.7651093750000001E-2</v>
      </c>
      <c r="BL54">
        <f t="shared" si="38"/>
        <v>6.96E-3</v>
      </c>
      <c r="BM54">
        <f t="shared" si="88"/>
        <v>0.11362272068309467</v>
      </c>
      <c r="BN54" s="472">
        <f t="shared" si="57"/>
        <v>113.62272068309467</v>
      </c>
      <c r="BO54" s="179">
        <f t="shared" si="89"/>
        <v>6.6885E-2</v>
      </c>
      <c r="BP54" s="179">
        <f t="shared" si="90"/>
        <v>6.6885E-2</v>
      </c>
      <c r="BQ54" s="546"/>
      <c r="BS54" s="472">
        <f t="shared" si="58"/>
        <v>133.77000000000001</v>
      </c>
      <c r="BT54" s="546">
        <f t="shared" si="42"/>
        <v>7.6777021294640426E-3</v>
      </c>
      <c r="BU54" s="546">
        <f t="shared" si="59"/>
        <v>2.436195434878291E-2</v>
      </c>
      <c r="BV54" s="546">
        <f t="shared" si="91"/>
        <v>5.4814397284761542E-2</v>
      </c>
      <c r="BW54" s="546">
        <f t="shared" si="44"/>
        <v>2.7383207301245653E-2</v>
      </c>
      <c r="BX54" s="546">
        <f t="shared" si="92"/>
        <v>0.12553198445395444</v>
      </c>
      <c r="BY54" s="656">
        <f t="shared" si="93"/>
        <v>5.5681818181818193E-2</v>
      </c>
      <c r="BZ54" s="472">
        <f t="shared" si="60"/>
        <v>181.21380263577262</v>
      </c>
      <c r="CA54" s="179">
        <f t="shared" si="61"/>
        <v>0.42860652331886728</v>
      </c>
      <c r="CB54" s="6">
        <f t="shared" si="62"/>
        <v>2.4500000000000002</v>
      </c>
      <c r="CC54" s="179">
        <f t="shared" si="63"/>
        <v>0.85110624885796882</v>
      </c>
      <c r="CD54" s="6">
        <f t="shared" si="64"/>
        <v>85.110624885796881</v>
      </c>
      <c r="CE54">
        <f t="shared" si="98"/>
        <v>49</v>
      </c>
      <c r="CG54" s="581">
        <f t="shared" si="94"/>
        <v>-50</v>
      </c>
      <c r="CH54">
        <f t="shared" si="95"/>
        <v>-50</v>
      </c>
    </row>
    <row r="55" spans="5:86" x14ac:dyDescent="0.2">
      <c r="E55" s="176">
        <v>50</v>
      </c>
      <c r="F55" s="223">
        <f t="shared" si="99"/>
        <v>0.25</v>
      </c>
      <c r="G55" s="223">
        <f t="shared" si="96"/>
        <v>0.25</v>
      </c>
      <c r="H55" s="223">
        <f t="shared" si="68"/>
        <v>1.25</v>
      </c>
      <c r="I55" s="223">
        <f t="shared" si="100"/>
        <v>1.25</v>
      </c>
      <c r="J55" s="559">
        <f t="shared" si="1"/>
        <v>24</v>
      </c>
      <c r="K55" s="454">
        <f t="shared" si="2"/>
        <v>15.75</v>
      </c>
      <c r="L55" s="454">
        <f t="shared" si="3"/>
        <v>39.75</v>
      </c>
      <c r="M55" s="454"/>
      <c r="N55" s="223">
        <f t="shared" si="4"/>
        <v>0.39622641509433965</v>
      </c>
      <c r="O55" s="178">
        <f t="shared" si="97"/>
        <v>1.6047169811320754</v>
      </c>
      <c r="P55" s="178">
        <f t="shared" si="69"/>
        <v>3.2094339622641508</v>
      </c>
      <c r="Q55" s="223">
        <f t="shared" si="6"/>
        <v>0.3209433962264151</v>
      </c>
      <c r="R55" s="223">
        <f t="shared" si="70"/>
        <v>0.3209433962264151</v>
      </c>
      <c r="S55" s="454">
        <f t="shared" si="71"/>
        <v>5</v>
      </c>
      <c r="T55" s="223">
        <f t="shared" si="72"/>
        <v>0.58421516754850078</v>
      </c>
      <c r="U55" s="223">
        <f t="shared" si="10"/>
        <v>1.0710611405055848</v>
      </c>
      <c r="V55" s="223">
        <f t="shared" si="11"/>
        <v>1.6320931664847007</v>
      </c>
      <c r="W55" s="203">
        <f t="shared" si="12"/>
        <v>350</v>
      </c>
      <c r="X55" s="454">
        <f t="shared" si="51"/>
        <v>350</v>
      </c>
      <c r="Z55" s="223">
        <f t="shared" si="13"/>
        <v>0.61749571183533458</v>
      </c>
      <c r="AA55" s="179">
        <f t="shared" si="14"/>
        <v>1.7250673854447443</v>
      </c>
      <c r="AB55" s="179">
        <f t="shared" si="73"/>
        <v>0.55924139939803896</v>
      </c>
      <c r="AC55" s="179"/>
      <c r="AD55" s="179">
        <f t="shared" si="16"/>
        <v>0.419047619047619</v>
      </c>
      <c r="AE55" s="563">
        <f t="shared" si="74"/>
        <v>2651.515151515152</v>
      </c>
      <c r="AF55" s="546">
        <f t="shared" si="75"/>
        <v>3.2999999999999995E-2</v>
      </c>
      <c r="AH55" s="179">
        <f t="shared" si="76"/>
        <v>0.56980288229818976</v>
      </c>
      <c r="AI55" s="179">
        <f t="shared" si="77"/>
        <v>0.56980288229818976</v>
      </c>
      <c r="AJ55" s="179">
        <f t="shared" si="78"/>
        <v>1.5109650979986591</v>
      </c>
      <c r="AL55" s="563">
        <f t="shared" si="79"/>
        <v>250</v>
      </c>
      <c r="AM55" s="472">
        <f t="shared" si="80"/>
        <v>350</v>
      </c>
      <c r="AO55">
        <f t="shared" si="52"/>
        <v>250</v>
      </c>
      <c r="AP55" s="472">
        <f t="shared" si="24"/>
        <v>350</v>
      </c>
      <c r="AQ55" s="472"/>
      <c r="AR55" s="6">
        <f t="shared" si="53"/>
        <v>2.8571428571428572</v>
      </c>
      <c r="AS55" s="6">
        <f t="shared" si="25"/>
        <v>1.0446386175466811</v>
      </c>
      <c r="AT55" s="6">
        <f t="shared" si="54"/>
        <v>1.8125042395961761</v>
      </c>
      <c r="AU55" s="179">
        <f t="shared" si="55"/>
        <v>0.36562351614133837</v>
      </c>
      <c r="AW55" s="6">
        <f t="shared" si="81"/>
        <v>13.072048611111116</v>
      </c>
      <c r="AX55" s="472">
        <f t="shared" si="82"/>
        <v>4.22660867316785</v>
      </c>
      <c r="AY55" s="6">
        <f t="shared" si="83"/>
        <v>13.072048611111116</v>
      </c>
      <c r="AZ55" s="472">
        <f t="shared" si="84"/>
        <v>8.177300347222225</v>
      </c>
      <c r="BA55" s="6">
        <f t="shared" si="30"/>
        <v>8.7408576369414348E-2</v>
      </c>
      <c r="BB55" s="6">
        <f t="shared" si="85"/>
        <v>21.556762032363149</v>
      </c>
      <c r="BC55" s="6"/>
      <c r="BD55" s="179">
        <f t="shared" si="56"/>
        <v>0.19892120199727567</v>
      </c>
      <c r="BE55" s="179">
        <f t="shared" si="86"/>
        <v>0.78606562867842367</v>
      </c>
      <c r="BF55" s="179">
        <f t="shared" si="87"/>
        <v>0.78606562867842367</v>
      </c>
      <c r="BG55" s="179"/>
      <c r="BH55" s="546">
        <f t="shared" si="34"/>
        <v>1.3849375611414331E-2</v>
      </c>
      <c r="BI55" s="546">
        <f t="shared" si="35"/>
        <v>5.9455369499801729E-2</v>
      </c>
      <c r="BJ55" s="546">
        <f t="shared" si="36"/>
        <v>4.3749999999999995E-3</v>
      </c>
      <c r="BK55" s="546">
        <f t="shared" si="37"/>
        <v>2.7651093750000001E-2</v>
      </c>
      <c r="BL55">
        <f t="shared" si="38"/>
        <v>6.96E-3</v>
      </c>
      <c r="BM55">
        <f t="shared" si="88"/>
        <v>0.11471098061470685</v>
      </c>
      <c r="BN55" s="472">
        <f t="shared" si="57"/>
        <v>114.71098061470684</v>
      </c>
      <c r="BO55" s="179">
        <f t="shared" si="89"/>
        <v>6.8250000000000005E-2</v>
      </c>
      <c r="BP55" s="179">
        <f t="shared" si="90"/>
        <v>6.8250000000000005E-2</v>
      </c>
      <c r="BQ55" s="546"/>
      <c r="BS55" s="472">
        <f t="shared" si="58"/>
        <v>136.5</v>
      </c>
      <c r="BT55" s="546">
        <f t="shared" si="42"/>
        <v>7.9139289208081907E-3</v>
      </c>
      <c r="BU55" s="546">
        <f t="shared" si="59"/>
        <v>2.471596690358422E-2</v>
      </c>
      <c r="BV55" s="546">
        <f t="shared" si="91"/>
        <v>5.5610925533064494E-2</v>
      </c>
      <c r="BW55" s="546">
        <f t="shared" si="44"/>
        <v>2.8083531514642126E-2</v>
      </c>
      <c r="BX55" s="546">
        <f t="shared" si="92"/>
        <v>0.12781553526008127</v>
      </c>
      <c r="BY55" s="656">
        <f t="shared" si="93"/>
        <v>5.6818181818181823E-2</v>
      </c>
      <c r="BZ55" s="472">
        <f t="shared" si="60"/>
        <v>184.63371707826309</v>
      </c>
      <c r="CA55" s="179">
        <f t="shared" si="61"/>
        <v>0.43584469769296991</v>
      </c>
      <c r="CB55" s="6">
        <f t="shared" si="62"/>
        <v>2.5</v>
      </c>
      <c r="CC55" s="179">
        <f t="shared" si="63"/>
        <v>0.85154368075550346</v>
      </c>
      <c r="CD55" s="6">
        <f t="shared" si="64"/>
        <v>85.154368075550352</v>
      </c>
      <c r="CE55">
        <f t="shared" si="98"/>
        <v>50</v>
      </c>
      <c r="CG55" s="581">
        <f t="shared" si="94"/>
        <v>-50</v>
      </c>
      <c r="CH55">
        <f t="shared" si="95"/>
        <v>-50</v>
      </c>
    </row>
    <row r="56" spans="5:86" x14ac:dyDescent="0.2">
      <c r="E56" s="176">
        <v>51</v>
      </c>
      <c r="F56" s="223">
        <f t="shared" si="99"/>
        <v>0.255</v>
      </c>
      <c r="G56" s="223">
        <f t="shared" si="96"/>
        <v>0.255</v>
      </c>
      <c r="H56" s="223">
        <f t="shared" si="68"/>
        <v>1.2749999999999999</v>
      </c>
      <c r="I56" s="223">
        <f t="shared" si="100"/>
        <v>1.2749999999999999</v>
      </c>
      <c r="J56" s="559">
        <f t="shared" si="1"/>
        <v>24</v>
      </c>
      <c r="K56" s="454">
        <f t="shared" si="2"/>
        <v>15.75</v>
      </c>
      <c r="L56" s="454">
        <f t="shared" si="3"/>
        <v>39.75</v>
      </c>
      <c r="M56" s="454"/>
      <c r="N56" s="223">
        <f t="shared" si="4"/>
        <v>0.39622641509433965</v>
      </c>
      <c r="O56" s="178">
        <f t="shared" si="97"/>
        <v>1.6047169811320754</v>
      </c>
      <c r="P56" s="178">
        <f t="shared" si="69"/>
        <v>3.2094339622641508</v>
      </c>
      <c r="Q56" s="223">
        <f t="shared" si="6"/>
        <v>0.3209433962264151</v>
      </c>
      <c r="R56" s="223">
        <f t="shared" si="70"/>
        <v>0.3209433962264151</v>
      </c>
      <c r="S56" s="454">
        <f t="shared" si="71"/>
        <v>5</v>
      </c>
      <c r="T56" s="223">
        <f t="shared" si="72"/>
        <v>0.59589947089947082</v>
      </c>
      <c r="U56" s="223">
        <f t="shared" si="10"/>
        <v>1.0924823633156964</v>
      </c>
      <c r="V56" s="223">
        <f t="shared" si="11"/>
        <v>1.6647350298143946</v>
      </c>
      <c r="W56" s="203">
        <f t="shared" si="12"/>
        <v>350</v>
      </c>
      <c r="X56" s="454">
        <f t="shared" si="51"/>
        <v>350</v>
      </c>
      <c r="Z56" s="223">
        <f t="shared" si="13"/>
        <v>0.61749571183533458</v>
      </c>
      <c r="AA56" s="179">
        <f t="shared" si="14"/>
        <v>1.7250673854447443</v>
      </c>
      <c r="AB56" s="179">
        <f t="shared" si="73"/>
        <v>0.55924139939803896</v>
      </c>
      <c r="AC56" s="179"/>
      <c r="AD56" s="179">
        <f t="shared" si="16"/>
        <v>0.419047619047619</v>
      </c>
      <c r="AE56" s="563">
        <f t="shared" si="74"/>
        <v>2704.545454545455</v>
      </c>
      <c r="AF56" s="546">
        <f t="shared" si="75"/>
        <v>3.2999999999999995E-2</v>
      </c>
      <c r="AH56" s="179">
        <f t="shared" si="76"/>
        <v>0.57547270236635129</v>
      </c>
      <c r="AI56" s="179">
        <f t="shared" si="77"/>
        <v>0.57547270236635129</v>
      </c>
      <c r="AJ56" s="179">
        <f t="shared" si="78"/>
        <v>1.5151649647158156</v>
      </c>
      <c r="AL56" s="563">
        <f t="shared" si="79"/>
        <v>255</v>
      </c>
      <c r="AM56" s="472">
        <f t="shared" si="80"/>
        <v>350</v>
      </c>
      <c r="AO56">
        <f t="shared" si="52"/>
        <v>255</v>
      </c>
      <c r="AP56" s="472">
        <f t="shared" si="24"/>
        <v>350</v>
      </c>
      <c r="AQ56" s="472"/>
      <c r="AR56" s="6">
        <f t="shared" si="53"/>
        <v>2.8571428571428572</v>
      </c>
      <c r="AS56" s="6">
        <f t="shared" si="25"/>
        <v>1.0550332876716439</v>
      </c>
      <c r="AT56" s="6">
        <f t="shared" si="54"/>
        <v>1.8021095694712133</v>
      </c>
      <c r="AU56" s="179">
        <f t="shared" si="55"/>
        <v>0.36926165068507538</v>
      </c>
      <c r="AW56" s="6">
        <f t="shared" si="81"/>
        <v>13.072048611111116</v>
      </c>
      <c r="AX56" s="472">
        <f t="shared" si="82"/>
        <v>4.382063663563831</v>
      </c>
      <c r="AY56" s="6">
        <f t="shared" si="83"/>
        <v>13.072048611111116</v>
      </c>
      <c r="AZ56" s="472">
        <f t="shared" si="84"/>
        <v>8.4923632812500038</v>
      </c>
      <c r="BA56" s="6">
        <f t="shared" si="30"/>
        <v>8.8645435998294608E-2</v>
      </c>
      <c r="BB56" s="6">
        <f t="shared" si="85"/>
        <v>21.865182417368487</v>
      </c>
      <c r="BC56" s="6"/>
      <c r="BD56" s="179">
        <f t="shared" si="56"/>
        <v>0.20189762195466757</v>
      </c>
      <c r="BE56" s="179">
        <f t="shared" si="86"/>
        <v>0.79160763370999931</v>
      </c>
      <c r="BF56" s="179">
        <f t="shared" si="87"/>
        <v>0.79160763370999931</v>
      </c>
      <c r="BG56" s="179"/>
      <c r="BH56" s="546">
        <f t="shared" si="34"/>
        <v>1.4266927412832451E-2</v>
      </c>
      <c r="BI56" s="546">
        <f t="shared" si="35"/>
        <v>6.0046979787538965E-2</v>
      </c>
      <c r="BJ56" s="546">
        <f t="shared" si="36"/>
        <v>4.3749999999999995E-3</v>
      </c>
      <c r="BK56" s="546">
        <f t="shared" si="37"/>
        <v>2.7651093750000001E-2</v>
      </c>
      <c r="BL56">
        <f t="shared" si="38"/>
        <v>6.96E-3</v>
      </c>
      <c r="BM56">
        <f t="shared" si="88"/>
        <v>0.11579848484330296</v>
      </c>
      <c r="BN56" s="472">
        <f t="shared" si="57"/>
        <v>115.79848484330296</v>
      </c>
      <c r="BO56" s="179">
        <f t="shared" si="89"/>
        <v>6.9614999999999996E-2</v>
      </c>
      <c r="BP56" s="179">
        <f t="shared" si="90"/>
        <v>6.9614999999999996E-2</v>
      </c>
      <c r="BQ56" s="546"/>
      <c r="BS56" s="472">
        <f t="shared" si="58"/>
        <v>139.22999999999999</v>
      </c>
      <c r="BT56" s="546">
        <f t="shared" si="42"/>
        <v>8.1525299501899722E-3</v>
      </c>
      <c r="BU56" s="546">
        <f t="shared" si="59"/>
        <v>2.5065705829917781E-2</v>
      </c>
      <c r="BV56" s="546">
        <f t="shared" si="91"/>
        <v>5.6397838117315004E-2</v>
      </c>
      <c r="BW56" s="546">
        <f t="shared" si="44"/>
        <v>2.8787366323080866E-2</v>
      </c>
      <c r="BX56" s="546">
        <f t="shared" si="92"/>
        <v>0.13009002164765787</v>
      </c>
      <c r="BY56" s="656">
        <f t="shared" si="93"/>
        <v>5.7954545454545453E-2</v>
      </c>
      <c r="BZ56" s="472">
        <f t="shared" si="60"/>
        <v>188.04456710220333</v>
      </c>
      <c r="CA56" s="179">
        <f t="shared" si="61"/>
        <v>0.44307305194550628</v>
      </c>
      <c r="CB56" s="6">
        <f t="shared" si="62"/>
        <v>2.5499999999999998</v>
      </c>
      <c r="CC56" s="179">
        <f t="shared" si="63"/>
        <v>0.85196717746080153</v>
      </c>
      <c r="CD56" s="6">
        <f t="shared" si="64"/>
        <v>85.196717746080154</v>
      </c>
      <c r="CE56">
        <f t="shared" si="98"/>
        <v>51</v>
      </c>
      <c r="CG56" s="581">
        <f t="shared" si="94"/>
        <v>-50</v>
      </c>
      <c r="CH56">
        <f t="shared" si="95"/>
        <v>-50</v>
      </c>
    </row>
    <row r="57" spans="5:86" x14ac:dyDescent="0.2">
      <c r="E57" s="176">
        <v>52</v>
      </c>
      <c r="F57" s="223">
        <f t="shared" si="99"/>
        <v>0.26</v>
      </c>
      <c r="G57" s="223">
        <f t="shared" si="96"/>
        <v>0.26</v>
      </c>
      <c r="H57" s="223">
        <f t="shared" si="68"/>
        <v>1.3</v>
      </c>
      <c r="I57" s="223">
        <f t="shared" si="100"/>
        <v>1.3</v>
      </c>
      <c r="J57" s="559">
        <f t="shared" si="1"/>
        <v>24</v>
      </c>
      <c r="K57" s="454">
        <f t="shared" si="2"/>
        <v>15.75</v>
      </c>
      <c r="L57" s="454">
        <f t="shared" si="3"/>
        <v>39.75</v>
      </c>
      <c r="M57" s="454"/>
      <c r="N57" s="223">
        <f t="shared" si="4"/>
        <v>0.39622641509433965</v>
      </c>
      <c r="O57" s="178">
        <f t="shared" si="97"/>
        <v>1.6047169811320754</v>
      </c>
      <c r="P57" s="178">
        <f t="shared" si="69"/>
        <v>3.2094339622641508</v>
      </c>
      <c r="Q57" s="223">
        <f t="shared" si="6"/>
        <v>0.3209433962264151</v>
      </c>
      <c r="R57" s="223">
        <f t="shared" si="70"/>
        <v>0.3209433962264151</v>
      </c>
      <c r="S57" s="454">
        <f t="shared" si="71"/>
        <v>5</v>
      </c>
      <c r="T57" s="223">
        <f t="shared" si="72"/>
        <v>0.60758377425044086</v>
      </c>
      <c r="U57" s="223">
        <f t="shared" si="10"/>
        <v>1.1139035861258082</v>
      </c>
      <c r="V57" s="223">
        <f t="shared" si="11"/>
        <v>1.6973768931440887</v>
      </c>
      <c r="W57" s="203">
        <f t="shared" si="12"/>
        <v>350</v>
      </c>
      <c r="X57" s="454">
        <f t="shared" si="51"/>
        <v>350</v>
      </c>
      <c r="Z57" s="223">
        <f t="shared" si="13"/>
        <v>0.61749571183533458</v>
      </c>
      <c r="AA57" s="179">
        <f t="shared" si="14"/>
        <v>1.7250673854447443</v>
      </c>
      <c r="AB57" s="179">
        <f t="shared" si="73"/>
        <v>0.55924139939803896</v>
      </c>
      <c r="AC57" s="179"/>
      <c r="AD57" s="179">
        <f t="shared" si="16"/>
        <v>0.419047619047619</v>
      </c>
      <c r="AE57" s="563">
        <f t="shared" si="74"/>
        <v>2757.5757575757584</v>
      </c>
      <c r="AF57" s="546">
        <f t="shared" si="75"/>
        <v>3.2999999999999995E-2</v>
      </c>
      <c r="AH57" s="179">
        <f t="shared" si="76"/>
        <v>0.58108720314797646</v>
      </c>
      <c r="AI57" s="179">
        <f t="shared" si="77"/>
        <v>0.58108720314797646</v>
      </c>
      <c r="AJ57" s="179">
        <f t="shared" si="78"/>
        <v>1.5193238541836862</v>
      </c>
      <c r="AL57" s="563">
        <f t="shared" si="79"/>
        <v>260</v>
      </c>
      <c r="AM57" s="472">
        <f t="shared" si="80"/>
        <v>350</v>
      </c>
      <c r="AO57">
        <f t="shared" si="52"/>
        <v>260</v>
      </c>
      <c r="AP57" s="472">
        <f t="shared" si="24"/>
        <v>350</v>
      </c>
      <c r="AQ57" s="472"/>
      <c r="AR57" s="6">
        <f t="shared" si="53"/>
        <v>2.8571428571428572</v>
      </c>
      <c r="AS57" s="6">
        <f t="shared" si="25"/>
        <v>1.0653265391046236</v>
      </c>
      <c r="AT57" s="6">
        <f t="shared" si="54"/>
        <v>1.7918163180382336</v>
      </c>
      <c r="AU57" s="179">
        <f t="shared" si="55"/>
        <v>0.37286428868661825</v>
      </c>
      <c r="AW57" s="6">
        <f t="shared" si="81"/>
        <v>13.072048611111116</v>
      </c>
      <c r="AX57" s="472">
        <f t="shared" si="82"/>
        <v>4.5402999408983469</v>
      </c>
      <c r="AY57" s="6">
        <f t="shared" si="83"/>
        <v>13.072048611111116</v>
      </c>
      <c r="AZ57" s="472">
        <f t="shared" si="84"/>
        <v>8.8133680555555589</v>
      </c>
      <c r="BA57" s="6">
        <f t="shared" si="30"/>
        <v>8.9867330765806441E-2</v>
      </c>
      <c r="BB57" s="6">
        <f t="shared" si="85"/>
        <v>22.170011235645404</v>
      </c>
      <c r="BC57" s="6"/>
      <c r="BD57" s="179">
        <f t="shared" si="56"/>
        <v>0.20485948627350101</v>
      </c>
      <c r="BE57" s="179">
        <f t="shared" si="86"/>
        <v>0.79704474839297978</v>
      </c>
      <c r="BF57" s="179">
        <f t="shared" si="87"/>
        <v>0.79704474839297978</v>
      </c>
      <c r="BG57" s="179"/>
      <c r="BH57" s="546">
        <f t="shared" si="34"/>
        <v>1.4688593190684961E-2</v>
      </c>
      <c r="BI57" s="546">
        <f t="shared" si="35"/>
        <v>6.063281785347166E-2</v>
      </c>
      <c r="BJ57" s="546">
        <f t="shared" si="36"/>
        <v>4.3749999999999995E-3</v>
      </c>
      <c r="BK57" s="546">
        <f t="shared" si="37"/>
        <v>2.7651093750000001E-2</v>
      </c>
      <c r="BL57">
        <f t="shared" si="38"/>
        <v>6.96E-3</v>
      </c>
      <c r="BM57">
        <f t="shared" si="88"/>
        <v>0.11688536433776146</v>
      </c>
      <c r="BN57" s="472">
        <f t="shared" si="57"/>
        <v>116.88536433776146</v>
      </c>
      <c r="BO57" s="179">
        <f t="shared" si="89"/>
        <v>7.0980000000000001E-2</v>
      </c>
      <c r="BP57" s="179">
        <f t="shared" si="90"/>
        <v>7.0980000000000001E-2</v>
      </c>
      <c r="BQ57" s="546"/>
      <c r="BS57" s="472">
        <f t="shared" si="58"/>
        <v>141.96</v>
      </c>
      <c r="BT57" s="546">
        <f t="shared" si="42"/>
        <v>8.3934818232485504E-3</v>
      </c>
      <c r="BU57" s="546">
        <f t="shared" si="59"/>
        <v>2.5411213237633141E-2</v>
      </c>
      <c r="BV57" s="546">
        <f t="shared" si="91"/>
        <v>5.7175229784674562E-2</v>
      </c>
      <c r="BW57" s="546">
        <f t="shared" si="44"/>
        <v>2.9494659966706145E-2</v>
      </c>
      <c r="BX57" s="546">
        <f t="shared" si="92"/>
        <v>0.13235551135178361</v>
      </c>
      <c r="BY57" s="656">
        <f t="shared" si="93"/>
        <v>5.9090909090909097E-2</v>
      </c>
      <c r="BZ57" s="472">
        <f t="shared" si="60"/>
        <v>191.44642044269273</v>
      </c>
      <c r="CA57" s="179">
        <f t="shared" si="61"/>
        <v>0.45029178478045417</v>
      </c>
      <c r="CB57" s="6">
        <f t="shared" si="62"/>
        <v>2.6</v>
      </c>
      <c r="CC57" s="179">
        <f t="shared" si="63"/>
        <v>0.85237747187754231</v>
      </c>
      <c r="CD57" s="6">
        <f t="shared" si="64"/>
        <v>85.237747187754238</v>
      </c>
      <c r="CE57">
        <f t="shared" si="98"/>
        <v>52</v>
      </c>
      <c r="CG57" s="581">
        <f t="shared" si="94"/>
        <v>-50</v>
      </c>
      <c r="CH57">
        <f t="shared" si="95"/>
        <v>-50</v>
      </c>
    </row>
    <row r="58" spans="5:86" x14ac:dyDescent="0.2">
      <c r="E58" s="176">
        <v>53</v>
      </c>
      <c r="F58" s="223">
        <f t="shared" si="99"/>
        <v>0.26500000000000001</v>
      </c>
      <c r="G58" s="223">
        <f t="shared" si="96"/>
        <v>0.26500000000000001</v>
      </c>
      <c r="H58" s="223">
        <f t="shared" si="68"/>
        <v>1.3250000000000002</v>
      </c>
      <c r="I58" s="223">
        <f t="shared" si="100"/>
        <v>1.3250000000000002</v>
      </c>
      <c r="J58" s="559">
        <f t="shared" si="1"/>
        <v>24</v>
      </c>
      <c r="K58" s="454">
        <f t="shared" si="2"/>
        <v>15.75</v>
      </c>
      <c r="L58" s="454">
        <f t="shared" si="3"/>
        <v>39.75</v>
      </c>
      <c r="M58" s="454"/>
      <c r="N58" s="223">
        <f t="shared" si="4"/>
        <v>0.39622641509433965</v>
      </c>
      <c r="O58" s="178">
        <f t="shared" si="97"/>
        <v>1.6047169811320754</v>
      </c>
      <c r="P58" s="178">
        <f t="shared" si="69"/>
        <v>3.2094339622641508</v>
      </c>
      <c r="Q58" s="223">
        <f t="shared" si="6"/>
        <v>0.3209433962264151</v>
      </c>
      <c r="R58" s="223">
        <f t="shared" si="70"/>
        <v>0.3209433962264151</v>
      </c>
      <c r="S58" s="454">
        <f t="shared" si="71"/>
        <v>5</v>
      </c>
      <c r="T58" s="223">
        <f t="shared" si="72"/>
        <v>0.619268077601411</v>
      </c>
      <c r="U58" s="223">
        <f t="shared" si="10"/>
        <v>1.13532480893592</v>
      </c>
      <c r="V58" s="223">
        <f t="shared" si="11"/>
        <v>1.7300187564737832</v>
      </c>
      <c r="W58" s="203">
        <f t="shared" si="12"/>
        <v>350</v>
      </c>
      <c r="X58" s="454">
        <f t="shared" si="51"/>
        <v>348.99828839792701</v>
      </c>
      <c r="Z58" s="223">
        <f t="shared" si="13"/>
        <v>0.61749571183533458</v>
      </c>
      <c r="AA58" s="179">
        <f t="shared" si="14"/>
        <v>1.7250673854447443</v>
      </c>
      <c r="AB58" s="179">
        <f t="shared" si="73"/>
        <v>0.55924139939803896</v>
      </c>
      <c r="AC58" s="179"/>
      <c r="AD58" s="179">
        <f t="shared" si="16"/>
        <v>0.419047619047619</v>
      </c>
      <c r="AE58" s="563">
        <f t="shared" si="74"/>
        <v>2810.6060606060614</v>
      </c>
      <c r="AF58" s="546">
        <f t="shared" si="75"/>
        <v>3.2999999999999995E-2</v>
      </c>
      <c r="AH58" s="179">
        <f t="shared" si="76"/>
        <v>0.58664797294105109</v>
      </c>
      <c r="AI58" s="179">
        <f t="shared" si="77"/>
        <v>0.58664797294105109</v>
      </c>
      <c r="AJ58" s="179">
        <f t="shared" si="78"/>
        <v>1.523442942919297</v>
      </c>
      <c r="AL58" s="563">
        <f t="shared" si="79"/>
        <v>265</v>
      </c>
      <c r="AM58" s="472">
        <f t="shared" si="80"/>
        <v>348.99828839792701</v>
      </c>
      <c r="AO58">
        <f t="shared" si="52"/>
        <v>265</v>
      </c>
      <c r="AP58" s="472">
        <f t="shared" si="24"/>
        <v>348.99828839792701</v>
      </c>
      <c r="AQ58" s="472"/>
      <c r="AR58" s="6">
        <f t="shared" si="53"/>
        <v>2.8653435654097033</v>
      </c>
      <c r="AS58" s="6">
        <f t="shared" si="25"/>
        <v>1.0755212837252603</v>
      </c>
      <c r="AT58" s="6">
        <f t="shared" si="54"/>
        <v>1.7898222816844429</v>
      </c>
      <c r="AU58" s="179">
        <f t="shared" si="55"/>
        <v>0.37535508715565707</v>
      </c>
      <c r="AW58" s="6">
        <f t="shared" si="81"/>
        <v>13.072048611111116</v>
      </c>
      <c r="AX58" s="472">
        <f t="shared" si="82"/>
        <v>4.7013175051713967</v>
      </c>
      <c r="AY58" s="6">
        <f t="shared" si="83"/>
        <v>13.072048611111116</v>
      </c>
      <c r="AZ58" s="472">
        <f t="shared" si="84"/>
        <v>9.140314670138892</v>
      </c>
      <c r="BA58" s="6">
        <f t="shared" si="30"/>
        <v>9.1493615865427716E-2</v>
      </c>
      <c r="BB58" s="6">
        <f t="shared" si="85"/>
        <v>22.571893733628585</v>
      </c>
      <c r="BC58" s="6"/>
      <c r="BD58" s="179">
        <f t="shared" si="56"/>
        <v>0.20750955550548</v>
      </c>
      <c r="BE58" s="179">
        <f t="shared" si="86"/>
        <v>0.80307259437288481</v>
      </c>
      <c r="BF58" s="179">
        <f t="shared" si="87"/>
        <v>0.80307259437288481</v>
      </c>
      <c r="BG58" s="179"/>
      <c r="BH58" s="546">
        <f t="shared" si="34"/>
        <v>1.5071075469128659E-2</v>
      </c>
      <c r="BI58" s="546">
        <f t="shared" si="35"/>
        <v>6.1037855649971044E-2</v>
      </c>
      <c r="BJ58" s="546">
        <f t="shared" si="36"/>
        <v>4.3624786049740868E-3</v>
      </c>
      <c r="BK58" s="546">
        <f t="shared" si="37"/>
        <v>2.7571955403087479E-2</v>
      </c>
      <c r="BL58">
        <f t="shared" si="38"/>
        <v>6.96E-3</v>
      </c>
      <c r="BM58">
        <f t="shared" si="88"/>
        <v>0.11765235593652362</v>
      </c>
      <c r="BN58" s="472">
        <f t="shared" si="57"/>
        <v>117.65235593652362</v>
      </c>
      <c r="BO58" s="179">
        <f t="shared" si="89"/>
        <v>7.2345000000000007E-2</v>
      </c>
      <c r="BP58" s="179">
        <f t="shared" si="90"/>
        <v>7.2345000000000007E-2</v>
      </c>
      <c r="BQ58" s="546"/>
      <c r="BS58" s="472">
        <f t="shared" si="58"/>
        <v>144.69000000000003</v>
      </c>
      <c r="BT58" s="546">
        <f t="shared" si="42"/>
        <v>8.612043125216377E-3</v>
      </c>
      <c r="BU58" s="546">
        <f t="shared" si="59"/>
        <v>2.5797023673311839E-2</v>
      </c>
      <c r="BV58" s="546">
        <f t="shared" si="91"/>
        <v>5.8043303264951635E-2</v>
      </c>
      <c r="BW58" s="546">
        <f t="shared" si="44"/>
        <v>2.9989704250341954E-2</v>
      </c>
      <c r="BX58" s="546">
        <f t="shared" si="92"/>
        <v>0.13453137830320241</v>
      </c>
      <c r="BY58" s="656">
        <f t="shared" si="93"/>
        <v>6.0054900276266678E-2</v>
      </c>
      <c r="BZ58" s="472">
        <f t="shared" si="60"/>
        <v>194.58627857946908</v>
      </c>
      <c r="CA58" s="179">
        <f t="shared" si="61"/>
        <v>0.45692863451599275</v>
      </c>
      <c r="CB58" s="6">
        <f t="shared" si="62"/>
        <v>2.6500000000000004</v>
      </c>
      <c r="CC58" s="179">
        <f t="shared" si="63"/>
        <v>0.85293236882244183</v>
      </c>
      <c r="CD58" s="6">
        <f t="shared" si="64"/>
        <v>85.293236882244187</v>
      </c>
      <c r="CE58">
        <f t="shared" si="98"/>
        <v>53</v>
      </c>
      <c r="CG58" s="581">
        <f t="shared" si="94"/>
        <v>-50</v>
      </c>
      <c r="CH58">
        <f t="shared" si="95"/>
        <v>-50</v>
      </c>
    </row>
    <row r="59" spans="5:86" x14ac:dyDescent="0.2">
      <c r="E59" s="176">
        <v>54</v>
      </c>
      <c r="F59" s="223">
        <f t="shared" si="99"/>
        <v>0.27</v>
      </c>
      <c r="G59" s="223">
        <f t="shared" si="96"/>
        <v>0.27</v>
      </c>
      <c r="H59" s="223">
        <f t="shared" si="68"/>
        <v>1.35</v>
      </c>
      <c r="I59" s="223">
        <f t="shared" si="100"/>
        <v>1.35</v>
      </c>
      <c r="J59" s="559">
        <f t="shared" si="1"/>
        <v>24</v>
      </c>
      <c r="K59" s="454">
        <f t="shared" si="2"/>
        <v>15.75</v>
      </c>
      <c r="L59" s="454">
        <f t="shared" si="3"/>
        <v>39.75</v>
      </c>
      <c r="M59" s="454"/>
      <c r="N59" s="223">
        <f t="shared" si="4"/>
        <v>0.39622641509433965</v>
      </c>
      <c r="O59" s="178">
        <f t="shared" si="97"/>
        <v>1.6047169811320754</v>
      </c>
      <c r="P59" s="178">
        <f t="shared" si="69"/>
        <v>3.2094339622641508</v>
      </c>
      <c r="Q59" s="223">
        <f t="shared" si="6"/>
        <v>0.3209433962264151</v>
      </c>
      <c r="R59" s="223">
        <f t="shared" si="70"/>
        <v>0.3209433962264151</v>
      </c>
      <c r="S59" s="454">
        <f t="shared" si="71"/>
        <v>5</v>
      </c>
      <c r="T59" s="223">
        <f t="shared" si="72"/>
        <v>0.63095238095238093</v>
      </c>
      <c r="U59" s="223">
        <f t="shared" si="10"/>
        <v>1.1567460317460319</v>
      </c>
      <c r="V59" s="223">
        <f t="shared" si="11"/>
        <v>1.7626606198034769</v>
      </c>
      <c r="W59" s="203">
        <f t="shared" si="12"/>
        <v>350</v>
      </c>
      <c r="X59" s="454">
        <f t="shared" si="51"/>
        <v>342.53535713129872</v>
      </c>
      <c r="Z59" s="223">
        <f t="shared" si="13"/>
        <v>0.61749571183533458</v>
      </c>
      <c r="AA59" s="179">
        <f t="shared" si="14"/>
        <v>1.7250673854447443</v>
      </c>
      <c r="AB59" s="179">
        <f t="shared" si="73"/>
        <v>0.55924139939803896</v>
      </c>
      <c r="AC59" s="179"/>
      <c r="AD59" s="179">
        <f t="shared" si="16"/>
        <v>0.419047619047619</v>
      </c>
      <c r="AE59" s="563">
        <f t="shared" si="74"/>
        <v>2863.6363636363644</v>
      </c>
      <c r="AF59" s="546">
        <f t="shared" si="75"/>
        <v>3.2999999999999995E-2</v>
      </c>
      <c r="AH59" s="179">
        <f t="shared" si="76"/>
        <v>0.59215652546379205</v>
      </c>
      <c r="AI59" s="179">
        <f t="shared" si="77"/>
        <v>0.59215652546379205</v>
      </c>
      <c r="AJ59" s="179">
        <f t="shared" si="78"/>
        <v>1.5275233521954015</v>
      </c>
      <c r="AL59" s="563">
        <f t="shared" si="79"/>
        <v>270</v>
      </c>
      <c r="AM59" s="472">
        <f t="shared" si="80"/>
        <v>342.53535713129872</v>
      </c>
      <c r="AO59">
        <f t="shared" si="52"/>
        <v>270</v>
      </c>
      <c r="AP59" s="472">
        <f t="shared" si="24"/>
        <v>342.53535713129872</v>
      </c>
      <c r="AQ59" s="472"/>
      <c r="AR59" s="6">
        <f t="shared" si="53"/>
        <v>2.919406651549509</v>
      </c>
      <c r="AS59" s="6">
        <f t="shared" si="25"/>
        <v>1.0856202966836186</v>
      </c>
      <c r="AT59" s="6">
        <f t="shared" si="54"/>
        <v>1.8337863548658904</v>
      </c>
      <c r="AU59" s="179">
        <f t="shared" si="55"/>
        <v>0.37186333603350974</v>
      </c>
      <c r="AW59" s="6">
        <f t="shared" si="81"/>
        <v>13.072048611111116</v>
      </c>
      <c r="AX59" s="472">
        <f t="shared" si="82"/>
        <v>4.8651163563829805</v>
      </c>
      <c r="AY59" s="6">
        <f t="shared" si="83"/>
        <v>13.072048611111116</v>
      </c>
      <c r="AZ59" s="472">
        <f t="shared" si="84"/>
        <v>9.4732031250000031</v>
      </c>
      <c r="BA59" s="6">
        <f t="shared" si="30"/>
        <v>9.5509705982598447E-2</v>
      </c>
      <c r="BB59" s="6">
        <f t="shared" si="85"/>
        <v>23.547329435823631</v>
      </c>
      <c r="BC59" s="6"/>
      <c r="BD59" s="179">
        <f t="shared" si="56"/>
        <v>0.20848152381002613</v>
      </c>
      <c r="BE59" s="179">
        <f t="shared" si="86"/>
        <v>0.8128758453888868</v>
      </c>
      <c r="BF59" s="179">
        <f t="shared" si="87"/>
        <v>0.8128758453888868</v>
      </c>
      <c r="BG59" s="179"/>
      <c r="BH59" s="546">
        <f t="shared" si="34"/>
        <v>1.5212591019552671E-2</v>
      </c>
      <c r="BI59" s="546">
        <f t="shared" si="35"/>
        <v>6.047004930272188E-2</v>
      </c>
      <c r="BJ59" s="546">
        <f t="shared" si="36"/>
        <v>4.2816919641412337E-3</v>
      </c>
      <c r="BK59" s="546">
        <f t="shared" si="37"/>
        <v>2.7061363636363637E-2</v>
      </c>
      <c r="BL59">
        <f t="shared" si="38"/>
        <v>6.96E-3</v>
      </c>
      <c r="BM59">
        <f t="shared" si="88"/>
        <v>0.11665429951310478</v>
      </c>
      <c r="BN59" s="472">
        <f t="shared" si="57"/>
        <v>116.65429951310479</v>
      </c>
      <c r="BO59" s="179">
        <f t="shared" si="89"/>
        <v>7.3710000000000012E-2</v>
      </c>
      <c r="BP59" s="179">
        <f t="shared" si="90"/>
        <v>7.3710000000000012E-2</v>
      </c>
      <c r="BQ59" s="546"/>
      <c r="BS59" s="472">
        <f t="shared" si="58"/>
        <v>147.42000000000002</v>
      </c>
      <c r="BT59" s="546">
        <f t="shared" si="42"/>
        <v>8.6929091540300981E-3</v>
      </c>
      <c r="BU59" s="546">
        <f t="shared" si="59"/>
        <v>2.6430685600667893E-2</v>
      </c>
      <c r="BV59" s="546">
        <f t="shared" si="91"/>
        <v>5.9469042601502757E-2</v>
      </c>
      <c r="BW59" s="546">
        <f t="shared" si="44"/>
        <v>2.9297112592558853E-2</v>
      </c>
      <c r="BX59" s="546">
        <f t="shared" si="92"/>
        <v>0.13627209336828422</v>
      </c>
      <c r="BY59" s="656">
        <f t="shared" si="93"/>
        <v>6.0054900276266657E-2</v>
      </c>
      <c r="BZ59" s="472">
        <f t="shared" si="60"/>
        <v>196.32699364455087</v>
      </c>
      <c r="CA59" s="179">
        <f t="shared" si="61"/>
        <v>0.46040129315765566</v>
      </c>
      <c r="CB59" s="6">
        <f t="shared" si="62"/>
        <v>2.7</v>
      </c>
      <c r="CC59" s="179">
        <f t="shared" si="63"/>
        <v>0.85432188812400645</v>
      </c>
      <c r="CD59" s="6">
        <f t="shared" si="64"/>
        <v>85.432188812400639</v>
      </c>
      <c r="CE59">
        <f t="shared" si="98"/>
        <v>54</v>
      </c>
      <c r="CG59" s="581">
        <f t="shared" si="94"/>
        <v>-50</v>
      </c>
      <c r="CH59">
        <f t="shared" si="95"/>
        <v>-50</v>
      </c>
    </row>
    <row r="60" spans="5:86" x14ac:dyDescent="0.2">
      <c r="E60" s="176">
        <v>55</v>
      </c>
      <c r="F60" s="223">
        <f t="shared" si="99"/>
        <v>0.27500000000000002</v>
      </c>
      <c r="G60" s="223">
        <f t="shared" si="96"/>
        <v>0.27500000000000002</v>
      </c>
      <c r="H60" s="223">
        <f t="shared" si="68"/>
        <v>1.375</v>
      </c>
      <c r="I60" s="223">
        <f t="shared" si="100"/>
        <v>1.375</v>
      </c>
      <c r="J60" s="559">
        <f t="shared" si="1"/>
        <v>24</v>
      </c>
      <c r="K60" s="454">
        <f t="shared" si="2"/>
        <v>15.75</v>
      </c>
      <c r="L60" s="454">
        <f t="shared" si="3"/>
        <v>39.75</v>
      </c>
      <c r="M60" s="454"/>
      <c r="N60" s="223">
        <f t="shared" si="4"/>
        <v>0.39622641509433965</v>
      </c>
      <c r="O60" s="178">
        <f t="shared" si="97"/>
        <v>1.6047169811320754</v>
      </c>
      <c r="P60" s="178">
        <f t="shared" si="69"/>
        <v>3.2094339622641508</v>
      </c>
      <c r="Q60" s="223">
        <f t="shared" si="6"/>
        <v>0.3209433962264151</v>
      </c>
      <c r="R60" s="223">
        <f t="shared" si="70"/>
        <v>0.3209433962264151</v>
      </c>
      <c r="S60" s="454">
        <f t="shared" si="71"/>
        <v>5</v>
      </c>
      <c r="T60" s="223">
        <f t="shared" si="72"/>
        <v>0.64263668430335086</v>
      </c>
      <c r="U60" s="223">
        <f t="shared" si="10"/>
        <v>1.1781672545561432</v>
      </c>
      <c r="V60" s="223">
        <f t="shared" si="11"/>
        <v>1.7953024831331705</v>
      </c>
      <c r="W60" s="203">
        <f t="shared" si="12"/>
        <v>350</v>
      </c>
      <c r="X60" s="454">
        <f t="shared" si="51"/>
        <v>336.30744154709339</v>
      </c>
      <c r="Z60" s="223">
        <f t="shared" si="13"/>
        <v>0.61749571183533458</v>
      </c>
      <c r="AA60" s="179">
        <f t="shared" si="14"/>
        <v>1.7250673854447443</v>
      </c>
      <c r="AB60" s="179">
        <f t="shared" si="73"/>
        <v>0.55924139939803896</v>
      </c>
      <c r="AC60" s="179"/>
      <c r="AD60" s="179">
        <f t="shared" si="16"/>
        <v>0.419047619047619</v>
      </c>
      <c r="AE60" s="563">
        <f t="shared" si="74"/>
        <v>2916.6666666666674</v>
      </c>
      <c r="AF60" s="546">
        <f t="shared" si="75"/>
        <v>3.2999999999999995E-2</v>
      </c>
      <c r="AH60" s="179">
        <f t="shared" si="76"/>
        <v>0.59761430466719678</v>
      </c>
      <c r="AI60" s="179">
        <f t="shared" si="77"/>
        <v>0.59761430466719678</v>
      </c>
      <c r="AJ60" s="179">
        <f t="shared" si="78"/>
        <v>1.5315661516053309</v>
      </c>
      <c r="AL60" s="563">
        <f t="shared" si="79"/>
        <v>275</v>
      </c>
      <c r="AM60" s="472">
        <f t="shared" si="80"/>
        <v>336.30744154709339</v>
      </c>
      <c r="AO60">
        <f t="shared" si="52"/>
        <v>275</v>
      </c>
      <c r="AP60">
        <f t="shared" si="24"/>
        <v>336.30744154709339</v>
      </c>
      <c r="AR60" s="6">
        <f t="shared" si="53"/>
        <v>2.9734697376893138</v>
      </c>
      <c r="AS60" s="6">
        <f t="shared" si="25"/>
        <v>1.0956262252231941</v>
      </c>
      <c r="AT60" s="6">
        <f t="shared" si="54"/>
        <v>1.8778435124661197</v>
      </c>
      <c r="AU60" s="179">
        <f t="shared" si="55"/>
        <v>0.36846725269671193</v>
      </c>
      <c r="AW60" s="6">
        <f t="shared" si="81"/>
        <v>13.072048611111116</v>
      </c>
      <c r="AX60" s="472">
        <f t="shared" si="82"/>
        <v>5.0316964945330991</v>
      </c>
      <c r="AY60" s="6">
        <f t="shared" si="83"/>
        <v>13.072048611111116</v>
      </c>
      <c r="AZ60" s="472">
        <f t="shared" si="84"/>
        <v>9.8120334201388921</v>
      </c>
      <c r="BA60" s="6">
        <f t="shared" si="30"/>
        <v>9.9615541267010568E-2</v>
      </c>
      <c r="BB60" s="6">
        <f t="shared" si="85"/>
        <v>24.544303978156616</v>
      </c>
      <c r="BC60" s="6"/>
      <c r="BD60" s="179">
        <f t="shared" si="56"/>
        <v>0.20944008482275053</v>
      </c>
      <c r="BE60" s="179">
        <f t="shared" si="86"/>
        <v>0.82258265800679431</v>
      </c>
      <c r="BF60" s="179">
        <f t="shared" si="87"/>
        <v>0.82258265800679431</v>
      </c>
      <c r="BG60" s="179"/>
      <c r="BH60" s="546">
        <f t="shared" si="34"/>
        <v>1.5352802195696326E-2</v>
      </c>
      <c r="BI60" s="546">
        <f t="shared" si="35"/>
        <v>5.9917799841931213E-2</v>
      </c>
      <c r="BJ60" s="546">
        <f t="shared" si="36"/>
        <v>4.2038430193386675E-3</v>
      </c>
      <c r="BK60" s="546">
        <f t="shared" si="37"/>
        <v>2.6569338842975212E-2</v>
      </c>
      <c r="BL60">
        <f t="shared" si="38"/>
        <v>6.96E-3</v>
      </c>
      <c r="BM60">
        <f t="shared" si="88"/>
        <v>0.11569186352001948</v>
      </c>
      <c r="BN60" s="472">
        <f t="shared" si="57"/>
        <v>115.69186352001948</v>
      </c>
      <c r="BO60" s="179">
        <f t="shared" si="89"/>
        <v>7.5075000000000003E-2</v>
      </c>
      <c r="BP60" s="179">
        <f t="shared" si="90"/>
        <v>7.5075000000000003E-2</v>
      </c>
      <c r="BQ60" s="546"/>
      <c r="BS60" s="472">
        <f t="shared" si="58"/>
        <v>150.15</v>
      </c>
      <c r="BT60" s="546">
        <f t="shared" si="42"/>
        <v>8.7730298261121872E-3</v>
      </c>
      <c r="BU60" s="546">
        <f t="shared" si="59"/>
        <v>2.7065689170140909E-2</v>
      </c>
      <c r="BV60" s="546">
        <f t="shared" si="91"/>
        <v>6.0897800632817037E-2</v>
      </c>
      <c r="BW60" s="546">
        <f t="shared" si="44"/>
        <v>2.8632789338972679E-2</v>
      </c>
      <c r="BX60" s="546">
        <f t="shared" si="92"/>
        <v>0.138046018634842</v>
      </c>
      <c r="BY60" s="656">
        <f t="shared" si="93"/>
        <v>6.0054900276266678E-2</v>
      </c>
      <c r="BZ60" s="472">
        <f t="shared" si="60"/>
        <v>198.10091891110866</v>
      </c>
      <c r="CA60" s="179">
        <f t="shared" si="61"/>
        <v>0.46394278243112819</v>
      </c>
      <c r="CB60" s="6">
        <f t="shared" si="62"/>
        <v>2.75</v>
      </c>
      <c r="CC60" s="179">
        <f t="shared" si="63"/>
        <v>0.85564684444065087</v>
      </c>
      <c r="CD60" s="6">
        <f t="shared" si="64"/>
        <v>85.56468444406508</v>
      </c>
      <c r="CE60">
        <f t="shared" si="98"/>
        <v>55.000000000000007</v>
      </c>
      <c r="CG60" s="581">
        <f t="shared" si="94"/>
        <v>-50</v>
      </c>
      <c r="CH60">
        <f t="shared" si="95"/>
        <v>-50</v>
      </c>
    </row>
    <row r="61" spans="5:86" x14ac:dyDescent="0.2">
      <c r="E61" s="176">
        <v>56</v>
      </c>
      <c r="F61" s="223">
        <f t="shared" si="99"/>
        <v>0.28000000000000003</v>
      </c>
      <c r="G61" s="223">
        <f t="shared" si="96"/>
        <v>0.28000000000000003</v>
      </c>
      <c r="H61" s="223">
        <f t="shared" si="68"/>
        <v>1.4000000000000001</v>
      </c>
      <c r="I61" s="223">
        <f t="shared" si="100"/>
        <v>1.4000000000000001</v>
      </c>
      <c r="J61" s="559">
        <f t="shared" si="1"/>
        <v>24</v>
      </c>
      <c r="K61" s="454">
        <f t="shared" si="2"/>
        <v>15.75</v>
      </c>
      <c r="L61" s="454">
        <f t="shared" si="3"/>
        <v>39.75</v>
      </c>
      <c r="M61" s="454"/>
      <c r="N61" s="223">
        <f t="shared" si="4"/>
        <v>0.39622641509433965</v>
      </c>
      <c r="O61" s="178">
        <f t="shared" si="97"/>
        <v>1.6047169811320754</v>
      </c>
      <c r="P61" s="178">
        <f t="shared" si="69"/>
        <v>3.2094339622641508</v>
      </c>
      <c r="Q61" s="223">
        <f t="shared" si="6"/>
        <v>0.3209433962264151</v>
      </c>
      <c r="R61" s="223">
        <f t="shared" si="70"/>
        <v>0.3209433962264151</v>
      </c>
      <c r="S61" s="454">
        <f t="shared" si="71"/>
        <v>5</v>
      </c>
      <c r="T61" s="223">
        <f t="shared" si="72"/>
        <v>0.65432098765432101</v>
      </c>
      <c r="U61" s="223">
        <f t="shared" si="10"/>
        <v>1.1995884773662551</v>
      </c>
      <c r="V61" s="223">
        <f t="shared" si="11"/>
        <v>1.8279443464628651</v>
      </c>
      <c r="W61" s="203">
        <f t="shared" si="12"/>
        <v>350</v>
      </c>
      <c r="X61" s="454">
        <f t="shared" si="51"/>
        <v>330.30195151946663</v>
      </c>
      <c r="Z61" s="223">
        <f t="shared" si="13"/>
        <v>0.61749571183533458</v>
      </c>
      <c r="AA61" s="179">
        <f t="shared" si="14"/>
        <v>1.7250673854447443</v>
      </c>
      <c r="AB61" s="179">
        <f t="shared" si="73"/>
        <v>0.55924139939803896</v>
      </c>
      <c r="AC61" s="179"/>
      <c r="AD61" s="179">
        <f t="shared" si="16"/>
        <v>0.419047619047619</v>
      </c>
      <c r="AE61" s="563">
        <f t="shared" si="74"/>
        <v>2969.6969696969709</v>
      </c>
      <c r="AF61" s="546">
        <f t="shared" si="75"/>
        <v>3.2999999999999995E-2</v>
      </c>
      <c r="AH61" s="179">
        <f t="shared" si="76"/>
        <v>0.60302268915552726</v>
      </c>
      <c r="AI61" s="179">
        <f t="shared" si="77"/>
        <v>0.60302268915552726</v>
      </c>
      <c r="AJ61" s="179">
        <f t="shared" si="78"/>
        <v>1.5355723623374276</v>
      </c>
      <c r="AL61" s="563">
        <f t="shared" si="79"/>
        <v>280</v>
      </c>
      <c r="AM61" s="472">
        <f t="shared" si="80"/>
        <v>330.30195151946663</v>
      </c>
      <c r="AO61">
        <f t="shared" si="52"/>
        <v>280</v>
      </c>
      <c r="AP61">
        <f t="shared" si="24"/>
        <v>330.30195151946663</v>
      </c>
      <c r="AR61" s="6">
        <f t="shared" si="53"/>
        <v>3.0275328238291204</v>
      </c>
      <c r="AS61" s="6">
        <f t="shared" si="25"/>
        <v>1.1055415967851332</v>
      </c>
      <c r="AT61" s="6">
        <f t="shared" si="54"/>
        <v>1.9219912270439872</v>
      </c>
      <c r="AU61" s="179">
        <f t="shared" si="55"/>
        <v>0.36516254690407679</v>
      </c>
      <c r="AW61" s="6">
        <f t="shared" si="81"/>
        <v>13.072048611111116</v>
      </c>
      <c r="AX61" s="472">
        <f t="shared" si="82"/>
        <v>5.2010579196217508</v>
      </c>
      <c r="AY61" s="6">
        <f t="shared" si="83"/>
        <v>13.072048611111116</v>
      </c>
      <c r="AZ61" s="472">
        <f t="shared" si="84"/>
        <v>10.156805555555559</v>
      </c>
      <c r="BA61" s="6">
        <f t="shared" si="30"/>
        <v>0.10381125454712892</v>
      </c>
      <c r="BB61" s="6">
        <f t="shared" si="85"/>
        <v>25.562849239459098</v>
      </c>
      <c r="BC61" s="6"/>
      <c r="BD61" s="179">
        <f t="shared" si="56"/>
        <v>0.2103856622906225</v>
      </c>
      <c r="BE61" s="179">
        <f t="shared" si="86"/>
        <v>0.83219585965799914</v>
      </c>
      <c r="BF61" s="179">
        <f t="shared" si="87"/>
        <v>0.83219585965799914</v>
      </c>
      <c r="BG61" s="179"/>
      <c r="BH61" s="546">
        <f t="shared" si="34"/>
        <v>1.549174441411235E-2</v>
      </c>
      <c r="BI61" s="546">
        <f t="shared" si="35"/>
        <v>5.938040961587885E-2</v>
      </c>
      <c r="BJ61" s="546">
        <f t="shared" si="36"/>
        <v>4.1287743939933327E-3</v>
      </c>
      <c r="BK61" s="546">
        <f t="shared" si="37"/>
        <v>2.6094886363636362E-2</v>
      </c>
      <c r="BL61">
        <f t="shared" si="38"/>
        <v>6.96E-3</v>
      </c>
      <c r="BM61">
        <f t="shared" si="88"/>
        <v>0.11476323664957902</v>
      </c>
      <c r="BN61" s="472">
        <f t="shared" si="57"/>
        <v>114.76323664957901</v>
      </c>
      <c r="BO61" s="179">
        <f t="shared" si="89"/>
        <v>7.6440000000000008E-2</v>
      </c>
      <c r="BP61" s="179">
        <f t="shared" si="90"/>
        <v>7.6440000000000008E-2</v>
      </c>
      <c r="BQ61" s="546"/>
      <c r="BS61" s="472">
        <f t="shared" si="58"/>
        <v>152.88000000000002</v>
      </c>
      <c r="BT61" s="546">
        <f t="shared" si="42"/>
        <v>8.8524253794927728E-3</v>
      </c>
      <c r="BU61" s="546">
        <f t="shared" si="59"/>
        <v>2.7701997953276651E-2</v>
      </c>
      <c r="BV61" s="546">
        <f t="shared" si="91"/>
        <v>6.232949539487246E-2</v>
      </c>
      <c r="BW61" s="546">
        <f t="shared" si="44"/>
        <v>2.799509761379446E-2</v>
      </c>
      <c r="BX61" s="546">
        <f t="shared" si="92"/>
        <v>0.13985141103376206</v>
      </c>
      <c r="BY61" s="656">
        <f t="shared" si="93"/>
        <v>6.0054900276266671E-2</v>
      </c>
      <c r="BZ61" s="472">
        <f t="shared" si="60"/>
        <v>199.90631131002874</v>
      </c>
      <c r="CA61" s="179">
        <f t="shared" si="61"/>
        <v>0.46754954795960779</v>
      </c>
      <c r="CB61" s="6">
        <f t="shared" si="62"/>
        <v>2.8000000000000003</v>
      </c>
      <c r="CC61" s="179">
        <f t="shared" si="63"/>
        <v>0.85691125992211348</v>
      </c>
      <c r="CD61" s="6">
        <f t="shared" si="64"/>
        <v>85.691125992211354</v>
      </c>
      <c r="CE61">
        <f t="shared" si="98"/>
        <v>56.000000000000007</v>
      </c>
      <c r="CG61" s="581">
        <f t="shared" si="94"/>
        <v>-50</v>
      </c>
      <c r="CH61">
        <f t="shared" si="95"/>
        <v>-50</v>
      </c>
    </row>
    <row r="62" spans="5:86" x14ac:dyDescent="0.2">
      <c r="E62" s="176">
        <v>57</v>
      </c>
      <c r="F62" s="223">
        <f t="shared" si="99"/>
        <v>0.28499999999999998</v>
      </c>
      <c r="G62" s="223">
        <f t="shared" si="96"/>
        <v>0.28499999999999998</v>
      </c>
      <c r="H62" s="223">
        <f t="shared" si="68"/>
        <v>1.4249999999999998</v>
      </c>
      <c r="I62" s="223">
        <f t="shared" si="100"/>
        <v>1.4249999999999998</v>
      </c>
      <c r="J62" s="559">
        <f t="shared" si="1"/>
        <v>24</v>
      </c>
      <c r="K62" s="454">
        <f t="shared" si="2"/>
        <v>15.75</v>
      </c>
      <c r="L62" s="454">
        <f t="shared" si="3"/>
        <v>39.75</v>
      </c>
      <c r="M62" s="454"/>
      <c r="N62" s="223">
        <f t="shared" si="4"/>
        <v>0.39622641509433965</v>
      </c>
      <c r="O62" s="178">
        <f t="shared" si="97"/>
        <v>1.6047169811320754</v>
      </c>
      <c r="P62" s="178">
        <f t="shared" si="69"/>
        <v>3.2094339622641508</v>
      </c>
      <c r="Q62" s="223">
        <f t="shared" si="6"/>
        <v>0.3209433962264151</v>
      </c>
      <c r="R62" s="223">
        <f t="shared" si="70"/>
        <v>0.3209433962264151</v>
      </c>
      <c r="S62" s="454">
        <f t="shared" si="71"/>
        <v>5</v>
      </c>
      <c r="T62" s="223">
        <f t="shared" si="72"/>
        <v>0.66600529100529082</v>
      </c>
      <c r="U62" s="223">
        <f t="shared" si="10"/>
        <v>1.2210097001763665</v>
      </c>
      <c r="V62" s="223">
        <f t="shared" si="11"/>
        <v>1.8605862097925585</v>
      </c>
      <c r="W62" s="203">
        <f t="shared" si="12"/>
        <v>350</v>
      </c>
      <c r="X62" s="454">
        <f t="shared" si="51"/>
        <v>324.50718044017782</v>
      </c>
      <c r="Z62" s="223">
        <f t="shared" si="13"/>
        <v>0.61749571183533458</v>
      </c>
      <c r="AA62" s="179">
        <f t="shared" si="14"/>
        <v>1.7250673854447443</v>
      </c>
      <c r="AB62" s="179">
        <f t="shared" si="73"/>
        <v>0.55924139939803896</v>
      </c>
      <c r="AC62" s="179"/>
      <c r="AD62" s="179">
        <f t="shared" si="16"/>
        <v>0.419047619047619</v>
      </c>
      <c r="AE62" s="563">
        <f t="shared" si="74"/>
        <v>3022.727272727273</v>
      </c>
      <c r="AF62" s="546">
        <f t="shared" si="75"/>
        <v>3.2999999999999995E-2</v>
      </c>
      <c r="AH62" s="179">
        <f t="shared" si="76"/>
        <v>0.60838299625307579</v>
      </c>
      <c r="AI62" s="179">
        <f t="shared" si="77"/>
        <v>0.60838299625307579</v>
      </c>
      <c r="AJ62" s="179">
        <f t="shared" si="78"/>
        <v>1.5395429601874635</v>
      </c>
      <c r="AL62" s="563">
        <f t="shared" si="79"/>
        <v>285</v>
      </c>
      <c r="AM62" s="472">
        <f t="shared" si="80"/>
        <v>324.50718044017782</v>
      </c>
      <c r="AO62">
        <f t="shared" si="52"/>
        <v>285</v>
      </c>
      <c r="AP62">
        <f t="shared" si="24"/>
        <v>324.50718044017782</v>
      </c>
      <c r="AR62" s="6">
        <f t="shared" si="53"/>
        <v>3.0815959099689252</v>
      </c>
      <c r="AS62" s="6">
        <f t="shared" si="25"/>
        <v>1.1153688264639723</v>
      </c>
      <c r="AT62" s="6">
        <f t="shared" si="54"/>
        <v>1.9662270835049529</v>
      </c>
      <c r="AU62" s="179">
        <f t="shared" si="55"/>
        <v>0.36194519302669365</v>
      </c>
      <c r="AW62" s="6">
        <f t="shared" si="81"/>
        <v>13.072048611111116</v>
      </c>
      <c r="AX62" s="472">
        <f t="shared" si="82"/>
        <v>5.3732006316489365</v>
      </c>
      <c r="AY62" s="6">
        <f t="shared" si="83"/>
        <v>13.072048611111116</v>
      </c>
      <c r="AZ62" s="472">
        <f t="shared" si="84"/>
        <v>10.507519531250002</v>
      </c>
      <c r="BA62" s="6">
        <f t="shared" si="30"/>
        <v>0.10809697507695049</v>
      </c>
      <c r="BB62" s="6">
        <f t="shared" si="85"/>
        <v>26.602996240690342</v>
      </c>
      <c r="BC62" s="6"/>
      <c r="BD62" s="179">
        <f t="shared" si="56"/>
        <v>0.21131865928742219</v>
      </c>
      <c r="BE62" s="179">
        <f t="shared" si="86"/>
        <v>0.84171814078247564</v>
      </c>
      <c r="BF62" s="179">
        <f t="shared" si="87"/>
        <v>0.84171814078247564</v>
      </c>
      <c r="BG62" s="179"/>
      <c r="BH62" s="546">
        <f t="shared" si="34"/>
        <v>1.5629451517061767E-2</v>
      </c>
      <c r="BI62" s="546">
        <f t="shared" si="35"/>
        <v>5.8857224002408927E-2</v>
      </c>
      <c r="BJ62" s="546">
        <f t="shared" si="36"/>
        <v>4.0563397555022224E-3</v>
      </c>
      <c r="BK62" s="546">
        <f t="shared" si="37"/>
        <v>2.5637081339712924E-2</v>
      </c>
      <c r="BL62">
        <f t="shared" si="38"/>
        <v>6.96E-3</v>
      </c>
      <c r="BM62">
        <f t="shared" si="88"/>
        <v>0.11386672979508312</v>
      </c>
      <c r="BN62" s="472">
        <f t="shared" si="57"/>
        <v>113.86672979508313</v>
      </c>
      <c r="BO62" s="179">
        <f t="shared" si="89"/>
        <v>7.7804999999999999E-2</v>
      </c>
      <c r="BP62" s="179">
        <f t="shared" si="90"/>
        <v>7.7804999999999999E-2</v>
      </c>
      <c r="BQ62" s="546"/>
      <c r="BS62" s="472">
        <f t="shared" si="58"/>
        <v>155.60999999999999</v>
      </c>
      <c r="BT62" s="546">
        <f t="shared" si="42"/>
        <v>8.9311151526067258E-3</v>
      </c>
      <c r="BU62" s="546">
        <f t="shared" si="59"/>
        <v>2.8339577140892299E-2</v>
      </c>
      <c r="BV62" s="546">
        <f t="shared" si="91"/>
        <v>6.3764048567007667E-2</v>
      </c>
      <c r="BW62" s="546">
        <f t="shared" si="44"/>
        <v>2.7382522317687299E-2</v>
      </c>
      <c r="BX62" s="546">
        <f t="shared" si="92"/>
        <v>0.14168665403133063</v>
      </c>
      <c r="BY62" s="656">
        <f t="shared" si="93"/>
        <v>6.0054900276266671E-2</v>
      </c>
      <c r="BZ62" s="472">
        <f t="shared" si="60"/>
        <v>201.74155430759731</v>
      </c>
      <c r="CA62" s="179">
        <f t="shared" si="61"/>
        <v>0.47121828410268041</v>
      </c>
      <c r="CB62" s="6">
        <f t="shared" si="62"/>
        <v>2.8499999999999996</v>
      </c>
      <c r="CC62" s="179">
        <f t="shared" si="63"/>
        <v>0.85811884561812435</v>
      </c>
      <c r="CD62" s="6">
        <f t="shared" si="64"/>
        <v>85.811884561812434</v>
      </c>
      <c r="CE62">
        <f t="shared" si="98"/>
        <v>56.999999999999993</v>
      </c>
      <c r="CG62" s="581">
        <f t="shared" si="94"/>
        <v>-50</v>
      </c>
      <c r="CH62">
        <f t="shared" si="95"/>
        <v>-50</v>
      </c>
    </row>
    <row r="63" spans="5:86" x14ac:dyDescent="0.2">
      <c r="E63" s="176">
        <v>58</v>
      </c>
      <c r="F63" s="223">
        <f t="shared" si="99"/>
        <v>0.28999999999999998</v>
      </c>
      <c r="G63" s="223">
        <f t="shared" si="96"/>
        <v>0.28999999999999998</v>
      </c>
      <c r="H63" s="223">
        <f t="shared" si="68"/>
        <v>1.45</v>
      </c>
      <c r="I63" s="223">
        <f t="shared" si="100"/>
        <v>1.45</v>
      </c>
      <c r="J63" s="559">
        <f t="shared" si="1"/>
        <v>24</v>
      </c>
      <c r="K63" s="454">
        <f t="shared" si="2"/>
        <v>15.75</v>
      </c>
      <c r="L63" s="454">
        <f t="shared" si="3"/>
        <v>39.75</v>
      </c>
      <c r="M63" s="454"/>
      <c r="N63" s="223">
        <f t="shared" si="4"/>
        <v>0.39622641509433965</v>
      </c>
      <c r="O63" s="178">
        <f t="shared" si="97"/>
        <v>1.6047169811320754</v>
      </c>
      <c r="P63" s="178">
        <f t="shared" si="69"/>
        <v>3.2094339622641508</v>
      </c>
      <c r="Q63" s="223">
        <f t="shared" si="6"/>
        <v>0.3209433962264151</v>
      </c>
      <c r="R63" s="223">
        <f t="shared" si="70"/>
        <v>0.3209433962264151</v>
      </c>
      <c r="S63" s="454">
        <f t="shared" si="71"/>
        <v>5</v>
      </c>
      <c r="T63" s="223">
        <f t="shared" si="72"/>
        <v>0.67768959435626097</v>
      </c>
      <c r="U63" s="223">
        <f t="shared" si="10"/>
        <v>1.2424309229864783</v>
      </c>
      <c r="V63" s="223">
        <f t="shared" si="11"/>
        <v>1.8932280731222528</v>
      </c>
      <c r="W63" s="203">
        <f t="shared" si="12"/>
        <v>350</v>
      </c>
      <c r="X63" s="454">
        <f t="shared" si="51"/>
        <v>318.91222905327822</v>
      </c>
      <c r="Z63" s="223">
        <f t="shared" si="13"/>
        <v>0.61749571183533458</v>
      </c>
      <c r="AA63" s="179">
        <f t="shared" si="14"/>
        <v>1.7250673854447443</v>
      </c>
      <c r="AB63" s="179">
        <f t="shared" si="73"/>
        <v>0.55924139939803896</v>
      </c>
      <c r="AC63" s="179"/>
      <c r="AD63" s="179">
        <f t="shared" si="16"/>
        <v>0.419047619047619</v>
      </c>
      <c r="AE63" s="563">
        <f t="shared" si="74"/>
        <v>3075.757575757576</v>
      </c>
      <c r="AF63" s="546">
        <f t="shared" si="75"/>
        <v>3.2999999999999995E-2</v>
      </c>
      <c r="AH63" s="179">
        <f t="shared" si="76"/>
        <v>0.61369648575120306</v>
      </c>
      <c r="AI63" s="179">
        <f t="shared" si="77"/>
        <v>0.61369648575120306</v>
      </c>
      <c r="AJ63" s="179">
        <f t="shared" si="78"/>
        <v>1.5434788783342244</v>
      </c>
      <c r="AL63" s="563">
        <f t="shared" si="79"/>
        <v>290</v>
      </c>
      <c r="AM63" s="472">
        <f t="shared" si="80"/>
        <v>318.91222905327822</v>
      </c>
      <c r="AO63">
        <f t="shared" si="52"/>
        <v>290</v>
      </c>
      <c r="AP63">
        <f t="shared" si="24"/>
        <v>318.91222905327822</v>
      </c>
      <c r="AR63" s="6">
        <f t="shared" si="53"/>
        <v>3.1356589961087304</v>
      </c>
      <c r="AS63" s="6">
        <f t="shared" si="25"/>
        <v>1.1251102238772057</v>
      </c>
      <c r="AT63" s="6">
        <f t="shared" si="54"/>
        <v>2.0105487722315249</v>
      </c>
      <c r="AU63" s="179">
        <f t="shared" si="55"/>
        <v>0.3588114094273126</v>
      </c>
      <c r="AW63" s="6">
        <f t="shared" si="81"/>
        <v>13.072048611111116</v>
      </c>
      <c r="AX63" s="472">
        <f t="shared" si="82"/>
        <v>5.5481246306146588</v>
      </c>
      <c r="AY63" s="6">
        <f t="shared" si="83"/>
        <v>13.072048611111116</v>
      </c>
      <c r="AZ63" s="472">
        <f t="shared" si="84"/>
        <v>10.864175347222224</v>
      </c>
      <c r="BA63" s="6">
        <f t="shared" si="30"/>
        <v>0.11247282869350735</v>
      </c>
      <c r="BB63" s="6">
        <f t="shared" si="85"/>
        <v>27.664775182738062</v>
      </c>
      <c r="BC63" s="6"/>
      <c r="BD63" s="179">
        <f t="shared" si="56"/>
        <v>0.2122394595651394</v>
      </c>
      <c r="BE63" s="179">
        <f t="shared" si="86"/>
        <v>0.85115206402945875</v>
      </c>
      <c r="BF63" s="179">
        <f t="shared" si="87"/>
        <v>0.85115206402945875</v>
      </c>
      <c r="BG63" s="179"/>
      <c r="BH63" s="546">
        <f t="shared" si="34"/>
        <v>1.5765955868775855E-2</v>
      </c>
      <c r="BI63" s="546">
        <f t="shared" si="35"/>
        <v>5.8347628055736844E-2</v>
      </c>
      <c r="BJ63" s="546">
        <f t="shared" si="36"/>
        <v>3.9864028631659771E-3</v>
      </c>
      <c r="BK63" s="546">
        <f t="shared" si="37"/>
        <v>2.519506269592477E-2</v>
      </c>
      <c r="BL63">
        <f t="shared" si="38"/>
        <v>6.96E-3</v>
      </c>
      <c r="BM63">
        <f t="shared" si="88"/>
        <v>0.11300076582860008</v>
      </c>
      <c r="BN63" s="472">
        <f t="shared" si="57"/>
        <v>113.00076582860008</v>
      </c>
      <c r="BO63" s="179">
        <f t="shared" si="89"/>
        <v>7.916999999999999E-2</v>
      </c>
      <c r="BP63" s="179">
        <f t="shared" si="90"/>
        <v>7.916999999999999E-2</v>
      </c>
      <c r="BQ63" s="546"/>
      <c r="BS63" s="472">
        <f t="shared" si="58"/>
        <v>158.33999999999997</v>
      </c>
      <c r="BT63" s="546">
        <f t="shared" si="42"/>
        <v>9.0091176393004898E-3</v>
      </c>
      <c r="BU63" s="546">
        <f t="shared" si="59"/>
        <v>2.8978393444064311E-2</v>
      </c>
      <c r="BV63" s="546">
        <f t="shared" si="91"/>
        <v>6.5201385249144705E-2</v>
      </c>
      <c r="BW63" s="546">
        <f t="shared" si="44"/>
        <v>2.6793659129047409E-2</v>
      </c>
      <c r="BX63" s="546">
        <f t="shared" si="92"/>
        <v>0.14355024634050903</v>
      </c>
      <c r="BY63" s="656">
        <f t="shared" si="93"/>
        <v>6.0054900276266684E-2</v>
      </c>
      <c r="BZ63" s="472">
        <f t="shared" si="60"/>
        <v>203.6051466167757</v>
      </c>
      <c r="CA63" s="179">
        <f t="shared" si="61"/>
        <v>0.47494591244537576</v>
      </c>
      <c r="CB63" s="6">
        <f t="shared" si="62"/>
        <v>2.9</v>
      </c>
      <c r="CC63" s="179">
        <f t="shared" si="63"/>
        <v>0.85927302991909427</v>
      </c>
      <c r="CD63" s="6">
        <f t="shared" si="64"/>
        <v>85.927302991909428</v>
      </c>
      <c r="CE63">
        <f t="shared" si="98"/>
        <v>57.999999999999993</v>
      </c>
      <c r="CG63" s="581">
        <f t="shared" si="94"/>
        <v>-50</v>
      </c>
      <c r="CH63">
        <f t="shared" si="95"/>
        <v>-50</v>
      </c>
    </row>
    <row r="64" spans="5:86" x14ac:dyDescent="0.2">
      <c r="E64" s="176">
        <v>59</v>
      </c>
      <c r="F64" s="223">
        <f t="shared" si="99"/>
        <v>0.29499999999999998</v>
      </c>
      <c r="G64" s="223">
        <f t="shared" si="96"/>
        <v>0.29499999999999998</v>
      </c>
      <c r="H64" s="223">
        <f t="shared" si="68"/>
        <v>1.4749999999999999</v>
      </c>
      <c r="I64" s="223">
        <f t="shared" si="100"/>
        <v>1.4749999999999999</v>
      </c>
      <c r="J64" s="559">
        <f t="shared" si="1"/>
        <v>24</v>
      </c>
      <c r="K64" s="454">
        <f t="shared" si="2"/>
        <v>15.75</v>
      </c>
      <c r="L64" s="454">
        <f t="shared" si="3"/>
        <v>39.75</v>
      </c>
      <c r="M64" s="454"/>
      <c r="N64" s="223">
        <f t="shared" si="4"/>
        <v>0.39622641509433965</v>
      </c>
      <c r="O64" s="178">
        <f t="shared" si="97"/>
        <v>1.6047169811320754</v>
      </c>
      <c r="P64" s="178">
        <f t="shared" si="69"/>
        <v>3.2094339622641508</v>
      </c>
      <c r="Q64" s="223">
        <f t="shared" si="6"/>
        <v>0.3209433962264151</v>
      </c>
      <c r="R64" s="223">
        <f t="shared" si="70"/>
        <v>0.3209433962264151</v>
      </c>
      <c r="S64" s="454">
        <f t="shared" si="71"/>
        <v>5</v>
      </c>
      <c r="T64" s="223">
        <f t="shared" si="72"/>
        <v>0.6893738977072309</v>
      </c>
      <c r="U64" s="223">
        <f t="shared" si="10"/>
        <v>1.2638521457965901</v>
      </c>
      <c r="V64" s="223">
        <f t="shared" si="11"/>
        <v>1.9258699364519465</v>
      </c>
      <c r="W64" s="203">
        <f t="shared" si="12"/>
        <v>350</v>
      </c>
      <c r="X64" s="454">
        <f t="shared" si="51"/>
        <v>313.50693703542606</v>
      </c>
      <c r="Z64" s="223">
        <f t="shared" si="13"/>
        <v>0.61749571183533458</v>
      </c>
      <c r="AA64" s="179">
        <f t="shared" si="14"/>
        <v>1.7250673854447443</v>
      </c>
      <c r="AB64" s="179">
        <f t="shared" si="73"/>
        <v>0.55924139939803896</v>
      </c>
      <c r="AC64" s="179"/>
      <c r="AD64" s="179">
        <f t="shared" si="16"/>
        <v>0.419047619047619</v>
      </c>
      <c r="AE64" s="563">
        <f t="shared" si="74"/>
        <v>3128.7878787878794</v>
      </c>
      <c r="AF64" s="546">
        <f t="shared" si="75"/>
        <v>3.2999999999999995E-2</v>
      </c>
      <c r="AH64" s="179">
        <f t="shared" si="76"/>
        <v>0.61896436336584282</v>
      </c>
      <c r="AI64" s="179">
        <f t="shared" si="77"/>
        <v>0.61896436336584282</v>
      </c>
      <c r="AJ64" s="179">
        <f t="shared" si="78"/>
        <v>1.5473810099006242</v>
      </c>
      <c r="AL64" s="563">
        <f t="shared" si="79"/>
        <v>295</v>
      </c>
      <c r="AM64" s="472">
        <f t="shared" si="80"/>
        <v>313.50693703542606</v>
      </c>
      <c r="AO64">
        <f t="shared" si="52"/>
        <v>295</v>
      </c>
      <c r="AP64">
        <f t="shared" si="24"/>
        <v>313.50693703542606</v>
      </c>
      <c r="AR64" s="6">
        <f t="shared" si="53"/>
        <v>3.1897220822485366</v>
      </c>
      <c r="AS64" s="6">
        <f t="shared" si="25"/>
        <v>1.1347679995040452</v>
      </c>
      <c r="AT64" s="6">
        <f t="shared" si="54"/>
        <v>2.0549540827444917</v>
      </c>
      <c r="AU64" s="179">
        <f t="shared" si="55"/>
        <v>0.35575763977033104</v>
      </c>
      <c r="AW64" s="6">
        <f t="shared" si="81"/>
        <v>13.072048611111116</v>
      </c>
      <c r="AX64" s="472">
        <f t="shared" si="82"/>
        <v>5.7258299165189133</v>
      </c>
      <c r="AY64" s="6">
        <f t="shared" si="83"/>
        <v>13.072048611111116</v>
      </c>
      <c r="AZ64" s="472">
        <f t="shared" si="84"/>
        <v>11.226773003472223</v>
      </c>
      <c r="BA64" s="6">
        <f t="shared" si="30"/>
        <v>0.11693893796481959</v>
      </c>
      <c r="BB64" s="6">
        <f t="shared" si="85"/>
        <v>28.74821548192709</v>
      </c>
      <c r="BC64" s="6"/>
      <c r="BD64" s="179">
        <f t="shared" si="56"/>
        <v>0.21314842879538826</v>
      </c>
      <c r="BE64" s="179">
        <f t="shared" si="86"/>
        <v>0.86050007267237627</v>
      </c>
      <c r="BF64" s="179">
        <f t="shared" si="87"/>
        <v>0.86050007267237627</v>
      </c>
      <c r="BG64" s="179"/>
      <c r="BH64" s="546">
        <f t="shared" si="34"/>
        <v>1.5901288444279942E-2</v>
      </c>
      <c r="BI64" s="546">
        <f t="shared" si="35"/>
        <v>5.7851043467198153E-2</v>
      </c>
      <c r="BJ64" s="546">
        <f t="shared" si="36"/>
        <v>3.9188367129428256E-3</v>
      </c>
      <c r="BK64" s="546">
        <f t="shared" si="37"/>
        <v>2.4768027734976893E-2</v>
      </c>
      <c r="BL64">
        <f t="shared" si="38"/>
        <v>6.96E-3</v>
      </c>
      <c r="BM64">
        <f t="shared" si="88"/>
        <v>0.11216387039383476</v>
      </c>
      <c r="BN64" s="472">
        <f t="shared" si="57"/>
        <v>112.16387039383476</v>
      </c>
      <c r="BO64" s="179">
        <f t="shared" si="89"/>
        <v>8.0534999999999995E-2</v>
      </c>
      <c r="BP64" s="179">
        <f t="shared" si="90"/>
        <v>8.0534999999999995E-2</v>
      </c>
      <c r="BQ64" s="546"/>
      <c r="BS64" s="472">
        <f t="shared" si="58"/>
        <v>161.07</v>
      </c>
      <c r="BT64" s="546">
        <f t="shared" si="42"/>
        <v>9.0864505395885399E-3</v>
      </c>
      <c r="BU64" s="546">
        <f t="shared" si="59"/>
        <v>2.9618415002766595E-2</v>
      </c>
      <c r="BV64" s="546">
        <f t="shared" si="91"/>
        <v>6.6641433756224833E-2</v>
      </c>
      <c r="BW64" s="546">
        <f t="shared" si="44"/>
        <v>2.6227204667886601E-2</v>
      </c>
      <c r="BX64" s="546">
        <f t="shared" si="92"/>
        <v>0.14544079181709507</v>
      </c>
      <c r="BY64" s="656">
        <f t="shared" si="93"/>
        <v>6.0054900276266684E-2</v>
      </c>
      <c r="BZ64" s="472">
        <f t="shared" si="60"/>
        <v>205.49569209336178</v>
      </c>
      <c r="CA64" s="179">
        <f t="shared" si="61"/>
        <v>0.4787295624871965</v>
      </c>
      <c r="CB64" s="6">
        <f t="shared" si="62"/>
        <v>2.9499999999999997</v>
      </c>
      <c r="CC64" s="179">
        <f t="shared" si="63"/>
        <v>0.86037698402205665</v>
      </c>
      <c r="CD64" s="6">
        <f t="shared" si="64"/>
        <v>86.037698402205663</v>
      </c>
      <c r="CE64">
        <f t="shared" si="98"/>
        <v>59</v>
      </c>
      <c r="CG64" s="581">
        <f t="shared" si="94"/>
        <v>-50</v>
      </c>
      <c r="CH64">
        <f t="shared" si="95"/>
        <v>-50</v>
      </c>
    </row>
    <row r="65" spans="5:86" x14ac:dyDescent="0.2">
      <c r="E65" s="176">
        <v>60</v>
      </c>
      <c r="F65" s="223">
        <f t="shared" si="99"/>
        <v>0.3</v>
      </c>
      <c r="G65" s="223">
        <f t="shared" si="96"/>
        <v>0.3</v>
      </c>
      <c r="H65" s="223">
        <f t="shared" si="68"/>
        <v>1.5</v>
      </c>
      <c r="I65" s="223">
        <f t="shared" si="100"/>
        <v>1.5</v>
      </c>
      <c r="J65" s="559">
        <f t="shared" si="1"/>
        <v>24</v>
      </c>
      <c r="K65" s="454">
        <f t="shared" si="2"/>
        <v>15.75</v>
      </c>
      <c r="L65" s="454">
        <f t="shared" si="3"/>
        <v>39.75</v>
      </c>
      <c r="M65" s="454"/>
      <c r="N65" s="223">
        <f t="shared" si="4"/>
        <v>0.39622641509433965</v>
      </c>
      <c r="O65" s="178">
        <f t="shared" si="97"/>
        <v>1.6047169811320754</v>
      </c>
      <c r="P65" s="178">
        <f t="shared" si="69"/>
        <v>3.2094339622641508</v>
      </c>
      <c r="Q65" s="223">
        <f t="shared" si="6"/>
        <v>0.3209433962264151</v>
      </c>
      <c r="R65" s="223">
        <f t="shared" si="70"/>
        <v>0.3209433962264151</v>
      </c>
      <c r="S65" s="454">
        <f t="shared" si="71"/>
        <v>5</v>
      </c>
      <c r="T65" s="223">
        <f t="shared" si="72"/>
        <v>0.70105820105820105</v>
      </c>
      <c r="U65" s="223">
        <f t="shared" si="10"/>
        <v>1.2852733686067019</v>
      </c>
      <c r="V65" s="223">
        <f t="shared" si="11"/>
        <v>1.9585117997816408</v>
      </c>
      <c r="W65" s="203">
        <f t="shared" si="12"/>
        <v>350</v>
      </c>
      <c r="X65" s="454">
        <f t="shared" si="51"/>
        <v>308.28182141816887</v>
      </c>
      <c r="Z65" s="223">
        <f t="shared" si="13"/>
        <v>0.61749571183533458</v>
      </c>
      <c r="AA65" s="179">
        <f t="shared" si="14"/>
        <v>1.7250673854447443</v>
      </c>
      <c r="AB65" s="179">
        <f t="shared" si="73"/>
        <v>0.55924139939803896</v>
      </c>
      <c r="AC65" s="179"/>
      <c r="AD65" s="179">
        <f t="shared" si="16"/>
        <v>0.419047619047619</v>
      </c>
      <c r="AE65" s="563">
        <f t="shared" si="74"/>
        <v>3181.818181818182</v>
      </c>
      <c r="AF65" s="546">
        <f t="shared" si="75"/>
        <v>3.2999999999999995E-2</v>
      </c>
      <c r="AH65" s="179">
        <f t="shared" si="76"/>
        <v>0.6241877839323593</v>
      </c>
      <c r="AI65" s="179">
        <f t="shared" si="77"/>
        <v>0.6241877839323593</v>
      </c>
      <c r="AJ65" s="179">
        <f t="shared" si="78"/>
        <v>1.5512502103202661</v>
      </c>
      <c r="AL65" s="563">
        <f t="shared" si="79"/>
        <v>300</v>
      </c>
      <c r="AM65" s="472">
        <f t="shared" si="80"/>
        <v>308.28182141816887</v>
      </c>
      <c r="AO65">
        <f t="shared" si="52"/>
        <v>300</v>
      </c>
      <c r="AP65">
        <f t="shared" si="24"/>
        <v>308.28182141816887</v>
      </c>
      <c r="AR65" s="6">
        <f t="shared" si="53"/>
        <v>3.2437851683883432</v>
      </c>
      <c r="AS65" s="6">
        <f t="shared" si="25"/>
        <v>1.1443442705426587</v>
      </c>
      <c r="AT65" s="6">
        <f t="shared" si="54"/>
        <v>2.0994408978456844</v>
      </c>
      <c r="AU65" s="179">
        <f t="shared" si="55"/>
        <v>0.35278053605233661</v>
      </c>
      <c r="AW65" s="6">
        <f t="shared" si="81"/>
        <v>13.072048611111116</v>
      </c>
      <c r="AX65" s="472">
        <f t="shared" si="82"/>
        <v>5.9063164893617035</v>
      </c>
      <c r="AY65" s="6">
        <f t="shared" si="83"/>
        <v>13.072048611111116</v>
      </c>
      <c r="AZ65" s="472">
        <f t="shared" si="84"/>
        <v>11.595312500000002</v>
      </c>
      <c r="BA65" s="6">
        <f t="shared" si="30"/>
        <v>0.12149542232903264</v>
      </c>
      <c r="BB65" s="6">
        <f t="shared" si="85"/>
        <v>29.853345803412289</v>
      </c>
      <c r="BC65" s="6"/>
      <c r="BD65" s="179">
        <f t="shared" si="56"/>
        <v>0.21404591571149167</v>
      </c>
      <c r="BE65" s="179">
        <f t="shared" si="86"/>
        <v>0.86976449831907365</v>
      </c>
      <c r="BF65" s="179">
        <f t="shared" si="87"/>
        <v>0.86976449831907365</v>
      </c>
      <c r="BG65" s="179"/>
      <c r="BH65" s="546">
        <f t="shared" si="34"/>
        <v>1.603547891146985E-2</v>
      </c>
      <c r="BI65" s="546">
        <f t="shared" si="35"/>
        <v>5.736692580578337E-2</v>
      </c>
      <c r="BJ65" s="546">
        <f t="shared" si="36"/>
        <v>3.8535227677271105E-3</v>
      </c>
      <c r="BK65" s="546">
        <f t="shared" si="37"/>
        <v>2.4355227272727271E-2</v>
      </c>
      <c r="BL65">
        <f t="shared" si="38"/>
        <v>6.96E-3</v>
      </c>
      <c r="BM65">
        <f t="shared" si="88"/>
        <v>0.11135466359793313</v>
      </c>
      <c r="BN65" s="472">
        <f t="shared" si="57"/>
        <v>111.35466359793313</v>
      </c>
      <c r="BO65" s="179">
        <f t="shared" si="89"/>
        <v>8.1900000000000001E-2</v>
      </c>
      <c r="BP65" s="179">
        <f t="shared" si="90"/>
        <v>8.1900000000000001E-2</v>
      </c>
      <c r="BQ65" s="546"/>
      <c r="BS65" s="472">
        <f t="shared" si="58"/>
        <v>163.80000000000001</v>
      </c>
      <c r="BT65" s="546">
        <f t="shared" si="42"/>
        <v>9.1631308065542004E-3</v>
      </c>
      <c r="BU65" s="546">
        <f t="shared" si="59"/>
        <v>3.0259611301449194E-2</v>
      </c>
      <c r="BV65" s="546">
        <f t="shared" si="91"/>
        <v>6.8084125428260686E-2</v>
      </c>
      <c r="BW65" s="546">
        <f t="shared" si="44"/>
        <v>2.5681947682136507E-2</v>
      </c>
      <c r="BX65" s="546">
        <f t="shared" si="92"/>
        <v>0.14735699039853775</v>
      </c>
      <c r="BY65" s="656">
        <f t="shared" si="93"/>
        <v>6.0054900276266678E-2</v>
      </c>
      <c r="BZ65" s="472">
        <f t="shared" si="60"/>
        <v>207.41189067480443</v>
      </c>
      <c r="CA65" s="179">
        <f t="shared" si="61"/>
        <v>0.48256655427273765</v>
      </c>
      <c r="CB65" s="6">
        <f t="shared" si="62"/>
        <v>3</v>
      </c>
      <c r="CC65" s="179">
        <f t="shared" si="63"/>
        <v>0.86143364476963691</v>
      </c>
      <c r="CD65" s="6">
        <f t="shared" si="64"/>
        <v>86.143364476963697</v>
      </c>
      <c r="CE65">
        <f t="shared" si="98"/>
        <v>60</v>
      </c>
      <c r="CG65" s="581">
        <f t="shared" si="94"/>
        <v>-50</v>
      </c>
      <c r="CH65">
        <f t="shared" si="95"/>
        <v>-50</v>
      </c>
    </row>
    <row r="66" spans="5:86" x14ac:dyDescent="0.2">
      <c r="E66" s="176">
        <v>61</v>
      </c>
      <c r="F66" s="223">
        <f t="shared" si="99"/>
        <v>0.30499999999999999</v>
      </c>
      <c r="G66" s="223">
        <f t="shared" si="96"/>
        <v>0.30499999999999999</v>
      </c>
      <c r="H66" s="223">
        <f t="shared" si="68"/>
        <v>1.5249999999999999</v>
      </c>
      <c r="I66" s="223">
        <f t="shared" si="100"/>
        <v>1.5249999999999999</v>
      </c>
      <c r="J66" s="559">
        <f t="shared" si="1"/>
        <v>24</v>
      </c>
      <c r="K66" s="454">
        <f t="shared" si="2"/>
        <v>15.75</v>
      </c>
      <c r="L66" s="454">
        <f t="shared" si="3"/>
        <v>39.75</v>
      </c>
      <c r="M66" s="454"/>
      <c r="N66" s="223">
        <f t="shared" si="4"/>
        <v>0.39622641509433965</v>
      </c>
      <c r="O66" s="178">
        <f t="shared" si="97"/>
        <v>1.6047169811320754</v>
      </c>
      <c r="P66" s="178">
        <f t="shared" si="69"/>
        <v>3.2094339622641508</v>
      </c>
      <c r="Q66" s="223">
        <f t="shared" si="6"/>
        <v>0.3209433962264151</v>
      </c>
      <c r="R66" s="223">
        <f t="shared" si="70"/>
        <v>0.3209433962264151</v>
      </c>
      <c r="S66" s="454">
        <f t="shared" si="71"/>
        <v>5</v>
      </c>
      <c r="T66" s="223">
        <f t="shared" si="72"/>
        <v>0.71274250440917097</v>
      </c>
      <c r="U66" s="223">
        <f t="shared" si="10"/>
        <v>1.3066945914168133</v>
      </c>
      <c r="V66" s="223">
        <f t="shared" si="11"/>
        <v>1.9911536631113347</v>
      </c>
      <c r="W66" s="203">
        <f t="shared" si="12"/>
        <v>350</v>
      </c>
      <c r="X66" s="454">
        <f t="shared" si="51"/>
        <v>303.22802106705143</v>
      </c>
      <c r="Z66" s="223">
        <f t="shared" si="13"/>
        <v>0.61749571183533458</v>
      </c>
      <c r="AA66" s="179">
        <f t="shared" si="14"/>
        <v>1.7250673854447443</v>
      </c>
      <c r="AB66" s="179">
        <f t="shared" si="73"/>
        <v>0.55924139939803896</v>
      </c>
      <c r="AC66" s="179"/>
      <c r="AD66" s="179">
        <f t="shared" si="16"/>
        <v>0.419047619047619</v>
      </c>
      <c r="AE66" s="563">
        <f t="shared" si="74"/>
        <v>3234.8484848484854</v>
      </c>
      <c r="AF66" s="546">
        <f t="shared" si="75"/>
        <v>3.2999999999999995E-2</v>
      </c>
      <c r="AH66" s="179">
        <f t="shared" si="76"/>
        <v>0.62936785436173659</v>
      </c>
      <c r="AI66" s="179">
        <f t="shared" si="77"/>
        <v>0.62936785436173659</v>
      </c>
      <c r="AJ66" s="179">
        <f t="shared" si="78"/>
        <v>1.5550872995272123</v>
      </c>
      <c r="AL66" s="563">
        <f t="shared" si="79"/>
        <v>305</v>
      </c>
      <c r="AM66" s="472">
        <f t="shared" si="80"/>
        <v>303.22802106705143</v>
      </c>
      <c r="AO66">
        <f t="shared" si="52"/>
        <v>305</v>
      </c>
      <c r="AP66">
        <f t="shared" si="24"/>
        <v>303.22802106705143</v>
      </c>
      <c r="AR66" s="6">
        <f t="shared" si="53"/>
        <v>3.297848254528148</v>
      </c>
      <c r="AS66" s="6">
        <f t="shared" si="25"/>
        <v>1.1538410663298504</v>
      </c>
      <c r="AT66" s="6">
        <f t="shared" si="54"/>
        <v>2.1440071881982976</v>
      </c>
      <c r="AU66" s="179">
        <f t="shared" si="55"/>
        <v>0.34987694316909695</v>
      </c>
      <c r="AW66" s="6">
        <f t="shared" si="81"/>
        <v>13.072048611111116</v>
      </c>
      <c r="AX66" s="472">
        <f t="shared" si="82"/>
        <v>6.0895843491430277</v>
      </c>
      <c r="AY66" s="6">
        <f t="shared" si="83"/>
        <v>13.072048611111116</v>
      </c>
      <c r="AZ66" s="472">
        <f t="shared" si="84"/>
        <v>11.969793836805557</v>
      </c>
      <c r="BA66" s="6">
        <f t="shared" si="30"/>
        <v>0.12614239822540135</v>
      </c>
      <c r="BB66" s="6">
        <f t="shared" si="85"/>
        <v>30.980194092614848</v>
      </c>
      <c r="BC66" s="6"/>
      <c r="BD66" s="179">
        <f t="shared" si="56"/>
        <v>0.21493225316069614</v>
      </c>
      <c r="BE66" s="179">
        <f t="shared" si="86"/>
        <v>0.87894756798860652</v>
      </c>
      <c r="BF66" s="179">
        <f t="shared" si="87"/>
        <v>0.87894756798860652</v>
      </c>
      <c r="BG66" s="179"/>
      <c r="BH66" s="546">
        <f t="shared" si="34"/>
        <v>1.6168555707056751E-2</v>
      </c>
      <c r="BI66" s="546">
        <f t="shared" si="35"/>
        <v>5.6894762008520193E-2</v>
      </c>
      <c r="BJ66" s="546">
        <f t="shared" si="36"/>
        <v>3.7903502633381426E-3</v>
      </c>
      <c r="BK66" s="546">
        <f t="shared" si="37"/>
        <v>2.3955961251862896E-2</v>
      </c>
      <c r="BL66">
        <f t="shared" si="38"/>
        <v>6.96E-3</v>
      </c>
      <c r="BM66">
        <f t="shared" si="88"/>
        <v>0.1105718525010604</v>
      </c>
      <c r="BN66" s="472">
        <f t="shared" si="57"/>
        <v>110.57185250106041</v>
      </c>
      <c r="BO66" s="179">
        <f t="shared" si="89"/>
        <v>8.3265000000000006E-2</v>
      </c>
      <c r="BP66" s="179">
        <f t="shared" si="90"/>
        <v>8.3265000000000006E-2</v>
      </c>
      <c r="BQ66" s="546"/>
      <c r="BS66" s="472">
        <f t="shared" si="58"/>
        <v>166.53</v>
      </c>
      <c r="BT66" s="546">
        <f t="shared" si="42"/>
        <v>9.2391746897467156E-3</v>
      </c>
      <c r="BU66" s="546">
        <f t="shared" si="59"/>
        <v>3.0901953090923442E-2</v>
      </c>
      <c r="BV66" s="546">
        <f t="shared" si="91"/>
        <v>6.9529394454577745E-2</v>
      </c>
      <c r="BW66" s="546">
        <f t="shared" si="44"/>
        <v>2.5156761135108442E-2</v>
      </c>
      <c r="BX66" s="546">
        <f t="shared" si="92"/>
        <v>0.14929762996230214</v>
      </c>
      <c r="BY66" s="656">
        <f t="shared" si="93"/>
        <v>6.0054900276266678E-2</v>
      </c>
      <c r="BZ66" s="472">
        <f t="shared" si="60"/>
        <v>209.35253023856882</v>
      </c>
      <c r="CA66" s="179">
        <f t="shared" si="61"/>
        <v>0.48645438273962927</v>
      </c>
      <c r="CB66" s="6">
        <f t="shared" si="62"/>
        <v>3.05</v>
      </c>
      <c r="CC66" s="179">
        <f t="shared" si="63"/>
        <v>0.86244573516517931</v>
      </c>
      <c r="CD66" s="6">
        <f t="shared" si="64"/>
        <v>86.244573516517931</v>
      </c>
      <c r="CE66">
        <f t="shared" si="98"/>
        <v>61</v>
      </c>
      <c r="CG66" s="581">
        <f t="shared" si="94"/>
        <v>-50</v>
      </c>
      <c r="CH66">
        <f t="shared" si="95"/>
        <v>-50</v>
      </c>
    </row>
    <row r="67" spans="5:86" x14ac:dyDescent="0.2">
      <c r="E67" s="176">
        <v>62</v>
      </c>
      <c r="F67" s="223">
        <f t="shared" si="99"/>
        <v>0.31</v>
      </c>
      <c r="G67" s="223">
        <f t="shared" si="96"/>
        <v>0.31</v>
      </c>
      <c r="H67" s="223">
        <f t="shared" si="68"/>
        <v>1.55</v>
      </c>
      <c r="I67" s="223">
        <f t="shared" si="100"/>
        <v>1.55</v>
      </c>
      <c r="J67" s="559">
        <f t="shared" si="1"/>
        <v>24</v>
      </c>
      <c r="K67" s="454">
        <f t="shared" si="2"/>
        <v>15.75</v>
      </c>
      <c r="L67" s="454">
        <f t="shared" si="3"/>
        <v>39.75</v>
      </c>
      <c r="M67" s="454"/>
      <c r="N67" s="223">
        <f t="shared" si="4"/>
        <v>0.39622641509433965</v>
      </c>
      <c r="O67" s="178">
        <f t="shared" si="97"/>
        <v>1.6047169811320754</v>
      </c>
      <c r="P67" s="178">
        <f t="shared" si="69"/>
        <v>3.2094339622641508</v>
      </c>
      <c r="Q67" s="223">
        <f t="shared" si="6"/>
        <v>0.3209433962264151</v>
      </c>
      <c r="R67" s="223">
        <f t="shared" si="70"/>
        <v>0.3209433962264151</v>
      </c>
      <c r="S67" s="454">
        <f t="shared" si="71"/>
        <v>5</v>
      </c>
      <c r="T67" s="223">
        <f t="shared" si="72"/>
        <v>0.72442680776014101</v>
      </c>
      <c r="U67" s="223">
        <f t="shared" si="10"/>
        <v>1.3281158142269252</v>
      </c>
      <c r="V67" s="223">
        <f t="shared" si="11"/>
        <v>2.0237955264410288</v>
      </c>
      <c r="W67" s="203">
        <f t="shared" si="12"/>
        <v>350</v>
      </c>
      <c r="X67" s="454">
        <f t="shared" si="51"/>
        <v>298.33724653371183</v>
      </c>
      <c r="Z67" s="223">
        <f t="shared" si="13"/>
        <v>0.61749571183533458</v>
      </c>
      <c r="AA67" s="179">
        <f t="shared" si="14"/>
        <v>1.7250673854447443</v>
      </c>
      <c r="AB67" s="179">
        <f t="shared" si="73"/>
        <v>0.55924139939803896</v>
      </c>
      <c r="AC67" s="179"/>
      <c r="AD67" s="179">
        <f t="shared" si="16"/>
        <v>0.419047619047619</v>
      </c>
      <c r="AE67" s="563">
        <f t="shared" si="74"/>
        <v>3287.8787878787889</v>
      </c>
      <c r="AF67" s="546">
        <f t="shared" si="75"/>
        <v>3.2999999999999995E-2</v>
      </c>
      <c r="AH67" s="179">
        <f t="shared" si="76"/>
        <v>0.63450563637953805</v>
      </c>
      <c r="AI67" s="179">
        <f t="shared" si="77"/>
        <v>0.63450563637953805</v>
      </c>
      <c r="AJ67" s="179">
        <f t="shared" si="78"/>
        <v>1.5588930639848431</v>
      </c>
      <c r="AL67" s="563">
        <f t="shared" si="79"/>
        <v>310</v>
      </c>
      <c r="AM67" s="472">
        <f t="shared" si="80"/>
        <v>298.33724653371183</v>
      </c>
      <c r="AO67">
        <f t="shared" si="52"/>
        <v>310</v>
      </c>
      <c r="AP67">
        <f t="shared" si="24"/>
        <v>298.33724653371183</v>
      </c>
      <c r="AR67" s="6">
        <f t="shared" si="53"/>
        <v>3.3519113406679542</v>
      </c>
      <c r="AS67" s="6">
        <f t="shared" si="25"/>
        <v>1.1632603333624865</v>
      </c>
      <c r="AT67" s="6">
        <f t="shared" si="54"/>
        <v>2.1886510073054675</v>
      </c>
      <c r="AU67" s="179">
        <f t="shared" si="55"/>
        <v>0.34704388485725196</v>
      </c>
      <c r="AW67" s="6">
        <f t="shared" si="81"/>
        <v>13.072048611111116</v>
      </c>
      <c r="AX67" s="472">
        <f t="shared" si="82"/>
        <v>6.275633495862885</v>
      </c>
      <c r="AY67" s="6">
        <f t="shared" si="83"/>
        <v>13.072048611111116</v>
      </c>
      <c r="AZ67" s="472">
        <f t="shared" si="84"/>
        <v>12.350217013888894</v>
      </c>
      <c r="BA67" s="6">
        <f t="shared" si="30"/>
        <v>0.13087997921772662</v>
      </c>
      <c r="BB67" s="6">
        <f t="shared" si="85"/>
        <v>32.128787604846984</v>
      </c>
      <c r="BC67" s="6"/>
      <c r="BD67" s="179">
        <f t="shared" si="56"/>
        <v>0.21580775907493974</v>
      </c>
      <c r="BE67" s="179">
        <f t="shared" si="86"/>
        <v>0.8880514106174725</v>
      </c>
      <c r="BF67" s="179">
        <f t="shared" si="87"/>
        <v>0.8880514106174725</v>
      </c>
      <c r="BG67" s="179"/>
      <c r="BH67" s="546">
        <f t="shared" si="34"/>
        <v>1.6300546106931532E-2</v>
      </c>
      <c r="BI67" s="546">
        <f t="shared" si="35"/>
        <v>5.6434068094400845E-2</v>
      </c>
      <c r="BJ67" s="546">
        <f t="shared" si="36"/>
        <v>3.7292155816713974E-3</v>
      </c>
      <c r="BK67" s="546">
        <f t="shared" si="37"/>
        <v>2.3569574780058652E-2</v>
      </c>
      <c r="BL67">
        <f t="shared" si="38"/>
        <v>6.96E-3</v>
      </c>
      <c r="BM67">
        <f t="shared" si="88"/>
        <v>0.10981422431543264</v>
      </c>
      <c r="BN67" s="472">
        <f t="shared" si="57"/>
        <v>109.81422431543264</v>
      </c>
      <c r="BO67" s="179">
        <f t="shared" si="89"/>
        <v>8.4629999999999997E-2</v>
      </c>
      <c r="BP67" s="179">
        <f t="shared" si="90"/>
        <v>8.4629999999999997E-2</v>
      </c>
      <c r="BQ67" s="546"/>
      <c r="BS67" s="472">
        <f t="shared" si="58"/>
        <v>169.26</v>
      </c>
      <c r="BT67" s="546">
        <f t="shared" si="42"/>
        <v>9.3145977753894462E-3</v>
      </c>
      <c r="BU67" s="546">
        <f t="shared" si="59"/>
        <v>3.1545412315987308E-2</v>
      </c>
      <c r="BV67" s="546">
        <f t="shared" si="91"/>
        <v>7.0977177710971437E-2</v>
      </c>
      <c r="BW67" s="546">
        <f t="shared" si="44"/>
        <v>2.4650595088952277E-2</v>
      </c>
      <c r="BX67" s="546">
        <f t="shared" si="92"/>
        <v>0.15126157899698753</v>
      </c>
      <c r="BY67" s="656">
        <f t="shared" si="93"/>
        <v>6.0054900276266671E-2</v>
      </c>
      <c r="BZ67" s="472">
        <f t="shared" si="60"/>
        <v>211.3164792732542</v>
      </c>
      <c r="CA67" s="179">
        <f t="shared" si="61"/>
        <v>0.49039070358868686</v>
      </c>
      <c r="CB67" s="6">
        <f t="shared" si="62"/>
        <v>3.1</v>
      </c>
      <c r="CC67" s="179">
        <f t="shared" si="63"/>
        <v>0.86341578282872422</v>
      </c>
      <c r="CD67" s="6">
        <f t="shared" si="64"/>
        <v>86.341578282872419</v>
      </c>
      <c r="CE67">
        <f t="shared" si="98"/>
        <v>62</v>
      </c>
      <c r="CG67" s="581">
        <f t="shared" si="94"/>
        <v>-50</v>
      </c>
      <c r="CH67">
        <f t="shared" si="95"/>
        <v>-50</v>
      </c>
    </row>
    <row r="68" spans="5:86" x14ac:dyDescent="0.2">
      <c r="E68" s="176">
        <v>63</v>
      </c>
      <c r="F68" s="223">
        <f t="shared" si="99"/>
        <v>0.315</v>
      </c>
      <c r="G68" s="223">
        <f t="shared" si="96"/>
        <v>0.315</v>
      </c>
      <c r="H68" s="223">
        <f t="shared" si="68"/>
        <v>1.575</v>
      </c>
      <c r="I68" s="223">
        <f t="shared" si="100"/>
        <v>1.575</v>
      </c>
      <c r="J68" s="559">
        <f t="shared" si="1"/>
        <v>24</v>
      </c>
      <c r="K68" s="454">
        <f t="shared" si="2"/>
        <v>15.75</v>
      </c>
      <c r="L68" s="454">
        <f t="shared" si="3"/>
        <v>39.75</v>
      </c>
      <c r="M68" s="454"/>
      <c r="N68" s="223">
        <f t="shared" si="4"/>
        <v>0.39622641509433965</v>
      </c>
      <c r="O68" s="178">
        <f t="shared" si="97"/>
        <v>1.6047169811320754</v>
      </c>
      <c r="P68" s="178">
        <f t="shared" si="69"/>
        <v>3.2094339622641508</v>
      </c>
      <c r="Q68" s="223">
        <f t="shared" si="6"/>
        <v>0.3209433962264151</v>
      </c>
      <c r="R68" s="223">
        <f t="shared" si="70"/>
        <v>0.3209433962264151</v>
      </c>
      <c r="S68" s="454">
        <f t="shared" si="71"/>
        <v>5</v>
      </c>
      <c r="T68" s="223">
        <f t="shared" si="72"/>
        <v>0.73611111111111105</v>
      </c>
      <c r="U68" s="223">
        <f t="shared" si="10"/>
        <v>1.3495370370370372</v>
      </c>
      <c r="V68" s="223">
        <f t="shared" si="11"/>
        <v>2.0564373897707231</v>
      </c>
      <c r="W68" s="203">
        <f t="shared" si="12"/>
        <v>350</v>
      </c>
      <c r="X68" s="454">
        <f t="shared" si="51"/>
        <v>293.60173468397034</v>
      </c>
      <c r="Z68" s="223">
        <f t="shared" si="13"/>
        <v>0.61749571183533458</v>
      </c>
      <c r="AA68" s="179">
        <f t="shared" si="14"/>
        <v>1.7250673854447443</v>
      </c>
      <c r="AB68" s="179">
        <f t="shared" si="73"/>
        <v>0.55924139939803896</v>
      </c>
      <c r="AC68" s="179"/>
      <c r="AD68" s="179">
        <f t="shared" si="16"/>
        <v>0.419047619047619</v>
      </c>
      <c r="AE68" s="563">
        <f t="shared" si="74"/>
        <v>3340.9090909090919</v>
      </c>
      <c r="AF68" s="546">
        <f t="shared" si="75"/>
        <v>3.2999999999999995E-2</v>
      </c>
      <c r="AH68" s="179">
        <f t="shared" si="76"/>
        <v>0.63960214906683133</v>
      </c>
      <c r="AI68" s="179">
        <f t="shared" si="77"/>
        <v>0.63960214906683133</v>
      </c>
      <c r="AJ68" s="179">
        <f t="shared" si="78"/>
        <v>1.5626682585680232</v>
      </c>
      <c r="AL68" s="563">
        <f t="shared" si="79"/>
        <v>315</v>
      </c>
      <c r="AM68" s="472">
        <f t="shared" si="80"/>
        <v>293.60173468397034</v>
      </c>
      <c r="AO68">
        <f t="shared" si="52"/>
        <v>315</v>
      </c>
      <c r="AP68">
        <f t="shared" si="24"/>
        <v>293.60173468397034</v>
      </c>
      <c r="AR68" s="6">
        <f t="shared" si="53"/>
        <v>3.4059744268077607</v>
      </c>
      <c r="AS68" s="6">
        <f t="shared" si="25"/>
        <v>1.1726039399558574</v>
      </c>
      <c r="AT68" s="6">
        <f t="shared" si="54"/>
        <v>2.2333704868519035</v>
      </c>
      <c r="AU68" s="179">
        <f t="shared" si="55"/>
        <v>0.34427855086829789</v>
      </c>
      <c r="AW68" s="6">
        <f t="shared" si="81"/>
        <v>13.072048611111116</v>
      </c>
      <c r="AX68" s="472">
        <f t="shared" si="82"/>
        <v>6.464463929521278</v>
      </c>
      <c r="AY68" s="6">
        <f t="shared" si="83"/>
        <v>13.072048611111116</v>
      </c>
      <c r="AZ68" s="472">
        <f t="shared" si="84"/>
        <v>12.736582031250004</v>
      </c>
      <c r="BA68" s="6">
        <f t="shared" si="30"/>
        <v>0.13570827611079272</v>
      </c>
      <c r="BB68" s="6">
        <f t="shared" si="85"/>
        <v>33.299152933256927</v>
      </c>
      <c r="BC68" s="6"/>
      <c r="BD68" s="179">
        <f t="shared" si="56"/>
        <v>0.21667273736768147</v>
      </c>
      <c r="BE68" s="179">
        <f t="shared" si="86"/>
        <v>0.89707806305086346</v>
      </c>
      <c r="BF68" s="179">
        <f t="shared" si="87"/>
        <v>0.89707806305086346</v>
      </c>
      <c r="BG68" s="179"/>
      <c r="BH68" s="546">
        <f t="shared" si="34"/>
        <v>1.6431476291441493E-2</v>
      </c>
      <c r="BI68" s="546">
        <f t="shared" si="35"/>
        <v>5.598438707869708E-2</v>
      </c>
      <c r="BJ68" s="546">
        <f t="shared" si="36"/>
        <v>3.6700216835496291E-3</v>
      </c>
      <c r="BK68" s="546">
        <f t="shared" si="37"/>
        <v>2.3195454545454543E-2</v>
      </c>
      <c r="BL68">
        <f t="shared" si="38"/>
        <v>6.96E-3</v>
      </c>
      <c r="BM68">
        <f t="shared" si="88"/>
        <v>0.10908064023651422</v>
      </c>
      <c r="BN68" s="472">
        <f t="shared" si="57"/>
        <v>109.08064023651421</v>
      </c>
      <c r="BO68" s="179">
        <f t="shared" si="89"/>
        <v>8.5995000000000002E-2</v>
      </c>
      <c r="BP68" s="179">
        <f t="shared" si="90"/>
        <v>8.5995000000000002E-2</v>
      </c>
      <c r="BQ68" s="546"/>
      <c r="BS68" s="472">
        <f t="shared" si="58"/>
        <v>171.99</v>
      </c>
      <c r="BT68" s="546">
        <f t="shared" si="42"/>
        <v>9.3894150236808541E-3</v>
      </c>
      <c r="BU68" s="546">
        <f t="shared" si="59"/>
        <v>3.218996204828356E-2</v>
      </c>
      <c r="BV68" s="546">
        <f t="shared" si="91"/>
        <v>7.2427414608637997E-2</v>
      </c>
      <c r="BW68" s="546">
        <f t="shared" si="44"/>
        <v>2.4162470292694305E-2</v>
      </c>
      <c r="BX68" s="546">
        <f t="shared" si="92"/>
        <v>0.15324777999330597</v>
      </c>
      <c r="BY68" s="656">
        <f t="shared" si="93"/>
        <v>6.0054900276266671E-2</v>
      </c>
      <c r="BZ68" s="472">
        <f t="shared" si="60"/>
        <v>213.30268026957265</v>
      </c>
      <c r="CA68" s="179">
        <f t="shared" si="61"/>
        <v>0.49437332050608684</v>
      </c>
      <c r="CB68" s="6">
        <f t="shared" si="62"/>
        <v>3.15</v>
      </c>
      <c r="CC68" s="179">
        <f t="shared" si="63"/>
        <v>0.86434613662536797</v>
      </c>
      <c r="CD68" s="6">
        <f t="shared" si="64"/>
        <v>86.43461366253679</v>
      </c>
      <c r="CE68">
        <f t="shared" si="98"/>
        <v>63</v>
      </c>
      <c r="CG68" s="581">
        <f t="shared" si="94"/>
        <v>-50</v>
      </c>
      <c r="CH68">
        <f t="shared" si="95"/>
        <v>-50</v>
      </c>
    </row>
    <row r="69" spans="5:86" x14ac:dyDescent="0.2">
      <c r="E69" s="176">
        <v>64</v>
      </c>
      <c r="F69" s="223">
        <f t="shared" si="99"/>
        <v>0.32</v>
      </c>
      <c r="G69" s="223">
        <f t="shared" si="96"/>
        <v>0.32</v>
      </c>
      <c r="H69" s="223">
        <f t="shared" ref="H69:H105" si="101">F69*Vout</f>
        <v>1.6</v>
      </c>
      <c r="I69" s="223">
        <f t="shared" si="100"/>
        <v>1.6</v>
      </c>
      <c r="J69" s="559">
        <f t="shared" ref="J69:J105" si="102">Vin</f>
        <v>24</v>
      </c>
      <c r="K69" s="454">
        <f t="shared" ref="K69:K105" si="103">(S69+Vfwd1)*Nps</f>
        <v>15.75</v>
      </c>
      <c r="L69" s="454">
        <f t="shared" ref="L69:L105" si="104">(Vout+Vfwd1)*Nps+J69</f>
        <v>39.75</v>
      </c>
      <c r="M69" s="454"/>
      <c r="N69" s="223">
        <f t="shared" ref="N69:N105" si="105">(Vout+Vfwd1)*Nps/((Vout+Vfwd1)*Nps+J69)</f>
        <v>0.39622641509433965</v>
      </c>
      <c r="O69" s="178">
        <f t="shared" si="97"/>
        <v>1.6047169811320754</v>
      </c>
      <c r="P69" s="178">
        <f t="shared" ref="P69:P105" si="106">N69*J69*Isw_max*0.5*Efficiency*(Pout2/Pout_total)</f>
        <v>3.2094339622641508</v>
      </c>
      <c r="Q69" s="223">
        <f t="shared" ref="Q69:Q105" si="107">O69/Vout</f>
        <v>0.3209433962264151</v>
      </c>
      <c r="R69" s="223">
        <f t="shared" ref="R69:R105" si="108">O69/Vout2</f>
        <v>0.3209433962264151</v>
      </c>
      <c r="S69" s="454">
        <f t="shared" ref="S69:S105" si="109">MIN(Vout,O69/F69)</f>
        <v>5</v>
      </c>
      <c r="T69" s="223">
        <f t="shared" ref="T69:T105" si="110">MIN(2*(Vout*F69+Vout2*G69)/(Efficiency*J69*N69), Isw_max)</f>
        <v>0.74779541446208109</v>
      </c>
      <c r="U69" s="223">
        <f t="shared" ref="U69:U105" si="111">L*T69/J69*1000000</f>
        <v>1.3709582598471486</v>
      </c>
      <c r="V69" s="223">
        <f t="shared" ref="V69:V105" si="112">L*T69/K69*1000000</f>
        <v>2.0890792531004165</v>
      </c>
      <c r="W69" s="203">
        <f t="shared" ref="W69:W105" si="113">IF(1/((350000*L)*(1/J69+1/K69))&gt;Isw_min, 350, 0.001/((Isw_min*L)*(1/J69+1/K69)))</f>
        <v>350</v>
      </c>
      <c r="X69" s="454">
        <f t="shared" si="51"/>
        <v>289.01420757953338</v>
      </c>
      <c r="Z69" s="223">
        <f t="shared" ref="Z69:Z105" si="114">1/((W69*1000*L)*(1/J69+1/K69))</f>
        <v>0.61749571183533458</v>
      </c>
      <c r="AA69" s="179">
        <f t="shared" ref="AA69:AA105" si="115">L*Z69/K69*1000000</f>
        <v>1.7250673854447443</v>
      </c>
      <c r="AB69" s="179">
        <f t="shared" ref="AB69:AB100" si="116">0.5*AA69*Z69*Nps*W69/1000*(Pout/Pout_total)</f>
        <v>0.55924139939803896</v>
      </c>
      <c r="AC69" s="179"/>
      <c r="AD69" s="179">
        <f t="shared" ref="AD69:AD105" si="117">L*Isw_min/K69*1000000</f>
        <v>0.419047619047619</v>
      </c>
      <c r="AE69" s="563">
        <f t="shared" ref="AE69:AE100" si="118">MAX(10, F69/(0.5*AD69/1000000*Isw_min*Nps)/1000*Pout_total/Pout)</f>
        <v>3393.9393939393944</v>
      </c>
      <c r="AF69" s="546">
        <f t="shared" ref="AF69:AF105" si="119">0.5*AD69/1000000*Isw_min*Nps*W69*1000*(Pout/Pout_total)</f>
        <v>3.2999999999999995E-2</v>
      </c>
      <c r="AH69" s="179">
        <f t="shared" ref="AH69:AH105" si="120">SQRT((H69+I69)/(0.5*L*Fsw_DCM))</f>
        <v>0.64465837122030423</v>
      </c>
      <c r="AI69" s="179">
        <f t="shared" ref="AI69:AI100" si="121">MAX(IF(F69&gt;AB69,T69,AH69),Isw_min)</f>
        <v>0.64465837122030423</v>
      </c>
      <c r="AJ69" s="179">
        <f t="shared" ref="AJ69:AJ100" si="122">IF(F69&gt;AF69, (AI69-Isw_min)/1.08*0.8+1.2, AE69*0.2/350+1)</f>
        <v>1.5664136083113365</v>
      </c>
      <c r="AL69" s="563">
        <f t="shared" ref="AL69:AL105" si="123">F69*1000</f>
        <v>320</v>
      </c>
      <c r="AM69" s="472">
        <f t="shared" ref="AM69:AM105" si="124">IF(F69&gt;AF69, X69, AE69)</f>
        <v>289.01420757953338</v>
      </c>
      <c r="AO69">
        <f t="shared" si="52"/>
        <v>320</v>
      </c>
      <c r="AP69">
        <f t="shared" ref="AP69:AP105" si="125">IF(H69&gt;O69, "",AM69)</f>
        <v>289.01420757953338</v>
      </c>
      <c r="AR69" s="6">
        <f t="shared" si="53"/>
        <v>3.4600375129475651</v>
      </c>
      <c r="AS69" s="6">
        <f t="shared" ref="AS69:AS105" si="126">L*AI69/J69*1000000</f>
        <v>1.1818736805705576</v>
      </c>
      <c r="AT69" s="6">
        <f t="shared" si="54"/>
        <v>2.2781638323770075</v>
      </c>
      <c r="AU69" s="179">
        <f t="shared" si="55"/>
        <v>0.34157828524920625</v>
      </c>
      <c r="AW69" s="6">
        <f t="shared" ref="AW69:AW105" si="127">L*Iout^2/(2*Vripple1_spec*Vout*Npri_sec1^2)*1000000000*((1+N69)/(1-N69))^2</f>
        <v>13.072048611111116</v>
      </c>
      <c r="AX69" s="472">
        <f t="shared" ref="AX69:AX105" si="128">L*F69^2/(2*Cout*Vout*Nps^2)*1000000000*((1+N69)/(1-N69))^2+F69*RCoutEsr</f>
        <v>6.6560756501182041</v>
      </c>
      <c r="AY69" s="6">
        <f t="shared" ref="AY69:AY105" si="129">L*Iout2^2/(2*Vripple2_spec*Vout2*Npri_sec2^2)*1000000000*((1+N69)/(1-N69))^2</f>
        <v>13.072048611111116</v>
      </c>
      <c r="AZ69" s="472">
        <f t="shared" ref="AZ69:AZ105" si="130">L*G69^2/(2*Cout2*Vout2*Npri_sec2^2)*1000000000*((1+N69)/(1-N69))^2+G69*CoutEsr2</f>
        <v>13.128888888888891</v>
      </c>
      <c r="BA69" s="6">
        <f t="shared" ref="BA69:BA105" si="131">H69/Efficiency/J69*AT69/Vinripple1</f>
        <v>0.14062739706030911</v>
      </c>
      <c r="BB69" s="6">
        <f t="shared" ref="BB69:BB105" si="132">((CB69/J69/Efficiency)*AT69/Cin+(CB69/J69/Efficiency)*RCinEsr)*1000</f>
        <v>34.491316035214929</v>
      </c>
      <c r="BC69" s="6"/>
      <c r="BD69" s="179">
        <f t="shared" si="56"/>
        <v>0.21752747876350254</v>
      </c>
      <c r="BE69" s="179">
        <f t="shared" ref="BE69:BE105" si="133">AI69*Npri_sec1*SQRT((1-AU69)/3)*(Pout/Pout_total)</f>
        <v>0.90602947556820268</v>
      </c>
      <c r="BF69" s="179">
        <f t="shared" ref="BF69:BF105" si="134">AI69*Npri_sec2*SQRT((1-AU69)/3)*(Pout2/Pout_total)</f>
        <v>0.90602947556820268</v>
      </c>
      <c r="BG69" s="179"/>
      <c r="BH69" s="546">
        <f t="shared" ref="BH69:BH105" si="135">Rdson*BD69^2</f>
        <v>1.6561371406022114E-2</v>
      </c>
      <c r="BI69" s="546">
        <f t="shared" ref="BI69:BI105" si="136">0.5*L69*AI69*AM69*1000*Trise</f>
        <v>5.5545287067228881E-2</v>
      </c>
      <c r="BJ69" s="546">
        <f t="shared" ref="BJ69:BJ105" si="137">Qg*Vdd*AM69*1000</f>
        <v>3.612677594744167E-3</v>
      </c>
      <c r="BK69" s="546">
        <f t="shared" ref="BK69:BK105" si="138">0.5*(Coss+Csw)*L69^2*AM69*1000</f>
        <v>2.2833025568181821E-2</v>
      </c>
      <c r="BL69">
        <f t="shared" ref="BL69:BL105" si="139">J69*IQ</f>
        <v>6.96E-3</v>
      </c>
      <c r="BM69">
        <f t="shared" ref="BM69:BM100" si="140">(BI69+BJ69+BK69+BL69+BH69*(1+RdsonTC*(Ta-25)))/(1-BH69*RdsonTC*ThetaJA)</f>
        <v>0.10837002983859646</v>
      </c>
      <c r="BN69" s="472">
        <f t="shared" si="57"/>
        <v>108.37002983859647</v>
      </c>
      <c r="BO69" s="179">
        <f t="shared" ref="BO69:BO105" si="141">Vfwd2*F69*(1+Diode_TC/1000*(Ta-25))</f>
        <v>8.7360000000000007E-2</v>
      </c>
      <c r="BP69" s="179">
        <f t="shared" ref="BP69:BP105" si="142">Vfwd2*G69*(1+Diode_TC/1000*(Ta-25))</f>
        <v>8.7360000000000007E-2</v>
      </c>
      <c r="BQ69" s="546"/>
      <c r="BS69" s="472">
        <f t="shared" si="58"/>
        <v>174.72000000000003</v>
      </c>
      <c r="BT69" s="546">
        <f t="shared" ref="BT69:BT105" si="143">Rdcr_pri*BD69^2</f>
        <v>9.46364080344121E-3</v>
      </c>
      <c r="BU69" s="546">
        <f t="shared" ref="BU69:BU105" si="144">Rdcr_sec*BE69^2</f>
        <v>3.2835576423935697E-2</v>
      </c>
      <c r="BV69" s="546">
        <f t="shared" ref="BV69:BV105" si="145">Rdcr_sec2*BF69^2</f>
        <v>7.3880046953855305E-2</v>
      </c>
      <c r="BW69" s="546">
        <f t="shared" ref="BW69:BW105" si="146">AI69^2.5*AM69^2.5*k_core</f>
        <v>2.369147239519866E-2</v>
      </c>
      <c r="BX69" s="546">
        <f t="shared" ref="BX69:BX100" si="147">(BW69+(BT69+BU69+BV69)*(1+Ltc*(Ta-25)))/(1-(BT69+BU69+BV69)*Ltc*ThetaCa)</f>
        <v>0.15525524347394526</v>
      </c>
      <c r="BY69" s="656">
        <f t="shared" ref="BY69:BY105" si="148">0.5*Lleak*0.000000001*AI69^2*AM69*1000</f>
        <v>6.0054900276266678E-2</v>
      </c>
      <c r="BZ69" s="472">
        <f t="shared" si="60"/>
        <v>215.31014375021192</v>
      </c>
      <c r="CA69" s="179">
        <f t="shared" si="61"/>
        <v>0.49840017358880845</v>
      </c>
      <c r="CB69" s="6">
        <f t="shared" si="62"/>
        <v>3.2</v>
      </c>
      <c r="CC69" s="179">
        <f t="shared" si="63"/>
        <v>0.8652389816688828</v>
      </c>
      <c r="CD69" s="6">
        <f t="shared" si="64"/>
        <v>86.523898166888273</v>
      </c>
      <c r="CE69">
        <f t="shared" si="98"/>
        <v>64</v>
      </c>
      <c r="CG69" s="581">
        <f t="shared" ref="CG69:CG105" si="149">IF(ABS(F69-Ioutmax_Vinnom)&lt;Iout/200, AM69, -50)</f>
        <v>-50</v>
      </c>
      <c r="CH69">
        <f t="shared" ref="CH69:CH105" si="150">IF(ABS(F69-Ioutmax_Vinnom)&lt;Iout/200, (O69+P69)*CC69, -50)</f>
        <v>-50</v>
      </c>
    </row>
    <row r="70" spans="5:86" x14ac:dyDescent="0.2">
      <c r="E70" s="176">
        <v>65</v>
      </c>
      <c r="F70" s="223">
        <f t="shared" si="99"/>
        <v>0.32500000000000001</v>
      </c>
      <c r="G70" s="223">
        <f t="shared" ref="G70:G105" si="151">IF(PLOT_TYPE=1, E70/100*Iout2, min_I*EXP(Q70*rr/100))</f>
        <v>0.32500000000000001</v>
      </c>
      <c r="H70" s="223">
        <f t="shared" si="101"/>
        <v>1.625</v>
      </c>
      <c r="I70" s="223">
        <f t="shared" si="100"/>
        <v>1.625</v>
      </c>
      <c r="J70" s="559">
        <f t="shared" si="102"/>
        <v>24</v>
      </c>
      <c r="K70" s="454">
        <f t="shared" si="103"/>
        <v>15.562772133526849</v>
      </c>
      <c r="L70" s="454">
        <f t="shared" si="104"/>
        <v>39.75</v>
      </c>
      <c r="M70" s="454"/>
      <c r="N70" s="223">
        <f t="shared" si="105"/>
        <v>0.39622641509433965</v>
      </c>
      <c r="O70" s="178">
        <f t="shared" ref="O70:O101" si="152">N70*J70*Isw_max*0.5*Efficiency*Pout/(Pout+Pout2)</f>
        <v>1.6047169811320754</v>
      </c>
      <c r="P70" s="178">
        <f t="shared" si="106"/>
        <v>3.2094339622641508</v>
      </c>
      <c r="Q70" s="223">
        <f t="shared" si="107"/>
        <v>0.3209433962264151</v>
      </c>
      <c r="R70" s="223">
        <f t="shared" si="108"/>
        <v>0.3209433962264151</v>
      </c>
      <c r="S70" s="454">
        <f t="shared" si="109"/>
        <v>4.9375907111756163</v>
      </c>
      <c r="T70" s="223">
        <f t="shared" si="110"/>
        <v>0.75</v>
      </c>
      <c r="U70" s="223">
        <f t="shared" si="111"/>
        <v>1.3750000000000002</v>
      </c>
      <c r="V70" s="223">
        <f t="shared" si="112"/>
        <v>2.1204448485696301</v>
      </c>
      <c r="W70" s="203">
        <f t="shared" si="113"/>
        <v>350</v>
      </c>
      <c r="X70" s="454">
        <f t="shared" ref="X70:X105" si="153">MIN(1/(U70+V70)*1000, 350)</f>
        <v>286.08661939243859</v>
      </c>
      <c r="Z70" s="223">
        <f t="shared" si="114"/>
        <v>0.61304275584093981</v>
      </c>
      <c r="AA70" s="179">
        <f t="shared" si="115"/>
        <v>1.7332311381011336</v>
      </c>
      <c r="AB70" s="179">
        <f t="shared" si="116"/>
        <v>0.55783601654069492</v>
      </c>
      <c r="AC70" s="179"/>
      <c r="AD70" s="179">
        <f t="shared" si="117"/>
        <v>0.42408896971392601</v>
      </c>
      <c r="AE70" s="563">
        <f t="shared" si="118"/>
        <v>3405.99390127692</v>
      </c>
      <c r="AF70" s="546">
        <f t="shared" si="119"/>
        <v>3.3397006364971671E-2</v>
      </c>
      <c r="AH70" s="179">
        <f t="shared" si="120"/>
        <v>0.64967524354705253</v>
      </c>
      <c r="AI70" s="179">
        <f t="shared" si="121"/>
        <v>0.64967524354705253</v>
      </c>
      <c r="AJ70" s="179">
        <f t="shared" si="122"/>
        <v>1.5701298100348537</v>
      </c>
      <c r="AL70" s="563">
        <f t="shared" si="123"/>
        <v>325</v>
      </c>
      <c r="AM70" s="472">
        <f t="shared" si="124"/>
        <v>286.08661939243859</v>
      </c>
      <c r="AO70" t="str">
        <f t="shared" ref="AO70:AO105" si="154">IF(H70&gt;O70, "",AL70)</f>
        <v/>
      </c>
      <c r="AP70" t="str">
        <f t="shared" si="125"/>
        <v/>
      </c>
      <c r="AR70" s="6">
        <f t="shared" ref="AR70:AR133" si="155">1/AM70*1000</f>
        <v>3.4954448485696301</v>
      </c>
      <c r="AS70" s="6">
        <f t="shared" si="126"/>
        <v>1.191071279836263</v>
      </c>
      <c r="AT70" s="6">
        <f t="shared" ref="AT70:AT105" si="156">AR70-AS70</f>
        <v>2.3043735687333671</v>
      </c>
      <c r="AU70" s="179">
        <f t="shared" ref="AU70:AU105" si="157">AS70/AR70</f>
        <v>0.34074955590378175</v>
      </c>
      <c r="AW70" s="6">
        <f t="shared" si="127"/>
        <v>13.072048611111116</v>
      </c>
      <c r="AX70" s="472">
        <f t="shared" si="128"/>
        <v>6.850468657653666</v>
      </c>
      <c r="AY70" s="6">
        <f t="shared" si="129"/>
        <v>13.072048611111116</v>
      </c>
      <c r="AZ70" s="472">
        <f t="shared" si="130"/>
        <v>13.527137586805557</v>
      </c>
      <c r="BA70" s="6">
        <f t="shared" si="131"/>
        <v>0.14446786455214974</v>
      </c>
      <c r="BB70" s="6">
        <f t="shared" si="132"/>
        <v>35.424602307330751</v>
      </c>
      <c r="BC70" s="6"/>
      <c r="BD70" s="179">
        <f t="shared" ref="BD70:BD105" si="158">AI70*SQRT(AU70/3)</f>
        <v>0.21895423000012501</v>
      </c>
      <c r="BE70" s="179">
        <f t="shared" si="133"/>
        <v>0.91365484331843672</v>
      </c>
      <c r="BF70" s="179">
        <f t="shared" si="134"/>
        <v>0.91365484331843672</v>
      </c>
      <c r="BG70" s="179"/>
      <c r="BH70" s="546">
        <f t="shared" si="135"/>
        <v>1.6779334192231675E-2</v>
      </c>
      <c r="BI70" s="546">
        <f t="shared" si="136"/>
        <v>5.5410524374808139E-2</v>
      </c>
      <c r="BJ70" s="546">
        <f t="shared" si="137"/>
        <v>3.5760827424054821E-3</v>
      </c>
      <c r="BK70" s="546">
        <f t="shared" si="138"/>
        <v>2.2601736952688252E-2</v>
      </c>
      <c r="BL70">
        <f t="shared" si="139"/>
        <v>6.96E-3</v>
      </c>
      <c r="BM70">
        <f t="shared" si="140"/>
        <v>0.10822209589649658</v>
      </c>
      <c r="BN70" s="472">
        <f t="shared" ref="BN70:BN105" si="159">BM70*1000</f>
        <v>108.22209589649657</v>
      </c>
      <c r="BO70" s="179">
        <f t="shared" si="141"/>
        <v>8.8725000000000012E-2</v>
      </c>
      <c r="BP70" s="179">
        <f t="shared" si="142"/>
        <v>8.8725000000000012E-2</v>
      </c>
      <c r="BQ70" s="546"/>
      <c r="BS70" s="472">
        <f t="shared" ref="BS70:BS105" si="160">SUM(BO70:BR70)*1000</f>
        <v>177.45000000000002</v>
      </c>
      <c r="BT70" s="546">
        <f t="shared" si="143"/>
        <v>9.58819096698953E-3</v>
      </c>
      <c r="BU70" s="546">
        <f t="shared" si="144"/>
        <v>3.3390606908769487E-2</v>
      </c>
      <c r="BV70" s="546">
        <f t="shared" si="145"/>
        <v>7.5128865544731332E-2</v>
      </c>
      <c r="BW70" s="546">
        <f t="shared" si="146"/>
        <v>2.354803451163134E-2</v>
      </c>
      <c r="BX70" s="546">
        <f t="shared" si="147"/>
        <v>0.15731502635730002</v>
      </c>
      <c r="BY70" s="656">
        <f t="shared" si="148"/>
        <v>6.0375422923728918E-2</v>
      </c>
      <c r="BZ70" s="472">
        <f t="shared" ref="BZ70:BZ105" si="161">(BX70+BY70)*1000</f>
        <v>217.69044928102892</v>
      </c>
      <c r="CA70" s="179">
        <f t="shared" ref="CA70:CA105" si="162">SUM(BM70,BO70:BR70,BX70:BY70)</f>
        <v>0.50336254517752554</v>
      </c>
      <c r="CB70" s="6">
        <f t="shared" ref="CB70:CB105" si="163">MIN(H70+I70,O70+P70)</f>
        <v>3.25</v>
      </c>
      <c r="CC70" s="179">
        <f t="shared" ref="CC70:CC105" si="164">CB70/(CB70+CA70)</f>
        <v>0.86589024131861003</v>
      </c>
      <c r="CD70" s="6">
        <f t="shared" ref="CD70:CD105" si="165">CC70*100</f>
        <v>86.589024131861009</v>
      </c>
      <c r="CE70">
        <f t="shared" ref="CE70:CE105" si="166">F70/Iout*100</f>
        <v>65</v>
      </c>
      <c r="CG70" s="581">
        <f t="shared" si="149"/>
        <v>-50</v>
      </c>
      <c r="CH70">
        <f t="shared" si="150"/>
        <v>-50</v>
      </c>
    </row>
    <row r="71" spans="5:86" x14ac:dyDescent="0.2">
      <c r="E71" s="176">
        <v>66</v>
      </c>
      <c r="F71" s="223">
        <f t="shared" si="99"/>
        <v>0.33</v>
      </c>
      <c r="G71" s="223">
        <f t="shared" si="151"/>
        <v>0.33</v>
      </c>
      <c r="H71" s="223">
        <f t="shared" si="101"/>
        <v>1.6500000000000001</v>
      </c>
      <c r="I71" s="223">
        <f t="shared" si="100"/>
        <v>1.6500000000000001</v>
      </c>
      <c r="J71" s="559">
        <f t="shared" si="102"/>
        <v>24</v>
      </c>
      <c r="K71" s="454">
        <f t="shared" si="103"/>
        <v>15.338336192109775</v>
      </c>
      <c r="L71" s="454">
        <f t="shared" si="104"/>
        <v>39.75</v>
      </c>
      <c r="M71" s="454"/>
      <c r="N71" s="223">
        <f t="shared" si="105"/>
        <v>0.39622641509433965</v>
      </c>
      <c r="O71" s="178">
        <f t="shared" si="152"/>
        <v>1.6047169811320754</v>
      </c>
      <c r="P71" s="178">
        <f t="shared" si="106"/>
        <v>3.2094339622641508</v>
      </c>
      <c r="Q71" s="223">
        <f t="shared" si="107"/>
        <v>0.3209433962264151</v>
      </c>
      <c r="R71" s="223">
        <f t="shared" si="108"/>
        <v>0.3209433962264151</v>
      </c>
      <c r="S71" s="454">
        <f t="shared" si="109"/>
        <v>4.8627787307032584</v>
      </c>
      <c r="T71" s="223">
        <f t="shared" si="110"/>
        <v>0.75</v>
      </c>
      <c r="U71" s="223">
        <f t="shared" si="111"/>
        <v>1.3750000000000002</v>
      </c>
      <c r="V71" s="223">
        <f t="shared" si="112"/>
        <v>2.1514719449802908</v>
      </c>
      <c r="W71" s="203">
        <f t="shared" si="113"/>
        <v>350</v>
      </c>
      <c r="X71" s="454">
        <f t="shared" si="153"/>
        <v>283.56953226962048</v>
      </c>
      <c r="Z71" s="223">
        <f t="shared" si="114"/>
        <v>0.60764899772061542</v>
      </c>
      <c r="AA71" s="179">
        <f t="shared" si="115"/>
        <v>1.743119694655062</v>
      </c>
      <c r="AB71" s="179">
        <f t="shared" si="116"/>
        <v>0.55608259106621205</v>
      </c>
      <c r="AC71" s="179"/>
      <c r="AD71" s="179">
        <f t="shared" si="117"/>
        <v>0.4302943889960581</v>
      </c>
      <c r="AE71" s="563">
        <f t="shared" si="118"/>
        <v>3408.5191538021727</v>
      </c>
      <c r="AF71" s="546">
        <f t="shared" si="119"/>
        <v>3.3885683133439572E-2</v>
      </c>
      <c r="AH71" s="179">
        <f t="shared" si="120"/>
        <v>0.6546536707079772</v>
      </c>
      <c r="AI71" s="179">
        <f t="shared" si="121"/>
        <v>0.6546536707079772</v>
      </c>
      <c r="AJ71" s="179">
        <f t="shared" si="122"/>
        <v>1.5738175338577609</v>
      </c>
      <c r="AL71" s="563">
        <f t="shared" si="123"/>
        <v>330</v>
      </c>
      <c r="AM71" s="472">
        <f t="shared" si="124"/>
        <v>283.56953226962048</v>
      </c>
      <c r="AO71" t="str">
        <f t="shared" si="154"/>
        <v/>
      </c>
      <c r="AP71" t="str">
        <f t="shared" si="125"/>
        <v/>
      </c>
      <c r="AR71" s="6">
        <f t="shared" si="155"/>
        <v>3.5264719449802913</v>
      </c>
      <c r="AS71" s="6">
        <f t="shared" si="126"/>
        <v>1.2001983962979581</v>
      </c>
      <c r="AT71" s="6">
        <f t="shared" si="156"/>
        <v>2.3262735486823329</v>
      </c>
      <c r="AU71" s="179">
        <f t="shared" si="157"/>
        <v>0.34033969786896057</v>
      </c>
      <c r="AW71" s="6">
        <f t="shared" si="127"/>
        <v>13.072048611111116</v>
      </c>
      <c r="AX71" s="472">
        <f t="shared" si="128"/>
        <v>7.0476429521276618</v>
      </c>
      <c r="AY71" s="6">
        <f t="shared" si="129"/>
        <v>13.072048611111116</v>
      </c>
      <c r="AZ71" s="472">
        <f t="shared" si="130"/>
        <v>13.931328125000004</v>
      </c>
      <c r="BA71" s="6">
        <f t="shared" si="131"/>
        <v>0.14808454302954666</v>
      </c>
      <c r="BB71" s="6">
        <f t="shared" si="132"/>
        <v>36.304179215980092</v>
      </c>
      <c r="BC71" s="6"/>
      <c r="BD71" s="179">
        <f t="shared" si="158"/>
        <v>0.22049933523351709</v>
      </c>
      <c r="BE71" s="179">
        <f t="shared" si="133"/>
        <v>0.92094227515544069</v>
      </c>
      <c r="BF71" s="179">
        <f t="shared" si="134"/>
        <v>0.92094227515544069</v>
      </c>
      <c r="BG71" s="179"/>
      <c r="BH71" s="546">
        <f t="shared" si="135"/>
        <v>1.701698489344803E-2</v>
      </c>
      <c r="BI71" s="546">
        <f t="shared" si="136"/>
        <v>5.5343875869373019E-2</v>
      </c>
      <c r="BJ71" s="546">
        <f t="shared" si="137"/>
        <v>3.5446191533702559E-3</v>
      </c>
      <c r="BK71" s="546">
        <f t="shared" si="138"/>
        <v>2.2402879204088361E-2</v>
      </c>
      <c r="BL71">
        <f t="shared" si="139"/>
        <v>6.96E-3</v>
      </c>
      <c r="BM71">
        <f t="shared" si="140"/>
        <v>0.1082036625625105</v>
      </c>
      <c r="BN71" s="472">
        <f t="shared" si="159"/>
        <v>108.2036625625105</v>
      </c>
      <c r="BO71" s="179">
        <f t="shared" si="141"/>
        <v>9.0090000000000003E-2</v>
      </c>
      <c r="BP71" s="179">
        <f t="shared" si="142"/>
        <v>9.0090000000000003E-2</v>
      </c>
      <c r="BQ71" s="546"/>
      <c r="BS71" s="472">
        <f t="shared" si="160"/>
        <v>180.18</v>
      </c>
      <c r="BT71" s="546">
        <f t="shared" si="143"/>
        <v>9.7239913676845906E-3</v>
      </c>
      <c r="BU71" s="546">
        <f t="shared" si="144"/>
        <v>3.3925386966739177E-2</v>
      </c>
      <c r="BV71" s="546">
        <f t="shared" si="145"/>
        <v>7.6332120675163151E-2</v>
      </c>
      <c r="BW71" s="546">
        <f t="shared" si="146"/>
        <v>2.3477288665095183E-2</v>
      </c>
      <c r="BX71" s="546">
        <f t="shared" si="147"/>
        <v>0.15938644148957035</v>
      </c>
      <c r="BY71" s="656">
        <f t="shared" si="148"/>
        <v>6.0764899772061558E-2</v>
      </c>
      <c r="BZ71" s="472">
        <f t="shared" si="161"/>
        <v>220.1513412616319</v>
      </c>
      <c r="CA71" s="179">
        <f t="shared" si="162"/>
        <v>0.50853500382414241</v>
      </c>
      <c r="CB71" s="6">
        <f t="shared" si="163"/>
        <v>3.3000000000000003</v>
      </c>
      <c r="CC71" s="179">
        <f t="shared" si="164"/>
        <v>0.86647490352234557</v>
      </c>
      <c r="CD71" s="6">
        <f t="shared" si="165"/>
        <v>86.647490352234556</v>
      </c>
      <c r="CE71">
        <f t="shared" si="166"/>
        <v>66</v>
      </c>
      <c r="CG71" s="581">
        <f t="shared" si="149"/>
        <v>-50</v>
      </c>
      <c r="CH71">
        <f t="shared" si="150"/>
        <v>-50</v>
      </c>
    </row>
    <row r="72" spans="5:86" x14ac:dyDescent="0.2">
      <c r="E72" s="176">
        <v>67</v>
      </c>
      <c r="F72" s="223">
        <f t="shared" ref="F72:F103" si="167">IF(PLOT_TYPE=1, E72/100*Iout_max, min_I*EXP(O72*rr/100))</f>
        <v>0.33500000000000002</v>
      </c>
      <c r="G72" s="223">
        <f t="shared" si="151"/>
        <v>0.33500000000000002</v>
      </c>
      <c r="H72" s="223">
        <f t="shared" si="101"/>
        <v>1.675</v>
      </c>
      <c r="I72" s="223">
        <f t="shared" ref="I72:I105" si="168">Vout2*G72</f>
        <v>1.675</v>
      </c>
      <c r="J72" s="559">
        <f t="shared" si="102"/>
        <v>24</v>
      </c>
      <c r="K72" s="454">
        <f t="shared" si="103"/>
        <v>15.120599831033509</v>
      </c>
      <c r="L72" s="454">
        <f t="shared" si="104"/>
        <v>39.75</v>
      </c>
      <c r="M72" s="454"/>
      <c r="N72" s="223">
        <f t="shared" si="105"/>
        <v>0.39622641509433965</v>
      </c>
      <c r="O72" s="178">
        <f t="shared" si="152"/>
        <v>1.6047169811320754</v>
      </c>
      <c r="P72" s="178">
        <f t="shared" si="106"/>
        <v>3.2094339622641508</v>
      </c>
      <c r="Q72" s="223">
        <f t="shared" si="107"/>
        <v>0.3209433962264151</v>
      </c>
      <c r="R72" s="223">
        <f t="shared" si="108"/>
        <v>0.3209433962264151</v>
      </c>
      <c r="S72" s="454">
        <f t="shared" si="109"/>
        <v>4.7901999436778366</v>
      </c>
      <c r="T72" s="223">
        <f t="shared" si="110"/>
        <v>0.75</v>
      </c>
      <c r="U72" s="223">
        <f t="shared" si="111"/>
        <v>1.3750000000000002</v>
      </c>
      <c r="V72" s="223">
        <f t="shared" si="112"/>
        <v>2.1824531016468556</v>
      </c>
      <c r="W72" s="203">
        <f t="shared" si="113"/>
        <v>350</v>
      </c>
      <c r="X72" s="454">
        <f t="shared" si="153"/>
        <v>281.09998120202027</v>
      </c>
      <c r="Z72" s="223">
        <f t="shared" si="114"/>
        <v>0.60235710257575781</v>
      </c>
      <c r="AA72" s="179">
        <f t="shared" si="115"/>
        <v>1.7528215024206342</v>
      </c>
      <c r="AB72" s="179">
        <f t="shared" si="116"/>
        <v>0.55430785280355444</v>
      </c>
      <c r="AC72" s="179"/>
      <c r="AD72" s="179">
        <f t="shared" si="117"/>
        <v>0.43649062032937108</v>
      </c>
      <c r="AE72" s="563">
        <f t="shared" si="118"/>
        <v>3411.0444063274249</v>
      </c>
      <c r="AF72" s="546">
        <f t="shared" si="119"/>
        <v>3.4373636350937972E-2</v>
      </c>
      <c r="AH72" s="179">
        <f t="shared" si="120"/>
        <v>0.65959452322236201</v>
      </c>
      <c r="AI72" s="179">
        <f t="shared" si="121"/>
        <v>0.65959452322236201</v>
      </c>
      <c r="AJ72" s="179">
        <f t="shared" si="122"/>
        <v>1.577477424609157</v>
      </c>
      <c r="AL72" s="563">
        <f t="shared" si="123"/>
        <v>335</v>
      </c>
      <c r="AM72" s="472">
        <f t="shared" si="124"/>
        <v>281.09998120202027</v>
      </c>
      <c r="AO72" t="str">
        <f t="shared" si="154"/>
        <v/>
      </c>
      <c r="AP72" t="str">
        <f t="shared" si="125"/>
        <v/>
      </c>
      <c r="AR72" s="6">
        <f t="shared" si="155"/>
        <v>3.557453101646856</v>
      </c>
      <c r="AS72" s="6">
        <f t="shared" si="126"/>
        <v>1.2092566259076636</v>
      </c>
      <c r="AT72" s="6">
        <f t="shared" si="156"/>
        <v>2.3481964757391927</v>
      </c>
      <c r="AU72" s="179">
        <f t="shared" si="157"/>
        <v>0.33992201481106271</v>
      </c>
      <c r="AW72" s="6">
        <f t="shared" si="127"/>
        <v>13.072048611111116</v>
      </c>
      <c r="AX72" s="472">
        <f t="shared" si="128"/>
        <v>7.2475985335401916</v>
      </c>
      <c r="AY72" s="6">
        <f t="shared" si="129"/>
        <v>13.072048611111116</v>
      </c>
      <c r="AZ72" s="472">
        <f t="shared" si="130"/>
        <v>14.341460503472227</v>
      </c>
      <c r="BA72" s="6">
        <f t="shared" si="131"/>
        <v>0.15174494972465846</v>
      </c>
      <c r="BB72" s="6">
        <f t="shared" si="132"/>
        <v>37.194250896881002</v>
      </c>
      <c r="BC72" s="6"/>
      <c r="BD72" s="179">
        <f t="shared" si="158"/>
        <v>0.22202713745615038</v>
      </c>
      <c r="BE72" s="179">
        <f t="shared" si="133"/>
        <v>0.92818659616052124</v>
      </c>
      <c r="BF72" s="179">
        <f t="shared" si="134"/>
        <v>0.92818659616052124</v>
      </c>
      <c r="BG72" s="179"/>
      <c r="BH72" s="546">
        <f t="shared" si="135"/>
        <v>1.7253617418440302E-2</v>
      </c>
      <c r="BI72" s="546">
        <f t="shared" si="136"/>
        <v>5.5275954908480765E-2</v>
      </c>
      <c r="BJ72" s="546">
        <f t="shared" si="137"/>
        <v>3.5137497650252533E-3</v>
      </c>
      <c r="BK72" s="546">
        <f t="shared" si="138"/>
        <v>2.2207776952400855E-2</v>
      </c>
      <c r="BL72">
        <f t="shared" si="139"/>
        <v>6.96E-3</v>
      </c>
      <c r="BM72">
        <f t="shared" si="140"/>
        <v>0.10818712094670208</v>
      </c>
      <c r="BN72" s="472">
        <f t="shared" si="159"/>
        <v>108.18712094670208</v>
      </c>
      <c r="BO72" s="179">
        <f t="shared" si="141"/>
        <v>9.1455000000000009E-2</v>
      </c>
      <c r="BP72" s="179">
        <f t="shared" si="142"/>
        <v>9.1455000000000009E-2</v>
      </c>
      <c r="BQ72" s="546"/>
      <c r="BS72" s="472">
        <f t="shared" si="160"/>
        <v>182.91000000000003</v>
      </c>
      <c r="BT72" s="546">
        <f t="shared" si="143"/>
        <v>9.8592099533944596E-3</v>
      </c>
      <c r="BU72" s="546">
        <f t="shared" si="144"/>
        <v>3.4461214291682182E-2</v>
      </c>
      <c r="BV72" s="546">
        <f t="shared" si="145"/>
        <v>7.75377321562849E-2</v>
      </c>
      <c r="BW72" s="546">
        <f t="shared" si="146"/>
        <v>2.3405323495201448E-2</v>
      </c>
      <c r="BX72" s="546">
        <f t="shared" si="147"/>
        <v>0.16146048078635056</v>
      </c>
      <c r="BY72" s="656">
        <f t="shared" si="148"/>
        <v>6.1148372534205721E-2</v>
      </c>
      <c r="BZ72" s="472">
        <f t="shared" si="161"/>
        <v>222.60885332055628</v>
      </c>
      <c r="CA72" s="179">
        <f t="shared" si="162"/>
        <v>0.51370597426725839</v>
      </c>
      <c r="CB72" s="6">
        <f t="shared" si="163"/>
        <v>3.35</v>
      </c>
      <c r="CC72" s="179">
        <f t="shared" si="164"/>
        <v>0.86704320212547192</v>
      </c>
      <c r="CD72" s="6">
        <f t="shared" si="165"/>
        <v>86.704320212547188</v>
      </c>
      <c r="CE72">
        <f t="shared" si="166"/>
        <v>67</v>
      </c>
      <c r="CG72" s="581">
        <f t="shared" si="149"/>
        <v>-50</v>
      </c>
      <c r="CH72">
        <f t="shared" si="150"/>
        <v>-50</v>
      </c>
    </row>
    <row r="73" spans="5:86" x14ac:dyDescent="0.2">
      <c r="E73" s="176">
        <v>68</v>
      </c>
      <c r="F73" s="223">
        <f t="shared" si="167"/>
        <v>0.34</v>
      </c>
      <c r="G73" s="223">
        <f t="shared" si="151"/>
        <v>0.34</v>
      </c>
      <c r="H73" s="223">
        <f t="shared" si="101"/>
        <v>1.7000000000000002</v>
      </c>
      <c r="I73" s="223">
        <f t="shared" si="168"/>
        <v>1.7000000000000002</v>
      </c>
      <c r="J73" s="559">
        <f t="shared" si="102"/>
        <v>24</v>
      </c>
      <c r="K73" s="454">
        <f t="shared" si="103"/>
        <v>14.909267480577135</v>
      </c>
      <c r="L73" s="454">
        <f t="shared" si="104"/>
        <v>39.75</v>
      </c>
      <c r="M73" s="454"/>
      <c r="N73" s="223">
        <f t="shared" si="105"/>
        <v>0.39622641509433965</v>
      </c>
      <c r="O73" s="178">
        <f t="shared" si="152"/>
        <v>1.6047169811320754</v>
      </c>
      <c r="P73" s="178">
        <f t="shared" si="106"/>
        <v>3.2094339622641508</v>
      </c>
      <c r="Q73" s="223">
        <f t="shared" si="107"/>
        <v>0.3209433962264151</v>
      </c>
      <c r="R73" s="223">
        <f t="shared" si="108"/>
        <v>0.3209433962264151</v>
      </c>
      <c r="S73" s="454">
        <f t="shared" si="109"/>
        <v>4.7197558268590454</v>
      </c>
      <c r="T73" s="223">
        <f t="shared" si="110"/>
        <v>0.75</v>
      </c>
      <c r="U73" s="223">
        <f t="shared" si="111"/>
        <v>1.3750000000000002</v>
      </c>
      <c r="V73" s="223">
        <f t="shared" si="112"/>
        <v>2.2133884205237009</v>
      </c>
      <c r="W73" s="203">
        <f t="shared" si="113"/>
        <v>350</v>
      </c>
      <c r="X73" s="454">
        <f t="shared" si="153"/>
        <v>278.67663218410917</v>
      </c>
      <c r="Z73" s="223">
        <f t="shared" si="114"/>
        <v>0.59716421182309132</v>
      </c>
      <c r="AA73" s="179">
        <f t="shared" si="115"/>
        <v>1.762341802133857</v>
      </c>
      <c r="AB73" s="179">
        <f t="shared" si="116"/>
        <v>0.5525139129479294</v>
      </c>
      <c r="AC73" s="179"/>
      <c r="AD73" s="179">
        <f t="shared" si="117"/>
        <v>0.44267768410474012</v>
      </c>
      <c r="AE73" s="563">
        <f t="shared" si="118"/>
        <v>3413.5696588526785</v>
      </c>
      <c r="AF73" s="546">
        <f t="shared" si="119"/>
        <v>3.4860867623248276E-2</v>
      </c>
      <c r="AH73" s="179">
        <f t="shared" si="120"/>
        <v>0.66449863924498864</v>
      </c>
      <c r="AI73" s="179">
        <f t="shared" si="121"/>
        <v>0.66449863924498864</v>
      </c>
      <c r="AJ73" s="179">
        <f t="shared" si="122"/>
        <v>1.5811101031444359</v>
      </c>
      <c r="AL73" s="563">
        <f t="shared" si="123"/>
        <v>340</v>
      </c>
      <c r="AM73" s="472">
        <f t="shared" si="124"/>
        <v>278.67663218410917</v>
      </c>
      <c r="AO73" t="str">
        <f t="shared" si="154"/>
        <v/>
      </c>
      <c r="AP73" t="str">
        <f t="shared" si="125"/>
        <v/>
      </c>
      <c r="AR73" s="6">
        <f t="shared" si="155"/>
        <v>3.5883884205237013</v>
      </c>
      <c r="AS73" s="6">
        <f t="shared" si="126"/>
        <v>1.2182475052824793</v>
      </c>
      <c r="AT73" s="6">
        <f t="shared" si="156"/>
        <v>2.3701409152412221</v>
      </c>
      <c r="AU73" s="179">
        <f t="shared" si="157"/>
        <v>0.3394971119388141</v>
      </c>
      <c r="AW73" s="6">
        <f t="shared" si="127"/>
        <v>13.072048611111116</v>
      </c>
      <c r="AX73" s="472">
        <f t="shared" si="128"/>
        <v>7.4503354018912571</v>
      </c>
      <c r="AY73" s="6">
        <f t="shared" si="129"/>
        <v>13.072048611111116</v>
      </c>
      <c r="AZ73" s="472">
        <f t="shared" si="130"/>
        <v>14.75753472222223</v>
      </c>
      <c r="BA73" s="6">
        <f t="shared" si="131"/>
        <v>0.15544905694097522</v>
      </c>
      <c r="BB73" s="6">
        <f t="shared" si="132"/>
        <v>38.094810702871094</v>
      </c>
      <c r="BC73" s="6"/>
      <c r="BD73" s="179">
        <f t="shared" si="158"/>
        <v>0.22353807704079898</v>
      </c>
      <c r="BE73" s="179">
        <f t="shared" si="133"/>
        <v>0.93538862388391331</v>
      </c>
      <c r="BF73" s="179">
        <f t="shared" si="134"/>
        <v>0.93538862388391331</v>
      </c>
      <c r="BG73" s="179"/>
      <c r="BH73" s="546">
        <f t="shared" si="135"/>
        <v>1.7489245160484359E-2</v>
      </c>
      <c r="BI73" s="546">
        <f t="shared" si="136"/>
        <v>5.5206859907323054E-2</v>
      </c>
      <c r="BJ73" s="546">
        <f t="shared" si="137"/>
        <v>3.4834579023013644E-3</v>
      </c>
      <c r="BK73" s="546">
        <f t="shared" si="138"/>
        <v>2.2016324807020198E-2</v>
      </c>
      <c r="BL73">
        <f t="shared" si="139"/>
        <v>6.96E-3</v>
      </c>
      <c r="BM73">
        <f t="shared" si="140"/>
        <v>0.108172463539282</v>
      </c>
      <c r="BN73" s="472">
        <f t="shared" si="159"/>
        <v>108.17246353928201</v>
      </c>
      <c r="BO73" s="179">
        <f t="shared" si="141"/>
        <v>9.2820000000000014E-2</v>
      </c>
      <c r="BP73" s="179">
        <f t="shared" si="142"/>
        <v>9.2820000000000014E-2</v>
      </c>
      <c r="BQ73" s="546"/>
      <c r="BS73" s="472">
        <f t="shared" si="160"/>
        <v>185.64000000000001</v>
      </c>
      <c r="BT73" s="546">
        <f t="shared" si="143"/>
        <v>9.9938543774196354E-3</v>
      </c>
      <c r="BU73" s="546">
        <f t="shared" si="144"/>
        <v>3.4998075107657643E-2</v>
      </c>
      <c r="BV73" s="546">
        <f t="shared" si="145"/>
        <v>7.8745668992229692E-2</v>
      </c>
      <c r="BW73" s="546">
        <f t="shared" si="146"/>
        <v>2.3332250354498037E-2</v>
      </c>
      <c r="BX73" s="546">
        <f t="shared" si="147"/>
        <v>0.16353721684702696</v>
      </c>
      <c r="BY73" s="656">
        <f t="shared" si="148"/>
        <v>6.1526009702985156E-2</v>
      </c>
      <c r="BZ73" s="472">
        <f t="shared" si="161"/>
        <v>225.06322655001213</v>
      </c>
      <c r="CA73" s="179">
        <f t="shared" si="162"/>
        <v>0.51887569008929413</v>
      </c>
      <c r="CB73" s="6">
        <f t="shared" si="163"/>
        <v>3.4000000000000004</v>
      </c>
      <c r="CC73" s="179">
        <f t="shared" si="164"/>
        <v>0.86759577717621572</v>
      </c>
      <c r="CD73" s="6">
        <f t="shared" si="165"/>
        <v>86.759577717621568</v>
      </c>
      <c r="CE73">
        <f t="shared" si="166"/>
        <v>68</v>
      </c>
      <c r="CG73" s="581">
        <f t="shared" si="149"/>
        <v>-50</v>
      </c>
      <c r="CH73">
        <f t="shared" si="150"/>
        <v>-50</v>
      </c>
    </row>
    <row r="74" spans="5:86" x14ac:dyDescent="0.2">
      <c r="E74" s="176">
        <v>69</v>
      </c>
      <c r="F74" s="223">
        <f t="shared" si="167"/>
        <v>0.34499999999999997</v>
      </c>
      <c r="G74" s="223">
        <f t="shared" si="151"/>
        <v>0.34499999999999997</v>
      </c>
      <c r="H74" s="223">
        <f t="shared" si="101"/>
        <v>1.7249999999999999</v>
      </c>
      <c r="I74" s="223">
        <f t="shared" si="168"/>
        <v>1.7249999999999999</v>
      </c>
      <c r="J74" s="559">
        <f t="shared" si="102"/>
        <v>24</v>
      </c>
      <c r="K74" s="454">
        <f t="shared" si="103"/>
        <v>14.704060705496307</v>
      </c>
      <c r="L74" s="454">
        <f t="shared" si="104"/>
        <v>39.75</v>
      </c>
      <c r="M74" s="454"/>
      <c r="N74" s="223">
        <f t="shared" si="105"/>
        <v>0.39622641509433965</v>
      </c>
      <c r="O74" s="178">
        <f t="shared" si="152"/>
        <v>1.6047169811320754</v>
      </c>
      <c r="P74" s="178">
        <f t="shared" si="106"/>
        <v>3.2094339622641508</v>
      </c>
      <c r="Q74" s="223">
        <f t="shared" si="107"/>
        <v>0.3209433962264151</v>
      </c>
      <c r="R74" s="223">
        <f t="shared" si="108"/>
        <v>0.3209433962264151</v>
      </c>
      <c r="S74" s="454">
        <f t="shared" si="109"/>
        <v>4.6513535684987692</v>
      </c>
      <c r="T74" s="223">
        <f t="shared" si="110"/>
        <v>0.75</v>
      </c>
      <c r="U74" s="223">
        <f t="shared" si="111"/>
        <v>1.3750000000000002</v>
      </c>
      <c r="V74" s="223">
        <f t="shared" si="112"/>
        <v>2.2442780032637355</v>
      </c>
      <c r="W74" s="203">
        <f t="shared" si="113"/>
        <v>350</v>
      </c>
      <c r="X74" s="454">
        <f t="shared" si="153"/>
        <v>276.29820066273874</v>
      </c>
      <c r="Z74" s="223">
        <f t="shared" si="114"/>
        <v>0.59206757284872602</v>
      </c>
      <c r="AA74" s="179">
        <f t="shared" si="115"/>
        <v>1.7716856402535266</v>
      </c>
      <c r="AB74" s="179">
        <f t="shared" si="116"/>
        <v>0.55070274885981951</v>
      </c>
      <c r="AC74" s="179"/>
      <c r="AD74" s="179">
        <f t="shared" si="117"/>
        <v>0.44885560065274699</v>
      </c>
      <c r="AE74" s="563">
        <f t="shared" si="118"/>
        <v>3416.0949113779307</v>
      </c>
      <c r="AF74" s="546">
        <f t="shared" si="119"/>
        <v>3.5347378551403817E-2</v>
      </c>
      <c r="AH74" s="179">
        <f t="shared" si="120"/>
        <v>0.6693668262260597</v>
      </c>
      <c r="AI74" s="179">
        <f t="shared" si="121"/>
        <v>0.6693668262260597</v>
      </c>
      <c r="AJ74" s="179">
        <f t="shared" si="122"/>
        <v>1.5847161675748589</v>
      </c>
      <c r="AL74" s="563">
        <f t="shared" si="123"/>
        <v>345</v>
      </c>
      <c r="AM74" s="472">
        <f t="shared" si="124"/>
        <v>276.29820066273874</v>
      </c>
      <c r="AO74" t="str">
        <f t="shared" si="154"/>
        <v/>
      </c>
      <c r="AP74" t="str">
        <f t="shared" si="125"/>
        <v/>
      </c>
      <c r="AR74" s="6">
        <f t="shared" si="155"/>
        <v>3.6192780032637355</v>
      </c>
      <c r="AS74" s="6">
        <f t="shared" si="126"/>
        <v>1.2271725147477761</v>
      </c>
      <c r="AT74" s="6">
        <f t="shared" si="156"/>
        <v>2.3921054885159592</v>
      </c>
      <c r="AU74" s="179">
        <f t="shared" si="157"/>
        <v>0.33906555772757874</v>
      </c>
      <c r="AW74" s="6">
        <f t="shared" si="127"/>
        <v>13.072048611111116</v>
      </c>
      <c r="AX74" s="472">
        <f t="shared" si="128"/>
        <v>7.6558535571808513</v>
      </c>
      <c r="AY74" s="6">
        <f t="shared" si="129"/>
        <v>13.072048611111116</v>
      </c>
      <c r="AZ74" s="472">
        <f t="shared" si="130"/>
        <v>15.179550781250002</v>
      </c>
      <c r="BA74" s="6">
        <f t="shared" si="131"/>
        <v>0.15919683517322641</v>
      </c>
      <c r="BB74" s="6">
        <f t="shared" si="132"/>
        <v>39.005851552685463</v>
      </c>
      <c r="BC74" s="6"/>
      <c r="BD74" s="179">
        <f t="shared" si="158"/>
        <v>0.2250325781282656</v>
      </c>
      <c r="BE74" s="179">
        <f t="shared" si="133"/>
        <v>0.94254914629655173</v>
      </c>
      <c r="BF74" s="179">
        <f t="shared" si="134"/>
        <v>0.94254914629655173</v>
      </c>
      <c r="BG74" s="179"/>
      <c r="BH74" s="546">
        <f t="shared" si="135"/>
        <v>1.7723881426668888E-2</v>
      </c>
      <c r="BI74" s="546">
        <f t="shared" si="136"/>
        <v>5.5136683307746043E-2</v>
      </c>
      <c r="BJ74" s="546">
        <f t="shared" si="137"/>
        <v>3.4537275082842339E-3</v>
      </c>
      <c r="BK74" s="546">
        <f t="shared" si="138"/>
        <v>2.1828421284233433E-2</v>
      </c>
      <c r="BL74">
        <f t="shared" si="139"/>
        <v>6.96E-3</v>
      </c>
      <c r="BM74">
        <f t="shared" si="140"/>
        <v>0.10815968126481162</v>
      </c>
      <c r="BN74" s="472">
        <f t="shared" si="159"/>
        <v>108.15968126481162</v>
      </c>
      <c r="BO74" s="179">
        <f t="shared" si="141"/>
        <v>9.4185000000000005E-2</v>
      </c>
      <c r="BP74" s="179">
        <f t="shared" si="142"/>
        <v>9.4185000000000005E-2</v>
      </c>
      <c r="BQ74" s="546"/>
      <c r="BS74" s="472">
        <f t="shared" si="160"/>
        <v>188.37</v>
      </c>
      <c r="BT74" s="546">
        <f t="shared" si="143"/>
        <v>1.0127932243810794E-2</v>
      </c>
      <c r="BU74" s="546">
        <f t="shared" si="144"/>
        <v>3.5535955727374342E-2</v>
      </c>
      <c r="BV74" s="546">
        <f t="shared" si="145"/>
        <v>7.9955900386592269E-2</v>
      </c>
      <c r="BW74" s="546">
        <f t="shared" si="146"/>
        <v>2.3258173631957958E-2</v>
      </c>
      <c r="BX74" s="546">
        <f t="shared" si="147"/>
        <v>0.16561671553296961</v>
      </c>
      <c r="BY74" s="656">
        <f t="shared" si="148"/>
        <v>6.1897973525094067E-2</v>
      </c>
      <c r="BZ74" s="472">
        <f t="shared" si="161"/>
        <v>227.51468905806368</v>
      </c>
      <c r="CA74" s="179">
        <f t="shared" si="162"/>
        <v>0.52404437032287532</v>
      </c>
      <c r="CB74" s="6">
        <f t="shared" si="163"/>
        <v>3.4499999999999997</v>
      </c>
      <c r="CC74" s="179">
        <f t="shared" si="164"/>
        <v>0.86813323619728511</v>
      </c>
      <c r="CD74" s="6">
        <f t="shared" si="165"/>
        <v>86.813323619728507</v>
      </c>
      <c r="CE74">
        <f t="shared" si="166"/>
        <v>69</v>
      </c>
      <c r="CG74" s="581">
        <f t="shared" si="149"/>
        <v>-50</v>
      </c>
      <c r="CH74">
        <f t="shared" si="150"/>
        <v>-50</v>
      </c>
    </row>
    <row r="75" spans="5:86" x14ac:dyDescent="0.2">
      <c r="E75" s="176">
        <v>70</v>
      </c>
      <c r="F75" s="223">
        <f t="shared" si="167"/>
        <v>0.35</v>
      </c>
      <c r="G75" s="223">
        <f t="shared" si="151"/>
        <v>0.35</v>
      </c>
      <c r="H75" s="223">
        <f t="shared" si="101"/>
        <v>1.75</v>
      </c>
      <c r="I75" s="223">
        <f t="shared" si="168"/>
        <v>1.75</v>
      </c>
      <c r="J75" s="559">
        <f t="shared" si="102"/>
        <v>24</v>
      </c>
      <c r="K75" s="454">
        <f t="shared" si="103"/>
        <v>14.504716981132074</v>
      </c>
      <c r="L75" s="454">
        <f t="shared" si="104"/>
        <v>39.75</v>
      </c>
      <c r="M75" s="454"/>
      <c r="N75" s="223">
        <f t="shared" si="105"/>
        <v>0.39622641509433965</v>
      </c>
      <c r="O75" s="178">
        <f t="shared" si="152"/>
        <v>1.6047169811320754</v>
      </c>
      <c r="P75" s="178">
        <f t="shared" si="106"/>
        <v>3.2094339622641508</v>
      </c>
      <c r="Q75" s="223">
        <f t="shared" si="107"/>
        <v>0.3209433962264151</v>
      </c>
      <c r="R75" s="223">
        <f t="shared" si="108"/>
        <v>0.3209433962264151</v>
      </c>
      <c r="S75" s="454">
        <f t="shared" si="109"/>
        <v>4.5849056603773581</v>
      </c>
      <c r="T75" s="223">
        <f t="shared" si="110"/>
        <v>0.75</v>
      </c>
      <c r="U75" s="223">
        <f t="shared" si="111"/>
        <v>1.3750000000000002</v>
      </c>
      <c r="V75" s="223">
        <f t="shared" si="112"/>
        <v>2.2751219512195124</v>
      </c>
      <c r="W75" s="203">
        <f t="shared" si="113"/>
        <v>350</v>
      </c>
      <c r="X75" s="454">
        <f t="shared" si="153"/>
        <v>273.96344926664659</v>
      </c>
      <c r="Z75" s="223">
        <f t="shared" si="114"/>
        <v>0.58706453414281412</v>
      </c>
      <c r="AA75" s="179">
        <f t="shared" si="115"/>
        <v>1.7808578778810311</v>
      </c>
      <c r="AB75" s="179">
        <f t="shared" si="116"/>
        <v>0.54887621273771381</v>
      </c>
      <c r="AC75" s="179"/>
      <c r="AD75" s="179">
        <f t="shared" si="117"/>
        <v>0.45502439024390245</v>
      </c>
      <c r="AE75" s="563">
        <f t="shared" si="118"/>
        <v>3418.6201639031824</v>
      </c>
      <c r="AF75" s="546">
        <f t="shared" si="119"/>
        <v>3.5833170731707317E-2</v>
      </c>
      <c r="AH75" s="179">
        <f t="shared" si="120"/>
        <v>0.67419986246324204</v>
      </c>
      <c r="AI75" s="179">
        <f t="shared" si="121"/>
        <v>0.67419986246324204</v>
      </c>
      <c r="AJ75" s="179">
        <f t="shared" si="122"/>
        <v>1.5882961944172163</v>
      </c>
      <c r="AL75" s="563">
        <f t="shared" si="123"/>
        <v>350</v>
      </c>
      <c r="AM75" s="472">
        <f t="shared" si="124"/>
        <v>273.96344926664659</v>
      </c>
      <c r="AO75" t="str">
        <f t="shared" si="154"/>
        <v/>
      </c>
      <c r="AP75" t="str">
        <f t="shared" si="125"/>
        <v/>
      </c>
      <c r="AR75" s="6">
        <f t="shared" si="155"/>
        <v>3.6501219512195124</v>
      </c>
      <c r="AS75" s="6">
        <f t="shared" si="126"/>
        <v>1.2360330811826106</v>
      </c>
      <c r="AT75" s="6">
        <f t="shared" si="156"/>
        <v>2.4140888700369016</v>
      </c>
      <c r="AU75" s="179">
        <f t="shared" si="157"/>
        <v>0.33862788632846902</v>
      </c>
      <c r="AW75" s="6">
        <f t="shared" si="127"/>
        <v>13.072048611111116</v>
      </c>
      <c r="AX75" s="472">
        <f t="shared" si="128"/>
        <v>7.8641529994089838</v>
      </c>
      <c r="AY75" s="6">
        <f t="shared" si="129"/>
        <v>13.072048611111116</v>
      </c>
      <c r="AZ75" s="472">
        <f t="shared" si="130"/>
        <v>15.607508680555554</v>
      </c>
      <c r="BA75" s="6">
        <f t="shared" si="131"/>
        <v>0.16298825318536178</v>
      </c>
      <c r="BB75" s="6">
        <f t="shared" si="132"/>
        <v>39.927365949672016</v>
      </c>
      <c r="BC75" s="6"/>
      <c r="BD75" s="179">
        <f t="shared" si="158"/>
        <v>0.22651104940888311</v>
      </c>
      <c r="BE75" s="179">
        <f t="shared" si="133"/>
        <v>0.94966892341359799</v>
      </c>
      <c r="BF75" s="179">
        <f t="shared" si="134"/>
        <v>0.94966892341359799</v>
      </c>
      <c r="BG75" s="179"/>
      <c r="BH75" s="546">
        <f t="shared" si="135"/>
        <v>1.7957539426509721E-2</v>
      </c>
      <c r="BI75" s="546">
        <f t="shared" si="136"/>
        <v>5.5065511970004442E-2</v>
      </c>
      <c r="BJ75" s="546">
        <f t="shared" si="137"/>
        <v>3.4245431158330822E-3</v>
      </c>
      <c r="BK75" s="546">
        <f t="shared" si="138"/>
        <v>2.164396862784404E-2</v>
      </c>
      <c r="BL75">
        <f t="shared" si="139"/>
        <v>6.96E-3</v>
      </c>
      <c r="BM75">
        <f t="shared" si="140"/>
        <v>0.10814876365339671</v>
      </c>
      <c r="BN75" s="472">
        <f t="shared" si="159"/>
        <v>108.14876365339671</v>
      </c>
      <c r="BO75" s="179">
        <f t="shared" si="141"/>
        <v>9.5549999999999996E-2</v>
      </c>
      <c r="BP75" s="179">
        <f t="shared" si="142"/>
        <v>9.5549999999999996E-2</v>
      </c>
      <c r="BQ75" s="546"/>
      <c r="BS75" s="472">
        <f t="shared" si="160"/>
        <v>191.1</v>
      </c>
      <c r="BT75" s="546">
        <f t="shared" si="143"/>
        <v>1.0261451100862698E-2</v>
      </c>
      <c r="BU75" s="546">
        <f t="shared" si="144"/>
        <v>3.6074842563901692E-2</v>
      </c>
      <c r="BV75" s="546">
        <f t="shared" si="145"/>
        <v>8.1168395768778795E-2</v>
      </c>
      <c r="BW75" s="546">
        <f t="shared" si="146"/>
        <v>2.3183191195346363E-2</v>
      </c>
      <c r="BX75" s="546">
        <f t="shared" si="147"/>
        <v>0.16769903644574025</v>
      </c>
      <c r="BY75" s="656">
        <f t="shared" si="148"/>
        <v>6.2264420287874232E-2</v>
      </c>
      <c r="BZ75" s="472">
        <f t="shared" si="161"/>
        <v>229.96345673361449</v>
      </c>
      <c r="CA75" s="179">
        <f t="shared" si="162"/>
        <v>0.52921222038701121</v>
      </c>
      <c r="CB75" s="6">
        <f t="shared" si="163"/>
        <v>3.5</v>
      </c>
      <c r="CC75" s="179">
        <f t="shared" si="164"/>
        <v>0.86865615623091219</v>
      </c>
      <c r="CD75" s="6">
        <f t="shared" si="165"/>
        <v>86.865615623091216</v>
      </c>
      <c r="CE75">
        <f t="shared" si="166"/>
        <v>70</v>
      </c>
      <c r="CG75" s="581">
        <f t="shared" si="149"/>
        <v>-50</v>
      </c>
      <c r="CH75">
        <f t="shared" si="150"/>
        <v>-50</v>
      </c>
    </row>
    <row r="76" spans="5:86" x14ac:dyDescent="0.2">
      <c r="E76" s="176">
        <v>71</v>
      </c>
      <c r="F76" s="223">
        <f t="shared" si="167"/>
        <v>0.35499999999999998</v>
      </c>
      <c r="G76" s="223">
        <f t="shared" si="151"/>
        <v>0.35499999999999998</v>
      </c>
      <c r="H76" s="223">
        <f t="shared" si="101"/>
        <v>1.7749999999999999</v>
      </c>
      <c r="I76" s="223">
        <f t="shared" si="168"/>
        <v>1.7749999999999999</v>
      </c>
      <c r="J76" s="559">
        <f t="shared" si="102"/>
        <v>24</v>
      </c>
      <c r="K76" s="454">
        <f t="shared" si="103"/>
        <v>14.310988572947117</v>
      </c>
      <c r="L76" s="454">
        <f t="shared" si="104"/>
        <v>39.75</v>
      </c>
      <c r="M76" s="454"/>
      <c r="N76" s="223">
        <f t="shared" si="105"/>
        <v>0.39622641509433965</v>
      </c>
      <c r="O76" s="178">
        <f t="shared" si="152"/>
        <v>1.6047169811320754</v>
      </c>
      <c r="P76" s="178">
        <f t="shared" si="106"/>
        <v>3.2094339622641508</v>
      </c>
      <c r="Q76" s="223">
        <f t="shared" si="107"/>
        <v>0.3209433962264151</v>
      </c>
      <c r="R76" s="223">
        <f t="shared" si="108"/>
        <v>0.3209433962264151</v>
      </c>
      <c r="S76" s="454">
        <f t="shared" si="109"/>
        <v>4.5203295243157058</v>
      </c>
      <c r="T76" s="223">
        <f t="shared" si="110"/>
        <v>0.75</v>
      </c>
      <c r="U76" s="223">
        <f t="shared" si="111"/>
        <v>1.3750000000000002</v>
      </c>
      <c r="V76" s="223">
        <f t="shared" si="112"/>
        <v>2.3059203654443405</v>
      </c>
      <c r="W76" s="203">
        <f t="shared" si="113"/>
        <v>350</v>
      </c>
      <c r="X76" s="454">
        <f t="shared" si="153"/>
        <v>271.67118565991728</v>
      </c>
      <c r="Z76" s="223">
        <f t="shared" si="114"/>
        <v>0.58215254069982281</v>
      </c>
      <c r="AA76" s="179">
        <f t="shared" si="115"/>
        <v>1.7898631991931824</v>
      </c>
      <c r="AB76" s="179">
        <f t="shared" si="116"/>
        <v>0.54703603968059766</v>
      </c>
      <c r="AC76" s="179"/>
      <c r="AD76" s="179">
        <f t="shared" si="117"/>
        <v>0.46118407308886811</v>
      </c>
      <c r="AE76" s="563">
        <f t="shared" si="118"/>
        <v>3421.1454164284355</v>
      </c>
      <c r="AF76" s="546">
        <f t="shared" si="119"/>
        <v>3.6318245755748366E-2</v>
      </c>
      <c r="AH76" s="179">
        <f t="shared" si="120"/>
        <v>0.67899849855427596</v>
      </c>
      <c r="AI76" s="179">
        <f t="shared" si="121"/>
        <v>0.67899849855427596</v>
      </c>
      <c r="AJ76" s="179">
        <f t="shared" si="122"/>
        <v>1.591850739669834</v>
      </c>
      <c r="AL76" s="563">
        <f t="shared" si="123"/>
        <v>355</v>
      </c>
      <c r="AM76" s="472">
        <f t="shared" si="124"/>
        <v>271.67118565991728</v>
      </c>
      <c r="AO76" t="str">
        <f t="shared" si="154"/>
        <v/>
      </c>
      <c r="AP76" t="str">
        <f t="shared" si="125"/>
        <v/>
      </c>
      <c r="AR76" s="6">
        <f t="shared" si="155"/>
        <v>3.6809203654443405</v>
      </c>
      <c r="AS76" s="6">
        <f t="shared" si="126"/>
        <v>1.244830580682839</v>
      </c>
      <c r="AT76" s="6">
        <f t="shared" si="156"/>
        <v>2.4360897847615015</v>
      </c>
      <c r="AU76" s="179">
        <f t="shared" si="157"/>
        <v>0.33818459979983018</v>
      </c>
      <c r="AW76" s="6">
        <f t="shared" si="127"/>
        <v>13.072048611111116</v>
      </c>
      <c r="AX76" s="472">
        <f t="shared" si="128"/>
        <v>8.0752337285756521</v>
      </c>
      <c r="AY76" s="6">
        <f t="shared" si="129"/>
        <v>13.072048611111116</v>
      </c>
      <c r="AZ76" s="472">
        <f t="shared" si="130"/>
        <v>16.041408420138893</v>
      </c>
      <c r="BA76" s="6">
        <f t="shared" si="131"/>
        <v>0.16682327808455494</v>
      </c>
      <c r="BB76" s="6">
        <f t="shared" si="132"/>
        <v>40.859345999552453</v>
      </c>
      <c r="BC76" s="6"/>
      <c r="BD76" s="179">
        <f t="shared" si="158"/>
        <v>0.22797388485752088</v>
      </c>
      <c r="BE76" s="179">
        <f t="shared" si="133"/>
        <v>0.95674868880161601</v>
      </c>
      <c r="BF76" s="179">
        <f t="shared" si="134"/>
        <v>0.95674868880161601</v>
      </c>
      <c r="BG76" s="179"/>
      <c r="BH76" s="546">
        <f t="shared" si="135"/>
        <v>1.8190232261960565E-2</v>
      </c>
      <c r="BI76" s="546">
        <f t="shared" si="136"/>
        <v>5.4993427535631488E-2</v>
      </c>
      <c r="BJ76" s="546">
        <f t="shared" si="137"/>
        <v>3.3958898207489658E-3</v>
      </c>
      <c r="BK76" s="546">
        <f t="shared" si="138"/>
        <v>2.1462872639588654E-2</v>
      </c>
      <c r="BL76">
        <f t="shared" si="139"/>
        <v>6.96E-3</v>
      </c>
      <c r="BM76">
        <f t="shared" si="140"/>
        <v>0.10813969899596547</v>
      </c>
      <c r="BN76" s="472">
        <f t="shared" si="159"/>
        <v>108.13969899596547</v>
      </c>
      <c r="BO76" s="179">
        <f t="shared" si="141"/>
        <v>9.6915000000000001E-2</v>
      </c>
      <c r="BP76" s="179">
        <f t="shared" si="142"/>
        <v>9.6915000000000001E-2</v>
      </c>
      <c r="BQ76" s="546"/>
      <c r="BS76" s="472">
        <f t="shared" si="160"/>
        <v>193.83</v>
      </c>
      <c r="BT76" s="546">
        <f t="shared" si="143"/>
        <v>1.0394418435406038E-2</v>
      </c>
      <c r="BU76" s="546">
        <f t="shared" si="144"/>
        <v>3.661472214094446E-2</v>
      </c>
      <c r="BV76" s="546">
        <f t="shared" si="145"/>
        <v>8.2383124817125036E-2</v>
      </c>
      <c r="BW76" s="546">
        <f t="shared" si="146"/>
        <v>2.3107394803464795E-2</v>
      </c>
      <c r="BX76" s="546">
        <f t="shared" si="147"/>
        <v>0.16978423337087356</v>
      </c>
      <c r="BY76" s="656">
        <f t="shared" si="148"/>
        <v>6.2625500590435493E-2</v>
      </c>
      <c r="BZ76" s="472">
        <f t="shared" si="161"/>
        <v>232.40973396130903</v>
      </c>
      <c r="CA76" s="179">
        <f t="shared" si="162"/>
        <v>0.53437943295727452</v>
      </c>
      <c r="CB76" s="6">
        <f t="shared" si="163"/>
        <v>3.55</v>
      </c>
      <c r="CC76" s="179">
        <f t="shared" si="164"/>
        <v>0.86916508572996121</v>
      </c>
      <c r="CD76" s="6">
        <f t="shared" si="165"/>
        <v>86.916508572996122</v>
      </c>
      <c r="CE76">
        <f t="shared" si="166"/>
        <v>71</v>
      </c>
      <c r="CG76" s="581">
        <f t="shared" si="149"/>
        <v>-50</v>
      </c>
      <c r="CH76">
        <f t="shared" si="150"/>
        <v>-50</v>
      </c>
    </row>
    <row r="77" spans="5:86" x14ac:dyDescent="0.2">
      <c r="E77" s="176">
        <v>72</v>
      </c>
      <c r="F77" s="223">
        <f t="shared" si="167"/>
        <v>0.36</v>
      </c>
      <c r="G77" s="223">
        <f t="shared" si="151"/>
        <v>0.36</v>
      </c>
      <c r="H77" s="223">
        <f t="shared" si="101"/>
        <v>1.7999999999999998</v>
      </c>
      <c r="I77" s="223">
        <f t="shared" si="168"/>
        <v>1.7999999999999998</v>
      </c>
      <c r="J77" s="559">
        <f t="shared" si="102"/>
        <v>24</v>
      </c>
      <c r="K77" s="454">
        <f t="shared" si="103"/>
        <v>14.122641509433961</v>
      </c>
      <c r="L77" s="454">
        <f t="shared" si="104"/>
        <v>39.75</v>
      </c>
      <c r="M77" s="454"/>
      <c r="N77" s="223">
        <f t="shared" si="105"/>
        <v>0.39622641509433965</v>
      </c>
      <c r="O77" s="178">
        <f t="shared" si="152"/>
        <v>1.6047169811320754</v>
      </c>
      <c r="P77" s="178">
        <f t="shared" si="106"/>
        <v>3.2094339622641508</v>
      </c>
      <c r="Q77" s="223">
        <f t="shared" si="107"/>
        <v>0.3209433962264151</v>
      </c>
      <c r="R77" s="223">
        <f t="shared" si="108"/>
        <v>0.3209433962264151</v>
      </c>
      <c r="S77" s="454">
        <f t="shared" si="109"/>
        <v>4.4575471698113205</v>
      </c>
      <c r="T77" s="223">
        <f t="shared" si="110"/>
        <v>0.75</v>
      </c>
      <c r="U77" s="223">
        <f t="shared" si="111"/>
        <v>1.3750000000000002</v>
      </c>
      <c r="V77" s="223">
        <f t="shared" si="112"/>
        <v>2.3366733466933871</v>
      </c>
      <c r="W77" s="203">
        <f t="shared" si="113"/>
        <v>350</v>
      </c>
      <c r="X77" s="454">
        <f t="shared" si="153"/>
        <v>269.42026051157455</v>
      </c>
      <c r="Z77" s="223">
        <f t="shared" si="114"/>
        <v>0.57732912966765959</v>
      </c>
      <c r="AA77" s="179">
        <f t="shared" si="115"/>
        <v>1.7987061194188139</v>
      </c>
      <c r="AB77" s="179">
        <f t="shared" si="116"/>
        <v>0.54518385518727752</v>
      </c>
      <c r="AC77" s="179"/>
      <c r="AD77" s="179">
        <f t="shared" si="117"/>
        <v>0.46733466933867734</v>
      </c>
      <c r="AE77" s="563">
        <f t="shared" si="118"/>
        <v>3423.6706689536877</v>
      </c>
      <c r="AF77" s="546">
        <f t="shared" si="119"/>
        <v>3.6802605210420836E-2</v>
      </c>
      <c r="AH77" s="179">
        <f t="shared" si="120"/>
        <v>0.68376345875782762</v>
      </c>
      <c r="AI77" s="179">
        <f t="shared" si="121"/>
        <v>0.68376345875782762</v>
      </c>
      <c r="AJ77" s="179">
        <f t="shared" si="122"/>
        <v>1.595380339820613</v>
      </c>
      <c r="AL77" s="563">
        <f t="shared" si="123"/>
        <v>360</v>
      </c>
      <c r="AM77" s="472">
        <f t="shared" si="124"/>
        <v>269.42026051157455</v>
      </c>
      <c r="AO77" t="str">
        <f t="shared" si="154"/>
        <v/>
      </c>
      <c r="AP77" t="str">
        <f t="shared" si="125"/>
        <v/>
      </c>
      <c r="AR77" s="6">
        <f t="shared" si="155"/>
        <v>3.7116733466933867</v>
      </c>
      <c r="AS77" s="6">
        <f t="shared" si="126"/>
        <v>1.2535663410560174</v>
      </c>
      <c r="AT77" s="6">
        <f t="shared" si="156"/>
        <v>2.4581070056373693</v>
      </c>
      <c r="AU77" s="179">
        <f t="shared" si="157"/>
        <v>0.3377361701758535</v>
      </c>
      <c r="AW77" s="6">
        <f t="shared" si="127"/>
        <v>13.072048611111116</v>
      </c>
      <c r="AX77" s="472">
        <f t="shared" si="128"/>
        <v>8.2890957446808535</v>
      </c>
      <c r="AY77" s="6">
        <f t="shared" si="129"/>
        <v>13.072048611111116</v>
      </c>
      <c r="AZ77" s="472">
        <f t="shared" si="130"/>
        <v>16.481250000000003</v>
      </c>
      <c r="BA77" s="6">
        <f t="shared" si="131"/>
        <v>0.17070187539148396</v>
      </c>
      <c r="BB77" s="6">
        <f t="shared" si="132"/>
        <v>41.801783427289486</v>
      </c>
      <c r="BC77" s="6"/>
      <c r="BD77" s="179">
        <f t="shared" si="158"/>
        <v>0.22942146442539776</v>
      </c>
      <c r="BE77" s="179">
        <f t="shared" si="133"/>
        <v>0.963789150979381</v>
      </c>
      <c r="BF77" s="179">
        <f t="shared" si="134"/>
        <v>0.963789150979381</v>
      </c>
      <c r="BG77" s="179"/>
      <c r="BH77" s="546">
        <f t="shared" si="135"/>
        <v>1.8421972918682916E-2</v>
      </c>
      <c r="BI77" s="546">
        <f t="shared" si="136"/>
        <v>5.4920506763823443E-2</v>
      </c>
      <c r="BJ77" s="546">
        <f t="shared" si="137"/>
        <v>3.3677532563946818E-3</v>
      </c>
      <c r="BK77" s="546">
        <f t="shared" si="138"/>
        <v>2.1285042518728488E-2</v>
      </c>
      <c r="BL77">
        <f t="shared" si="139"/>
        <v>6.96E-3</v>
      </c>
      <c r="BM77">
        <f t="shared" si="140"/>
        <v>0.10813247448515212</v>
      </c>
      <c r="BN77" s="472">
        <f t="shared" si="159"/>
        <v>108.13247448515212</v>
      </c>
      <c r="BO77" s="179">
        <f t="shared" si="141"/>
        <v>9.8280000000000006E-2</v>
      </c>
      <c r="BP77" s="179">
        <f t="shared" si="142"/>
        <v>9.8280000000000006E-2</v>
      </c>
      <c r="BQ77" s="546"/>
      <c r="BS77" s="472">
        <f t="shared" si="160"/>
        <v>196.56</v>
      </c>
      <c r="BT77" s="546">
        <f t="shared" si="143"/>
        <v>1.0526841667818811E-2</v>
      </c>
      <c r="BU77" s="546">
        <f t="shared" si="144"/>
        <v>3.7155581101822245E-2</v>
      </c>
      <c r="BV77" s="546">
        <f t="shared" si="145"/>
        <v>8.3600057479100043E-2</v>
      </c>
      <c r="BW77" s="546">
        <f t="shared" si="146"/>
        <v>2.3030870490485592E-2</v>
      </c>
      <c r="BX77" s="546">
        <f t="shared" si="147"/>
        <v>0.17187235468986575</v>
      </c>
      <c r="BY77" s="656">
        <f t="shared" si="148"/>
        <v>6.2981359600108325E-2</v>
      </c>
      <c r="BZ77" s="472">
        <f t="shared" si="161"/>
        <v>234.85371428997408</v>
      </c>
      <c r="CA77" s="179">
        <f t="shared" si="162"/>
        <v>0.53954618877512617</v>
      </c>
      <c r="CB77" s="6">
        <f t="shared" si="163"/>
        <v>3.5999999999999996</v>
      </c>
      <c r="CC77" s="179">
        <f t="shared" si="164"/>
        <v>0.8696605463086341</v>
      </c>
      <c r="CD77" s="6">
        <f t="shared" si="165"/>
        <v>86.966054630863411</v>
      </c>
      <c r="CE77">
        <f t="shared" si="166"/>
        <v>72</v>
      </c>
      <c r="CG77" s="581">
        <f t="shared" si="149"/>
        <v>-50</v>
      </c>
      <c r="CH77">
        <f t="shared" si="150"/>
        <v>-50</v>
      </c>
    </row>
    <row r="78" spans="5:86" x14ac:dyDescent="0.2">
      <c r="E78" s="176">
        <v>73</v>
      </c>
      <c r="F78" s="223">
        <f t="shared" si="167"/>
        <v>0.36499999999999999</v>
      </c>
      <c r="G78" s="223">
        <f t="shared" si="151"/>
        <v>0.36499999999999999</v>
      </c>
      <c r="H78" s="223">
        <f t="shared" si="101"/>
        <v>1.825</v>
      </c>
      <c r="I78" s="223">
        <f t="shared" si="168"/>
        <v>1.825</v>
      </c>
      <c r="J78" s="559">
        <f t="shared" si="102"/>
        <v>24</v>
      </c>
      <c r="K78" s="454">
        <f t="shared" si="103"/>
        <v>13.939454639441717</v>
      </c>
      <c r="L78" s="454">
        <f t="shared" si="104"/>
        <v>39.75</v>
      </c>
      <c r="M78" s="454"/>
      <c r="N78" s="223">
        <f t="shared" si="105"/>
        <v>0.39622641509433965</v>
      </c>
      <c r="O78" s="178">
        <f t="shared" si="152"/>
        <v>1.6047169811320754</v>
      </c>
      <c r="P78" s="178">
        <f t="shared" si="106"/>
        <v>3.2094339622641508</v>
      </c>
      <c r="Q78" s="223">
        <f t="shared" si="107"/>
        <v>0.3209433962264151</v>
      </c>
      <c r="R78" s="223">
        <f t="shared" si="108"/>
        <v>0.3209433962264151</v>
      </c>
      <c r="S78" s="454">
        <f t="shared" si="109"/>
        <v>4.3964848798139053</v>
      </c>
      <c r="T78" s="223">
        <f t="shared" si="110"/>
        <v>0.75</v>
      </c>
      <c r="U78" s="223">
        <f t="shared" si="111"/>
        <v>1.3750000000000002</v>
      </c>
      <c r="V78" s="223">
        <f t="shared" si="112"/>
        <v>2.3673809954247731</v>
      </c>
      <c r="W78" s="203">
        <f t="shared" si="113"/>
        <v>350</v>
      </c>
      <c r="X78" s="454">
        <f t="shared" si="153"/>
        <v>267.20956557404082</v>
      </c>
      <c r="Z78" s="223">
        <f t="shared" si="114"/>
        <v>0.57259192623008748</v>
      </c>
      <c r="AA78" s="179">
        <f t="shared" si="115"/>
        <v>1.8073909923876967</v>
      </c>
      <c r="AB78" s="179">
        <f t="shared" si="116"/>
        <v>0.54332118213564484</v>
      </c>
      <c r="AC78" s="179"/>
      <c r="AD78" s="179">
        <f t="shared" si="117"/>
        <v>0.47347619908495453</v>
      </c>
      <c r="AE78" s="563">
        <f t="shared" si="118"/>
        <v>3426.1959214789413</v>
      </c>
      <c r="AF78" s="546">
        <f t="shared" si="119"/>
        <v>3.7286250677940162E-2</v>
      </c>
      <c r="AH78" s="179">
        <f t="shared" si="120"/>
        <v>0.68849544226957238</v>
      </c>
      <c r="AI78" s="179">
        <f t="shared" si="121"/>
        <v>0.68849544226957238</v>
      </c>
      <c r="AJ78" s="179">
        <f t="shared" si="122"/>
        <v>1.5988855127922759</v>
      </c>
      <c r="AL78" s="563">
        <f t="shared" si="123"/>
        <v>365</v>
      </c>
      <c r="AM78" s="472">
        <f t="shared" si="124"/>
        <v>267.20956557404082</v>
      </c>
      <c r="AO78" t="str">
        <f t="shared" si="154"/>
        <v/>
      </c>
      <c r="AP78" t="str">
        <f t="shared" si="125"/>
        <v/>
      </c>
      <c r="AR78" s="6">
        <f t="shared" si="155"/>
        <v>3.7423809954247731</v>
      </c>
      <c r="AS78" s="6">
        <f t="shared" si="126"/>
        <v>1.2622416441608828</v>
      </c>
      <c r="AT78" s="6">
        <f t="shared" si="156"/>
        <v>2.4801393512638903</v>
      </c>
      <c r="AU78" s="179">
        <f t="shared" si="157"/>
        <v>0.33728304138569248</v>
      </c>
      <c r="AW78" s="6">
        <f t="shared" si="127"/>
        <v>13.072048611111116</v>
      </c>
      <c r="AX78" s="472">
        <f t="shared" si="128"/>
        <v>8.5057390477245871</v>
      </c>
      <c r="AY78" s="6">
        <f t="shared" si="129"/>
        <v>13.072048611111116</v>
      </c>
      <c r="AZ78" s="472">
        <f t="shared" si="130"/>
        <v>16.927033420138891</v>
      </c>
      <c r="BA78" s="6">
        <f t="shared" si="131"/>
        <v>0.17462400910712189</v>
      </c>
      <c r="BB78" s="6">
        <f t="shared" si="132"/>
        <v>42.754669593116652</v>
      </c>
      <c r="BC78" s="6"/>
      <c r="BD78" s="179">
        <f t="shared" si="158"/>
        <v>0.23085415469172724</v>
      </c>
      <c r="BE78" s="179">
        <f t="shared" si="133"/>
        <v>0.97079099472133268</v>
      </c>
      <c r="BF78" s="179">
        <f t="shared" si="134"/>
        <v>0.97079099472133268</v>
      </c>
      <c r="BG78" s="179"/>
      <c r="BH78" s="546">
        <f t="shared" si="135"/>
        <v>1.8652774258451174E-2</v>
      </c>
      <c r="BI78" s="546">
        <f t="shared" si="136"/>
        <v>5.4846821843514304E-2</v>
      </c>
      <c r="BJ78" s="546">
        <f t="shared" si="137"/>
        <v>3.3401195696755102E-3</v>
      </c>
      <c r="BK78" s="546">
        <f t="shared" si="138"/>
        <v>2.1110390710241643E-2</v>
      </c>
      <c r="BL78">
        <f t="shared" si="139"/>
        <v>6.96E-3</v>
      </c>
      <c r="BM78">
        <f t="shared" si="140"/>
        <v>0.10812707634315093</v>
      </c>
      <c r="BN78" s="472">
        <f t="shared" si="159"/>
        <v>108.12707634315093</v>
      </c>
      <c r="BO78" s="179">
        <f t="shared" si="141"/>
        <v>9.9644999999999997E-2</v>
      </c>
      <c r="BP78" s="179">
        <f t="shared" si="142"/>
        <v>9.9644999999999997E-2</v>
      </c>
      <c r="BQ78" s="546"/>
      <c r="BS78" s="472">
        <f t="shared" si="160"/>
        <v>199.29</v>
      </c>
      <c r="BT78" s="546">
        <f t="shared" si="143"/>
        <v>1.0658728147686387E-2</v>
      </c>
      <c r="BU78" s="546">
        <f t="shared" si="144"/>
        <v>3.7697406217281383E-2</v>
      </c>
      <c r="BV78" s="546">
        <f t="shared" si="145"/>
        <v>8.4819163988883117E-2</v>
      </c>
      <c r="BW78" s="546">
        <f t="shared" si="146"/>
        <v>2.2953698924415868E-2</v>
      </c>
      <c r="BX78" s="546">
        <f t="shared" si="147"/>
        <v>0.17396344376279074</v>
      </c>
      <c r="BY78" s="656">
        <f t="shared" si="148"/>
        <v>6.3332137295146057E-2</v>
      </c>
      <c r="BZ78" s="472">
        <f t="shared" si="161"/>
        <v>237.2955810579368</v>
      </c>
      <c r="CA78" s="179">
        <f t="shared" si="162"/>
        <v>0.54471265740108776</v>
      </c>
      <c r="CB78" s="6">
        <f t="shared" si="163"/>
        <v>3.65</v>
      </c>
      <c r="CC78" s="179">
        <f t="shared" si="164"/>
        <v>0.87014303436493923</v>
      </c>
      <c r="CD78" s="6">
        <f t="shared" si="165"/>
        <v>87.014303436493918</v>
      </c>
      <c r="CE78">
        <f t="shared" si="166"/>
        <v>73</v>
      </c>
      <c r="CG78" s="581">
        <f t="shared" si="149"/>
        <v>-50</v>
      </c>
      <c r="CH78">
        <f t="shared" si="150"/>
        <v>-50</v>
      </c>
    </row>
    <row r="79" spans="5:86" x14ac:dyDescent="0.2">
      <c r="E79" s="176">
        <v>74</v>
      </c>
      <c r="F79" s="223">
        <f t="shared" si="167"/>
        <v>0.37</v>
      </c>
      <c r="G79" s="223">
        <f t="shared" si="151"/>
        <v>0.37</v>
      </c>
      <c r="H79" s="223">
        <f t="shared" si="101"/>
        <v>1.85</v>
      </c>
      <c r="I79" s="223">
        <f t="shared" si="168"/>
        <v>1.85</v>
      </c>
      <c r="J79" s="559">
        <f t="shared" si="102"/>
        <v>24</v>
      </c>
      <c r="K79" s="454">
        <f t="shared" si="103"/>
        <v>13.761218765935748</v>
      </c>
      <c r="L79" s="454">
        <f t="shared" si="104"/>
        <v>39.75</v>
      </c>
      <c r="M79" s="454"/>
      <c r="N79" s="223">
        <f t="shared" si="105"/>
        <v>0.39622641509433965</v>
      </c>
      <c r="O79" s="178">
        <f t="shared" si="152"/>
        <v>1.6047169811320754</v>
      </c>
      <c r="P79" s="178">
        <f t="shared" si="106"/>
        <v>3.2094339622641508</v>
      </c>
      <c r="Q79" s="223">
        <f t="shared" si="107"/>
        <v>0.3209433962264151</v>
      </c>
      <c r="R79" s="223">
        <f t="shared" si="108"/>
        <v>0.3209433962264151</v>
      </c>
      <c r="S79" s="454">
        <f t="shared" si="109"/>
        <v>4.3370729219785824</v>
      </c>
      <c r="T79" s="223">
        <f t="shared" si="110"/>
        <v>0.75</v>
      </c>
      <c r="U79" s="223">
        <f t="shared" si="111"/>
        <v>1.3750000000000002</v>
      </c>
      <c r="V79" s="223">
        <f t="shared" si="112"/>
        <v>2.3980434118006726</v>
      </c>
      <c r="W79" s="203">
        <f t="shared" si="113"/>
        <v>350</v>
      </c>
      <c r="X79" s="454">
        <f t="shared" si="153"/>
        <v>265.03803186371323</v>
      </c>
      <c r="Z79" s="223">
        <f t="shared" si="114"/>
        <v>0.56793863970795699</v>
      </c>
      <c r="AA79" s="179">
        <f t="shared" si="115"/>
        <v>1.8159220176782693</v>
      </c>
      <c r="AB79" s="179">
        <f t="shared" si="116"/>
        <v>0.54144944728136057</v>
      </c>
      <c r="AC79" s="179"/>
      <c r="AD79" s="179">
        <f t="shared" si="117"/>
        <v>0.47960868236013443</v>
      </c>
      <c r="AE79" s="563">
        <f t="shared" si="118"/>
        <v>3428.7211740041939</v>
      </c>
      <c r="AF79" s="546">
        <f t="shared" si="119"/>
        <v>3.7769183735860579E-2</v>
      </c>
      <c r="AH79" s="179">
        <f t="shared" si="120"/>
        <v>0.69319512441987108</v>
      </c>
      <c r="AI79" s="179">
        <f t="shared" si="121"/>
        <v>0.69319512441987108</v>
      </c>
      <c r="AJ79" s="179">
        <f t="shared" si="122"/>
        <v>1.6023667588295341</v>
      </c>
      <c r="AL79" s="563">
        <f t="shared" si="123"/>
        <v>370</v>
      </c>
      <c r="AM79" s="472">
        <f t="shared" si="124"/>
        <v>265.03803186371323</v>
      </c>
      <c r="AO79" t="str">
        <f t="shared" si="154"/>
        <v/>
      </c>
      <c r="AP79" t="str">
        <f t="shared" si="125"/>
        <v/>
      </c>
      <c r="AR79" s="6">
        <f t="shared" si="155"/>
        <v>3.7730434118006726</v>
      </c>
      <c r="AS79" s="6">
        <f t="shared" si="126"/>
        <v>1.2708577281030971</v>
      </c>
      <c r="AT79" s="6">
        <f t="shared" si="156"/>
        <v>2.5021856836975758</v>
      </c>
      <c r="AU79" s="179">
        <f t="shared" si="157"/>
        <v>0.33682563103523488</v>
      </c>
      <c r="AW79" s="6">
        <f t="shared" si="127"/>
        <v>13.072048611111116</v>
      </c>
      <c r="AX79" s="472">
        <f t="shared" si="128"/>
        <v>8.7251636377068564</v>
      </c>
      <c r="AY79" s="6">
        <f t="shared" si="129"/>
        <v>13.072048611111116</v>
      </c>
      <c r="AZ79" s="472">
        <f t="shared" si="130"/>
        <v>17.378758680555556</v>
      </c>
      <c r="BA79" s="6">
        <f t="shared" si="131"/>
        <v>0.17858964177625442</v>
      </c>
      <c r="BB79" s="6">
        <f t="shared" si="132"/>
        <v>43.717995507782547</v>
      </c>
      <c r="BC79" s="6"/>
      <c r="BD79" s="179">
        <f t="shared" si="158"/>
        <v>0.2322723094779755</v>
      </c>
      <c r="BE79" s="179">
        <f t="shared" si="133"/>
        <v>0.97775488227180418</v>
      </c>
      <c r="BF79" s="179">
        <f t="shared" si="134"/>
        <v>0.97775488227180418</v>
      </c>
      <c r="BG79" s="179"/>
      <c r="BH79" s="546">
        <f t="shared" si="135"/>
        <v>1.8882649012581347E-2</v>
      </c>
      <c r="BI79" s="546">
        <f t="shared" si="136"/>
        <v>5.4772440683116014E-2</v>
      </c>
      <c r="BJ79" s="546">
        <f t="shared" si="137"/>
        <v>3.3129753982964151E-3</v>
      </c>
      <c r="BK79" s="546">
        <f t="shared" si="138"/>
        <v>2.093883276108292E-2</v>
      </c>
      <c r="BL79">
        <f t="shared" si="139"/>
        <v>6.96E-3</v>
      </c>
      <c r="BM79">
        <f t="shared" si="140"/>
        <v>0.10812348993776695</v>
      </c>
      <c r="BN79" s="472">
        <f t="shared" si="159"/>
        <v>108.12348993776695</v>
      </c>
      <c r="BO79" s="179">
        <f t="shared" si="141"/>
        <v>0.10101</v>
      </c>
      <c r="BP79" s="179">
        <f t="shared" si="142"/>
        <v>0.10101</v>
      </c>
      <c r="BQ79" s="546"/>
      <c r="BS79" s="472">
        <f t="shared" si="160"/>
        <v>202.02</v>
      </c>
      <c r="BT79" s="546">
        <f t="shared" si="143"/>
        <v>1.0790085150046487E-2</v>
      </c>
      <c r="BU79" s="546">
        <f t="shared" si="144"/>
        <v>3.8240184392253983E-2</v>
      </c>
      <c r="BV79" s="546">
        <f t="shared" si="145"/>
        <v>8.6040414882571456E-2</v>
      </c>
      <c r="BW79" s="546">
        <f t="shared" si="146"/>
        <v>2.2875955741568407E-2</v>
      </c>
      <c r="BX79" s="546">
        <f t="shared" si="147"/>
        <v>0.1760575392837623</v>
      </c>
      <c r="BY79" s="656">
        <f t="shared" si="148"/>
        <v>6.3677968694528533E-2</v>
      </c>
      <c r="BZ79" s="472">
        <f t="shared" si="161"/>
        <v>239.73550797829085</v>
      </c>
      <c r="CA79" s="179">
        <f t="shared" si="162"/>
        <v>0.54987899791605788</v>
      </c>
      <c r="CB79" s="6">
        <f t="shared" si="163"/>
        <v>3.7</v>
      </c>
      <c r="CC79" s="179">
        <f t="shared" si="164"/>
        <v>0.87061302258589179</v>
      </c>
      <c r="CD79" s="6">
        <f t="shared" si="165"/>
        <v>87.06130225858918</v>
      </c>
      <c r="CE79">
        <f t="shared" si="166"/>
        <v>74</v>
      </c>
      <c r="CG79" s="581">
        <f t="shared" si="149"/>
        <v>-50</v>
      </c>
      <c r="CH79">
        <f t="shared" si="150"/>
        <v>-50</v>
      </c>
    </row>
    <row r="80" spans="5:86" x14ac:dyDescent="0.2">
      <c r="E80" s="176">
        <v>75</v>
      </c>
      <c r="F80" s="223">
        <f t="shared" si="167"/>
        <v>0.375</v>
      </c>
      <c r="G80" s="223">
        <f t="shared" si="151"/>
        <v>0.375</v>
      </c>
      <c r="H80" s="223">
        <f t="shared" si="101"/>
        <v>1.875</v>
      </c>
      <c r="I80" s="223">
        <f t="shared" si="168"/>
        <v>1.875</v>
      </c>
      <c r="J80" s="559">
        <f t="shared" si="102"/>
        <v>24</v>
      </c>
      <c r="K80" s="454">
        <f t="shared" si="103"/>
        <v>13.587735849056603</v>
      </c>
      <c r="L80" s="454">
        <f t="shared" si="104"/>
        <v>39.75</v>
      </c>
      <c r="M80" s="454"/>
      <c r="N80" s="223">
        <f t="shared" si="105"/>
        <v>0.39622641509433965</v>
      </c>
      <c r="O80" s="178">
        <f t="shared" si="152"/>
        <v>1.6047169811320754</v>
      </c>
      <c r="P80" s="178">
        <f t="shared" si="106"/>
        <v>3.2094339622641508</v>
      </c>
      <c r="Q80" s="223">
        <f t="shared" si="107"/>
        <v>0.3209433962264151</v>
      </c>
      <c r="R80" s="223">
        <f t="shared" si="108"/>
        <v>0.3209433962264151</v>
      </c>
      <c r="S80" s="454">
        <f t="shared" si="109"/>
        <v>4.2792452830188674</v>
      </c>
      <c r="T80" s="223">
        <f t="shared" si="110"/>
        <v>0.75</v>
      </c>
      <c r="U80" s="223">
        <f t="shared" si="111"/>
        <v>1.3750000000000002</v>
      </c>
      <c r="V80" s="223">
        <f t="shared" si="112"/>
        <v>2.4286606956883983</v>
      </c>
      <c r="W80" s="203">
        <f t="shared" si="113"/>
        <v>350</v>
      </c>
      <c r="X80" s="454">
        <f t="shared" si="153"/>
        <v>262.90462793738152</v>
      </c>
      <c r="Z80" s="223">
        <f t="shared" si="114"/>
        <v>0.56336705986581748</v>
      </c>
      <c r="AA80" s="179">
        <f t="shared" si="115"/>
        <v>1.8243032473888583</v>
      </c>
      <c r="AB80" s="179">
        <f t="shared" si="116"/>
        <v>0.53956998731219019</v>
      </c>
      <c r="AC80" s="179"/>
      <c r="AD80" s="179">
        <f t="shared" si="117"/>
        <v>0.48573213913767965</v>
      </c>
      <c r="AE80" s="563">
        <f t="shared" si="118"/>
        <v>3431.2464265294461</v>
      </c>
      <c r="AF80" s="546">
        <f t="shared" si="119"/>
        <v>3.8251405957092276E-2</v>
      </c>
      <c r="AH80" s="179">
        <f t="shared" si="120"/>
        <v>0.69786315779885311</v>
      </c>
      <c r="AI80" s="179">
        <f t="shared" si="121"/>
        <v>0.69786315779885311</v>
      </c>
      <c r="AJ80" s="179">
        <f t="shared" si="122"/>
        <v>1.6058245613324837</v>
      </c>
      <c r="AL80" s="563">
        <f t="shared" si="123"/>
        <v>375</v>
      </c>
      <c r="AM80" s="472">
        <f t="shared" si="124"/>
        <v>262.90462793738152</v>
      </c>
      <c r="AO80" t="str">
        <f t="shared" si="154"/>
        <v/>
      </c>
      <c r="AP80" t="str">
        <f t="shared" si="125"/>
        <v/>
      </c>
      <c r="AR80" s="6">
        <f t="shared" si="155"/>
        <v>3.8036606956883978</v>
      </c>
      <c r="AS80" s="6">
        <f t="shared" si="126"/>
        <v>1.2794157892978975</v>
      </c>
      <c r="AT80" s="6">
        <f t="shared" si="156"/>
        <v>2.5242449063905004</v>
      </c>
      <c r="AU80" s="179">
        <f t="shared" si="157"/>
        <v>0.33636433206257504</v>
      </c>
      <c r="AW80" s="6">
        <f t="shared" si="127"/>
        <v>13.072048611111116</v>
      </c>
      <c r="AX80" s="472">
        <f t="shared" si="128"/>
        <v>8.9473695146276633</v>
      </c>
      <c r="AY80" s="6">
        <f t="shared" si="129"/>
        <v>13.072048611111116</v>
      </c>
      <c r="AZ80" s="472">
        <f t="shared" si="130"/>
        <v>17.836425781250007</v>
      </c>
      <c r="BA80" s="6">
        <f t="shared" si="131"/>
        <v>0.18259873454792391</v>
      </c>
      <c r="BB80" s="6">
        <f t="shared" si="132"/>
        <v>44.691751847057297</v>
      </c>
      <c r="BC80" s="6"/>
      <c r="BD80" s="179">
        <f t="shared" si="158"/>
        <v>0.23367627042728928</v>
      </c>
      <c r="BE80" s="179">
        <f t="shared" si="133"/>
        <v>0.98468145447738176</v>
      </c>
      <c r="BF80" s="179">
        <f t="shared" si="134"/>
        <v>0.98468145447738176</v>
      </c>
      <c r="BG80" s="179"/>
      <c r="BH80" s="546">
        <f t="shared" si="135"/>
        <v>1.9111609776282668E-2</v>
      </c>
      <c r="BI80" s="546">
        <f t="shared" si="136"/>
        <v>5.4697427179720995E-2</v>
      </c>
      <c r="BJ80" s="546">
        <f t="shared" si="137"/>
        <v>3.2863078492172686E-3</v>
      </c>
      <c r="BK80" s="546">
        <f t="shared" si="138"/>
        <v>2.0770287184015447E-2</v>
      </c>
      <c r="BL80">
        <f t="shared" si="139"/>
        <v>6.96E-3</v>
      </c>
      <c r="BM80">
        <f t="shared" si="140"/>
        <v>0.1081216998877676</v>
      </c>
      <c r="BN80" s="472">
        <f t="shared" si="159"/>
        <v>108.12169988776759</v>
      </c>
      <c r="BO80" s="179">
        <f t="shared" si="141"/>
        <v>0.10237499999999999</v>
      </c>
      <c r="BP80" s="179">
        <f t="shared" si="142"/>
        <v>0.10237499999999999</v>
      </c>
      <c r="BQ80" s="546"/>
      <c r="BS80" s="472">
        <f t="shared" si="160"/>
        <v>204.75</v>
      </c>
      <c r="BT80" s="546">
        <f t="shared" si="143"/>
        <v>1.0920919872161526E-2</v>
      </c>
      <c r="BU80" s="546">
        <f t="shared" si="144"/>
        <v>3.8783902671667682E-2</v>
      </c>
      <c r="BV80" s="546">
        <f t="shared" si="145"/>
        <v>8.7263781011252289E-2</v>
      </c>
      <c r="BW80" s="546">
        <f t="shared" si="146"/>
        <v>2.2797711858773578E-2</v>
      </c>
      <c r="BX80" s="546">
        <f t="shared" si="147"/>
        <v>0.17815467561128781</v>
      </c>
      <c r="BY80" s="656">
        <f t="shared" si="148"/>
        <v>6.4018984075661103E-2</v>
      </c>
      <c r="BZ80" s="472">
        <f t="shared" si="161"/>
        <v>242.17365968694892</v>
      </c>
      <c r="CA80" s="179">
        <f t="shared" si="162"/>
        <v>0.55504535957471646</v>
      </c>
      <c r="CB80" s="6">
        <f t="shared" si="163"/>
        <v>3.75</v>
      </c>
      <c r="CC80" s="179">
        <f t="shared" si="164"/>
        <v>0.87107096134533002</v>
      </c>
      <c r="CD80" s="6">
        <f t="shared" si="165"/>
        <v>87.107096134533009</v>
      </c>
      <c r="CE80">
        <f t="shared" si="166"/>
        <v>75</v>
      </c>
      <c r="CG80" s="581">
        <f t="shared" si="149"/>
        <v>-50</v>
      </c>
      <c r="CH80">
        <f t="shared" si="150"/>
        <v>-50</v>
      </c>
    </row>
    <row r="81" spans="5:86" x14ac:dyDescent="0.2">
      <c r="E81" s="176">
        <v>76</v>
      </c>
      <c r="F81" s="223">
        <f t="shared" si="167"/>
        <v>0.38</v>
      </c>
      <c r="G81" s="223">
        <f t="shared" si="151"/>
        <v>0.38</v>
      </c>
      <c r="H81" s="223">
        <f t="shared" si="101"/>
        <v>1.9</v>
      </c>
      <c r="I81" s="223">
        <f t="shared" si="168"/>
        <v>1.9</v>
      </c>
      <c r="J81" s="559">
        <f t="shared" si="102"/>
        <v>24</v>
      </c>
      <c r="K81" s="454">
        <f t="shared" si="103"/>
        <v>13.418818272095331</v>
      </c>
      <c r="L81" s="454">
        <f t="shared" si="104"/>
        <v>39.75</v>
      </c>
      <c r="M81" s="454"/>
      <c r="N81" s="223">
        <f t="shared" si="105"/>
        <v>0.39622641509433965</v>
      </c>
      <c r="O81" s="178">
        <f t="shared" si="152"/>
        <v>1.6047169811320754</v>
      </c>
      <c r="P81" s="178">
        <f t="shared" si="106"/>
        <v>3.2094339622641508</v>
      </c>
      <c r="Q81" s="223">
        <f t="shared" si="107"/>
        <v>0.3209433962264151</v>
      </c>
      <c r="R81" s="223">
        <f t="shared" si="108"/>
        <v>0.3209433962264151</v>
      </c>
      <c r="S81" s="454">
        <f t="shared" si="109"/>
        <v>4.222939424031777</v>
      </c>
      <c r="T81" s="223">
        <f t="shared" si="110"/>
        <v>0.75</v>
      </c>
      <c r="U81" s="223">
        <f t="shared" si="111"/>
        <v>1.3750000000000002</v>
      </c>
      <c r="V81" s="223">
        <f t="shared" si="112"/>
        <v>2.4592329466614871</v>
      </c>
      <c r="W81" s="203">
        <f t="shared" si="113"/>
        <v>350</v>
      </c>
      <c r="X81" s="454">
        <f t="shared" si="153"/>
        <v>260.80835825864784</v>
      </c>
      <c r="Z81" s="223">
        <f t="shared" si="114"/>
        <v>0.55887505341138821</v>
      </c>
      <c r="AA81" s="179">
        <f t="shared" si="115"/>
        <v>1.8325385925553122</v>
      </c>
      <c r="AB81" s="179">
        <f t="shared" si="116"/>
        <v>0.5376840544912096</v>
      </c>
      <c r="AC81" s="179"/>
      <c r="AD81" s="179">
        <f t="shared" si="117"/>
        <v>0.4918465893322973</v>
      </c>
      <c r="AE81" s="563">
        <f t="shared" si="118"/>
        <v>3433.7716790546983</v>
      </c>
      <c r="AF81" s="546">
        <f t="shared" si="119"/>
        <v>3.873291890991841E-2</v>
      </c>
      <c r="AH81" s="179">
        <f t="shared" si="120"/>
        <v>0.70250017331420889</v>
      </c>
      <c r="AI81" s="179">
        <f t="shared" si="121"/>
        <v>0.70250017331420889</v>
      </c>
      <c r="AJ81" s="179">
        <f t="shared" si="122"/>
        <v>1.6092593876401546</v>
      </c>
      <c r="AL81" s="563">
        <f t="shared" si="123"/>
        <v>380</v>
      </c>
      <c r="AM81" s="472">
        <f t="shared" si="124"/>
        <v>260.80835825864784</v>
      </c>
      <c r="AO81" t="str">
        <f t="shared" si="154"/>
        <v/>
      </c>
      <c r="AP81" t="str">
        <f t="shared" si="125"/>
        <v/>
      </c>
      <c r="AR81" s="6">
        <f t="shared" si="155"/>
        <v>3.8342329466614866</v>
      </c>
      <c r="AS81" s="6">
        <f t="shared" si="126"/>
        <v>1.287916984409383</v>
      </c>
      <c r="AT81" s="6">
        <f t="shared" si="156"/>
        <v>2.5463159622521037</v>
      </c>
      <c r="AU81" s="179">
        <f t="shared" si="157"/>
        <v>0.33589951427723974</v>
      </c>
      <c r="AW81" s="6">
        <f t="shared" si="127"/>
        <v>13.072048611111116</v>
      </c>
      <c r="AX81" s="472">
        <f t="shared" si="128"/>
        <v>9.1723566784869988</v>
      </c>
      <c r="AY81" s="6">
        <f t="shared" si="129"/>
        <v>13.072048611111116</v>
      </c>
      <c r="AZ81" s="472">
        <f t="shared" si="130"/>
        <v>18.300034722222229</v>
      </c>
      <c r="BA81" s="6">
        <f t="shared" si="131"/>
        <v>0.18665124723298598</v>
      </c>
      <c r="BB81" s="6">
        <f t="shared" si="132"/>
        <v>45.675928965546255</v>
      </c>
      <c r="BC81" s="6"/>
      <c r="BD81" s="179">
        <f t="shared" si="158"/>
        <v>0.2350663675514463</v>
      </c>
      <c r="BE81" s="179">
        <f t="shared" si="133"/>
        <v>0.99157133184405633</v>
      </c>
      <c r="BF81" s="179">
        <f t="shared" si="134"/>
        <v>0.99157133184405633</v>
      </c>
      <c r="BG81" s="179"/>
      <c r="BH81" s="546">
        <f t="shared" si="135"/>
        <v>1.9339669003841077E-2</v>
      </c>
      <c r="BI81" s="546">
        <f t="shared" si="136"/>
        <v>5.4621841469401133E-2</v>
      </c>
      <c r="BJ81" s="546">
        <f t="shared" si="137"/>
        <v>3.2601044782330979E-3</v>
      </c>
      <c r="BK81" s="546">
        <f t="shared" si="138"/>
        <v>2.0604675328552736E-2</v>
      </c>
      <c r="BL81">
        <f t="shared" si="139"/>
        <v>6.96E-3</v>
      </c>
      <c r="BM81">
        <f t="shared" si="140"/>
        <v>0.10812169015852791</v>
      </c>
      <c r="BN81" s="472">
        <f t="shared" si="159"/>
        <v>108.12169015852791</v>
      </c>
      <c r="BO81" s="179">
        <f t="shared" si="141"/>
        <v>0.10374</v>
      </c>
      <c r="BP81" s="179">
        <f t="shared" si="142"/>
        <v>0.10374</v>
      </c>
      <c r="BQ81" s="546"/>
      <c r="BS81" s="472">
        <f t="shared" si="160"/>
        <v>207.48</v>
      </c>
      <c r="BT81" s="546">
        <f t="shared" si="143"/>
        <v>1.105123943076633E-2</v>
      </c>
      <c r="BU81" s="546">
        <f t="shared" si="144"/>
        <v>3.932854824539983E-2</v>
      </c>
      <c r="BV81" s="546">
        <f t="shared" si="145"/>
        <v>8.8489233552149604E-2</v>
      </c>
      <c r="BW81" s="546">
        <f t="shared" si="146"/>
        <v>2.2719033764928846E-2</v>
      </c>
      <c r="BX81" s="546">
        <f t="shared" si="147"/>
        <v>0.18025488307538678</v>
      </c>
      <c r="BY81" s="656">
        <f t="shared" si="148"/>
        <v>6.4355309180705325E-2</v>
      </c>
      <c r="BZ81" s="472">
        <f t="shared" si="161"/>
        <v>244.61019225609209</v>
      </c>
      <c r="CA81" s="179">
        <f t="shared" si="162"/>
        <v>0.56021188241462005</v>
      </c>
      <c r="CB81" s="6">
        <f t="shared" si="163"/>
        <v>3.8</v>
      </c>
      <c r="CC81" s="179">
        <f t="shared" si="164"/>
        <v>0.87151728000328665</v>
      </c>
      <c r="CD81" s="6">
        <f t="shared" si="165"/>
        <v>87.15172800032866</v>
      </c>
      <c r="CE81">
        <f t="shared" si="166"/>
        <v>76</v>
      </c>
      <c r="CG81" s="581">
        <f t="shared" si="149"/>
        <v>-50</v>
      </c>
      <c r="CH81">
        <f t="shared" si="150"/>
        <v>-50</v>
      </c>
    </row>
    <row r="82" spans="5:86" x14ac:dyDescent="0.2">
      <c r="E82" s="176">
        <v>77</v>
      </c>
      <c r="F82" s="223">
        <f t="shared" si="167"/>
        <v>0.38500000000000001</v>
      </c>
      <c r="G82" s="223">
        <f t="shared" si="151"/>
        <v>0.38500000000000001</v>
      </c>
      <c r="H82" s="223">
        <f t="shared" si="101"/>
        <v>1.925</v>
      </c>
      <c r="I82" s="223">
        <f t="shared" si="168"/>
        <v>1.925</v>
      </c>
      <c r="J82" s="559">
        <f t="shared" si="102"/>
        <v>24</v>
      </c>
      <c r="K82" s="454">
        <f t="shared" si="103"/>
        <v>13.254288164665521</v>
      </c>
      <c r="L82" s="454">
        <f t="shared" si="104"/>
        <v>39.75</v>
      </c>
      <c r="M82" s="454"/>
      <c r="N82" s="223">
        <f t="shared" si="105"/>
        <v>0.39622641509433965</v>
      </c>
      <c r="O82" s="178">
        <f t="shared" si="152"/>
        <v>1.6047169811320754</v>
      </c>
      <c r="P82" s="178">
        <f t="shared" si="106"/>
        <v>3.2094339622641508</v>
      </c>
      <c r="Q82" s="223">
        <f t="shared" si="107"/>
        <v>0.3209433962264151</v>
      </c>
      <c r="R82" s="223">
        <f t="shared" si="108"/>
        <v>0.3209433962264151</v>
      </c>
      <c r="S82" s="454">
        <f t="shared" si="109"/>
        <v>4.1680960548885073</v>
      </c>
      <c r="T82" s="223">
        <f t="shared" si="110"/>
        <v>0.75</v>
      </c>
      <c r="U82" s="223">
        <f t="shared" si="111"/>
        <v>1.3750000000000002</v>
      </c>
      <c r="V82" s="223">
        <f t="shared" si="112"/>
        <v>2.4897602640007768</v>
      </c>
      <c r="W82" s="203">
        <f t="shared" si="113"/>
        <v>350</v>
      </c>
      <c r="X82" s="454">
        <f t="shared" si="153"/>
        <v>258.74826164891425</v>
      </c>
      <c r="Z82" s="223">
        <f t="shared" si="114"/>
        <v>0.55446056067624483</v>
      </c>
      <c r="AA82" s="179">
        <f t="shared" si="115"/>
        <v>1.8406318292364081</v>
      </c>
      <c r="AB82" s="179">
        <f t="shared" si="116"/>
        <v>0.53579282191940447</v>
      </c>
      <c r="AC82" s="179"/>
      <c r="AD82" s="179">
        <f t="shared" si="117"/>
        <v>0.49795205280015536</v>
      </c>
      <c r="AE82" s="563">
        <f t="shared" si="118"/>
        <v>3436.2969315799501</v>
      </c>
      <c r="AF82" s="546">
        <f t="shared" si="119"/>
        <v>3.9213724158012234E-2</v>
      </c>
      <c r="AH82" s="179">
        <f t="shared" si="120"/>
        <v>0.70710678118654757</v>
      </c>
      <c r="AI82" s="179">
        <f t="shared" si="121"/>
        <v>0.70710678118654757</v>
      </c>
      <c r="AJ82" s="179">
        <f t="shared" si="122"/>
        <v>1.6126716897678131</v>
      </c>
      <c r="AL82" s="563">
        <f t="shared" si="123"/>
        <v>385</v>
      </c>
      <c r="AM82" s="472">
        <f t="shared" si="124"/>
        <v>258.74826164891425</v>
      </c>
      <c r="AO82" t="str">
        <f t="shared" si="154"/>
        <v/>
      </c>
      <c r="AP82" t="str">
        <f t="shared" si="125"/>
        <v/>
      </c>
      <c r="AR82" s="6">
        <f t="shared" si="155"/>
        <v>3.8647602640007772</v>
      </c>
      <c r="AS82" s="6">
        <f t="shared" si="126"/>
        <v>1.2963624321753373</v>
      </c>
      <c r="AT82" s="6">
        <f t="shared" si="156"/>
        <v>2.5683978318254397</v>
      </c>
      <c r="AU82" s="179">
        <f t="shared" si="157"/>
        <v>0.33543152579232705</v>
      </c>
      <c r="AW82" s="6">
        <f t="shared" si="127"/>
        <v>13.072048611111116</v>
      </c>
      <c r="AX82" s="472">
        <f t="shared" si="128"/>
        <v>9.4001251292848718</v>
      </c>
      <c r="AY82" s="6">
        <f t="shared" si="129"/>
        <v>13.072048611111116</v>
      </c>
      <c r="AZ82" s="472">
        <f t="shared" si="130"/>
        <v>18.769585503472229</v>
      </c>
      <c r="BA82" s="6">
        <f t="shared" si="131"/>
        <v>0.19074713835894946</v>
      </c>
      <c r="BB82" s="6">
        <f t="shared" si="132"/>
        <v>46.670516909851592</v>
      </c>
      <c r="BC82" s="6"/>
      <c r="BD82" s="179">
        <f t="shared" si="158"/>
        <v>0.23644291974749673</v>
      </c>
      <c r="BE82" s="179">
        <f t="shared" si="133"/>
        <v>0.99842511552520041</v>
      </c>
      <c r="BF82" s="179">
        <f t="shared" si="134"/>
        <v>0.99842511552520041</v>
      </c>
      <c r="BG82" s="179"/>
      <c r="BH82" s="546">
        <f t="shared" si="135"/>
        <v>1.9566839004552413E-2</v>
      </c>
      <c r="BI82" s="546">
        <f t="shared" si="136"/>
        <v>5.4545740160093177E-2</v>
      </c>
      <c r="BJ82" s="546">
        <f t="shared" si="137"/>
        <v>3.2343532706114284E-3</v>
      </c>
      <c r="BK82" s="546">
        <f t="shared" si="138"/>
        <v>2.044192125858188E-2</v>
      </c>
      <c r="BL82">
        <f t="shared" si="139"/>
        <v>6.96E-3</v>
      </c>
      <c r="BM82">
        <f t="shared" si="140"/>
        <v>0.10812344414886599</v>
      </c>
      <c r="BN82" s="472">
        <f t="shared" si="159"/>
        <v>108.12344414886599</v>
      </c>
      <c r="BO82" s="179">
        <f t="shared" si="141"/>
        <v>0.10510499999999999</v>
      </c>
      <c r="BP82" s="179">
        <f t="shared" si="142"/>
        <v>0.10510499999999999</v>
      </c>
      <c r="BQ82" s="546"/>
      <c r="BS82" s="472">
        <f t="shared" si="160"/>
        <v>210.20999999999998</v>
      </c>
      <c r="BT82" s="546">
        <f t="shared" si="143"/>
        <v>1.1181050859744237E-2</v>
      </c>
      <c r="BU82" s="546">
        <f t="shared" si="144"/>
        <v>3.9874108452460394E-2</v>
      </c>
      <c r="BV82" s="546">
        <f t="shared" si="145"/>
        <v>8.9716744018035879E-2</v>
      </c>
      <c r="BW82" s="546">
        <f t="shared" si="146"/>
        <v>2.2639983793361518E-2</v>
      </c>
      <c r="BX82" s="546">
        <f t="shared" si="147"/>
        <v>0.18235818826320416</v>
      </c>
      <c r="BY82" s="656">
        <f t="shared" si="148"/>
        <v>6.4687065412228587E-2</v>
      </c>
      <c r="BZ82" s="472">
        <f t="shared" si="161"/>
        <v>247.04525367543272</v>
      </c>
      <c r="CA82" s="179">
        <f t="shared" si="162"/>
        <v>0.56537869782429873</v>
      </c>
      <c r="CB82" s="6">
        <f t="shared" si="163"/>
        <v>3.85</v>
      </c>
      <c r="CC82" s="179">
        <f t="shared" si="164"/>
        <v>0.87195238811500098</v>
      </c>
      <c r="CD82" s="6">
        <f t="shared" si="165"/>
        <v>87.195238811500104</v>
      </c>
      <c r="CE82">
        <f t="shared" si="166"/>
        <v>77</v>
      </c>
      <c r="CG82" s="581">
        <f t="shared" si="149"/>
        <v>-50</v>
      </c>
      <c r="CH82">
        <f t="shared" si="150"/>
        <v>-50</v>
      </c>
    </row>
    <row r="83" spans="5:86" x14ac:dyDescent="0.2">
      <c r="E83" s="176">
        <v>78</v>
      </c>
      <c r="F83" s="223">
        <f t="shared" si="167"/>
        <v>0.39</v>
      </c>
      <c r="G83" s="223">
        <f t="shared" si="151"/>
        <v>0.39</v>
      </c>
      <c r="H83" s="223">
        <f t="shared" si="101"/>
        <v>1.9500000000000002</v>
      </c>
      <c r="I83" s="223">
        <f t="shared" si="168"/>
        <v>1.9500000000000002</v>
      </c>
      <c r="J83" s="559">
        <f t="shared" si="102"/>
        <v>24</v>
      </c>
      <c r="K83" s="454">
        <f t="shared" si="103"/>
        <v>13.093976777939041</v>
      </c>
      <c r="L83" s="454">
        <f t="shared" si="104"/>
        <v>39.75</v>
      </c>
      <c r="M83" s="454"/>
      <c r="N83" s="223">
        <f t="shared" si="105"/>
        <v>0.39622641509433965</v>
      </c>
      <c r="O83" s="178">
        <f t="shared" si="152"/>
        <v>1.6047169811320754</v>
      </c>
      <c r="P83" s="178">
        <f t="shared" si="106"/>
        <v>3.2094339622641508</v>
      </c>
      <c r="Q83" s="223">
        <f t="shared" si="107"/>
        <v>0.3209433962264151</v>
      </c>
      <c r="R83" s="223">
        <f t="shared" si="108"/>
        <v>0.3209433962264151</v>
      </c>
      <c r="S83" s="454">
        <f t="shared" si="109"/>
        <v>4.11465892597968</v>
      </c>
      <c r="T83" s="223">
        <f t="shared" si="110"/>
        <v>0.75</v>
      </c>
      <c r="U83" s="223">
        <f t="shared" si="111"/>
        <v>1.3750000000000002</v>
      </c>
      <c r="V83" s="223">
        <f t="shared" si="112"/>
        <v>2.5202427466954864</v>
      </c>
      <c r="W83" s="203">
        <f t="shared" si="113"/>
        <v>350</v>
      </c>
      <c r="X83" s="454">
        <f t="shared" si="153"/>
        <v>256.72340981787232</v>
      </c>
      <c r="Z83" s="223">
        <f t="shared" si="114"/>
        <v>0.55012159246686931</v>
      </c>
      <c r="AA83" s="179">
        <f t="shared" si="115"/>
        <v>1.8485866042869299</v>
      </c>
      <c r="AB83" s="179">
        <f t="shared" si="116"/>
        <v>0.53389738844570533</v>
      </c>
      <c r="AC83" s="179"/>
      <c r="AD83" s="179">
        <f t="shared" si="117"/>
        <v>0.50404854933909715</v>
      </c>
      <c r="AE83" s="563">
        <f t="shared" si="118"/>
        <v>3438.8221841052036</v>
      </c>
      <c r="AF83" s="546">
        <f t="shared" si="119"/>
        <v>3.9693823260453898E-2</v>
      </c>
      <c r="AH83" s="179">
        <f t="shared" si="120"/>
        <v>0.71168357188676667</v>
      </c>
      <c r="AI83" s="179">
        <f t="shared" si="121"/>
        <v>0.71168357188676667</v>
      </c>
      <c r="AJ83" s="179">
        <f t="shared" si="122"/>
        <v>1.6160619051013085</v>
      </c>
      <c r="AL83" s="563">
        <f t="shared" si="123"/>
        <v>390</v>
      </c>
      <c r="AM83" s="472">
        <f t="shared" si="124"/>
        <v>256.72340981787232</v>
      </c>
      <c r="AO83" t="str">
        <f t="shared" si="154"/>
        <v/>
      </c>
      <c r="AP83" t="str">
        <f t="shared" si="125"/>
        <v/>
      </c>
      <c r="AR83" s="6">
        <f t="shared" si="155"/>
        <v>3.8952427466954864</v>
      </c>
      <c r="AS83" s="6">
        <f t="shared" si="126"/>
        <v>1.3047532151257388</v>
      </c>
      <c r="AT83" s="6">
        <f t="shared" si="156"/>
        <v>2.5904895315697476</v>
      </c>
      <c r="AU83" s="179">
        <f t="shared" si="157"/>
        <v>0.33496069435791159</v>
      </c>
      <c r="AW83" s="6">
        <f t="shared" si="127"/>
        <v>13.072048611111116</v>
      </c>
      <c r="AX83" s="472">
        <f t="shared" si="128"/>
        <v>9.6306748670212805</v>
      </c>
      <c r="AY83" s="6">
        <f t="shared" si="129"/>
        <v>13.072048611111116</v>
      </c>
      <c r="AZ83" s="472">
        <f t="shared" si="130"/>
        <v>19.245078125000006</v>
      </c>
      <c r="BA83" s="6">
        <f t="shared" si="131"/>
        <v>0.1948863652222611</v>
      </c>
      <c r="BB83" s="6">
        <f t="shared" si="132"/>
        <v>47.675505431120442</v>
      </c>
      <c r="BC83" s="6"/>
      <c r="BD83" s="179">
        <f t="shared" si="158"/>
        <v>0.23780623528609618</v>
      </c>
      <c r="BE83" s="179">
        <f t="shared" si="133"/>
        <v>1.005243388245854</v>
      </c>
      <c r="BF83" s="179">
        <f t="shared" si="134"/>
        <v>1.005243388245854</v>
      </c>
      <c r="BG83" s="179"/>
      <c r="BH83" s="546">
        <f t="shared" si="135"/>
        <v>1.9793131939331146E-2</v>
      </c>
      <c r="BI83" s="546">
        <f t="shared" si="136"/>
        <v>5.4469176548428574E-2</v>
      </c>
      <c r="BJ83" s="546">
        <f t="shared" si="137"/>
        <v>3.2090426227234037E-3</v>
      </c>
      <c r="BK83" s="546">
        <f t="shared" si="138"/>
        <v>2.0281951636267594E-2</v>
      </c>
      <c r="BL83">
        <f t="shared" si="139"/>
        <v>6.96E-3</v>
      </c>
      <c r="BM83">
        <f t="shared" si="140"/>
        <v>0.10812694476987575</v>
      </c>
      <c r="BN83" s="472">
        <f t="shared" si="159"/>
        <v>108.12694476987575</v>
      </c>
      <c r="BO83" s="179">
        <f t="shared" si="141"/>
        <v>0.10647</v>
      </c>
      <c r="BP83" s="179">
        <f t="shared" si="142"/>
        <v>0.10647</v>
      </c>
      <c r="BQ83" s="546"/>
      <c r="BS83" s="472">
        <f t="shared" si="160"/>
        <v>212.94</v>
      </c>
      <c r="BT83" s="546">
        <f t="shared" si="143"/>
        <v>1.1310361108189228E-2</v>
      </c>
      <c r="BU83" s="546">
        <f t="shared" si="144"/>
        <v>4.0420570784480192E-2</v>
      </c>
      <c r="BV83" s="546">
        <f t="shared" si="145"/>
        <v>9.0946284265080432E-2</v>
      </c>
      <c r="BW83" s="546">
        <f t="shared" si="146"/>
        <v>2.25606203763665E-2</v>
      </c>
      <c r="BX83" s="546">
        <f t="shared" si="147"/>
        <v>0.18446461428470676</v>
      </c>
      <c r="BY83" s="656">
        <f t="shared" si="148"/>
        <v>6.5014370018811843E-2</v>
      </c>
      <c r="BZ83" s="472">
        <f t="shared" si="161"/>
        <v>249.47898430351862</v>
      </c>
      <c r="CA83" s="179">
        <f t="shared" si="162"/>
        <v>0.5705459290733943</v>
      </c>
      <c r="CB83" s="6">
        <f t="shared" si="163"/>
        <v>3.9000000000000004</v>
      </c>
      <c r="CC83" s="179">
        <f t="shared" si="164"/>
        <v>0.8723766765568941</v>
      </c>
      <c r="CD83" s="6">
        <f t="shared" si="165"/>
        <v>87.237667655689407</v>
      </c>
      <c r="CE83">
        <f t="shared" si="166"/>
        <v>78</v>
      </c>
      <c r="CG83" s="581">
        <f t="shared" si="149"/>
        <v>-50</v>
      </c>
      <c r="CH83">
        <f t="shared" si="150"/>
        <v>-50</v>
      </c>
    </row>
    <row r="84" spans="5:86" x14ac:dyDescent="0.2">
      <c r="E84" s="176">
        <v>79</v>
      </c>
      <c r="F84" s="223">
        <f t="shared" si="167"/>
        <v>0.39500000000000002</v>
      </c>
      <c r="G84" s="223">
        <f t="shared" si="151"/>
        <v>0.39500000000000002</v>
      </c>
      <c r="H84" s="223">
        <f t="shared" si="101"/>
        <v>1.9750000000000001</v>
      </c>
      <c r="I84" s="223">
        <f t="shared" si="168"/>
        <v>1.9750000000000001</v>
      </c>
      <c r="J84" s="559">
        <f t="shared" si="102"/>
        <v>24</v>
      </c>
      <c r="K84" s="454">
        <f t="shared" si="103"/>
        <v>12.937723907332217</v>
      </c>
      <c r="L84" s="454">
        <f t="shared" si="104"/>
        <v>39.75</v>
      </c>
      <c r="M84" s="454"/>
      <c r="N84" s="223">
        <f t="shared" si="105"/>
        <v>0.39622641509433965</v>
      </c>
      <c r="O84" s="178">
        <f t="shared" si="152"/>
        <v>1.6047169811320754</v>
      </c>
      <c r="P84" s="178">
        <f t="shared" si="106"/>
        <v>3.2094339622641508</v>
      </c>
      <c r="Q84" s="223">
        <f t="shared" si="107"/>
        <v>0.3209433962264151</v>
      </c>
      <c r="R84" s="223">
        <f t="shared" si="108"/>
        <v>0.3209433962264151</v>
      </c>
      <c r="S84" s="454">
        <f t="shared" si="109"/>
        <v>4.0625746357774055</v>
      </c>
      <c r="T84" s="223">
        <f t="shared" si="110"/>
        <v>0.75</v>
      </c>
      <c r="U84" s="223">
        <f t="shared" si="111"/>
        <v>1.3750000000000002</v>
      </c>
      <c r="V84" s="223">
        <f t="shared" si="112"/>
        <v>2.5506804934442804</v>
      </c>
      <c r="W84" s="203">
        <f t="shared" si="113"/>
        <v>350</v>
      </c>
      <c r="X84" s="454">
        <f t="shared" si="153"/>
        <v>254.73290596877595</v>
      </c>
      <c r="Z84" s="223">
        <f t="shared" si="114"/>
        <v>0.54585622707594861</v>
      </c>
      <c r="AA84" s="179">
        <f t="shared" si="115"/>
        <v>1.8564064408369516</v>
      </c>
      <c r="AB84" s="179">
        <f t="shared" si="116"/>
        <v>0.53199878325024308</v>
      </c>
      <c r="AC84" s="179"/>
      <c r="AD84" s="179">
        <f t="shared" si="117"/>
        <v>0.51013609868885601</v>
      </c>
      <c r="AE84" s="563">
        <f t="shared" si="118"/>
        <v>3441.3474366304558</v>
      </c>
      <c r="AF84" s="546">
        <f t="shared" si="119"/>
        <v>4.0173217771747406E-2</v>
      </c>
      <c r="AH84" s="179">
        <f t="shared" si="120"/>
        <v>0.71623111701950859</v>
      </c>
      <c r="AI84" s="179">
        <f t="shared" si="121"/>
        <v>0.71623111701950859</v>
      </c>
      <c r="AJ84" s="179">
        <f t="shared" si="122"/>
        <v>1.6194304570514877</v>
      </c>
      <c r="AL84" s="563">
        <f t="shared" si="123"/>
        <v>395</v>
      </c>
      <c r="AM84" s="472">
        <f t="shared" si="124"/>
        <v>254.73290596877595</v>
      </c>
      <c r="AO84" t="str">
        <f t="shared" si="154"/>
        <v/>
      </c>
      <c r="AP84" t="str">
        <f t="shared" si="125"/>
        <v/>
      </c>
      <c r="AR84" s="6">
        <f t="shared" si="155"/>
        <v>3.9256804934442813</v>
      </c>
      <c r="AS84" s="6">
        <f t="shared" si="126"/>
        <v>1.3130903812024324</v>
      </c>
      <c r="AT84" s="6">
        <f t="shared" si="156"/>
        <v>2.6125901122418487</v>
      </c>
      <c r="AU84" s="179">
        <f t="shared" si="157"/>
        <v>0.33448732860334335</v>
      </c>
      <c r="AW84" s="6">
        <f t="shared" si="127"/>
        <v>13.072048611111116</v>
      </c>
      <c r="AX84" s="472">
        <f t="shared" si="128"/>
        <v>9.8640058916962214</v>
      </c>
      <c r="AY84" s="6">
        <f t="shared" si="129"/>
        <v>13.072048611111116</v>
      </c>
      <c r="AZ84" s="472">
        <f t="shared" si="130"/>
        <v>19.726512586805566</v>
      </c>
      <c r="BA84" s="6">
        <f t="shared" si="131"/>
        <v>0.19906888393818095</v>
      </c>
      <c r="BB84" s="6">
        <f t="shared" si="132"/>
        <v>48.690883997015284</v>
      </c>
      <c r="BC84" s="6"/>
      <c r="BD84" s="179">
        <f t="shared" si="158"/>
        <v>0.23915661227337659</v>
      </c>
      <c r="BE84" s="179">
        <f t="shared" si="133"/>
        <v>1.012026715168298</v>
      </c>
      <c r="BF84" s="179">
        <f t="shared" si="134"/>
        <v>1.012026715168298</v>
      </c>
      <c r="BG84" s="179"/>
      <c r="BH84" s="546">
        <f t="shared" si="135"/>
        <v>2.0018559817927363E-2</v>
      </c>
      <c r="BI84" s="546">
        <f t="shared" si="136"/>
        <v>5.439220082174822E-2</v>
      </c>
      <c r="BJ84" s="546">
        <f t="shared" si="137"/>
        <v>3.1841613246096994E-3</v>
      </c>
      <c r="BK84" s="546">
        <f t="shared" si="138"/>
        <v>2.0124695611864453E-2</v>
      </c>
      <c r="BL84">
        <f t="shared" si="139"/>
        <v>6.96E-3</v>
      </c>
      <c r="BM84">
        <f t="shared" si="140"/>
        <v>0.10813217451648692</v>
      </c>
      <c r="BN84" s="472">
        <f t="shared" si="159"/>
        <v>108.13217451648693</v>
      </c>
      <c r="BO84" s="179">
        <f t="shared" si="141"/>
        <v>0.107835</v>
      </c>
      <c r="BP84" s="179">
        <f t="shared" si="142"/>
        <v>0.107835</v>
      </c>
      <c r="BQ84" s="546"/>
      <c r="BS84" s="472">
        <f t="shared" si="160"/>
        <v>215.67</v>
      </c>
      <c r="BT84" s="546">
        <f t="shared" si="143"/>
        <v>1.1439177038815636E-2</v>
      </c>
      <c r="BU84" s="546">
        <f t="shared" si="144"/>
        <v>4.0967922888573413E-2</v>
      </c>
      <c r="BV84" s="546">
        <f t="shared" si="145"/>
        <v>9.2177826499290183E-2</v>
      </c>
      <c r="BW84" s="546">
        <f t="shared" si="146"/>
        <v>2.2480998283175929E-2</v>
      </c>
      <c r="BX84" s="546">
        <f t="shared" si="147"/>
        <v>0.18657418101992743</v>
      </c>
      <c r="BY84" s="656">
        <f t="shared" si="148"/>
        <v>6.5337336271212021E-2</v>
      </c>
      <c r="BZ84" s="472">
        <f t="shared" si="161"/>
        <v>251.91151729113949</v>
      </c>
      <c r="CA84" s="179">
        <f t="shared" si="162"/>
        <v>0.57571369180762644</v>
      </c>
      <c r="CB84" s="6">
        <f t="shared" si="163"/>
        <v>3.95</v>
      </c>
      <c r="CC84" s="179">
        <f t="shared" si="164"/>
        <v>0.87279051857615864</v>
      </c>
      <c r="CD84" s="6">
        <f t="shared" si="165"/>
        <v>87.279051857615869</v>
      </c>
      <c r="CE84">
        <f t="shared" si="166"/>
        <v>79</v>
      </c>
      <c r="CG84" s="581">
        <f t="shared" si="149"/>
        <v>-50</v>
      </c>
      <c r="CH84">
        <f t="shared" si="150"/>
        <v>-50</v>
      </c>
    </row>
    <row r="85" spans="5:86" x14ac:dyDescent="0.2">
      <c r="E85" s="176">
        <v>80</v>
      </c>
      <c r="F85" s="223">
        <f t="shared" si="167"/>
        <v>0.4</v>
      </c>
      <c r="G85" s="223">
        <f t="shared" si="151"/>
        <v>0.4</v>
      </c>
      <c r="H85" s="223">
        <f t="shared" si="101"/>
        <v>2</v>
      </c>
      <c r="I85" s="223">
        <f t="shared" si="168"/>
        <v>2</v>
      </c>
      <c r="J85" s="559">
        <f t="shared" si="102"/>
        <v>24</v>
      </c>
      <c r="K85" s="454">
        <f t="shared" si="103"/>
        <v>12.785377358490564</v>
      </c>
      <c r="L85" s="454">
        <f t="shared" si="104"/>
        <v>39.75</v>
      </c>
      <c r="M85" s="454"/>
      <c r="N85" s="223">
        <f t="shared" si="105"/>
        <v>0.39622641509433965</v>
      </c>
      <c r="O85" s="178">
        <f t="shared" si="152"/>
        <v>1.6047169811320754</v>
      </c>
      <c r="P85" s="178">
        <f t="shared" si="106"/>
        <v>3.2094339622641508</v>
      </c>
      <c r="Q85" s="223">
        <f t="shared" si="107"/>
        <v>0.3209433962264151</v>
      </c>
      <c r="R85" s="223">
        <f t="shared" si="108"/>
        <v>0.3209433962264151</v>
      </c>
      <c r="S85" s="454">
        <f t="shared" si="109"/>
        <v>4.0117924528301883</v>
      </c>
      <c r="T85" s="223">
        <f t="shared" si="110"/>
        <v>0.75</v>
      </c>
      <c r="U85" s="223">
        <f t="shared" si="111"/>
        <v>1.3750000000000002</v>
      </c>
      <c r="V85" s="223">
        <f t="shared" si="112"/>
        <v>2.5810736026563368</v>
      </c>
      <c r="W85" s="203">
        <f t="shared" si="113"/>
        <v>350</v>
      </c>
      <c r="X85" s="454">
        <f t="shared" si="153"/>
        <v>252.77588347409463</v>
      </c>
      <c r="Z85" s="223">
        <f t="shared" si="114"/>
        <v>0.54166260744448858</v>
      </c>
      <c r="AA85" s="179">
        <f t="shared" si="115"/>
        <v>1.8640947434946284</v>
      </c>
      <c r="AB85" s="179">
        <f t="shared" si="116"/>
        <v>0.5300979701245544</v>
      </c>
      <c r="AC85" s="179"/>
      <c r="AD85" s="179">
        <f t="shared" si="117"/>
        <v>0.51621472053126738</v>
      </c>
      <c r="AE85" s="563">
        <f t="shared" si="118"/>
        <v>3443.872689155708</v>
      </c>
      <c r="AF85" s="546">
        <f t="shared" si="119"/>
        <v>4.0651909241837307E-2</v>
      </c>
      <c r="AH85" s="179">
        <f t="shared" si="120"/>
        <v>0.72074997015644715</v>
      </c>
      <c r="AI85" s="179">
        <f t="shared" si="121"/>
        <v>0.72074997015644715</v>
      </c>
      <c r="AJ85" s="179">
        <f t="shared" si="122"/>
        <v>1.6227777556714422</v>
      </c>
      <c r="AL85" s="563">
        <f t="shared" si="123"/>
        <v>400</v>
      </c>
      <c r="AM85" s="472">
        <f t="shared" si="124"/>
        <v>252.77588347409463</v>
      </c>
      <c r="AO85" t="str">
        <f t="shared" si="154"/>
        <v/>
      </c>
      <c r="AP85" t="str">
        <f t="shared" si="125"/>
        <v/>
      </c>
      <c r="AR85" s="6">
        <f t="shared" si="155"/>
        <v>3.9560736026563372</v>
      </c>
      <c r="AS85" s="6">
        <f t="shared" si="126"/>
        <v>1.3213749452868198</v>
      </c>
      <c r="AT85" s="6">
        <f t="shared" si="156"/>
        <v>2.6346986573695172</v>
      </c>
      <c r="AU85" s="179">
        <f t="shared" si="157"/>
        <v>0.33401171919540928</v>
      </c>
      <c r="AW85" s="6">
        <f t="shared" si="127"/>
        <v>13.072048611111116</v>
      </c>
      <c r="AX85" s="472">
        <f t="shared" si="128"/>
        <v>10.100118203309698</v>
      </c>
      <c r="AY85" s="6">
        <f t="shared" si="129"/>
        <v>13.072048611111116</v>
      </c>
      <c r="AZ85" s="472">
        <f t="shared" si="130"/>
        <v>20.213888888888899</v>
      </c>
      <c r="BA85" s="6">
        <f t="shared" si="131"/>
        <v>0.20329464948838866</v>
      </c>
      <c r="BB85" s="6">
        <f t="shared" si="132"/>
        <v>49.716641803139204</v>
      </c>
      <c r="BC85" s="6"/>
      <c r="BD85" s="179">
        <f t="shared" si="158"/>
        <v>0.24049433908806295</v>
      </c>
      <c r="BE85" s="179">
        <f t="shared" si="133"/>
        <v>1.0187756447034453</v>
      </c>
      <c r="BF85" s="179">
        <f t="shared" si="134"/>
        <v>1.0187756447034453</v>
      </c>
      <c r="BG85" s="179"/>
      <c r="BH85" s="546">
        <f t="shared" si="135"/>
        <v>2.0243134496691469E-2</v>
      </c>
      <c r="BI85" s="546">
        <f t="shared" si="136"/>
        <v>5.4314860246435309E-2</v>
      </c>
      <c r="BJ85" s="546">
        <f t="shared" si="137"/>
        <v>3.1596985434261828E-3</v>
      </c>
      <c r="BK85" s="546">
        <f t="shared" si="138"/>
        <v>1.9970084719089332E-2</v>
      </c>
      <c r="BL85">
        <f t="shared" si="139"/>
        <v>6.96E-3</v>
      </c>
      <c r="BM85">
        <f t="shared" si="140"/>
        <v>0.10813911553241193</v>
      </c>
      <c r="BN85" s="472">
        <f t="shared" si="159"/>
        <v>108.13911553241192</v>
      </c>
      <c r="BO85" s="179">
        <f t="shared" si="141"/>
        <v>0.10920000000000001</v>
      </c>
      <c r="BP85" s="179">
        <f t="shared" si="142"/>
        <v>0.10920000000000001</v>
      </c>
      <c r="BQ85" s="546"/>
      <c r="BS85" s="472">
        <f t="shared" si="160"/>
        <v>218.4</v>
      </c>
      <c r="BT85" s="546">
        <f t="shared" si="143"/>
        <v>1.1567505426680842E-2</v>
      </c>
      <c r="BU85" s="546">
        <f t="shared" si="144"/>
        <v>4.1516152569636817E-2</v>
      </c>
      <c r="BV85" s="546">
        <f t="shared" si="145"/>
        <v>9.3411343281682838E-2</v>
      </c>
      <c r="BW85" s="546">
        <f t="shared" si="146"/>
        <v>2.2401168842524296E-2</v>
      </c>
      <c r="BX85" s="546">
        <f t="shared" si="147"/>
        <v>0.18868690534910559</v>
      </c>
      <c r="BY85" s="656">
        <f t="shared" si="148"/>
        <v>6.5656073629634965E-2</v>
      </c>
      <c r="BZ85" s="472">
        <f t="shared" si="161"/>
        <v>254.34297897874058</v>
      </c>
      <c r="CA85" s="179">
        <f t="shared" si="162"/>
        <v>0.58088209451115258</v>
      </c>
      <c r="CB85" s="6">
        <f t="shared" si="163"/>
        <v>4</v>
      </c>
      <c r="CC85" s="179">
        <f t="shared" si="164"/>
        <v>0.87319427076999645</v>
      </c>
      <c r="CD85" s="6">
        <f t="shared" si="165"/>
        <v>87.319427076999645</v>
      </c>
      <c r="CE85">
        <f t="shared" si="166"/>
        <v>80</v>
      </c>
      <c r="CG85" s="581">
        <f t="shared" si="149"/>
        <v>-50</v>
      </c>
      <c r="CH85">
        <f t="shared" si="150"/>
        <v>-50</v>
      </c>
    </row>
    <row r="86" spans="5:86" x14ac:dyDescent="0.2">
      <c r="E86" s="176">
        <v>81</v>
      </c>
      <c r="F86" s="223">
        <f t="shared" si="167"/>
        <v>0.40500000000000003</v>
      </c>
      <c r="G86" s="223">
        <f t="shared" si="151"/>
        <v>0.40500000000000003</v>
      </c>
      <c r="H86" s="223">
        <f t="shared" si="101"/>
        <v>2.0250000000000004</v>
      </c>
      <c r="I86" s="223">
        <f t="shared" si="168"/>
        <v>2.0250000000000004</v>
      </c>
      <c r="J86" s="559">
        <f t="shared" si="102"/>
        <v>24</v>
      </c>
      <c r="K86" s="454">
        <f t="shared" si="103"/>
        <v>12.636792452830187</v>
      </c>
      <c r="L86" s="454">
        <f t="shared" si="104"/>
        <v>39.75</v>
      </c>
      <c r="M86" s="454"/>
      <c r="N86" s="223">
        <f t="shared" si="105"/>
        <v>0.39622641509433965</v>
      </c>
      <c r="O86" s="178">
        <f t="shared" si="152"/>
        <v>1.6047169811320754</v>
      </c>
      <c r="P86" s="178">
        <f t="shared" si="106"/>
        <v>3.2094339622641508</v>
      </c>
      <c r="Q86" s="223">
        <f t="shared" si="107"/>
        <v>0.3209433962264151</v>
      </c>
      <c r="R86" s="223">
        <f t="shared" si="108"/>
        <v>0.3209433962264151</v>
      </c>
      <c r="S86" s="454">
        <f t="shared" si="109"/>
        <v>3.9622641509433958</v>
      </c>
      <c r="T86" s="223">
        <f t="shared" si="110"/>
        <v>0.75</v>
      </c>
      <c r="U86" s="223">
        <f t="shared" si="111"/>
        <v>1.3750000000000002</v>
      </c>
      <c r="V86" s="223">
        <f t="shared" si="112"/>
        <v>2.611422172452408</v>
      </c>
      <c r="W86" s="203">
        <f t="shared" si="113"/>
        <v>350</v>
      </c>
      <c r="X86" s="454">
        <f t="shared" si="153"/>
        <v>250.85150461743737</v>
      </c>
      <c r="Z86" s="223">
        <f t="shared" si="114"/>
        <v>0.53753893846593725</v>
      </c>
      <c r="AA86" s="179">
        <f t="shared" si="115"/>
        <v>1.8716548032886386</v>
      </c>
      <c r="AB86" s="179">
        <f t="shared" si="116"/>
        <v>0.5281958514705849</v>
      </c>
      <c r="AC86" s="179"/>
      <c r="AD86" s="179">
        <f t="shared" si="117"/>
        <v>0.52228443449048156</v>
      </c>
      <c r="AE86" s="563">
        <f t="shared" si="118"/>
        <v>3446.3979416809607</v>
      </c>
      <c r="AF86" s="546">
        <f t="shared" si="119"/>
        <v>4.1129899216125428E-2</v>
      </c>
      <c r="AH86" s="179">
        <f t="shared" si="120"/>
        <v>0.72524066762284234</v>
      </c>
      <c r="AI86" s="179">
        <f t="shared" si="121"/>
        <v>0.72524066762284234</v>
      </c>
      <c r="AJ86" s="179">
        <f t="shared" si="122"/>
        <v>1.6261041982391424</v>
      </c>
      <c r="AL86" s="563">
        <f t="shared" si="123"/>
        <v>405</v>
      </c>
      <c r="AM86" s="472">
        <f t="shared" si="124"/>
        <v>250.85150461743737</v>
      </c>
      <c r="AO86" t="str">
        <f t="shared" si="154"/>
        <v/>
      </c>
      <c r="AP86" t="str">
        <f t="shared" si="125"/>
        <v/>
      </c>
      <c r="AR86" s="6">
        <f t="shared" si="155"/>
        <v>3.986422172452408</v>
      </c>
      <c r="AS86" s="6">
        <f t="shared" si="126"/>
        <v>1.3296078906418776</v>
      </c>
      <c r="AT86" s="6">
        <f t="shared" si="156"/>
        <v>2.6568142818105303</v>
      </c>
      <c r="AU86" s="179">
        <f t="shared" si="157"/>
        <v>0.33353413991873215</v>
      </c>
      <c r="AW86" s="6">
        <f t="shared" si="127"/>
        <v>13.072048611111116</v>
      </c>
      <c r="AX86" s="472">
        <f t="shared" si="128"/>
        <v>10.339011801861707</v>
      </c>
      <c r="AY86" s="6">
        <f t="shared" si="129"/>
        <v>13.072048611111116</v>
      </c>
      <c r="AZ86" s="472">
        <f t="shared" si="130"/>
        <v>20.707207031250011</v>
      </c>
      <c r="BA86" s="6">
        <f t="shared" si="131"/>
        <v>0.20756361576644766</v>
      </c>
      <c r="BB86" s="6">
        <f t="shared" si="132"/>
        <v>50.752767783947448</v>
      </c>
      <c r="BC86" s="6"/>
      <c r="BD86" s="179">
        <f t="shared" si="158"/>
        <v>0.24181969479541271</v>
      </c>
      <c r="BE86" s="179">
        <f t="shared" si="133"/>
        <v>1.0254907092721803</v>
      </c>
      <c r="BF86" s="179">
        <f t="shared" si="134"/>
        <v>1.0254907092721803</v>
      </c>
      <c r="BG86" s="179"/>
      <c r="BH86" s="546">
        <f t="shared" si="135"/>
        <v>2.0466867676831292E-2</v>
      </c>
      <c r="BI86" s="546">
        <f t="shared" si="136"/>
        <v>5.4237199343602903E-2</v>
      </c>
      <c r="BJ86" s="546">
        <f t="shared" si="137"/>
        <v>3.1356438077179672E-3</v>
      </c>
      <c r="BK86" s="546">
        <f t="shared" si="138"/>
        <v>1.981805277572948E-2</v>
      </c>
      <c r="BL86">
        <f t="shared" si="139"/>
        <v>6.96E-3</v>
      </c>
      <c r="BM86">
        <f t="shared" si="140"/>
        <v>0.10814774966907519</v>
      </c>
      <c r="BN86" s="472">
        <f t="shared" si="159"/>
        <v>108.14774966907518</v>
      </c>
      <c r="BO86" s="179">
        <f t="shared" si="141"/>
        <v>0.110565</v>
      </c>
      <c r="BP86" s="179">
        <f t="shared" si="142"/>
        <v>0.110565</v>
      </c>
      <c r="BQ86" s="546"/>
      <c r="BS86" s="472">
        <f t="shared" si="160"/>
        <v>221.13</v>
      </c>
      <c r="BT86" s="546">
        <f t="shared" si="143"/>
        <v>1.1695352958189312E-2</v>
      </c>
      <c r="BU86" s="546">
        <f t="shared" si="144"/>
        <v>4.206524779214238E-2</v>
      </c>
      <c r="BV86" s="546">
        <f t="shared" si="145"/>
        <v>9.4646807532320354E-2</v>
      </c>
      <c r="BW86" s="546">
        <f t="shared" si="146"/>
        <v>2.2321180150882261E-2</v>
      </c>
      <c r="BX86" s="546">
        <f t="shared" si="147"/>
        <v>0.19080280136696784</v>
      </c>
      <c r="BY86" s="656">
        <f t="shared" si="148"/>
        <v>6.597068790263777E-2</v>
      </c>
      <c r="BZ86" s="472">
        <f t="shared" si="161"/>
        <v>256.77348926960565</v>
      </c>
      <c r="CA86" s="179">
        <f t="shared" si="162"/>
        <v>0.58605123893868072</v>
      </c>
      <c r="CB86" s="6">
        <f t="shared" si="163"/>
        <v>4.0500000000000007</v>
      </c>
      <c r="CC86" s="179">
        <f t="shared" si="164"/>
        <v>0.87358827399999928</v>
      </c>
      <c r="CD86" s="6">
        <f t="shared" si="165"/>
        <v>87.358827399999925</v>
      </c>
      <c r="CE86">
        <f t="shared" si="166"/>
        <v>81</v>
      </c>
      <c r="CG86" s="581">
        <f t="shared" si="149"/>
        <v>-50</v>
      </c>
      <c r="CH86">
        <f t="shared" si="150"/>
        <v>-50</v>
      </c>
    </row>
    <row r="87" spans="5:86" x14ac:dyDescent="0.2">
      <c r="E87" s="176">
        <v>82</v>
      </c>
      <c r="F87" s="223">
        <f t="shared" si="167"/>
        <v>0.41</v>
      </c>
      <c r="G87" s="223">
        <f t="shared" si="151"/>
        <v>0.41</v>
      </c>
      <c r="H87" s="223">
        <f t="shared" si="101"/>
        <v>2.0499999999999998</v>
      </c>
      <c r="I87" s="223">
        <f t="shared" si="168"/>
        <v>2.0499999999999998</v>
      </c>
      <c r="J87" s="559">
        <f t="shared" si="102"/>
        <v>24</v>
      </c>
      <c r="K87" s="454">
        <f t="shared" si="103"/>
        <v>12.491831569259087</v>
      </c>
      <c r="L87" s="454">
        <f t="shared" si="104"/>
        <v>39.75</v>
      </c>
      <c r="M87" s="454"/>
      <c r="N87" s="223">
        <f t="shared" si="105"/>
        <v>0.39622641509433965</v>
      </c>
      <c r="O87" s="178">
        <f t="shared" si="152"/>
        <v>1.6047169811320754</v>
      </c>
      <c r="P87" s="178">
        <f t="shared" si="106"/>
        <v>3.2094339622641508</v>
      </c>
      <c r="Q87" s="223">
        <f t="shared" si="107"/>
        <v>0.3209433962264151</v>
      </c>
      <c r="R87" s="223">
        <f t="shared" si="108"/>
        <v>0.3209433962264151</v>
      </c>
      <c r="S87" s="454">
        <f t="shared" si="109"/>
        <v>3.9139438564196962</v>
      </c>
      <c r="T87" s="223">
        <f t="shared" si="110"/>
        <v>0.75</v>
      </c>
      <c r="U87" s="223">
        <f t="shared" si="111"/>
        <v>1.3750000000000002</v>
      </c>
      <c r="V87" s="223">
        <f t="shared" si="112"/>
        <v>2.6417263006658751</v>
      </c>
      <c r="W87" s="203">
        <f t="shared" si="113"/>
        <v>350</v>
      </c>
      <c r="X87" s="454">
        <f t="shared" si="153"/>
        <v>248.95895939791177</v>
      </c>
      <c r="Z87" s="223">
        <f t="shared" si="114"/>
        <v>0.53348348442409665</v>
      </c>
      <c r="AA87" s="179">
        <f t="shared" si="115"/>
        <v>1.8790898023653462</v>
      </c>
      <c r="AB87" s="179">
        <f t="shared" si="116"/>
        <v>0.52629327203861742</v>
      </c>
      <c r="AC87" s="179"/>
      <c r="AD87" s="179">
        <f t="shared" si="117"/>
        <v>0.52834526013317495</v>
      </c>
      <c r="AE87" s="563">
        <f t="shared" si="118"/>
        <v>3448.9231942062133</v>
      </c>
      <c r="AF87" s="546">
        <f t="shared" si="119"/>
        <v>4.1607189235487521E-2</v>
      </c>
      <c r="AH87" s="179">
        <f t="shared" si="120"/>
        <v>0.72970372924052707</v>
      </c>
      <c r="AI87" s="179">
        <f t="shared" si="121"/>
        <v>0.72970372924052707</v>
      </c>
      <c r="AJ87" s="179">
        <f t="shared" si="122"/>
        <v>1.6294101698077978</v>
      </c>
      <c r="AL87" s="563">
        <f t="shared" si="123"/>
        <v>410</v>
      </c>
      <c r="AM87" s="472">
        <f t="shared" si="124"/>
        <v>248.95895939791177</v>
      </c>
      <c r="AO87" t="str">
        <f t="shared" si="154"/>
        <v/>
      </c>
      <c r="AP87" t="str">
        <f t="shared" si="125"/>
        <v/>
      </c>
      <c r="AR87" s="6">
        <f t="shared" si="155"/>
        <v>4.0167263006658747</v>
      </c>
      <c r="AS87" s="6">
        <f t="shared" si="126"/>
        <v>1.3377901702742996</v>
      </c>
      <c r="AT87" s="6">
        <f t="shared" si="156"/>
        <v>2.6789361303915751</v>
      </c>
      <c r="AU87" s="179">
        <f t="shared" si="157"/>
        <v>0.3330548486842449</v>
      </c>
      <c r="AW87" s="6">
        <f t="shared" si="127"/>
        <v>13.072048611111116</v>
      </c>
      <c r="AX87" s="472">
        <f t="shared" si="128"/>
        <v>10.580686687352246</v>
      </c>
      <c r="AY87" s="6">
        <f t="shared" si="129"/>
        <v>13.072048611111116</v>
      </c>
      <c r="AZ87" s="472">
        <f t="shared" si="130"/>
        <v>21.20646701388889</v>
      </c>
      <c r="BA87" s="6">
        <f t="shared" si="131"/>
        <v>0.2118757356212472</v>
      </c>
      <c r="BB87" s="6">
        <f t="shared" si="132"/>
        <v>51.799250623173407</v>
      </c>
      <c r="BC87" s="6"/>
      <c r="BD87" s="179">
        <f t="shared" si="158"/>
        <v>0.24313294953944251</v>
      </c>
      <c r="BE87" s="179">
        <f t="shared" si="133"/>
        <v>1.0321724260204084</v>
      </c>
      <c r="BF87" s="179">
        <f t="shared" si="134"/>
        <v>1.0321724260204084</v>
      </c>
      <c r="BG87" s="179"/>
      <c r="BH87" s="546">
        <f t="shared" si="135"/>
        <v>2.0689770903112182E-2</v>
      </c>
      <c r="BI87" s="546">
        <f t="shared" si="136"/>
        <v>5.415926005308571E-2</v>
      </c>
      <c r="BJ87" s="546">
        <f t="shared" si="137"/>
        <v>3.1119869924738971E-3</v>
      </c>
      <c r="BK87" s="546">
        <f t="shared" si="138"/>
        <v>1.9668535789183147E-2</v>
      </c>
      <c r="BL87">
        <f t="shared" si="139"/>
        <v>6.96E-3</v>
      </c>
      <c r="BM87">
        <f t="shared" si="140"/>
        <v>0.10815805853906586</v>
      </c>
      <c r="BN87" s="472">
        <f t="shared" si="159"/>
        <v>108.15805853906586</v>
      </c>
      <c r="BO87" s="179">
        <f t="shared" si="141"/>
        <v>0.11192999999999999</v>
      </c>
      <c r="BP87" s="179">
        <f t="shared" si="142"/>
        <v>0.11192999999999999</v>
      </c>
      <c r="BQ87" s="546"/>
      <c r="BS87" s="472">
        <f t="shared" si="160"/>
        <v>223.85999999999999</v>
      </c>
      <c r="BT87" s="546">
        <f t="shared" si="143"/>
        <v>1.1822726230349819E-2</v>
      </c>
      <c r="BU87" s="546">
        <f t="shared" si="144"/>
        <v>4.2615196681474218E-2</v>
      </c>
      <c r="BV87" s="546">
        <f t="shared" si="145"/>
        <v>9.5884192533316981E-2</v>
      </c>
      <c r="BW87" s="546">
        <f t="shared" si="146"/>
        <v>2.2241077267354529E-2</v>
      </c>
      <c r="BX87" s="546">
        <f t="shared" si="147"/>
        <v>0.19292188058229531</v>
      </c>
      <c r="BY87" s="656">
        <f t="shared" si="148"/>
        <v>6.6281281398145347E-2</v>
      </c>
      <c r="BZ87" s="472">
        <f t="shared" si="161"/>
        <v>259.20316198044071</v>
      </c>
      <c r="CA87" s="179">
        <f t="shared" si="162"/>
        <v>0.59122122051950654</v>
      </c>
      <c r="CB87" s="6">
        <f t="shared" si="163"/>
        <v>4.0999999999999996</v>
      </c>
      <c r="CC87" s="179">
        <f t="shared" si="164"/>
        <v>0.87397285424667426</v>
      </c>
      <c r="CD87" s="6">
        <f t="shared" si="165"/>
        <v>87.39728542466743</v>
      </c>
      <c r="CE87">
        <f t="shared" si="166"/>
        <v>82</v>
      </c>
      <c r="CG87" s="581">
        <f t="shared" si="149"/>
        <v>-50</v>
      </c>
      <c r="CH87">
        <f t="shared" si="150"/>
        <v>-50</v>
      </c>
    </row>
    <row r="88" spans="5:86" x14ac:dyDescent="0.2">
      <c r="E88" s="176">
        <v>83</v>
      </c>
      <c r="F88" s="223">
        <f t="shared" si="167"/>
        <v>0.41499999999999998</v>
      </c>
      <c r="G88" s="223">
        <f t="shared" si="151"/>
        <v>0.41499999999999998</v>
      </c>
      <c r="H88" s="223">
        <f t="shared" si="101"/>
        <v>2.0749999999999997</v>
      </c>
      <c r="I88" s="223">
        <f t="shared" si="168"/>
        <v>2.0749999999999997</v>
      </c>
      <c r="J88" s="559">
        <f t="shared" si="102"/>
        <v>24</v>
      </c>
      <c r="K88" s="454">
        <f t="shared" si="103"/>
        <v>12.350363719027053</v>
      </c>
      <c r="L88" s="454">
        <f t="shared" si="104"/>
        <v>39.75</v>
      </c>
      <c r="M88" s="454"/>
      <c r="N88" s="223">
        <f t="shared" si="105"/>
        <v>0.39622641509433965</v>
      </c>
      <c r="O88" s="178">
        <f t="shared" si="152"/>
        <v>1.6047169811320754</v>
      </c>
      <c r="P88" s="178">
        <f t="shared" si="106"/>
        <v>3.2094339622641508</v>
      </c>
      <c r="Q88" s="223">
        <f t="shared" si="107"/>
        <v>0.3209433962264151</v>
      </c>
      <c r="R88" s="223">
        <f t="shared" si="108"/>
        <v>0.3209433962264151</v>
      </c>
      <c r="S88" s="454">
        <f t="shared" si="109"/>
        <v>3.8667879063423505</v>
      </c>
      <c r="T88" s="223">
        <f t="shared" si="110"/>
        <v>0.75</v>
      </c>
      <c r="U88" s="223">
        <f t="shared" si="111"/>
        <v>1.3750000000000002</v>
      </c>
      <c r="V88" s="223">
        <f t="shared" si="112"/>
        <v>2.6719860848438</v>
      </c>
      <c r="W88" s="203">
        <f t="shared" si="113"/>
        <v>350</v>
      </c>
      <c r="X88" s="454">
        <f t="shared" si="153"/>
        <v>247.09746439333176</v>
      </c>
      <c r="Z88" s="223">
        <f t="shared" si="114"/>
        <v>0.52949456655713967</v>
      </c>
      <c r="AA88" s="179">
        <f t="shared" si="115"/>
        <v>1.8864028184547683</v>
      </c>
      <c r="AB88" s="179">
        <f t="shared" si="116"/>
        <v>0.52439102242268398</v>
      </c>
      <c r="AC88" s="179"/>
      <c r="AD88" s="179">
        <f t="shared" si="117"/>
        <v>0.53439721696875986</v>
      </c>
      <c r="AE88" s="563">
        <f t="shared" si="118"/>
        <v>3451.4484467314664</v>
      </c>
      <c r="AF88" s="546">
        <f t="shared" si="119"/>
        <v>4.2083780836289837E-2</v>
      </c>
      <c r="AH88" s="179">
        <f t="shared" si="120"/>
        <v>0.73413965903024125</v>
      </c>
      <c r="AI88" s="179">
        <f t="shared" si="121"/>
        <v>0.73413965903024125</v>
      </c>
      <c r="AJ88" s="179">
        <f t="shared" si="122"/>
        <v>1.6326960437261047</v>
      </c>
      <c r="AL88" s="563">
        <f t="shared" si="123"/>
        <v>415</v>
      </c>
      <c r="AM88" s="472">
        <f t="shared" si="124"/>
        <v>247.09746439333176</v>
      </c>
      <c r="AO88" t="str">
        <f t="shared" si="154"/>
        <v/>
      </c>
      <c r="AP88" t="str">
        <f t="shared" si="125"/>
        <v/>
      </c>
      <c r="AR88" s="6">
        <f t="shared" si="155"/>
        <v>4.0469860848438</v>
      </c>
      <c r="AS88" s="6">
        <f t="shared" si="126"/>
        <v>1.3459227082221088</v>
      </c>
      <c r="AT88" s="6">
        <f t="shared" si="156"/>
        <v>2.7010633766216912</v>
      </c>
      <c r="AU88" s="179">
        <f t="shared" si="157"/>
        <v>0.33257408847108921</v>
      </c>
      <c r="AW88" s="6">
        <f t="shared" si="127"/>
        <v>13.072048611111116</v>
      </c>
      <c r="AX88" s="472">
        <f t="shared" si="128"/>
        <v>10.825142859781325</v>
      </c>
      <c r="AY88" s="6">
        <f t="shared" si="129"/>
        <v>13.072048611111116</v>
      </c>
      <c r="AZ88" s="472">
        <f t="shared" si="130"/>
        <v>21.711668836805561</v>
      </c>
      <c r="BA88" s="6">
        <f t="shared" si="131"/>
        <v>0.21623096089853427</v>
      </c>
      <c r="BB88" s="6">
        <f t="shared" si="132"/>
        <v>52.856078763796368</v>
      </c>
      <c r="BC88" s="6"/>
      <c r="BD88" s="179">
        <f t="shared" si="158"/>
        <v>0.24443436491479584</v>
      </c>
      <c r="BE88" s="179">
        <f t="shared" si="133"/>
        <v>1.0388212974912578</v>
      </c>
      <c r="BF88" s="179">
        <f t="shared" si="134"/>
        <v>1.0388212974912578</v>
      </c>
      <c r="BG88" s="179"/>
      <c r="BH88" s="546">
        <f t="shared" si="135"/>
        <v>2.0911855562954849E-2</v>
      </c>
      <c r="BI88" s="546">
        <f t="shared" si="136"/>
        <v>5.4081081886605528E-2</v>
      </c>
      <c r="BJ88" s="546">
        <f t="shared" si="137"/>
        <v>3.0887183049166469E-3</v>
      </c>
      <c r="BK88" s="546">
        <f t="shared" si="138"/>
        <v>1.9521471866649438E-2</v>
      </c>
      <c r="BL88">
        <f t="shared" si="139"/>
        <v>6.96E-3</v>
      </c>
      <c r="BM88">
        <f t="shared" si="140"/>
        <v>0.10817002356460231</v>
      </c>
      <c r="BN88" s="472">
        <f t="shared" si="159"/>
        <v>108.17002356460232</v>
      </c>
      <c r="BO88" s="179">
        <f t="shared" si="141"/>
        <v>0.11329499999999999</v>
      </c>
      <c r="BP88" s="179">
        <f t="shared" si="142"/>
        <v>0.11329499999999999</v>
      </c>
      <c r="BQ88" s="546"/>
      <c r="BS88" s="472">
        <f t="shared" si="160"/>
        <v>226.58999999999997</v>
      </c>
      <c r="BT88" s="546">
        <f t="shared" si="143"/>
        <v>1.1949631750259915E-2</v>
      </c>
      <c r="BU88" s="546">
        <f t="shared" si="144"/>
        <v>4.3165987524856821E-2</v>
      </c>
      <c r="BV88" s="546">
        <f t="shared" si="145"/>
        <v>9.7123471930927838E-2</v>
      </c>
      <c r="BW88" s="546">
        <f t="shared" si="146"/>
        <v>2.2160902396160285E-2</v>
      </c>
      <c r="BX88" s="546">
        <f t="shared" si="147"/>
        <v>0.19504415210383752</v>
      </c>
      <c r="BY88" s="656">
        <f t="shared" si="148"/>
        <v>6.6587953067034203E-2</v>
      </c>
      <c r="BZ88" s="472">
        <f t="shared" si="161"/>
        <v>261.63210517087168</v>
      </c>
      <c r="CA88" s="179">
        <f t="shared" si="162"/>
        <v>0.59639212873547398</v>
      </c>
      <c r="CB88" s="6">
        <f t="shared" si="163"/>
        <v>4.1499999999999995</v>
      </c>
      <c r="CC88" s="179">
        <f t="shared" si="164"/>
        <v>0.87434832340867641</v>
      </c>
      <c r="CD88" s="6">
        <f t="shared" si="165"/>
        <v>87.434832340867644</v>
      </c>
      <c r="CE88">
        <f t="shared" si="166"/>
        <v>83</v>
      </c>
      <c r="CG88" s="581">
        <f t="shared" si="149"/>
        <v>-50</v>
      </c>
      <c r="CH88">
        <f t="shared" si="150"/>
        <v>-50</v>
      </c>
    </row>
    <row r="89" spans="5:86" x14ac:dyDescent="0.2">
      <c r="E89" s="176">
        <v>84</v>
      </c>
      <c r="F89" s="223">
        <f t="shared" si="167"/>
        <v>0.42</v>
      </c>
      <c r="G89" s="223">
        <f t="shared" si="151"/>
        <v>0.42</v>
      </c>
      <c r="H89" s="223">
        <f t="shared" si="101"/>
        <v>2.1</v>
      </c>
      <c r="I89" s="223">
        <f t="shared" si="168"/>
        <v>2.1</v>
      </c>
      <c r="J89" s="559">
        <f t="shared" si="102"/>
        <v>24</v>
      </c>
      <c r="K89" s="454">
        <f t="shared" si="103"/>
        <v>12.212264150943398</v>
      </c>
      <c r="L89" s="454">
        <f t="shared" si="104"/>
        <v>39.75</v>
      </c>
      <c r="M89" s="454"/>
      <c r="N89" s="223">
        <f t="shared" si="105"/>
        <v>0.39622641509433965</v>
      </c>
      <c r="O89" s="178">
        <f t="shared" si="152"/>
        <v>1.6047169811320754</v>
      </c>
      <c r="P89" s="178">
        <f t="shared" si="106"/>
        <v>3.2094339622641508</v>
      </c>
      <c r="Q89" s="223">
        <f t="shared" si="107"/>
        <v>0.3209433962264151</v>
      </c>
      <c r="R89" s="223">
        <f t="shared" si="108"/>
        <v>0.3209433962264151</v>
      </c>
      <c r="S89" s="454">
        <f t="shared" si="109"/>
        <v>3.8207547169811322</v>
      </c>
      <c r="T89" s="223">
        <f t="shared" si="110"/>
        <v>0.75</v>
      </c>
      <c r="U89" s="223">
        <f t="shared" si="111"/>
        <v>1.3750000000000002</v>
      </c>
      <c r="V89" s="223">
        <f t="shared" si="112"/>
        <v>2.7022016222479723</v>
      </c>
      <c r="W89" s="203">
        <f t="shared" si="113"/>
        <v>350</v>
      </c>
      <c r="X89" s="454">
        <f t="shared" si="153"/>
        <v>245.26626167892286</v>
      </c>
      <c r="Z89" s="223">
        <f t="shared" si="114"/>
        <v>0.52557056074054909</v>
      </c>
      <c r="AA89" s="179">
        <f t="shared" si="115"/>
        <v>1.893596829118517</v>
      </c>
      <c r="AB89" s="179">
        <f t="shared" si="116"/>
        <v>0.52248984233058104</v>
      </c>
      <c r="AC89" s="179"/>
      <c r="AD89" s="179">
        <f t="shared" si="117"/>
        <v>0.54044032444959433</v>
      </c>
      <c r="AE89" s="563">
        <f t="shared" si="118"/>
        <v>3453.9736992567186</v>
      </c>
      <c r="AF89" s="546">
        <f t="shared" si="119"/>
        <v>4.2559675550405553E-2</v>
      </c>
      <c r="AH89" s="179">
        <f t="shared" si="120"/>
        <v>0.7385489458759964</v>
      </c>
      <c r="AI89" s="179">
        <f t="shared" si="121"/>
        <v>0.7385489458759964</v>
      </c>
      <c r="AJ89" s="179">
        <f t="shared" si="122"/>
        <v>1.6359621821303676</v>
      </c>
      <c r="AL89" s="563">
        <f t="shared" si="123"/>
        <v>420</v>
      </c>
      <c r="AM89" s="472">
        <f t="shared" si="124"/>
        <v>245.26626167892286</v>
      </c>
      <c r="AO89" t="str">
        <f t="shared" si="154"/>
        <v/>
      </c>
      <c r="AP89" t="str">
        <f t="shared" si="125"/>
        <v/>
      </c>
      <c r="AR89" s="6">
        <f t="shared" si="155"/>
        <v>4.0772016222479728</v>
      </c>
      <c r="AS89" s="6">
        <f t="shared" si="126"/>
        <v>1.3540064007726598</v>
      </c>
      <c r="AT89" s="6">
        <f t="shared" si="156"/>
        <v>2.7231952214753132</v>
      </c>
      <c r="AU89" s="179">
        <f t="shared" si="157"/>
        <v>0.33209208820684366</v>
      </c>
      <c r="AW89" s="6">
        <f t="shared" si="127"/>
        <v>13.072048611111116</v>
      </c>
      <c r="AX89" s="472">
        <f t="shared" si="128"/>
        <v>11.072380319148937</v>
      </c>
      <c r="AY89" s="6">
        <f t="shared" si="129"/>
        <v>13.072048611111116</v>
      </c>
      <c r="AZ89" s="472">
        <f t="shared" si="130"/>
        <v>22.222812500000007</v>
      </c>
      <c r="BA89" s="6">
        <f t="shared" si="131"/>
        <v>0.22062924248063878</v>
      </c>
      <c r="BB89" s="6">
        <f t="shared" si="132"/>
        <v>53.923240417575542</v>
      </c>
      <c r="BC89" s="6"/>
      <c r="BD89" s="179">
        <f t="shared" si="158"/>
        <v>0.24572419431950851</v>
      </c>
      <c r="BE89" s="179">
        <f t="shared" si="133"/>
        <v>1.0454378122575692</v>
      </c>
      <c r="BF89" s="179">
        <f t="shared" si="134"/>
        <v>1.0454378122575692</v>
      </c>
      <c r="BG89" s="179"/>
      <c r="BH89" s="546">
        <f t="shared" si="135"/>
        <v>2.1133132885890051E-2</v>
      </c>
      <c r="BI89" s="546">
        <f t="shared" si="136"/>
        <v>5.4002702070908341E-2</v>
      </c>
      <c r="BJ89" s="546">
        <f t="shared" si="137"/>
        <v>3.0658282709865358E-3</v>
      </c>
      <c r="BK89" s="546">
        <f t="shared" si="138"/>
        <v>1.937680112970265E-2</v>
      </c>
      <c r="BL89">
        <f t="shared" si="139"/>
        <v>6.96E-3</v>
      </c>
      <c r="BM89">
        <f t="shared" si="140"/>
        <v>0.10818362602145203</v>
      </c>
      <c r="BN89" s="472">
        <f t="shared" si="159"/>
        <v>108.18362602145203</v>
      </c>
      <c r="BO89" s="179">
        <f t="shared" si="141"/>
        <v>0.11466</v>
      </c>
      <c r="BP89" s="179">
        <f t="shared" si="142"/>
        <v>0.11466</v>
      </c>
      <c r="BQ89" s="546"/>
      <c r="BS89" s="472">
        <f t="shared" si="160"/>
        <v>229.32</v>
      </c>
      <c r="BT89" s="546">
        <f t="shared" si="143"/>
        <v>1.2076075934794317E-2</v>
      </c>
      <c r="BU89" s="546">
        <f t="shared" si="144"/>
        <v>4.3717608771915696E-2</v>
      </c>
      <c r="BV89" s="546">
        <f t="shared" si="145"/>
        <v>9.8364619736810308E-2</v>
      </c>
      <c r="BW89" s="546">
        <f t="shared" si="146"/>
        <v>2.2080695057548574E-2</v>
      </c>
      <c r="BX89" s="546">
        <f t="shared" si="147"/>
        <v>0.19716962281354777</v>
      </c>
      <c r="BY89" s="656">
        <f t="shared" si="148"/>
        <v>6.6890798639706234E-2</v>
      </c>
      <c r="BZ89" s="472">
        <f t="shared" si="161"/>
        <v>264.06042145325404</v>
      </c>
      <c r="CA89" s="179">
        <f t="shared" si="162"/>
        <v>0.60156404747470604</v>
      </c>
      <c r="CB89" s="6">
        <f t="shared" si="163"/>
        <v>4.2</v>
      </c>
      <c r="CC89" s="179">
        <f t="shared" si="164"/>
        <v>0.8747149800509092</v>
      </c>
      <c r="CD89" s="6">
        <f t="shared" si="165"/>
        <v>87.471498005090922</v>
      </c>
      <c r="CE89">
        <f t="shared" si="166"/>
        <v>84</v>
      </c>
      <c r="CG89" s="581">
        <f t="shared" si="149"/>
        <v>-50</v>
      </c>
      <c r="CH89">
        <f t="shared" si="150"/>
        <v>-50</v>
      </c>
    </row>
    <row r="90" spans="5:86" x14ac:dyDescent="0.2">
      <c r="E90" s="176">
        <v>85</v>
      </c>
      <c r="F90" s="223">
        <f t="shared" si="167"/>
        <v>0.42499999999999999</v>
      </c>
      <c r="G90" s="223">
        <f t="shared" si="151"/>
        <v>0.42499999999999999</v>
      </c>
      <c r="H90" s="223">
        <f t="shared" si="101"/>
        <v>2.125</v>
      </c>
      <c r="I90" s="223">
        <f t="shared" si="168"/>
        <v>2.125</v>
      </c>
      <c r="J90" s="559">
        <f t="shared" si="102"/>
        <v>24</v>
      </c>
      <c r="K90" s="454">
        <f t="shared" si="103"/>
        <v>12.07741398446171</v>
      </c>
      <c r="L90" s="454">
        <f t="shared" si="104"/>
        <v>39.75</v>
      </c>
      <c r="M90" s="454"/>
      <c r="N90" s="223">
        <f t="shared" si="105"/>
        <v>0.39622641509433965</v>
      </c>
      <c r="O90" s="178">
        <f t="shared" si="152"/>
        <v>1.6047169811320754</v>
      </c>
      <c r="P90" s="178">
        <f t="shared" si="106"/>
        <v>3.2094339622641508</v>
      </c>
      <c r="Q90" s="223">
        <f t="shared" si="107"/>
        <v>0.3209433962264151</v>
      </c>
      <c r="R90" s="223">
        <f t="shared" si="108"/>
        <v>0.3209433962264151</v>
      </c>
      <c r="S90" s="454">
        <f t="shared" si="109"/>
        <v>3.7758046614872365</v>
      </c>
      <c r="T90" s="223">
        <f t="shared" si="110"/>
        <v>0.75</v>
      </c>
      <c r="U90" s="223">
        <f t="shared" si="111"/>
        <v>1.3750000000000002</v>
      </c>
      <c r="V90" s="223">
        <f t="shared" si="112"/>
        <v>2.7323730098559516</v>
      </c>
      <c r="W90" s="203">
        <f t="shared" si="113"/>
        <v>350</v>
      </c>
      <c r="X90" s="454">
        <f t="shared" si="153"/>
        <v>243.46461779838953</v>
      </c>
      <c r="Z90" s="223">
        <f t="shared" si="114"/>
        <v>0.5217098952822633</v>
      </c>
      <c r="AA90" s="179">
        <f t="shared" si="115"/>
        <v>1.9006747157920412</v>
      </c>
      <c r="AB90" s="179">
        <f t="shared" si="116"/>
        <v>0.52059042364429342</v>
      </c>
      <c r="AC90" s="179"/>
      <c r="AD90" s="179">
        <f t="shared" si="117"/>
        <v>0.54647460197119024</v>
      </c>
      <c r="AE90" s="563">
        <f t="shared" si="118"/>
        <v>3456.4989517819713</v>
      </c>
      <c r="AF90" s="546">
        <f t="shared" si="119"/>
        <v>4.3034874905231231E-2</v>
      </c>
      <c r="AH90" s="179">
        <f t="shared" si="120"/>
        <v>0.74293206415395208</v>
      </c>
      <c r="AI90" s="179">
        <f t="shared" si="121"/>
        <v>0.74293206415395208</v>
      </c>
      <c r="AJ90" s="179">
        <f t="shared" si="122"/>
        <v>1.6392089364103348</v>
      </c>
      <c r="AL90" s="563">
        <f t="shared" si="123"/>
        <v>425</v>
      </c>
      <c r="AM90" s="472">
        <f t="shared" si="124"/>
        <v>243.46461779838953</v>
      </c>
      <c r="AO90" t="str">
        <f t="shared" si="154"/>
        <v/>
      </c>
      <c r="AP90" t="str">
        <f t="shared" si="125"/>
        <v/>
      </c>
      <c r="AR90" s="6">
        <f t="shared" si="155"/>
        <v>4.1073730098559516</v>
      </c>
      <c r="AS90" s="6">
        <f t="shared" si="126"/>
        <v>1.3620421176155786</v>
      </c>
      <c r="AT90" s="6">
        <f t="shared" si="156"/>
        <v>2.7453308922403732</v>
      </c>
      <c r="AU90" s="179">
        <f t="shared" si="157"/>
        <v>0.33160906359058595</v>
      </c>
      <c r="AW90" s="6">
        <f t="shared" si="127"/>
        <v>13.072048611111116</v>
      </c>
      <c r="AX90" s="472">
        <f t="shared" si="128"/>
        <v>11.322399065455086</v>
      </c>
      <c r="AY90" s="6">
        <f t="shared" si="129"/>
        <v>13.072048611111116</v>
      </c>
      <c r="AZ90" s="472">
        <f t="shared" si="130"/>
        <v>22.739898003472224</v>
      </c>
      <c r="BA90" s="6">
        <f t="shared" si="131"/>
        <v>0.22507053032449043</v>
      </c>
      <c r="BB90" s="6">
        <f t="shared" si="132"/>
        <v>55.00072357417401</v>
      </c>
      <c r="BC90" s="6"/>
      <c r="BD90" s="179">
        <f t="shared" si="158"/>
        <v>0.24700268328983904</v>
      </c>
      <c r="BE90" s="179">
        <f t="shared" si="133"/>
        <v>1.0520224455175522</v>
      </c>
      <c r="BF90" s="179">
        <f t="shared" si="134"/>
        <v>1.0520224455175522</v>
      </c>
      <c r="BG90" s="179"/>
      <c r="BH90" s="546">
        <f t="shared" si="135"/>
        <v>2.1353613943333186E-2</v>
      </c>
      <c r="BI90" s="546">
        <f t="shared" si="136"/>
        <v>5.3924155681605516E-2</v>
      </c>
      <c r="BJ90" s="546">
        <f t="shared" si="137"/>
        <v>3.0433077224798688E-3</v>
      </c>
      <c r="BK90" s="546">
        <f t="shared" si="138"/>
        <v>1.9234465633003392E-2</v>
      </c>
      <c r="BL90">
        <f t="shared" si="139"/>
        <v>6.96E-3</v>
      </c>
      <c r="BM90">
        <f t="shared" si="140"/>
        <v>0.10819884707870961</v>
      </c>
      <c r="BN90" s="472">
        <f t="shared" si="159"/>
        <v>108.1988470787096</v>
      </c>
      <c r="BO90" s="179">
        <f t="shared" si="141"/>
        <v>0.116025</v>
      </c>
      <c r="BP90" s="179">
        <f t="shared" si="142"/>
        <v>0.116025</v>
      </c>
      <c r="BQ90" s="546"/>
      <c r="BS90" s="472">
        <f t="shared" si="160"/>
        <v>232.05</v>
      </c>
      <c r="BT90" s="546">
        <f t="shared" si="143"/>
        <v>1.2202065110476107E-2</v>
      </c>
      <c r="BU90" s="546">
        <f t="shared" si="144"/>
        <v>4.4270049034909241E-2</v>
      </c>
      <c r="BV90" s="546">
        <f t="shared" si="145"/>
        <v>9.9607610328545787E-2</v>
      </c>
      <c r="BW90" s="546">
        <f t="shared" si="146"/>
        <v>2.2000492247936876E-2</v>
      </c>
      <c r="BX90" s="546">
        <f t="shared" si="147"/>
        <v>0.19929829752804382</v>
      </c>
      <c r="BY90" s="656">
        <f t="shared" si="148"/>
        <v>6.7189910756049076E-2</v>
      </c>
      <c r="BZ90" s="472">
        <f t="shared" si="161"/>
        <v>266.48820828409293</v>
      </c>
      <c r="CA90" s="179">
        <f t="shared" si="162"/>
        <v>0.60673705536280254</v>
      </c>
      <c r="CB90" s="6">
        <f t="shared" si="163"/>
        <v>4.25</v>
      </c>
      <c r="CC90" s="179">
        <f t="shared" si="164"/>
        <v>0.87507311010530331</v>
      </c>
      <c r="CD90" s="6">
        <f t="shared" si="165"/>
        <v>87.50731101053033</v>
      </c>
      <c r="CE90">
        <f t="shared" si="166"/>
        <v>85</v>
      </c>
      <c r="CG90" s="581">
        <f t="shared" si="149"/>
        <v>-50</v>
      </c>
      <c r="CH90">
        <f t="shared" si="150"/>
        <v>-50</v>
      </c>
    </row>
    <row r="91" spans="5:86" x14ac:dyDescent="0.2">
      <c r="E91" s="176">
        <v>86</v>
      </c>
      <c r="F91" s="223">
        <f t="shared" si="167"/>
        <v>0.43</v>
      </c>
      <c r="G91" s="223">
        <f t="shared" si="151"/>
        <v>0.43</v>
      </c>
      <c r="H91" s="223">
        <f t="shared" si="101"/>
        <v>2.15</v>
      </c>
      <c r="I91" s="223">
        <f t="shared" si="168"/>
        <v>2.15</v>
      </c>
      <c r="J91" s="559">
        <f t="shared" si="102"/>
        <v>24</v>
      </c>
      <c r="K91" s="454">
        <f t="shared" si="103"/>
        <v>11.945699868363317</v>
      </c>
      <c r="L91" s="454">
        <f t="shared" si="104"/>
        <v>39.75</v>
      </c>
      <c r="M91" s="454"/>
      <c r="N91" s="223">
        <f t="shared" si="105"/>
        <v>0.39622641509433965</v>
      </c>
      <c r="O91" s="178">
        <f t="shared" si="152"/>
        <v>1.6047169811320754</v>
      </c>
      <c r="P91" s="178">
        <f t="shared" si="106"/>
        <v>3.2094339622641508</v>
      </c>
      <c r="Q91" s="223">
        <f t="shared" si="107"/>
        <v>0.3209433962264151</v>
      </c>
      <c r="R91" s="223">
        <f t="shared" si="108"/>
        <v>0.3209433962264151</v>
      </c>
      <c r="S91" s="454">
        <f t="shared" si="109"/>
        <v>3.7318999561211057</v>
      </c>
      <c r="T91" s="223">
        <f t="shared" si="110"/>
        <v>0.75</v>
      </c>
      <c r="U91" s="223">
        <f t="shared" si="111"/>
        <v>1.3750000000000002</v>
      </c>
      <c r="V91" s="223">
        <f t="shared" si="112"/>
        <v>2.7625003443621039</v>
      </c>
      <c r="W91" s="203">
        <f t="shared" si="113"/>
        <v>350</v>
      </c>
      <c r="X91" s="454">
        <f t="shared" si="153"/>
        <v>241.69182278440974</v>
      </c>
      <c r="Z91" s="223">
        <f t="shared" si="114"/>
        <v>0.51791104882373529</v>
      </c>
      <c r="AA91" s="179">
        <f t="shared" si="115"/>
        <v>1.9076392676326761</v>
      </c>
      <c r="AB91" s="179">
        <f t="shared" si="116"/>
        <v>0.51869341328541518</v>
      </c>
      <c r="AC91" s="179"/>
      <c r="AD91" s="179">
        <f t="shared" si="117"/>
        <v>0.55250006887242065</v>
      </c>
      <c r="AE91" s="563">
        <f t="shared" si="118"/>
        <v>3459.0242043072226</v>
      </c>
      <c r="AF91" s="546">
        <f t="shared" si="119"/>
        <v>4.3509380423703128E-2</v>
      </c>
      <c r="AH91" s="179">
        <f t="shared" si="120"/>
        <v>0.74728947432809356</v>
      </c>
      <c r="AI91" s="179">
        <f t="shared" si="121"/>
        <v>0.74728947432809356</v>
      </c>
      <c r="AJ91" s="179">
        <f t="shared" si="122"/>
        <v>1.6424366476504395</v>
      </c>
      <c r="AL91" s="563">
        <f t="shared" si="123"/>
        <v>430</v>
      </c>
      <c r="AM91" s="472">
        <f t="shared" si="124"/>
        <v>241.69182278440974</v>
      </c>
      <c r="AO91" t="str">
        <f t="shared" si="154"/>
        <v/>
      </c>
      <c r="AP91" t="str">
        <f t="shared" si="125"/>
        <v/>
      </c>
      <c r="AR91" s="6">
        <f t="shared" si="155"/>
        <v>4.1375003443621043</v>
      </c>
      <c r="AS91" s="6">
        <f t="shared" si="126"/>
        <v>1.3700307029348382</v>
      </c>
      <c r="AT91" s="6">
        <f t="shared" si="156"/>
        <v>2.7674696414272661</v>
      </c>
      <c r="AU91" s="179">
        <f t="shared" si="157"/>
        <v>0.3311252178629272</v>
      </c>
      <c r="AW91" s="6">
        <f t="shared" si="127"/>
        <v>13.072048611111116</v>
      </c>
      <c r="AX91" s="472">
        <f t="shared" si="128"/>
        <v>11.575199098699766</v>
      </c>
      <c r="AY91" s="6">
        <f t="shared" si="129"/>
        <v>13.072048611111116</v>
      </c>
      <c r="AZ91" s="472">
        <f t="shared" si="130"/>
        <v>23.262925347222225</v>
      </c>
      <c r="BA91" s="6">
        <f t="shared" si="131"/>
        <v>0.22955477349801778</v>
      </c>
      <c r="BB91" s="6">
        <f t="shared" si="132"/>
        <v>56.088516009894647</v>
      </c>
      <c r="BC91" s="6"/>
      <c r="BD91" s="179">
        <f t="shared" si="158"/>
        <v>0.24827006981824826</v>
      </c>
      <c r="BE91" s="179">
        <f t="shared" si="133"/>
        <v>1.058575659656245</v>
      </c>
      <c r="BF91" s="179">
        <f t="shared" si="134"/>
        <v>1.058575659656245</v>
      </c>
      <c r="BG91" s="179"/>
      <c r="BH91" s="546">
        <f t="shared" si="135"/>
        <v>2.1573309648645251E-2</v>
      </c>
      <c r="BI91" s="546">
        <f t="shared" si="136"/>
        <v>5.3845475768391909E-2</v>
      </c>
      <c r="BJ91" s="546">
        <f t="shared" si="137"/>
        <v>3.0211477848051216E-3</v>
      </c>
      <c r="BK91" s="546">
        <f t="shared" si="138"/>
        <v>1.9094409286914572E-2</v>
      </c>
      <c r="BL91">
        <f t="shared" si="139"/>
        <v>6.96E-3</v>
      </c>
      <c r="BM91">
        <f t="shared" si="140"/>
        <v>0.10821566783479758</v>
      </c>
      <c r="BN91" s="472">
        <f t="shared" si="159"/>
        <v>108.21566783479759</v>
      </c>
      <c r="BO91" s="179">
        <f t="shared" si="141"/>
        <v>0.11739000000000001</v>
      </c>
      <c r="BP91" s="179">
        <f t="shared" si="142"/>
        <v>0.11739000000000001</v>
      </c>
      <c r="BQ91" s="546"/>
      <c r="BS91" s="472">
        <f t="shared" si="160"/>
        <v>234.78000000000003</v>
      </c>
      <c r="BT91" s="546">
        <f t="shared" si="143"/>
        <v>1.2327605513511574E-2</v>
      </c>
      <c r="BU91" s="546">
        <f t="shared" si="144"/>
        <v>4.482329708866617E-2</v>
      </c>
      <c r="BV91" s="546">
        <f t="shared" si="145"/>
        <v>0.10085241844949888</v>
      </c>
      <c r="BW91" s="546">
        <f t="shared" si="146"/>
        <v>2.1920328590003736E-2</v>
      </c>
      <c r="BX91" s="546">
        <f t="shared" si="147"/>
        <v>0.20143017914912931</v>
      </c>
      <c r="BY91" s="656">
        <f t="shared" si="148"/>
        <v>6.7485379089153377E-2</v>
      </c>
      <c r="BZ91" s="472">
        <f t="shared" si="161"/>
        <v>268.91555823828264</v>
      </c>
      <c r="CA91" s="179">
        <f t="shared" si="162"/>
        <v>0.61191122607308035</v>
      </c>
      <c r="CB91" s="6">
        <f t="shared" si="163"/>
        <v>4.3</v>
      </c>
      <c r="CC91" s="179">
        <f t="shared" si="164"/>
        <v>0.87542298752775216</v>
      </c>
      <c r="CD91" s="6">
        <f t="shared" si="165"/>
        <v>87.54229875277521</v>
      </c>
      <c r="CE91">
        <f t="shared" si="166"/>
        <v>86</v>
      </c>
      <c r="CG91" s="581">
        <f t="shared" si="149"/>
        <v>-50</v>
      </c>
      <c r="CH91">
        <f t="shared" si="150"/>
        <v>-50</v>
      </c>
    </row>
    <row r="92" spans="5:86" x14ac:dyDescent="0.2">
      <c r="E92" s="176">
        <v>87</v>
      </c>
      <c r="F92" s="223">
        <f t="shared" si="167"/>
        <v>0.435</v>
      </c>
      <c r="G92" s="223">
        <f t="shared" si="151"/>
        <v>0.435</v>
      </c>
      <c r="H92" s="223">
        <f t="shared" si="101"/>
        <v>2.1749999999999998</v>
      </c>
      <c r="I92" s="223">
        <f t="shared" si="168"/>
        <v>2.1749999999999998</v>
      </c>
      <c r="J92" s="559">
        <f t="shared" si="102"/>
        <v>24</v>
      </c>
      <c r="K92" s="454">
        <f t="shared" si="103"/>
        <v>11.81701366297983</v>
      </c>
      <c r="L92" s="454">
        <f t="shared" si="104"/>
        <v>39.75</v>
      </c>
      <c r="M92" s="454"/>
      <c r="N92" s="223">
        <f t="shared" si="105"/>
        <v>0.39622641509433965</v>
      </c>
      <c r="O92" s="178">
        <f t="shared" si="152"/>
        <v>1.6047169811320754</v>
      </c>
      <c r="P92" s="178">
        <f t="shared" si="106"/>
        <v>3.2094339622641508</v>
      </c>
      <c r="Q92" s="223">
        <f t="shared" si="107"/>
        <v>0.3209433962264151</v>
      </c>
      <c r="R92" s="223">
        <f t="shared" si="108"/>
        <v>0.3209433962264151</v>
      </c>
      <c r="S92" s="454">
        <f t="shared" si="109"/>
        <v>3.6890045543266101</v>
      </c>
      <c r="T92" s="223">
        <f t="shared" si="110"/>
        <v>0.75</v>
      </c>
      <c r="U92" s="223">
        <f t="shared" si="111"/>
        <v>1.3750000000000002</v>
      </c>
      <c r="V92" s="223">
        <f t="shared" si="112"/>
        <v>2.7925837221786352</v>
      </c>
      <c r="W92" s="203">
        <f t="shared" si="113"/>
        <v>350</v>
      </c>
      <c r="X92" s="454">
        <f t="shared" si="153"/>
        <v>239.94718922580938</v>
      </c>
      <c r="Z92" s="223">
        <f t="shared" si="114"/>
        <v>0.51417254834102022</v>
      </c>
      <c r="AA92" s="179">
        <f t="shared" si="115"/>
        <v>1.9144931851843205</v>
      </c>
      <c r="AB92" s="179">
        <f t="shared" si="116"/>
        <v>0.51679941589906286</v>
      </c>
      <c r="AC92" s="179"/>
      <c r="AD92" s="179">
        <f t="shared" si="117"/>
        <v>0.55851674443572696</v>
      </c>
      <c r="AE92" s="563">
        <f t="shared" si="118"/>
        <v>3461.5494568324766</v>
      </c>
      <c r="AF92" s="546">
        <f t="shared" si="119"/>
        <v>4.39831936243135E-2</v>
      </c>
      <c r="AH92" s="179">
        <f t="shared" si="120"/>
        <v>0.75162162351482731</v>
      </c>
      <c r="AI92" s="179">
        <f t="shared" si="121"/>
        <v>0.75162162351482731</v>
      </c>
      <c r="AJ92" s="179">
        <f t="shared" si="122"/>
        <v>1.6456456470480201</v>
      </c>
      <c r="AL92" s="563">
        <f t="shared" si="123"/>
        <v>435</v>
      </c>
      <c r="AM92" s="472">
        <f t="shared" si="124"/>
        <v>239.94718922580938</v>
      </c>
      <c r="AO92" t="str">
        <f t="shared" si="154"/>
        <v/>
      </c>
      <c r="AP92" t="str">
        <f t="shared" si="125"/>
        <v/>
      </c>
      <c r="AR92" s="6">
        <f t="shared" si="155"/>
        <v>4.1675837221786356</v>
      </c>
      <c r="AS92" s="6">
        <f t="shared" si="126"/>
        <v>1.37797297644385</v>
      </c>
      <c r="AT92" s="6">
        <f t="shared" si="156"/>
        <v>2.7896107457347856</v>
      </c>
      <c r="AU92" s="179">
        <f t="shared" si="157"/>
        <v>0.33064074252682424</v>
      </c>
      <c r="AW92" s="6">
        <f t="shared" si="127"/>
        <v>13.072048611111116</v>
      </c>
      <c r="AX92" s="472">
        <f t="shared" si="128"/>
        <v>11.830780418882981</v>
      </c>
      <c r="AY92" s="6">
        <f t="shared" si="129"/>
        <v>13.072048611111116</v>
      </c>
      <c r="AZ92" s="472">
        <f t="shared" si="130"/>
        <v>23.791894531250001</v>
      </c>
      <c r="BA92" s="6">
        <f t="shared" si="131"/>
        <v>0.23408192021501378</v>
      </c>
      <c r="BB92" s="6">
        <f t="shared" si="132"/>
        <v>57.186605296047766</v>
      </c>
      <c r="BC92" s="6"/>
      <c r="BD92" s="179">
        <f t="shared" si="158"/>
        <v>0.24952658465553623</v>
      </c>
      <c r="BE92" s="179">
        <f t="shared" si="133"/>
        <v>1.0650979047751834</v>
      </c>
      <c r="BF92" s="179">
        <f t="shared" si="134"/>
        <v>1.0650979047751834</v>
      </c>
      <c r="BG92" s="179"/>
      <c r="BH92" s="546">
        <f t="shared" si="135"/>
        <v>2.1792230757449769E-2</v>
      </c>
      <c r="BI92" s="546">
        <f t="shared" si="136"/>
        <v>5.3766693472259708E-2</v>
      </c>
      <c r="BJ92" s="546">
        <f t="shared" si="137"/>
        <v>2.9993398653226171E-3</v>
      </c>
      <c r="BK92" s="546">
        <f t="shared" si="138"/>
        <v>1.8956577783805273E-2</v>
      </c>
      <c r="BL92">
        <f t="shared" si="139"/>
        <v>6.96E-3</v>
      </c>
      <c r="BM92">
        <f t="shared" si="140"/>
        <v>0.10823406935002297</v>
      </c>
      <c r="BN92" s="472">
        <f t="shared" si="159"/>
        <v>108.23406935002298</v>
      </c>
      <c r="BO92" s="179">
        <f t="shared" si="141"/>
        <v>0.11875500000000001</v>
      </c>
      <c r="BP92" s="179">
        <f t="shared" si="142"/>
        <v>0.11875500000000001</v>
      </c>
      <c r="BQ92" s="546"/>
      <c r="BS92" s="472">
        <f t="shared" si="160"/>
        <v>237.51000000000002</v>
      </c>
      <c r="BT92" s="546">
        <f t="shared" si="143"/>
        <v>1.2452703289971299E-2</v>
      </c>
      <c r="BU92" s="546">
        <f t="shared" si="144"/>
        <v>4.5377341870259429E-2</v>
      </c>
      <c r="BV92" s="546">
        <f t="shared" si="145"/>
        <v>0.1020990192080837</v>
      </c>
      <c r="BW92" s="546">
        <f t="shared" si="146"/>
        <v>2.1840236473413075E-2</v>
      </c>
      <c r="BX92" s="546">
        <f t="shared" si="147"/>
        <v>0.20356526880414375</v>
      </c>
      <c r="BY92" s="656">
        <f t="shared" si="148"/>
        <v>6.7777290463134479E-2</v>
      </c>
      <c r="BZ92" s="472">
        <f t="shared" si="161"/>
        <v>271.34255926727826</v>
      </c>
      <c r="CA92" s="179">
        <f t="shared" si="162"/>
        <v>0.61708662861730124</v>
      </c>
      <c r="CB92" s="6">
        <f t="shared" si="163"/>
        <v>4.3499999999999996</v>
      </c>
      <c r="CC92" s="179">
        <f t="shared" si="164"/>
        <v>0.87576487491439614</v>
      </c>
      <c r="CD92" s="6">
        <f t="shared" si="165"/>
        <v>87.576487491439607</v>
      </c>
      <c r="CE92">
        <f t="shared" si="166"/>
        <v>87</v>
      </c>
      <c r="CG92" s="581">
        <f t="shared" si="149"/>
        <v>-50</v>
      </c>
      <c r="CH92">
        <f t="shared" si="150"/>
        <v>-50</v>
      </c>
    </row>
    <row r="93" spans="5:86" x14ac:dyDescent="0.2">
      <c r="E93" s="176">
        <v>88</v>
      </c>
      <c r="F93" s="223">
        <f t="shared" si="167"/>
        <v>0.44</v>
      </c>
      <c r="G93" s="223">
        <f t="shared" si="151"/>
        <v>0.44</v>
      </c>
      <c r="H93" s="223">
        <f t="shared" si="101"/>
        <v>2.2000000000000002</v>
      </c>
      <c r="I93" s="223">
        <f t="shared" si="168"/>
        <v>2.2000000000000002</v>
      </c>
      <c r="J93" s="559">
        <f t="shared" si="102"/>
        <v>24</v>
      </c>
      <c r="K93" s="454">
        <f t="shared" si="103"/>
        <v>11.691252144082332</v>
      </c>
      <c r="L93" s="454">
        <f t="shared" si="104"/>
        <v>39.75</v>
      </c>
      <c r="M93" s="454"/>
      <c r="N93" s="223">
        <f t="shared" si="105"/>
        <v>0.39622641509433965</v>
      </c>
      <c r="O93" s="178">
        <f t="shared" si="152"/>
        <v>1.6047169811320754</v>
      </c>
      <c r="P93" s="178">
        <f t="shared" si="106"/>
        <v>3.2094339622641508</v>
      </c>
      <c r="Q93" s="223">
        <f t="shared" si="107"/>
        <v>0.3209433962264151</v>
      </c>
      <c r="R93" s="223">
        <f t="shared" si="108"/>
        <v>0.3209433962264151</v>
      </c>
      <c r="S93" s="454">
        <f t="shared" si="109"/>
        <v>3.6470840480274442</v>
      </c>
      <c r="T93" s="223">
        <f t="shared" si="110"/>
        <v>0.75</v>
      </c>
      <c r="U93" s="223">
        <f t="shared" si="111"/>
        <v>1.3750000000000002</v>
      </c>
      <c r="V93" s="223">
        <f t="shared" si="112"/>
        <v>2.82262323943662</v>
      </c>
      <c r="W93" s="203">
        <f t="shared" si="113"/>
        <v>350</v>
      </c>
      <c r="X93" s="454">
        <f t="shared" si="153"/>
        <v>238.2300513788403</v>
      </c>
      <c r="Z93" s="223">
        <f t="shared" si="114"/>
        <v>0.51049296724037208</v>
      </c>
      <c r="AA93" s="179">
        <f t="shared" si="115"/>
        <v>1.9212390838688413</v>
      </c>
      <c r="AB93" s="179">
        <f t="shared" si="116"/>
        <v>0.51490899636874898</v>
      </c>
      <c r="AC93" s="179"/>
      <c r="AD93" s="179">
        <f t="shared" si="117"/>
        <v>0.56452464788732393</v>
      </c>
      <c r="AE93" s="563">
        <f t="shared" si="118"/>
        <v>3464.0747093577279</v>
      </c>
      <c r="AF93" s="546">
        <f t="shared" si="119"/>
        <v>4.4456316021126763E-2</v>
      </c>
      <c r="AH93" s="179">
        <f t="shared" si="120"/>
        <v>0.75592894601845451</v>
      </c>
      <c r="AI93" s="179">
        <f t="shared" si="121"/>
        <v>0.75592894601845451</v>
      </c>
      <c r="AJ93" s="179">
        <f t="shared" si="122"/>
        <v>1.6488362563099663</v>
      </c>
      <c r="AL93" s="563">
        <f t="shared" si="123"/>
        <v>440</v>
      </c>
      <c r="AM93" s="472">
        <f t="shared" si="124"/>
        <v>238.2300513788403</v>
      </c>
      <c r="AO93" t="str">
        <f t="shared" si="154"/>
        <v/>
      </c>
      <c r="AP93" t="str">
        <f t="shared" si="125"/>
        <v/>
      </c>
      <c r="AR93" s="6">
        <f t="shared" si="155"/>
        <v>4.19762323943662</v>
      </c>
      <c r="AS93" s="6">
        <f t="shared" si="126"/>
        <v>1.3858697343671664</v>
      </c>
      <c r="AT93" s="6">
        <f t="shared" si="156"/>
        <v>2.8117535050694533</v>
      </c>
      <c r="AU93" s="179">
        <f t="shared" si="157"/>
        <v>0.3301558180226698</v>
      </c>
      <c r="AW93" s="6">
        <f t="shared" si="127"/>
        <v>13.072048611111116</v>
      </c>
      <c r="AX93" s="472">
        <f t="shared" si="128"/>
        <v>12.089143026004733</v>
      </c>
      <c r="AY93" s="6">
        <f t="shared" si="129"/>
        <v>13.072048611111116</v>
      </c>
      <c r="AZ93" s="472">
        <f t="shared" si="130"/>
        <v>24.326805555555563</v>
      </c>
      <c r="BA93" s="6">
        <f t="shared" si="131"/>
        <v>0.23865191786854928</v>
      </c>
      <c r="BB93" s="6">
        <f t="shared" si="132"/>
        <v>58.294978806970349</v>
      </c>
      <c r="BC93" s="6"/>
      <c r="BD93" s="179">
        <f t="shared" si="158"/>
        <v>0.25077245159807438</v>
      </c>
      <c r="BE93" s="179">
        <f t="shared" si="133"/>
        <v>1.0715896191925049</v>
      </c>
      <c r="BF93" s="179">
        <f t="shared" si="134"/>
        <v>1.0715896191925049</v>
      </c>
      <c r="BG93" s="179"/>
      <c r="BH93" s="546">
        <f t="shared" si="135"/>
        <v>2.2010387868177994E-2</v>
      </c>
      <c r="BI93" s="546">
        <f t="shared" si="136"/>
        <v>5.3687838135277333E-2</v>
      </c>
      <c r="BJ93" s="546">
        <f t="shared" si="137"/>
        <v>2.977875642235504E-3</v>
      </c>
      <c r="BK93" s="546">
        <f t="shared" si="138"/>
        <v>1.8820918527838942E-2</v>
      </c>
      <c r="BL93">
        <f t="shared" si="139"/>
        <v>6.96E-3</v>
      </c>
      <c r="BM93">
        <f t="shared" si="140"/>
        <v>0.10825403267599011</v>
      </c>
      <c r="BN93" s="472">
        <f t="shared" si="159"/>
        <v>108.25403267599012</v>
      </c>
      <c r="BO93" s="179">
        <f t="shared" si="141"/>
        <v>0.12012</v>
      </c>
      <c r="BP93" s="179">
        <f t="shared" si="142"/>
        <v>0.12012</v>
      </c>
      <c r="BQ93" s="546"/>
      <c r="BS93" s="472">
        <f t="shared" si="160"/>
        <v>240.24</v>
      </c>
      <c r="BT93" s="546">
        <f t="shared" si="143"/>
        <v>1.2577364496101712E-2</v>
      </c>
      <c r="BU93" s="546">
        <f t="shared" si="144"/>
        <v>4.5932172478445513E-2</v>
      </c>
      <c r="BV93" s="546">
        <f t="shared" si="145"/>
        <v>0.1033473880765024</v>
      </c>
      <c r="BW93" s="546">
        <f t="shared" si="146"/>
        <v>2.1760246186797814E-2</v>
      </c>
      <c r="BX93" s="546">
        <f t="shared" si="147"/>
        <v>0.20570356597685738</v>
      </c>
      <c r="BY93" s="656">
        <f t="shared" si="148"/>
        <v>6.806572896538296E-2</v>
      </c>
      <c r="BZ93" s="472">
        <f t="shared" si="161"/>
        <v>273.76929494224032</v>
      </c>
      <c r="CA93" s="179">
        <f t="shared" si="162"/>
        <v>0.62226332761823044</v>
      </c>
      <c r="CB93" s="6">
        <f t="shared" si="163"/>
        <v>4.4000000000000004</v>
      </c>
      <c r="CC93" s="179">
        <f t="shared" si="164"/>
        <v>0.87609902408017815</v>
      </c>
      <c r="CD93" s="6">
        <f t="shared" si="165"/>
        <v>87.609902408017817</v>
      </c>
      <c r="CE93">
        <f t="shared" si="166"/>
        <v>88</v>
      </c>
      <c r="CG93" s="581">
        <f t="shared" si="149"/>
        <v>-50</v>
      </c>
      <c r="CH93">
        <f t="shared" si="150"/>
        <v>-50</v>
      </c>
    </row>
    <row r="94" spans="5:86" x14ac:dyDescent="0.2">
      <c r="E94" s="176">
        <v>89</v>
      </c>
      <c r="F94" s="223">
        <f t="shared" si="167"/>
        <v>0.44500000000000001</v>
      </c>
      <c r="G94" s="223">
        <f t="shared" si="151"/>
        <v>0.44500000000000001</v>
      </c>
      <c r="H94" s="223">
        <f t="shared" si="101"/>
        <v>2.2250000000000001</v>
      </c>
      <c r="I94" s="223">
        <f t="shared" si="168"/>
        <v>2.2250000000000001</v>
      </c>
      <c r="J94" s="559">
        <f t="shared" si="102"/>
        <v>24</v>
      </c>
      <c r="K94" s="454">
        <f t="shared" si="103"/>
        <v>11.568316726733093</v>
      </c>
      <c r="L94" s="454">
        <f t="shared" si="104"/>
        <v>39.75</v>
      </c>
      <c r="M94" s="454"/>
      <c r="N94" s="223">
        <f t="shared" si="105"/>
        <v>0.39622641509433965</v>
      </c>
      <c r="O94" s="178">
        <f t="shared" si="152"/>
        <v>1.6047169811320754</v>
      </c>
      <c r="P94" s="178">
        <f t="shared" si="106"/>
        <v>3.2094339622641508</v>
      </c>
      <c r="Q94" s="223">
        <f t="shared" si="107"/>
        <v>0.3209433962264151</v>
      </c>
      <c r="R94" s="223">
        <f t="shared" si="108"/>
        <v>0.3209433962264151</v>
      </c>
      <c r="S94" s="454">
        <f t="shared" si="109"/>
        <v>3.6061055755776974</v>
      </c>
      <c r="T94" s="223">
        <f t="shared" si="110"/>
        <v>0.75</v>
      </c>
      <c r="U94" s="223">
        <f t="shared" si="111"/>
        <v>1.3750000000000002</v>
      </c>
      <c r="V94" s="223">
        <f t="shared" si="112"/>
        <v>2.8526189919870255</v>
      </c>
      <c r="W94" s="203">
        <f t="shared" si="113"/>
        <v>350</v>
      </c>
      <c r="X94" s="454">
        <f t="shared" si="153"/>
        <v>236.53976432014971</v>
      </c>
      <c r="Z94" s="223">
        <f t="shared" si="114"/>
        <v>0.50687092354317798</v>
      </c>
      <c r="AA94" s="179">
        <f t="shared" si="115"/>
        <v>1.9278794973136972</v>
      </c>
      <c r="AB94" s="179">
        <f t="shared" si="116"/>
        <v>0.51302268217375946</v>
      </c>
      <c r="AC94" s="179"/>
      <c r="AD94" s="179">
        <f t="shared" si="117"/>
        <v>0.57052379839740497</v>
      </c>
      <c r="AE94" s="563">
        <f t="shared" si="118"/>
        <v>3466.5999618829819</v>
      </c>
      <c r="AF94" s="546">
        <f t="shared" si="119"/>
        <v>4.4928749123795644E-2</v>
      </c>
      <c r="AH94" s="179">
        <f t="shared" si="120"/>
        <v>0.76021186383933659</v>
      </c>
      <c r="AI94" s="179">
        <f t="shared" si="121"/>
        <v>0.76021186383933659</v>
      </c>
      <c r="AJ94" s="179">
        <f t="shared" si="122"/>
        <v>1.6520087880291381</v>
      </c>
      <c r="AL94" s="563">
        <f t="shared" si="123"/>
        <v>445</v>
      </c>
      <c r="AM94" s="472">
        <f t="shared" si="124"/>
        <v>236.53976432014971</v>
      </c>
      <c r="AO94" t="str">
        <f t="shared" si="154"/>
        <v/>
      </c>
      <c r="AP94" t="str">
        <f t="shared" si="125"/>
        <v/>
      </c>
      <c r="AR94" s="6">
        <f t="shared" si="155"/>
        <v>4.2276189919870264</v>
      </c>
      <c r="AS94" s="6">
        <f t="shared" si="126"/>
        <v>1.3937217503721171</v>
      </c>
      <c r="AT94" s="6">
        <f t="shared" si="156"/>
        <v>2.8338972416149093</v>
      </c>
      <c r="AU94" s="179">
        <f t="shared" si="157"/>
        <v>0.32967061436088707</v>
      </c>
      <c r="AW94" s="6">
        <f t="shared" si="127"/>
        <v>13.072048611111116</v>
      </c>
      <c r="AX94" s="472">
        <f t="shared" si="128"/>
        <v>12.350286920065013</v>
      </c>
      <c r="AY94" s="6">
        <f t="shared" si="129"/>
        <v>13.072048611111116</v>
      </c>
      <c r="AZ94" s="472">
        <f t="shared" si="130"/>
        <v>24.867658420138898</v>
      </c>
      <c r="BA94" s="6">
        <f t="shared" si="131"/>
        <v>0.24326471306300818</v>
      </c>
      <c r="BB94" s="6">
        <f t="shared" si="132"/>
        <v>59.413623727714558</v>
      </c>
      <c r="BC94" s="6"/>
      <c r="BD94" s="179">
        <f t="shared" si="158"/>
        <v>0.25200788776100636</v>
      </c>
      <c r="BE94" s="179">
        <f t="shared" si="133"/>
        <v>1.0780512299155167</v>
      </c>
      <c r="BF94" s="179">
        <f t="shared" si="134"/>
        <v>1.0780512299155167</v>
      </c>
      <c r="BG94" s="179"/>
      <c r="BH94" s="546">
        <f t="shared" si="135"/>
        <v>2.2227791422817392E-2</v>
      </c>
      <c r="BI94" s="546">
        <f t="shared" si="136"/>
        <v>5.3608937403457887E-2</v>
      </c>
      <c r="BJ94" s="546">
        <f t="shared" si="137"/>
        <v>2.9567470540018711E-3</v>
      </c>
      <c r="BK94" s="546">
        <f t="shared" si="138"/>
        <v>1.8687380568055325E-2</v>
      </c>
      <c r="BL94">
        <f t="shared" si="139"/>
        <v>6.96E-3</v>
      </c>
      <c r="BM94">
        <f t="shared" si="140"/>
        <v>0.10827553888214511</v>
      </c>
      <c r="BN94" s="472">
        <f t="shared" si="159"/>
        <v>108.27553888214511</v>
      </c>
      <c r="BO94" s="179">
        <f t="shared" si="141"/>
        <v>0.12148500000000001</v>
      </c>
      <c r="BP94" s="179">
        <f t="shared" si="142"/>
        <v>0.12148500000000001</v>
      </c>
      <c r="BQ94" s="546"/>
      <c r="BS94" s="472">
        <f t="shared" si="160"/>
        <v>242.97000000000003</v>
      </c>
      <c r="BT94" s="546">
        <f t="shared" si="143"/>
        <v>1.2701595098752797E-2</v>
      </c>
      <c r="BU94" s="546">
        <f t="shared" si="144"/>
        <v>4.6487778172894338E-2</v>
      </c>
      <c r="BV94" s="546">
        <f t="shared" si="145"/>
        <v>0.10459750088901225</v>
      </c>
      <c r="BW94" s="546">
        <f t="shared" si="146"/>
        <v>2.1680386041586414E-2</v>
      </c>
      <c r="BX94" s="546">
        <f t="shared" si="147"/>
        <v>0.20784506862956856</v>
      </c>
      <c r="BY94" s="656">
        <f t="shared" si="148"/>
        <v>6.8350776053549792E-2</v>
      </c>
      <c r="BZ94" s="472">
        <f t="shared" si="161"/>
        <v>276.19584468311837</v>
      </c>
      <c r="CA94" s="179">
        <f t="shared" si="162"/>
        <v>0.62744138356526347</v>
      </c>
      <c r="CB94" s="6">
        <f t="shared" si="163"/>
        <v>4.45</v>
      </c>
      <c r="CC94" s="179">
        <f t="shared" si="164"/>
        <v>0.87642567660235826</v>
      </c>
      <c r="CD94" s="6">
        <f t="shared" si="165"/>
        <v>87.642567660235827</v>
      </c>
      <c r="CE94">
        <f t="shared" si="166"/>
        <v>89</v>
      </c>
      <c r="CG94" s="581">
        <f t="shared" si="149"/>
        <v>-50</v>
      </c>
      <c r="CH94">
        <f t="shared" si="150"/>
        <v>-50</v>
      </c>
    </row>
    <row r="95" spans="5:86" x14ac:dyDescent="0.2">
      <c r="E95" s="176">
        <v>90</v>
      </c>
      <c r="F95" s="223">
        <f t="shared" si="167"/>
        <v>0.45</v>
      </c>
      <c r="G95" s="223">
        <f t="shared" si="151"/>
        <v>0.45</v>
      </c>
      <c r="H95" s="223">
        <f t="shared" si="101"/>
        <v>2.25</v>
      </c>
      <c r="I95" s="223">
        <f t="shared" si="168"/>
        <v>2.25</v>
      </c>
      <c r="J95" s="559">
        <f t="shared" si="102"/>
        <v>24</v>
      </c>
      <c r="K95" s="454">
        <f t="shared" si="103"/>
        <v>11.44811320754717</v>
      </c>
      <c r="L95" s="454">
        <f t="shared" si="104"/>
        <v>39.75</v>
      </c>
      <c r="M95" s="454"/>
      <c r="N95" s="223">
        <f t="shared" si="105"/>
        <v>0.39622641509433965</v>
      </c>
      <c r="O95" s="178">
        <f t="shared" si="152"/>
        <v>1.6047169811320754</v>
      </c>
      <c r="P95" s="178">
        <f t="shared" si="106"/>
        <v>3.2094339622641508</v>
      </c>
      <c r="Q95" s="223">
        <f t="shared" si="107"/>
        <v>0.3209433962264151</v>
      </c>
      <c r="R95" s="223">
        <f t="shared" si="108"/>
        <v>0.3209433962264151</v>
      </c>
      <c r="S95" s="454">
        <f t="shared" si="109"/>
        <v>3.5660377358490565</v>
      </c>
      <c r="T95" s="223">
        <f t="shared" si="110"/>
        <v>0.75</v>
      </c>
      <c r="U95" s="223">
        <f t="shared" si="111"/>
        <v>1.3750000000000002</v>
      </c>
      <c r="V95" s="223">
        <f t="shared" si="112"/>
        <v>2.8825710754017306</v>
      </c>
      <c r="W95" s="203">
        <f t="shared" si="113"/>
        <v>350</v>
      </c>
      <c r="X95" s="454">
        <f t="shared" si="153"/>
        <v>234.87570313917618</v>
      </c>
      <c r="Z95" s="223">
        <f t="shared" si="114"/>
        <v>0.50330507815537762</v>
      </c>
      <c r="AA95" s="179">
        <f t="shared" si="115"/>
        <v>1.9344168805246653</v>
      </c>
      <c r="AB95" s="179">
        <f t="shared" si="116"/>
        <v>0.51114096559971289</v>
      </c>
      <c r="AC95" s="179"/>
      <c r="AD95" s="179">
        <f t="shared" si="117"/>
        <v>0.57651421508034606</v>
      </c>
      <c r="AE95" s="563">
        <f t="shared" si="118"/>
        <v>3469.1252144082332</v>
      </c>
      <c r="AF95" s="546">
        <f t="shared" si="119"/>
        <v>4.5400494437577252E-2</v>
      </c>
      <c r="AH95" s="179">
        <f t="shared" si="120"/>
        <v>0.76447078715643835</v>
      </c>
      <c r="AI95" s="179">
        <f t="shared" si="121"/>
        <v>0.76447078715643835</v>
      </c>
      <c r="AJ95" s="179">
        <f t="shared" si="122"/>
        <v>1.6551635460418062</v>
      </c>
      <c r="AL95" s="563">
        <f t="shared" si="123"/>
        <v>450</v>
      </c>
      <c r="AM95" s="472">
        <f t="shared" si="124"/>
        <v>234.87570313917618</v>
      </c>
      <c r="AO95" t="str">
        <f t="shared" si="154"/>
        <v/>
      </c>
      <c r="AP95" t="str">
        <f t="shared" si="125"/>
        <v/>
      </c>
      <c r="AR95" s="6">
        <f t="shared" si="155"/>
        <v>4.2575710754017306</v>
      </c>
      <c r="AS95" s="6">
        <f t="shared" si="126"/>
        <v>1.4015297764534704</v>
      </c>
      <c r="AT95" s="6">
        <f t="shared" si="156"/>
        <v>2.8560412989482602</v>
      </c>
      <c r="AU95" s="179">
        <f t="shared" si="157"/>
        <v>0.32918529171500127</v>
      </c>
      <c r="AW95" s="6">
        <f t="shared" si="127"/>
        <v>13.072048611111116</v>
      </c>
      <c r="AX95" s="472">
        <f t="shared" si="128"/>
        <v>12.614212101063835</v>
      </c>
      <c r="AY95" s="6">
        <f t="shared" si="129"/>
        <v>13.072048611111116</v>
      </c>
      <c r="AZ95" s="472">
        <f t="shared" si="130"/>
        <v>25.414453125000016</v>
      </c>
      <c r="BA95" s="6">
        <f t="shared" si="131"/>
        <v>0.24792025164481424</v>
      </c>
      <c r="BB95" s="6">
        <f t="shared" si="132"/>
        <v>60.542527061422085</v>
      </c>
      <c r="BC95" s="6"/>
      <c r="BD95" s="179">
        <f t="shared" si="158"/>
        <v>0.25323310383823383</v>
      </c>
      <c r="BE95" s="179">
        <f t="shared" si="133"/>
        <v>1.0844831530876089</v>
      </c>
      <c r="BF95" s="179">
        <f t="shared" si="134"/>
        <v>1.0844831530876089</v>
      </c>
      <c r="BG95" s="179"/>
      <c r="BH95" s="546">
        <f t="shared" si="135"/>
        <v>2.2444451707840998E-2</v>
      </c>
      <c r="BI95" s="546">
        <f t="shared" si="136"/>
        <v>5.3530017323200764E-2</v>
      </c>
      <c r="BJ95" s="546">
        <f t="shared" si="137"/>
        <v>2.9359462892397021E-3</v>
      </c>
      <c r="BK95" s="546">
        <f t="shared" si="138"/>
        <v>1.8555914534567227E-2</v>
      </c>
      <c r="BL95">
        <f t="shared" si="139"/>
        <v>6.96E-3</v>
      </c>
      <c r="BM95">
        <f t="shared" si="140"/>
        <v>0.10829856907970234</v>
      </c>
      <c r="BN95" s="472">
        <f t="shared" si="159"/>
        <v>108.29856907970233</v>
      </c>
      <c r="BO95" s="179">
        <f t="shared" si="141"/>
        <v>0.12285000000000001</v>
      </c>
      <c r="BP95" s="179">
        <f t="shared" si="142"/>
        <v>0.12285000000000001</v>
      </c>
      <c r="BQ95" s="546"/>
      <c r="BS95" s="472">
        <f t="shared" si="160"/>
        <v>245.70000000000002</v>
      </c>
      <c r="BT95" s="546">
        <f t="shared" si="143"/>
        <v>1.2825400975909144E-2</v>
      </c>
      <c r="BU95" s="546">
        <f t="shared" si="144"/>
        <v>4.7044148373233688E-2</v>
      </c>
      <c r="BV95" s="546">
        <f t="shared" si="145"/>
        <v>0.10584933383977579</v>
      </c>
      <c r="BW95" s="546">
        <f t="shared" si="146"/>
        <v>2.1600682488213122E-2</v>
      </c>
      <c r="BX95" s="546">
        <f t="shared" si="147"/>
        <v>0.20998977331701724</v>
      </c>
      <c r="BY95" s="656">
        <f t="shared" si="148"/>
        <v>6.8632510657551493E-2</v>
      </c>
      <c r="BZ95" s="472">
        <f t="shared" si="161"/>
        <v>278.62228397456875</v>
      </c>
      <c r="CA95" s="179">
        <f t="shared" si="162"/>
        <v>0.63262085305427107</v>
      </c>
      <c r="CB95" s="6">
        <f t="shared" si="163"/>
        <v>4.5</v>
      </c>
      <c r="CC95" s="179">
        <f t="shared" si="164"/>
        <v>0.87674506433144828</v>
      </c>
      <c r="CD95" s="6">
        <f t="shared" si="165"/>
        <v>87.674506433144828</v>
      </c>
      <c r="CE95">
        <f t="shared" si="166"/>
        <v>90</v>
      </c>
      <c r="CG95" s="581">
        <f t="shared" si="149"/>
        <v>-50</v>
      </c>
      <c r="CH95">
        <f t="shared" si="150"/>
        <v>-50</v>
      </c>
    </row>
    <row r="96" spans="5:86" x14ac:dyDescent="0.2">
      <c r="E96" s="176">
        <v>91</v>
      </c>
      <c r="F96" s="223">
        <f t="shared" si="167"/>
        <v>0.45500000000000002</v>
      </c>
      <c r="G96" s="223">
        <f t="shared" si="151"/>
        <v>0.45500000000000002</v>
      </c>
      <c r="H96" s="223">
        <f t="shared" si="101"/>
        <v>2.2749999999999999</v>
      </c>
      <c r="I96" s="223">
        <f t="shared" si="168"/>
        <v>2.2749999999999999</v>
      </c>
      <c r="J96" s="559">
        <f t="shared" si="102"/>
        <v>24</v>
      </c>
      <c r="K96" s="454">
        <f t="shared" si="103"/>
        <v>11.330551523947749</v>
      </c>
      <c r="L96" s="454">
        <f t="shared" si="104"/>
        <v>39.75</v>
      </c>
      <c r="M96" s="454"/>
      <c r="N96" s="223">
        <f t="shared" si="105"/>
        <v>0.39622641509433965</v>
      </c>
      <c r="O96" s="178">
        <f t="shared" si="152"/>
        <v>1.6047169811320754</v>
      </c>
      <c r="P96" s="178">
        <f t="shared" si="106"/>
        <v>3.2094339622641508</v>
      </c>
      <c r="Q96" s="223">
        <f t="shared" si="107"/>
        <v>0.3209433962264151</v>
      </c>
      <c r="R96" s="223">
        <f t="shared" si="108"/>
        <v>0.3209433962264151</v>
      </c>
      <c r="S96" s="454">
        <f t="shared" si="109"/>
        <v>3.5268505079825831</v>
      </c>
      <c r="T96" s="223">
        <f t="shared" si="110"/>
        <v>0.75</v>
      </c>
      <c r="U96" s="223">
        <f t="shared" si="111"/>
        <v>1.3750000000000002</v>
      </c>
      <c r="V96" s="223">
        <f t="shared" si="112"/>
        <v>2.912479584974542</v>
      </c>
      <c r="W96" s="203">
        <f t="shared" si="113"/>
        <v>350</v>
      </c>
      <c r="X96" s="454">
        <f t="shared" si="153"/>
        <v>233.23726216784721</v>
      </c>
      <c r="Z96" s="223">
        <f t="shared" si="114"/>
        <v>0.49979413321681548</v>
      </c>
      <c r="AA96" s="179">
        <f t="shared" si="115"/>
        <v>1.9408536129120286</v>
      </c>
      <c r="AB96" s="179">
        <f t="shared" si="116"/>
        <v>0.50926430581219828</v>
      </c>
      <c r="AC96" s="179"/>
      <c r="AD96" s="179">
        <f t="shared" si="117"/>
        <v>0.58249591699490832</v>
      </c>
      <c r="AE96" s="563">
        <f t="shared" si="118"/>
        <v>3471.6504669334854</v>
      </c>
      <c r="AF96" s="546">
        <f t="shared" si="119"/>
        <v>4.5871553463349028E-2</v>
      </c>
      <c r="AH96" s="179">
        <f t="shared" si="120"/>
        <v>0.7687061147858073</v>
      </c>
      <c r="AI96" s="179">
        <f t="shared" si="121"/>
        <v>0.7687061147858073</v>
      </c>
      <c r="AJ96" s="179">
        <f t="shared" si="122"/>
        <v>1.6583008257672647</v>
      </c>
      <c r="AL96" s="563">
        <f t="shared" si="123"/>
        <v>455</v>
      </c>
      <c r="AM96" s="472">
        <f t="shared" si="124"/>
        <v>233.23726216784721</v>
      </c>
      <c r="AO96" t="str">
        <f t="shared" si="154"/>
        <v/>
      </c>
      <c r="AP96" t="str">
        <f t="shared" si="125"/>
        <v/>
      </c>
      <c r="AR96" s="6">
        <f t="shared" si="155"/>
        <v>4.287479584974542</v>
      </c>
      <c r="AS96" s="6">
        <f t="shared" si="126"/>
        <v>1.4092945437739799</v>
      </c>
      <c r="AT96" s="6">
        <f t="shared" si="156"/>
        <v>2.8781850412005623</v>
      </c>
      <c r="AU96" s="179">
        <f t="shared" si="157"/>
        <v>0.3287000009779284</v>
      </c>
      <c r="AW96" s="6">
        <f t="shared" si="127"/>
        <v>13.072048611111116</v>
      </c>
      <c r="AX96" s="472">
        <f t="shared" si="128"/>
        <v>12.880918569001187</v>
      </c>
      <c r="AY96" s="6">
        <f t="shared" si="129"/>
        <v>13.072048611111116</v>
      </c>
      <c r="AZ96" s="472">
        <f t="shared" si="130"/>
        <v>25.9671896701389</v>
      </c>
      <c r="BA96" s="6">
        <f t="shared" si="131"/>
        <v>0.25261847873191656</v>
      </c>
      <c r="BB96" s="6">
        <f t="shared" si="132"/>
        <v>61.681675636400726</v>
      </c>
      <c r="BC96" s="6"/>
      <c r="BD96" s="179">
        <f t="shared" si="158"/>
        <v>0.25444830434994381</v>
      </c>
      <c r="BE96" s="179">
        <f t="shared" si="133"/>
        <v>1.0908857944112287</v>
      </c>
      <c r="BF96" s="179">
        <f t="shared" si="134"/>
        <v>1.0908857944112287</v>
      </c>
      <c r="BG96" s="179"/>
      <c r="BH96" s="546">
        <f t="shared" si="135"/>
        <v>2.2660378855296572E-2</v>
      </c>
      <c r="BI96" s="546">
        <f t="shared" si="136"/>
        <v>5.345110243175176E-2</v>
      </c>
      <c r="BJ96" s="546">
        <f t="shared" si="137"/>
        <v>2.9154657770980898E-3</v>
      </c>
      <c r="BK96" s="546">
        <f t="shared" si="138"/>
        <v>1.8426472577704203E-2</v>
      </c>
      <c r="BL96">
        <f t="shared" si="139"/>
        <v>6.96E-3</v>
      </c>
      <c r="BM96">
        <f t="shared" si="140"/>
        <v>0.10832310444317902</v>
      </c>
      <c r="BN96" s="472">
        <f t="shared" si="159"/>
        <v>108.32310444317902</v>
      </c>
      <c r="BO96" s="179">
        <f t="shared" si="141"/>
        <v>0.12421500000000002</v>
      </c>
      <c r="BP96" s="179">
        <f t="shared" si="142"/>
        <v>0.12421500000000002</v>
      </c>
      <c r="BQ96" s="546"/>
      <c r="BS96" s="472">
        <f t="shared" si="160"/>
        <v>248.43000000000004</v>
      </c>
      <c r="BT96" s="546">
        <f t="shared" si="143"/>
        <v>1.2948787917312327E-2</v>
      </c>
      <c r="BU96" s="546">
        <f t="shared" si="144"/>
        <v>4.7601272657928705E-2</v>
      </c>
      <c r="BV96" s="546">
        <f t="shared" si="145"/>
        <v>0.10710286348033958</v>
      </c>
      <c r="BW96" s="546">
        <f t="shared" si="146"/>
        <v>2.1521160225214445E-2</v>
      </c>
      <c r="BX96" s="546">
        <f t="shared" si="147"/>
        <v>0.21213767529267841</v>
      </c>
      <c r="BY96" s="656">
        <f t="shared" si="148"/>
        <v>6.891100927686393E-2</v>
      </c>
      <c r="BZ96" s="472">
        <f t="shared" si="161"/>
        <v>281.04868456954233</v>
      </c>
      <c r="CA96" s="179">
        <f t="shared" si="162"/>
        <v>0.63780178901272144</v>
      </c>
      <c r="CB96" s="6">
        <f t="shared" si="163"/>
        <v>4.55</v>
      </c>
      <c r="CC96" s="179">
        <f t="shared" si="164"/>
        <v>0.87705740987184089</v>
      </c>
      <c r="CD96" s="6">
        <f t="shared" si="165"/>
        <v>87.705740987184086</v>
      </c>
      <c r="CE96">
        <f t="shared" si="166"/>
        <v>91</v>
      </c>
      <c r="CG96" s="581">
        <f t="shared" si="149"/>
        <v>-50</v>
      </c>
      <c r="CH96">
        <f t="shared" si="150"/>
        <v>-50</v>
      </c>
    </row>
    <row r="97" spans="5:86" x14ac:dyDescent="0.2">
      <c r="E97" s="176">
        <v>92</v>
      </c>
      <c r="F97" s="223">
        <f t="shared" si="167"/>
        <v>0.46</v>
      </c>
      <c r="G97" s="223">
        <f t="shared" si="151"/>
        <v>0.46</v>
      </c>
      <c r="H97" s="223">
        <f t="shared" si="101"/>
        <v>2.3000000000000003</v>
      </c>
      <c r="I97" s="223">
        <f t="shared" si="168"/>
        <v>2.3000000000000003</v>
      </c>
      <c r="J97" s="559">
        <f t="shared" si="102"/>
        <v>24</v>
      </c>
      <c r="K97" s="454">
        <f t="shared" si="103"/>
        <v>11.215545529122231</v>
      </c>
      <c r="L97" s="454">
        <f t="shared" si="104"/>
        <v>39.75</v>
      </c>
      <c r="M97" s="454"/>
      <c r="N97" s="223">
        <f t="shared" si="105"/>
        <v>0.39622641509433965</v>
      </c>
      <c r="O97" s="178">
        <f t="shared" si="152"/>
        <v>1.6047169811320754</v>
      </c>
      <c r="P97" s="178">
        <f t="shared" si="106"/>
        <v>3.2094339622641508</v>
      </c>
      <c r="Q97" s="223">
        <f t="shared" si="107"/>
        <v>0.3209433962264151</v>
      </c>
      <c r="R97" s="223">
        <f t="shared" si="108"/>
        <v>0.3209433962264151</v>
      </c>
      <c r="S97" s="454">
        <f t="shared" si="109"/>
        <v>3.4885151763740767</v>
      </c>
      <c r="T97" s="223">
        <f t="shared" si="110"/>
        <v>0.75</v>
      </c>
      <c r="U97" s="223">
        <f t="shared" si="111"/>
        <v>1.3750000000000002</v>
      </c>
      <c r="V97" s="223">
        <f t="shared" si="112"/>
        <v>2.9423446157222015</v>
      </c>
      <c r="W97" s="203">
        <f t="shared" si="113"/>
        <v>350</v>
      </c>
      <c r="X97" s="454">
        <f t="shared" si="153"/>
        <v>231.62385424558491</v>
      </c>
      <c r="Z97" s="223">
        <f t="shared" si="114"/>
        <v>0.49633683052625344</v>
      </c>
      <c r="AA97" s="179">
        <f t="shared" si="115"/>
        <v>1.9471920011780592</v>
      </c>
      <c r="AB97" s="179">
        <f t="shared" si="116"/>
        <v>0.50739313080266513</v>
      </c>
      <c r="AC97" s="179"/>
      <c r="AD97" s="179">
        <f t="shared" si="117"/>
        <v>0.58846892314444021</v>
      </c>
      <c r="AE97" s="563">
        <f t="shared" si="118"/>
        <v>3474.1757194587385</v>
      </c>
      <c r="AF97" s="546">
        <f t="shared" si="119"/>
        <v>4.6341927697624671E-2</v>
      </c>
      <c r="AH97" s="179">
        <f t="shared" si="120"/>
        <v>0.77291823461644216</v>
      </c>
      <c r="AI97" s="179">
        <f t="shared" si="121"/>
        <v>0.77291823461644216</v>
      </c>
      <c r="AJ97" s="179">
        <f t="shared" si="122"/>
        <v>1.661420914530698</v>
      </c>
      <c r="AL97" s="563">
        <f t="shared" si="123"/>
        <v>460</v>
      </c>
      <c r="AM97" s="472">
        <f t="shared" si="124"/>
        <v>231.62385424558491</v>
      </c>
      <c r="AO97" t="str">
        <f t="shared" si="154"/>
        <v/>
      </c>
      <c r="AP97" t="str">
        <f t="shared" si="125"/>
        <v/>
      </c>
      <c r="AR97" s="6">
        <f t="shared" si="155"/>
        <v>4.3173446157222015</v>
      </c>
      <c r="AS97" s="6">
        <f t="shared" si="126"/>
        <v>1.4170167634634772</v>
      </c>
      <c r="AT97" s="6">
        <f t="shared" si="156"/>
        <v>2.9003278522587244</v>
      </c>
      <c r="AU97" s="179">
        <f t="shared" si="157"/>
        <v>0.32821488428401491</v>
      </c>
      <c r="AW97" s="6">
        <f t="shared" si="127"/>
        <v>13.072048611111116</v>
      </c>
      <c r="AX97" s="472">
        <f t="shared" si="128"/>
        <v>13.150406323877073</v>
      </c>
      <c r="AY97" s="6">
        <f t="shared" si="129"/>
        <v>13.072048611111116</v>
      </c>
      <c r="AZ97" s="472">
        <f t="shared" si="130"/>
        <v>26.525868055555559</v>
      </c>
      <c r="BA97" s="6">
        <f t="shared" si="131"/>
        <v>0.2573593387420936</v>
      </c>
      <c r="BB97" s="6">
        <f t="shared" si="132"/>
        <v>62.831056112917281</v>
      </c>
      <c r="BC97" s="6"/>
      <c r="BD97" s="179">
        <f t="shared" si="158"/>
        <v>0.25565368787838982</v>
      </c>
      <c r="BE97" s="179">
        <f t="shared" si="133"/>
        <v>1.0972595495485113</v>
      </c>
      <c r="BF97" s="179">
        <f t="shared" si="134"/>
        <v>1.0972595495485113</v>
      </c>
      <c r="BG97" s="179"/>
      <c r="BH97" s="546">
        <f t="shared" si="135"/>
        <v>2.2875582844037404E-2</v>
      </c>
      <c r="BI97" s="546">
        <f t="shared" si="136"/>
        <v>5.3372215842093784E-2</v>
      </c>
      <c r="BJ97" s="546">
        <f t="shared" si="137"/>
        <v>2.8952981780698112E-3</v>
      </c>
      <c r="BK97" s="546">
        <f t="shared" si="138"/>
        <v>1.8299008309945724E-2</v>
      </c>
      <c r="BL97">
        <f t="shared" si="139"/>
        <v>6.96E-3</v>
      </c>
      <c r="BM97">
        <f t="shared" si="140"/>
        <v>0.10834912622974743</v>
      </c>
      <c r="BN97" s="472">
        <f t="shared" si="159"/>
        <v>108.34912622974743</v>
      </c>
      <c r="BO97" s="179">
        <f t="shared" si="141"/>
        <v>0.12558000000000002</v>
      </c>
      <c r="BP97" s="179">
        <f t="shared" si="142"/>
        <v>0.12558000000000002</v>
      </c>
      <c r="BQ97" s="546"/>
      <c r="BS97" s="472">
        <f t="shared" si="160"/>
        <v>251.16000000000005</v>
      </c>
      <c r="BT97" s="546">
        <f t="shared" si="143"/>
        <v>1.3071761625164234E-2</v>
      </c>
      <c r="BU97" s="546">
        <f t="shared" si="144"/>
        <v>4.8159140763016084E-2</v>
      </c>
      <c r="BV97" s="546">
        <f t="shared" si="145"/>
        <v>0.10835806671678617</v>
      </c>
      <c r="BW97" s="546">
        <f t="shared" si="146"/>
        <v>2.1441842301678133E-2</v>
      </c>
      <c r="BX97" s="546">
        <f t="shared" si="147"/>
        <v>0.21428876860796037</v>
      </c>
      <c r="BY97" s="656">
        <f t="shared" si="148"/>
        <v>6.9186346073356567E-2</v>
      </c>
      <c r="BZ97" s="472">
        <f t="shared" si="161"/>
        <v>283.47511468131694</v>
      </c>
      <c r="CA97" s="179">
        <f t="shared" si="162"/>
        <v>0.64298424091106443</v>
      </c>
      <c r="CB97" s="6">
        <f t="shared" si="163"/>
        <v>4.6000000000000005</v>
      </c>
      <c r="CC97" s="179">
        <f t="shared" si="164"/>
        <v>0.87736292703421626</v>
      </c>
      <c r="CD97" s="6">
        <f t="shared" si="165"/>
        <v>87.736292703421626</v>
      </c>
      <c r="CE97">
        <f t="shared" si="166"/>
        <v>92</v>
      </c>
      <c r="CG97" s="581">
        <f t="shared" si="149"/>
        <v>-50</v>
      </c>
      <c r="CH97">
        <f t="shared" si="150"/>
        <v>-50</v>
      </c>
    </row>
    <row r="98" spans="5:86" x14ac:dyDescent="0.2">
      <c r="E98" s="176">
        <v>93</v>
      </c>
      <c r="F98" s="223">
        <f t="shared" si="167"/>
        <v>0.46500000000000002</v>
      </c>
      <c r="G98" s="223">
        <f t="shared" si="151"/>
        <v>0.46500000000000002</v>
      </c>
      <c r="H98" s="223">
        <f t="shared" si="101"/>
        <v>2.3250000000000002</v>
      </c>
      <c r="I98" s="223">
        <f t="shared" si="168"/>
        <v>2.3250000000000002</v>
      </c>
      <c r="J98" s="559">
        <f t="shared" si="102"/>
        <v>24</v>
      </c>
      <c r="K98" s="454">
        <f t="shared" si="103"/>
        <v>11.103012781497259</v>
      </c>
      <c r="L98" s="454">
        <f t="shared" si="104"/>
        <v>39.75</v>
      </c>
      <c r="M98" s="454"/>
      <c r="N98" s="223">
        <f t="shared" si="105"/>
        <v>0.39622641509433965</v>
      </c>
      <c r="O98" s="178">
        <f t="shared" si="152"/>
        <v>1.6047169811320754</v>
      </c>
      <c r="P98" s="178">
        <f t="shared" si="106"/>
        <v>3.2094339622641508</v>
      </c>
      <c r="Q98" s="223">
        <f t="shared" si="107"/>
        <v>0.3209433962264151</v>
      </c>
      <c r="R98" s="223">
        <f t="shared" si="108"/>
        <v>0.3209433962264151</v>
      </c>
      <c r="S98" s="454">
        <f t="shared" si="109"/>
        <v>3.4510042604990865</v>
      </c>
      <c r="T98" s="223">
        <f t="shared" si="110"/>
        <v>0.75</v>
      </c>
      <c r="U98" s="223">
        <f t="shared" si="111"/>
        <v>1.3750000000000002</v>
      </c>
      <c r="V98" s="223">
        <f t="shared" si="112"/>
        <v>2.9721662623853975</v>
      </c>
      <c r="W98" s="203">
        <f t="shared" si="113"/>
        <v>350</v>
      </c>
      <c r="X98" s="454">
        <f t="shared" si="153"/>
        <v>230.03491001774458</v>
      </c>
      <c r="Z98" s="223">
        <f t="shared" si="114"/>
        <v>0.49293195003802415</v>
      </c>
      <c r="AA98" s="179">
        <f t="shared" si="115"/>
        <v>1.9534342820731458</v>
      </c>
      <c r="AB98" s="179">
        <f t="shared" si="116"/>
        <v>0.50552783921505784</v>
      </c>
      <c r="AC98" s="179"/>
      <c r="AD98" s="179">
        <f t="shared" si="117"/>
        <v>0.59443325247707934</v>
      </c>
      <c r="AE98" s="563">
        <f t="shared" si="118"/>
        <v>3476.7009719839907</v>
      </c>
      <c r="AF98" s="546">
        <f t="shared" si="119"/>
        <v>4.6811618632569996E-2</v>
      </c>
      <c r="AH98" s="179">
        <f t="shared" si="120"/>
        <v>0.7771075240248958</v>
      </c>
      <c r="AI98" s="179">
        <f t="shared" si="121"/>
        <v>0.7771075240248958</v>
      </c>
      <c r="AJ98" s="179">
        <f t="shared" si="122"/>
        <v>1.6645240918702933</v>
      </c>
      <c r="AL98" s="563">
        <f t="shared" si="123"/>
        <v>465</v>
      </c>
      <c r="AM98" s="472">
        <f t="shared" si="124"/>
        <v>230.03491001774458</v>
      </c>
      <c r="AO98" t="str">
        <f t="shared" si="154"/>
        <v/>
      </c>
      <c r="AP98" t="str">
        <f t="shared" si="125"/>
        <v/>
      </c>
      <c r="AR98" s="6">
        <f t="shared" si="155"/>
        <v>4.3471662623853975</v>
      </c>
      <c r="AS98" s="6">
        <f t="shared" si="126"/>
        <v>1.4246971273789757</v>
      </c>
      <c r="AT98" s="6">
        <f t="shared" si="156"/>
        <v>2.9224691350064216</v>
      </c>
      <c r="AU98" s="179">
        <f t="shared" si="157"/>
        <v>0.32773007549916189</v>
      </c>
      <c r="AW98" s="6">
        <f t="shared" si="127"/>
        <v>13.072048611111116</v>
      </c>
      <c r="AX98" s="472">
        <f t="shared" si="128"/>
        <v>13.422675365691493</v>
      </c>
      <c r="AY98" s="6">
        <f t="shared" si="129"/>
        <v>13.072048611111116</v>
      </c>
      <c r="AZ98" s="472">
        <f t="shared" si="130"/>
        <v>27.090488281250007</v>
      </c>
      <c r="BA98" s="6">
        <f t="shared" si="131"/>
        <v>0.2621427754201362</v>
      </c>
      <c r="BB98" s="6">
        <f t="shared" si="132"/>
        <v>63.990654989721591</v>
      </c>
      <c r="BC98" s="6"/>
      <c r="BD98" s="179">
        <f t="shared" si="158"/>
        <v>0.25684944729258546</v>
      </c>
      <c r="BE98" s="179">
        <f t="shared" si="133"/>
        <v>1.103604804501028</v>
      </c>
      <c r="BF98" s="179">
        <f t="shared" si="134"/>
        <v>1.103604804501028</v>
      </c>
      <c r="BG98" s="179"/>
      <c r="BH98" s="546">
        <f t="shared" si="135"/>
        <v>2.3090073501077321E-2</v>
      </c>
      <c r="BI98" s="546">
        <f t="shared" si="136"/>
        <v>5.3293379322647792E-2</v>
      </c>
      <c r="BJ98" s="546">
        <f t="shared" si="137"/>
        <v>2.8754363752218071E-3</v>
      </c>
      <c r="BK98" s="546">
        <f t="shared" si="138"/>
        <v>1.8173476750495625E-2</v>
      </c>
      <c r="BL98">
        <f t="shared" si="139"/>
        <v>6.96E-3</v>
      </c>
      <c r="BM98">
        <f t="shared" si="140"/>
        <v>0.10837661579659155</v>
      </c>
      <c r="BN98" s="472">
        <f t="shared" si="159"/>
        <v>108.37661579659155</v>
      </c>
      <c r="BO98" s="179">
        <f t="shared" si="141"/>
        <v>0.126945</v>
      </c>
      <c r="BP98" s="179">
        <f t="shared" si="142"/>
        <v>0.126945</v>
      </c>
      <c r="BQ98" s="546"/>
      <c r="BS98" s="472">
        <f t="shared" si="160"/>
        <v>253.89000000000001</v>
      </c>
      <c r="BT98" s="546">
        <f t="shared" si="143"/>
        <v>1.3194327714901328E-2</v>
      </c>
      <c r="BU98" s="546">
        <f t="shared" si="144"/>
        <v>4.8717742580710093E-2</v>
      </c>
      <c r="BV98" s="546">
        <f t="shared" si="145"/>
        <v>0.10961492080659771</v>
      </c>
      <c r="BW98" s="546">
        <f t="shared" si="146"/>
        <v>2.13627502134793E-2</v>
      </c>
      <c r="BX98" s="546">
        <f t="shared" si="147"/>
        <v>0.21644304620479393</v>
      </c>
      <c r="BY98" s="656">
        <f t="shared" si="148"/>
        <v>6.945859295990342E-2</v>
      </c>
      <c r="BZ98" s="472">
        <f t="shared" si="161"/>
        <v>285.90163916469737</v>
      </c>
      <c r="CA98" s="179">
        <f t="shared" si="162"/>
        <v>0.64816825496128894</v>
      </c>
      <c r="CB98" s="6">
        <f t="shared" si="163"/>
        <v>4.6500000000000004</v>
      </c>
      <c r="CC98" s="179">
        <f t="shared" si="164"/>
        <v>0.87766182126165326</v>
      </c>
      <c r="CD98" s="6">
        <f t="shared" si="165"/>
        <v>87.766182126165333</v>
      </c>
      <c r="CE98">
        <f t="shared" si="166"/>
        <v>93</v>
      </c>
      <c r="CG98" s="581">
        <f t="shared" si="149"/>
        <v>-50</v>
      </c>
      <c r="CH98">
        <f t="shared" si="150"/>
        <v>-50</v>
      </c>
    </row>
    <row r="99" spans="5:86" x14ac:dyDescent="0.2">
      <c r="E99" s="176">
        <v>94</v>
      </c>
      <c r="F99" s="223">
        <f t="shared" si="167"/>
        <v>0.47</v>
      </c>
      <c r="G99" s="223">
        <f t="shared" si="151"/>
        <v>0.47</v>
      </c>
      <c r="H99" s="223">
        <f t="shared" si="101"/>
        <v>2.3499999999999996</v>
      </c>
      <c r="I99" s="223">
        <f t="shared" si="168"/>
        <v>2.3499999999999996</v>
      </c>
      <c r="J99" s="559">
        <f t="shared" si="102"/>
        <v>24</v>
      </c>
      <c r="K99" s="454">
        <f t="shared" si="103"/>
        <v>10.992874347651547</v>
      </c>
      <c r="L99" s="454">
        <f t="shared" si="104"/>
        <v>39.75</v>
      </c>
      <c r="M99" s="454"/>
      <c r="N99" s="223">
        <f t="shared" si="105"/>
        <v>0.39622641509433965</v>
      </c>
      <c r="O99" s="178">
        <f t="shared" si="152"/>
        <v>1.6047169811320754</v>
      </c>
      <c r="P99" s="178">
        <f t="shared" si="106"/>
        <v>3.2094339622641508</v>
      </c>
      <c r="Q99" s="223">
        <f t="shared" si="107"/>
        <v>0.3209433962264151</v>
      </c>
      <c r="R99" s="223">
        <f t="shared" si="108"/>
        <v>0.3209433962264151</v>
      </c>
      <c r="S99" s="454">
        <f t="shared" si="109"/>
        <v>3.4142914492171821</v>
      </c>
      <c r="T99" s="223">
        <f t="shared" si="110"/>
        <v>0.75</v>
      </c>
      <c r="U99" s="223">
        <f t="shared" si="111"/>
        <v>1.3750000000000002</v>
      </c>
      <c r="V99" s="223">
        <f t="shared" si="112"/>
        <v>3.0019446194297608</v>
      </c>
      <c r="W99" s="203">
        <f t="shared" si="113"/>
        <v>350</v>
      </c>
      <c r="X99" s="454">
        <f t="shared" si="153"/>
        <v>228.46987726572661</v>
      </c>
      <c r="Z99" s="223">
        <f t="shared" si="114"/>
        <v>0.48957830842655703</v>
      </c>
      <c r="AA99" s="179">
        <f t="shared" si="115"/>
        <v>1.9595826250275021</v>
      </c>
      <c r="AB99" s="179">
        <f t="shared" si="116"/>
        <v>0.50366880206109421</v>
      </c>
      <c r="AC99" s="179"/>
      <c r="AD99" s="179">
        <f t="shared" si="117"/>
        <v>0.600388923885952</v>
      </c>
      <c r="AE99" s="563">
        <f t="shared" si="118"/>
        <v>3479.2262245092438</v>
      </c>
      <c r="AF99" s="546">
        <f t="shared" si="119"/>
        <v>4.7280627756018725E-2</v>
      </c>
      <c r="AH99" s="179">
        <f t="shared" si="120"/>
        <v>0.7812743502698718</v>
      </c>
      <c r="AI99" s="179">
        <f t="shared" si="121"/>
        <v>0.7812743502698718</v>
      </c>
      <c r="AJ99" s="179">
        <f t="shared" si="122"/>
        <v>1.6676106298295346</v>
      </c>
      <c r="AL99" s="563">
        <f t="shared" si="123"/>
        <v>470</v>
      </c>
      <c r="AM99" s="472">
        <f t="shared" si="124"/>
        <v>228.46987726572661</v>
      </c>
      <c r="AO99" t="str">
        <f t="shared" si="154"/>
        <v/>
      </c>
      <c r="AP99" t="str">
        <f t="shared" si="125"/>
        <v/>
      </c>
      <c r="AR99" s="6">
        <f t="shared" si="155"/>
        <v>4.3769446194297608</v>
      </c>
      <c r="AS99" s="6">
        <f t="shared" si="126"/>
        <v>1.4323363088280983</v>
      </c>
      <c r="AT99" s="6">
        <f t="shared" si="156"/>
        <v>2.9446083106016623</v>
      </c>
      <c r="AU99" s="179">
        <f t="shared" si="157"/>
        <v>0.32724570068119951</v>
      </c>
      <c r="AW99" s="6">
        <f t="shared" si="127"/>
        <v>13.072048611111116</v>
      </c>
      <c r="AX99" s="472">
        <f t="shared" si="128"/>
        <v>13.697725694444449</v>
      </c>
      <c r="AY99" s="6">
        <f t="shared" si="129"/>
        <v>13.072048611111116</v>
      </c>
      <c r="AZ99" s="472">
        <f t="shared" si="130"/>
        <v>27.661050347222233</v>
      </c>
      <c r="BA99" s="6">
        <f t="shared" si="131"/>
        <v>0.26696873186396236</v>
      </c>
      <c r="BB99" s="6">
        <f t="shared" si="132"/>
        <v>65.160458610313938</v>
      </c>
      <c r="BC99" s="6"/>
      <c r="BD99" s="179">
        <f t="shared" si="158"/>
        <v>0.25803576996253341</v>
      </c>
      <c r="BE99" s="179">
        <f t="shared" si="133"/>
        <v>1.1099219359700094</v>
      </c>
      <c r="BF99" s="179">
        <f t="shared" si="134"/>
        <v>1.1099219359700094</v>
      </c>
      <c r="BG99" s="179"/>
      <c r="BH99" s="546">
        <f t="shared" si="135"/>
        <v>2.3303860503055111E-2</v>
      </c>
      <c r="BI99" s="546">
        <f t="shared" si="136"/>
        <v>5.3214613372135955E-2</v>
      </c>
      <c r="BJ99" s="546">
        <f t="shared" si="137"/>
        <v>2.8558734658215824E-3</v>
      </c>
      <c r="BK99" s="546">
        <f t="shared" si="138"/>
        <v>1.8049834272358858E-2</v>
      </c>
      <c r="BL99">
        <f t="shared" si="139"/>
        <v>6.96E-3</v>
      </c>
      <c r="BM99">
        <f t="shared" si="140"/>
        <v>0.10840555461644333</v>
      </c>
      <c r="BN99" s="472">
        <f t="shared" si="159"/>
        <v>108.40555461644333</v>
      </c>
      <c r="BO99" s="179">
        <f t="shared" si="141"/>
        <v>0.12830999999999998</v>
      </c>
      <c r="BP99" s="179">
        <f t="shared" si="142"/>
        <v>0.12830999999999998</v>
      </c>
      <c r="BQ99" s="546"/>
      <c r="BS99" s="472">
        <f t="shared" si="160"/>
        <v>256.61999999999995</v>
      </c>
      <c r="BT99" s="546">
        <f t="shared" si="143"/>
        <v>1.3316491716031493E-2</v>
      </c>
      <c r="BU99" s="546">
        <f t="shared" si="144"/>
        <v>4.927706815789655E-2</v>
      </c>
      <c r="BV99" s="546">
        <f t="shared" si="145"/>
        <v>0.11087340335526724</v>
      </c>
      <c r="BW99" s="546">
        <f t="shared" si="146"/>
        <v>2.1283903993706454E-2</v>
      </c>
      <c r="BX99" s="546">
        <f t="shared" si="147"/>
        <v>0.21860050000206452</v>
      </c>
      <c r="BY99" s="656">
        <f t="shared" si="148"/>
        <v>6.9727819684994502E-2</v>
      </c>
      <c r="BZ99" s="472">
        <f t="shared" si="161"/>
        <v>288.32831968705904</v>
      </c>
      <c r="CA99" s="179">
        <f t="shared" si="162"/>
        <v>0.65335387430350234</v>
      </c>
      <c r="CB99" s="6">
        <f t="shared" si="163"/>
        <v>4.6999999999999993</v>
      </c>
      <c r="CC99" s="179">
        <f t="shared" si="164"/>
        <v>0.87795429003121761</v>
      </c>
      <c r="CD99" s="6">
        <f t="shared" si="165"/>
        <v>87.795429003121768</v>
      </c>
      <c r="CE99">
        <f t="shared" si="166"/>
        <v>94</v>
      </c>
      <c r="CG99" s="581">
        <f t="shared" si="149"/>
        <v>-50</v>
      </c>
      <c r="CH99">
        <f t="shared" si="150"/>
        <v>-50</v>
      </c>
    </row>
    <row r="100" spans="5:86" x14ac:dyDescent="0.2">
      <c r="E100" s="176">
        <v>95</v>
      </c>
      <c r="F100" s="223">
        <f t="shared" si="167"/>
        <v>0.47499999999999998</v>
      </c>
      <c r="G100" s="223">
        <f t="shared" si="151"/>
        <v>0.47499999999999998</v>
      </c>
      <c r="H100" s="223">
        <f t="shared" si="101"/>
        <v>2.375</v>
      </c>
      <c r="I100" s="223">
        <f t="shared" si="168"/>
        <v>2.375</v>
      </c>
      <c r="J100" s="559">
        <f t="shared" si="102"/>
        <v>24</v>
      </c>
      <c r="K100" s="454">
        <f t="shared" si="103"/>
        <v>10.885054617676266</v>
      </c>
      <c r="L100" s="454">
        <f t="shared" si="104"/>
        <v>39.75</v>
      </c>
      <c r="M100" s="454"/>
      <c r="N100" s="223">
        <f t="shared" si="105"/>
        <v>0.39622641509433965</v>
      </c>
      <c r="O100" s="178">
        <f t="shared" si="152"/>
        <v>1.6047169811320754</v>
      </c>
      <c r="P100" s="178">
        <f t="shared" si="106"/>
        <v>3.2094339622641508</v>
      </c>
      <c r="Q100" s="223">
        <f t="shared" si="107"/>
        <v>0.3209433962264151</v>
      </c>
      <c r="R100" s="223">
        <f t="shared" si="108"/>
        <v>0.3209433962264151</v>
      </c>
      <c r="S100" s="454">
        <f t="shared" si="109"/>
        <v>3.378351539225422</v>
      </c>
      <c r="T100" s="223">
        <f t="shared" si="110"/>
        <v>0.75</v>
      </c>
      <c r="U100" s="223">
        <f t="shared" si="111"/>
        <v>1.3750000000000002</v>
      </c>
      <c r="V100" s="223">
        <f t="shared" si="112"/>
        <v>3.0316797810468703</v>
      </c>
      <c r="W100" s="203">
        <f t="shared" si="113"/>
        <v>350</v>
      </c>
      <c r="X100" s="454">
        <f t="shared" si="153"/>
        <v>226.92822026710448</v>
      </c>
      <c r="Z100" s="223">
        <f t="shared" si="114"/>
        <v>0.48627475771522394</v>
      </c>
      <c r="AA100" s="179">
        <f t="shared" si="115"/>
        <v>1.9656391346649464</v>
      </c>
      <c r="AB100" s="179">
        <f t="shared" si="116"/>
        <v>0.50181636433149857</v>
      </c>
      <c r="AC100" s="179"/>
      <c r="AD100" s="179">
        <f t="shared" si="117"/>
        <v>0.60633595620937386</v>
      </c>
      <c r="AE100" s="563">
        <f t="shared" si="118"/>
        <v>3481.751477034496</v>
      </c>
      <c r="AF100" s="546">
        <f t="shared" si="119"/>
        <v>4.7748956551488191E-2</v>
      </c>
      <c r="AH100" s="179">
        <f t="shared" si="120"/>
        <v>0.78541907086797746</v>
      </c>
      <c r="AI100" s="179">
        <f t="shared" si="121"/>
        <v>0.78541907086797746</v>
      </c>
      <c r="AJ100" s="179">
        <f t="shared" si="122"/>
        <v>1.6706807932355388</v>
      </c>
      <c r="AL100" s="563">
        <f t="shared" si="123"/>
        <v>475</v>
      </c>
      <c r="AM100" s="472">
        <f t="shared" si="124"/>
        <v>226.92822026710448</v>
      </c>
      <c r="AO100" t="str">
        <f t="shared" si="154"/>
        <v/>
      </c>
      <c r="AP100" t="str">
        <f t="shared" si="125"/>
        <v/>
      </c>
      <c r="AR100" s="6">
        <f t="shared" si="155"/>
        <v>4.4066797810468703</v>
      </c>
      <c r="AS100" s="6">
        <f t="shared" si="126"/>
        <v>1.4399349632579583</v>
      </c>
      <c r="AT100" s="6">
        <f t="shared" si="156"/>
        <v>2.966744817788912</v>
      </c>
      <c r="AU100" s="179">
        <f t="shared" si="157"/>
        <v>0.32676187851250699</v>
      </c>
      <c r="AW100" s="6">
        <f t="shared" si="127"/>
        <v>13.072048611111116</v>
      </c>
      <c r="AX100" s="472">
        <f t="shared" si="128"/>
        <v>13.975557310135937</v>
      </c>
      <c r="AY100" s="6">
        <f t="shared" si="129"/>
        <v>13.072048611111116</v>
      </c>
      <c r="AZ100" s="472">
        <f t="shared" si="130"/>
        <v>28.237554253472229</v>
      </c>
      <c r="BA100" s="6">
        <f t="shared" si="131"/>
        <v>0.27183715054971702</v>
      </c>
      <c r="BB100" s="6">
        <f t="shared" si="132"/>
        <v>66.34045316896912</v>
      </c>
      <c r="BC100" s="6"/>
      <c r="BD100" s="179">
        <f t="shared" si="158"/>
        <v>0.25921283796356598</v>
      </c>
      <c r="BE100" s="179">
        <f t="shared" si="133"/>
        <v>1.1162113116982904</v>
      </c>
      <c r="BF100" s="179">
        <f t="shared" si="134"/>
        <v>1.1162113116982904</v>
      </c>
      <c r="BG100" s="179"/>
      <c r="BH100" s="546">
        <f t="shared" si="135"/>
        <v>2.3516953377794067E-2</v>
      </c>
      <c r="BI100" s="546">
        <f t="shared" si="136"/>
        <v>5.3135937289931538E-2</v>
      </c>
      <c r="BJ100" s="546">
        <f t="shared" si="137"/>
        <v>2.836602753338806E-3</v>
      </c>
      <c r="BK100" s="546">
        <f t="shared" si="138"/>
        <v>1.7928038551789587E-2</v>
      </c>
      <c r="BL100">
        <f t="shared" si="139"/>
        <v>6.96E-3</v>
      </c>
      <c r="BM100">
        <f t="shared" si="140"/>
        <v>0.1084359242914541</v>
      </c>
      <c r="BN100" s="472">
        <f t="shared" si="159"/>
        <v>108.4359242914541</v>
      </c>
      <c r="BO100" s="179">
        <f t="shared" si="141"/>
        <v>0.12967499999999998</v>
      </c>
      <c r="BP100" s="179">
        <f t="shared" si="142"/>
        <v>0.12967499999999998</v>
      </c>
      <c r="BQ100" s="546"/>
      <c r="BS100" s="472">
        <f t="shared" si="160"/>
        <v>259.34999999999997</v>
      </c>
      <c r="BT100" s="546">
        <f t="shared" si="143"/>
        <v>1.3438259073025184E-2</v>
      </c>
      <c r="BU100" s="546">
        <f t="shared" si="144"/>
        <v>4.9837107694528718E-2</v>
      </c>
      <c r="BV100" s="546">
        <f t="shared" si="145"/>
        <v>0.11213349231268961</v>
      </c>
      <c r="BW100" s="546">
        <f t="shared" si="146"/>
        <v>2.1205322297652554E-2</v>
      </c>
      <c r="BX100" s="546">
        <f t="shared" si="147"/>
        <v>0.2207611209763036</v>
      </c>
      <c r="BY100" s="656">
        <f t="shared" si="148"/>
        <v>6.9994093913554975E-2</v>
      </c>
      <c r="BZ100" s="472">
        <f t="shared" si="161"/>
        <v>290.75521488985856</v>
      </c>
      <c r="CA100" s="179">
        <f t="shared" si="162"/>
        <v>0.65854113918131263</v>
      </c>
      <c r="CB100" s="6">
        <f t="shared" si="163"/>
        <v>4.75</v>
      </c>
      <c r="CC100" s="179">
        <f t="shared" si="164"/>
        <v>0.87824052323266688</v>
      </c>
      <c r="CD100" s="6">
        <f t="shared" si="165"/>
        <v>87.824052323266685</v>
      </c>
      <c r="CE100">
        <f t="shared" si="166"/>
        <v>95</v>
      </c>
      <c r="CG100" s="581">
        <f t="shared" si="149"/>
        <v>-50</v>
      </c>
      <c r="CH100">
        <f t="shared" si="150"/>
        <v>-50</v>
      </c>
    </row>
    <row r="101" spans="5:86" x14ac:dyDescent="0.2">
      <c r="E101" s="176">
        <v>96</v>
      </c>
      <c r="F101" s="223">
        <f t="shared" si="167"/>
        <v>0.48</v>
      </c>
      <c r="G101" s="223">
        <f t="shared" si="151"/>
        <v>0.48</v>
      </c>
      <c r="H101" s="223">
        <f t="shared" si="101"/>
        <v>2.4</v>
      </c>
      <c r="I101" s="223">
        <f t="shared" si="168"/>
        <v>2.4</v>
      </c>
      <c r="J101" s="559">
        <f t="shared" si="102"/>
        <v>24</v>
      </c>
      <c r="K101" s="454">
        <f t="shared" si="103"/>
        <v>10.779481132075471</v>
      </c>
      <c r="L101" s="454">
        <f t="shared" si="104"/>
        <v>39.75</v>
      </c>
      <c r="M101" s="454"/>
      <c r="N101" s="223">
        <f t="shared" si="105"/>
        <v>0.39622641509433965</v>
      </c>
      <c r="O101" s="178">
        <f t="shared" si="152"/>
        <v>1.6047169811320754</v>
      </c>
      <c r="P101" s="178">
        <f t="shared" si="106"/>
        <v>3.2094339622641508</v>
      </c>
      <c r="Q101" s="223">
        <f t="shared" si="107"/>
        <v>0.3209433962264151</v>
      </c>
      <c r="R101" s="223">
        <f t="shared" si="108"/>
        <v>0.3209433962264151</v>
      </c>
      <c r="S101" s="454">
        <f t="shared" si="109"/>
        <v>3.3431603773584904</v>
      </c>
      <c r="T101" s="223">
        <f t="shared" si="110"/>
        <v>0.75</v>
      </c>
      <c r="U101" s="223">
        <f t="shared" si="111"/>
        <v>1.3750000000000002</v>
      </c>
      <c r="V101" s="223">
        <f t="shared" si="112"/>
        <v>3.0613718411552351</v>
      </c>
      <c r="W101" s="203">
        <f t="shared" si="113"/>
        <v>350</v>
      </c>
      <c r="X101" s="454">
        <f t="shared" si="153"/>
        <v>225.40941918421316</v>
      </c>
      <c r="Z101" s="223">
        <f t="shared" si="114"/>
        <v>0.48302018396617113</v>
      </c>
      <c r="AA101" s="179">
        <f t="shared" si="115"/>
        <v>1.9716058532048764</v>
      </c>
      <c r="AB101" s="179">
        <f t="shared" ref="AB101:AB105" si="169">0.5*AA101*Z101*Nps*W101/1000*(Pout/Pout_total)</f>
        <v>0.49997084650999463</v>
      </c>
      <c r="AC101" s="179"/>
      <c r="AD101" s="179">
        <f t="shared" si="117"/>
        <v>0.61227436823104686</v>
      </c>
      <c r="AE101" s="563">
        <f t="shared" ref="AE101:AE105" si="170">MAX(10, F101/(0.5*AD101/1000000*Isw_min*Nps)/1000*Pout_total/Pout)</f>
        <v>3484.2767295597487</v>
      </c>
      <c r="AF101" s="546">
        <f t="shared" si="119"/>
        <v>4.8216606498194939E-2</v>
      </c>
      <c r="AH101" s="179">
        <f t="shared" si="120"/>
        <v>0.78954203395172273</v>
      </c>
      <c r="AI101" s="179">
        <f t="shared" ref="AI101:AI105" si="171">MAX(IF(F101&gt;AB101,T101,AH101),Isw_min)</f>
        <v>0.78954203395172273</v>
      </c>
      <c r="AJ101" s="179">
        <f t="shared" ref="AJ101:AJ105" si="172">IF(F101&gt;AF101, (AI101-Isw_min)/1.08*0.8+1.2, AE101*0.2/350+1)</f>
        <v>1.6737348399642391</v>
      </c>
      <c r="AL101" s="563">
        <f t="shared" si="123"/>
        <v>480</v>
      </c>
      <c r="AM101" s="472">
        <f t="shared" si="124"/>
        <v>225.40941918421316</v>
      </c>
      <c r="AO101" t="str">
        <f t="shared" si="154"/>
        <v/>
      </c>
      <c r="AP101" t="str">
        <f t="shared" si="125"/>
        <v/>
      </c>
      <c r="AR101" s="6">
        <f t="shared" si="155"/>
        <v>4.4363718411552355</v>
      </c>
      <c r="AS101" s="6">
        <f t="shared" si="126"/>
        <v>1.4474937289114915</v>
      </c>
      <c r="AT101" s="6">
        <f t="shared" si="156"/>
        <v>2.9888781122437438</v>
      </c>
      <c r="AU101" s="179">
        <f t="shared" si="157"/>
        <v>0.3262787207067302</v>
      </c>
      <c r="AW101" s="6">
        <f t="shared" si="127"/>
        <v>13.072048611111116</v>
      </c>
      <c r="AX101" s="472">
        <f t="shared" si="128"/>
        <v>14.25617021276596</v>
      </c>
      <c r="AY101" s="6">
        <f t="shared" si="129"/>
        <v>13.072048611111116</v>
      </c>
      <c r="AZ101" s="472">
        <f t="shared" si="130"/>
        <v>28.820000000000011</v>
      </c>
      <c r="BA101" s="6">
        <f t="shared" si="131"/>
        <v>0.27674797335590212</v>
      </c>
      <c r="BB101" s="6">
        <f t="shared" si="132"/>
        <v>67.530624716527626</v>
      </c>
      <c r="BC101" s="6"/>
      <c r="BD101" s="179">
        <f t="shared" si="158"/>
        <v>0.26038082827133913</v>
      </c>
      <c r="BE101" s="179">
        <f t="shared" si="133"/>
        <v>1.1224732907951318</v>
      </c>
      <c r="BF101" s="179">
        <f t="shared" si="134"/>
        <v>1.1224732907951318</v>
      </c>
      <c r="BG101" s="179"/>
      <c r="BH101" s="546">
        <f t="shared" si="135"/>
        <v>2.372936150594401E-2</v>
      </c>
      <c r="BI101" s="546">
        <f t="shared" si="136"/>
        <v>5.30573692421967E-2</v>
      </c>
      <c r="BJ101" s="546">
        <f t="shared" si="137"/>
        <v>2.8176177398026646E-3</v>
      </c>
      <c r="BK101" s="546">
        <f t="shared" si="138"/>
        <v>1.7808048519987792E-2</v>
      </c>
      <c r="BL101">
        <f t="shared" si="139"/>
        <v>6.96E-3</v>
      </c>
      <c r="BM101">
        <f t="shared" ref="BM101:BM105" si="173">(BI101+BJ101+BK101+BL101+BH101*(1+RdsonTC*(Ta-25)))/(1-BH101*RdsonTC*ThetaJA)</f>
        <v>0.10846770656554583</v>
      </c>
      <c r="BN101" s="472">
        <f t="shared" si="159"/>
        <v>108.46770656554583</v>
      </c>
      <c r="BO101" s="179">
        <f t="shared" si="141"/>
        <v>0.13103999999999999</v>
      </c>
      <c r="BP101" s="179">
        <f t="shared" si="142"/>
        <v>0.13103999999999999</v>
      </c>
      <c r="BQ101" s="546"/>
      <c r="BS101" s="472">
        <f t="shared" si="160"/>
        <v>262.08</v>
      </c>
      <c r="BT101" s="546">
        <f t="shared" si="143"/>
        <v>1.3559635146253721E-2</v>
      </c>
      <c r="BU101" s="546">
        <f t="shared" si="144"/>
        <v>5.0397851541938099E-2</v>
      </c>
      <c r="BV101" s="546">
        <f t="shared" si="145"/>
        <v>0.11339516596936072</v>
      </c>
      <c r="BW101" s="546">
        <f t="shared" si="146"/>
        <v>2.1127022482721011E-2</v>
      </c>
      <c r="BX101" s="546">
        <f t="shared" ref="BX101:BX105" si="174">(BW101+(BT101+BU101+BV101)*(1+Ltc*(Ta-25)))/(1-(BT101+BU101+BV101)*Ltc*ThetaCa)</f>
        <v>0.22292489923702821</v>
      </c>
      <c r="BY101" s="656">
        <f t="shared" si="148"/>
        <v>7.0257481304170338E-2</v>
      </c>
      <c r="BZ101" s="472">
        <f t="shared" si="161"/>
        <v>293.18238054119854</v>
      </c>
      <c r="CA101" s="179">
        <f t="shared" si="162"/>
        <v>0.6637300871067443</v>
      </c>
      <c r="CB101" s="6">
        <f t="shared" si="163"/>
        <v>4.8</v>
      </c>
      <c r="CC101" s="179">
        <f t="shared" si="164"/>
        <v>0.87852070352578215</v>
      </c>
      <c r="CD101" s="6">
        <f t="shared" si="165"/>
        <v>87.85207035257821</v>
      </c>
      <c r="CE101">
        <f t="shared" si="166"/>
        <v>96</v>
      </c>
      <c r="CG101" s="581">
        <f t="shared" si="149"/>
        <v>-50</v>
      </c>
      <c r="CH101">
        <f t="shared" si="150"/>
        <v>-50</v>
      </c>
    </row>
    <row r="102" spans="5:86" x14ac:dyDescent="0.2">
      <c r="E102" s="176">
        <v>97</v>
      </c>
      <c r="F102" s="223">
        <f t="shared" si="167"/>
        <v>0.48499999999999999</v>
      </c>
      <c r="G102" s="223">
        <f t="shared" si="151"/>
        <v>0.48499999999999999</v>
      </c>
      <c r="H102" s="223">
        <f t="shared" si="101"/>
        <v>2.4249999999999998</v>
      </c>
      <c r="I102" s="223">
        <f t="shared" si="168"/>
        <v>2.4249999999999998</v>
      </c>
      <c r="J102" s="559">
        <f t="shared" si="102"/>
        <v>24</v>
      </c>
      <c r="K102" s="454">
        <f t="shared" si="103"/>
        <v>10.676084419373662</v>
      </c>
      <c r="L102" s="454">
        <f t="shared" si="104"/>
        <v>39.75</v>
      </c>
      <c r="M102" s="454"/>
      <c r="N102" s="223">
        <f t="shared" si="105"/>
        <v>0.39622641509433965</v>
      </c>
      <c r="O102" s="178">
        <f t="shared" ref="O102:O105" si="175">N102*J102*Isw_max*0.5*Efficiency*Pout/(Pout+Pout2)</f>
        <v>1.6047169811320754</v>
      </c>
      <c r="P102" s="178">
        <f t="shared" si="106"/>
        <v>3.2094339622641508</v>
      </c>
      <c r="Q102" s="223">
        <f t="shared" si="107"/>
        <v>0.3209433962264151</v>
      </c>
      <c r="R102" s="223">
        <f t="shared" si="108"/>
        <v>0.3209433962264151</v>
      </c>
      <c r="S102" s="454">
        <f t="shared" si="109"/>
        <v>3.3086948064578876</v>
      </c>
      <c r="T102" s="223">
        <f t="shared" si="110"/>
        <v>0.75</v>
      </c>
      <c r="U102" s="223">
        <f t="shared" si="111"/>
        <v>1.3750000000000002</v>
      </c>
      <c r="V102" s="223">
        <f t="shared" si="112"/>
        <v>3.0910208934012928</v>
      </c>
      <c r="W102" s="203">
        <f t="shared" si="113"/>
        <v>350</v>
      </c>
      <c r="X102" s="454">
        <f t="shared" si="153"/>
        <v>223.91296947972998</v>
      </c>
      <c r="Z102" s="223">
        <f t="shared" si="114"/>
        <v>0.47981350602799272</v>
      </c>
      <c r="AA102" s="179">
        <f t="shared" si="115"/>
        <v>1.9774847627582035</v>
      </c>
      <c r="AB102" s="179">
        <f t="shared" si="169"/>
        <v>0.49813254599637224</v>
      </c>
      <c r="AC102" s="179"/>
      <c r="AD102" s="179">
        <f t="shared" si="117"/>
        <v>0.61820417868025845</v>
      </c>
      <c r="AE102" s="563">
        <f t="shared" si="170"/>
        <v>3486.8019820850013</v>
      </c>
      <c r="AF102" s="546">
        <f t="shared" si="119"/>
        <v>4.8683579071070356E-2</v>
      </c>
      <c r="AH102" s="179">
        <f t="shared" si="120"/>
        <v>0.79364357861078283</v>
      </c>
      <c r="AI102" s="179">
        <f t="shared" si="171"/>
        <v>0.79364357861078283</v>
      </c>
      <c r="AJ102" s="179">
        <f t="shared" si="172"/>
        <v>1.6767730211931724</v>
      </c>
      <c r="AL102" s="563">
        <f t="shared" si="123"/>
        <v>485</v>
      </c>
      <c r="AM102" s="472">
        <f t="shared" si="124"/>
        <v>223.91296947972998</v>
      </c>
      <c r="AO102" t="str">
        <f t="shared" si="154"/>
        <v/>
      </c>
      <c r="AP102" t="str">
        <f t="shared" si="125"/>
        <v/>
      </c>
      <c r="AR102" s="6">
        <f t="shared" si="155"/>
        <v>4.4660208934012928</v>
      </c>
      <c r="AS102" s="6">
        <f t="shared" si="126"/>
        <v>1.455013227453102</v>
      </c>
      <c r="AT102" s="6">
        <f t="shared" si="156"/>
        <v>3.011007665948191</v>
      </c>
      <c r="AU102" s="179">
        <f t="shared" si="157"/>
        <v>0.32579633239130984</v>
      </c>
      <c r="AW102" s="6">
        <f t="shared" si="127"/>
        <v>13.072048611111116</v>
      </c>
      <c r="AX102" s="472">
        <f t="shared" si="128"/>
        <v>14.53956440233452</v>
      </c>
      <c r="AY102" s="6">
        <f t="shared" si="129"/>
        <v>13.072048611111116</v>
      </c>
      <c r="AZ102" s="472">
        <f t="shared" si="130"/>
        <v>29.408387586805567</v>
      </c>
      <c r="BA102" s="6">
        <f t="shared" si="131"/>
        <v>0.28170114158658799</v>
      </c>
      <c r="BB102" s="6">
        <f t="shared" si="132"/>
        <v>68.222930290590583</v>
      </c>
      <c r="BC102" s="6"/>
      <c r="BD102" s="179">
        <f t="shared" si="158"/>
        <v>0.26153991294798984</v>
      </c>
      <c r="BE102" s="179">
        <f t="shared" si="133"/>
        <v>1.1287082240449968</v>
      </c>
      <c r="BF102" s="179">
        <f t="shared" si="134"/>
        <v>1.1287082240449968</v>
      </c>
      <c r="BG102" s="179"/>
      <c r="BH102" s="546">
        <f t="shared" si="135"/>
        <v>2.3941094122694732E-2</v>
      </c>
      <c r="BI102" s="546">
        <f t="shared" si="136"/>
        <v>5.297892632408685E-2</v>
      </c>
      <c r="BJ102" s="546">
        <f t="shared" si="137"/>
        <v>2.7989121184966246E-3</v>
      </c>
      <c r="BK102" s="546">
        <f t="shared" si="138"/>
        <v>1.7689824316928292E-2</v>
      </c>
      <c r="BL102">
        <f t="shared" si="139"/>
        <v>6.96E-3</v>
      </c>
      <c r="BM102">
        <f t="shared" si="173"/>
        <v>0.10850088333537382</v>
      </c>
      <c r="BN102" s="472">
        <f t="shared" si="159"/>
        <v>108.50088333537381</v>
      </c>
      <c r="BO102" s="179">
        <f t="shared" si="141"/>
        <v>0.13240499999999999</v>
      </c>
      <c r="BP102" s="179">
        <f t="shared" si="142"/>
        <v>0.13240499999999999</v>
      </c>
      <c r="BQ102" s="546"/>
      <c r="BS102" s="472">
        <f t="shared" si="160"/>
        <v>264.81</v>
      </c>
      <c r="BT102" s="546">
        <f t="shared" si="143"/>
        <v>1.3680625212968421E-2</v>
      </c>
      <c r="BU102" s="546">
        <f t="shared" si="144"/>
        <v>5.0959290201072427E-2</v>
      </c>
      <c r="BV102" s="546">
        <f t="shared" si="145"/>
        <v>0.11465840295241296</v>
      </c>
      <c r="BW102" s="546">
        <f t="shared" si="146"/>
        <v>2.1049020683570355E-2</v>
      </c>
      <c r="BX102" s="546">
        <f t="shared" si="174"/>
        <v>0.22509182409709033</v>
      </c>
      <c r="BY102" s="656">
        <f t="shared" si="148"/>
        <v>7.0518045582901978E-2</v>
      </c>
      <c r="BZ102" s="472">
        <f t="shared" si="161"/>
        <v>295.6098696799923</v>
      </c>
      <c r="CA102" s="179">
        <f t="shared" si="162"/>
        <v>0.66892075301536613</v>
      </c>
      <c r="CB102" s="6">
        <f t="shared" si="163"/>
        <v>4.8141509433962266</v>
      </c>
      <c r="CC102" s="179">
        <f t="shared" si="164"/>
        <v>0.87800255220934953</v>
      </c>
      <c r="CD102" s="6">
        <f t="shared" si="165"/>
        <v>87.800255220934957</v>
      </c>
      <c r="CE102">
        <f t="shared" si="166"/>
        <v>97</v>
      </c>
      <c r="CG102" s="581">
        <f t="shared" si="149"/>
        <v>-50</v>
      </c>
      <c r="CH102">
        <f t="shared" si="150"/>
        <v>-50</v>
      </c>
    </row>
    <row r="103" spans="5:86" x14ac:dyDescent="0.2">
      <c r="E103" s="176">
        <v>98</v>
      </c>
      <c r="F103" s="223">
        <f t="shared" si="167"/>
        <v>0.49</v>
      </c>
      <c r="G103" s="223">
        <f t="shared" si="151"/>
        <v>0.49</v>
      </c>
      <c r="H103" s="223">
        <f t="shared" si="101"/>
        <v>2.4500000000000002</v>
      </c>
      <c r="I103" s="223">
        <f t="shared" si="168"/>
        <v>2.4500000000000002</v>
      </c>
      <c r="J103" s="559">
        <f t="shared" si="102"/>
        <v>24</v>
      </c>
      <c r="K103" s="454">
        <f t="shared" si="103"/>
        <v>10.574797843665767</v>
      </c>
      <c r="L103" s="454">
        <f t="shared" si="104"/>
        <v>39.75</v>
      </c>
      <c r="M103" s="454"/>
      <c r="N103" s="223">
        <f t="shared" si="105"/>
        <v>0.39622641509433965</v>
      </c>
      <c r="O103" s="178">
        <f t="shared" si="175"/>
        <v>1.6047169811320754</v>
      </c>
      <c r="P103" s="178">
        <f t="shared" si="106"/>
        <v>3.2094339622641508</v>
      </c>
      <c r="Q103" s="223">
        <f t="shared" si="107"/>
        <v>0.3209433962264151</v>
      </c>
      <c r="R103" s="223">
        <f t="shared" si="108"/>
        <v>0.3209433962264151</v>
      </c>
      <c r="S103" s="454">
        <f t="shared" si="109"/>
        <v>3.2749326145552557</v>
      </c>
      <c r="T103" s="223">
        <f t="shared" si="110"/>
        <v>0.75</v>
      </c>
      <c r="U103" s="223">
        <f t="shared" si="111"/>
        <v>1.3750000000000002</v>
      </c>
      <c r="V103" s="223">
        <f t="shared" si="112"/>
        <v>3.1206270311603905</v>
      </c>
      <c r="W103" s="203">
        <f t="shared" si="113"/>
        <v>350</v>
      </c>
      <c r="X103" s="454">
        <f t="shared" si="153"/>
        <v>222.43838135786913</v>
      </c>
      <c r="Z103" s="223">
        <f t="shared" si="114"/>
        <v>0.47665367433829109</v>
      </c>
      <c r="AA103" s="179">
        <f t="shared" si="115"/>
        <v>1.9832777875226573</v>
      </c>
      <c r="AB103" s="179">
        <f t="shared" si="169"/>
        <v>0.49630173844450037</v>
      </c>
      <c r="AC103" s="179"/>
      <c r="AD103" s="179">
        <f t="shared" si="117"/>
        <v>0.62412540623207802</v>
      </c>
      <c r="AE103" s="563">
        <f t="shared" si="170"/>
        <v>3489.3272346102531</v>
      </c>
      <c r="AF103" s="546">
        <f t="shared" si="119"/>
        <v>4.9149875740776151E-2</v>
      </c>
      <c r="AH103" s="179">
        <f t="shared" si="120"/>
        <v>0.7977240352174656</v>
      </c>
      <c r="AI103" s="179">
        <f t="shared" si="171"/>
        <v>0.7977240352174656</v>
      </c>
      <c r="AJ103" s="179">
        <f t="shared" si="172"/>
        <v>1.6797955816425671</v>
      </c>
      <c r="AL103" s="563">
        <f t="shared" si="123"/>
        <v>490</v>
      </c>
      <c r="AM103" s="472">
        <f t="shared" si="124"/>
        <v>222.43838135786913</v>
      </c>
      <c r="AO103" t="str">
        <f t="shared" si="154"/>
        <v/>
      </c>
      <c r="AP103" t="str">
        <f t="shared" si="125"/>
        <v/>
      </c>
      <c r="AR103" s="6">
        <f t="shared" si="155"/>
        <v>4.4956270311603905</v>
      </c>
      <c r="AS103" s="6">
        <f t="shared" si="126"/>
        <v>1.4624940645653535</v>
      </c>
      <c r="AT103" s="6">
        <f t="shared" si="156"/>
        <v>3.0331329665950371</v>
      </c>
      <c r="AU103" s="179">
        <f t="shared" si="157"/>
        <v>0.32531481246740818</v>
      </c>
      <c r="AW103" s="6">
        <f t="shared" si="127"/>
        <v>13.072048611111116</v>
      </c>
      <c r="AX103" s="472">
        <f t="shared" si="128"/>
        <v>14.825739878841611</v>
      </c>
      <c r="AY103" s="6">
        <f t="shared" si="129"/>
        <v>13.072048611111116</v>
      </c>
      <c r="AZ103" s="472">
        <f t="shared" si="130"/>
        <v>30.002717013888894</v>
      </c>
      <c r="BA103" s="6">
        <f t="shared" si="131"/>
        <v>0.28669659599374386</v>
      </c>
      <c r="BB103" s="6">
        <f t="shared" si="132"/>
        <v>68.716053146988443</v>
      </c>
      <c r="BC103" s="6"/>
      <c r="BD103" s="179">
        <f t="shared" si="158"/>
        <v>0.26269025931992873</v>
      </c>
      <c r="BE103" s="179">
        <f t="shared" si="133"/>
        <v>1.1349164542012626</v>
      </c>
      <c r="BF103" s="179">
        <f t="shared" si="134"/>
        <v>1.1349164542012626</v>
      </c>
      <c r="BG103" s="179"/>
      <c r="BH103" s="546">
        <f t="shared" si="135"/>
        <v>2.415216031954999E-2</v>
      </c>
      <c r="BI103" s="546">
        <f t="shared" si="136"/>
        <v>5.2900624618279678E-2</v>
      </c>
      <c r="BJ103" s="546">
        <f t="shared" si="137"/>
        <v>2.7804797669733639E-3</v>
      </c>
      <c r="BK103" s="546">
        <f t="shared" si="138"/>
        <v>1.7573327247213402E-2</v>
      </c>
      <c r="BL103">
        <f t="shared" si="139"/>
        <v>6.96E-3</v>
      </c>
      <c r="BM103">
        <f t="shared" si="173"/>
        <v>0.10853543666002052</v>
      </c>
      <c r="BN103" s="472">
        <f t="shared" si="159"/>
        <v>108.53543666002052</v>
      </c>
      <c r="BO103" s="179">
        <f t="shared" si="141"/>
        <v>0.13377</v>
      </c>
      <c r="BP103" s="179">
        <f t="shared" si="142"/>
        <v>0.13377</v>
      </c>
      <c r="BQ103" s="546"/>
      <c r="BS103" s="472">
        <f t="shared" si="160"/>
        <v>267.54000000000002</v>
      </c>
      <c r="BT103" s="546">
        <f t="shared" si="143"/>
        <v>1.380123446831428E-2</v>
      </c>
      <c r="BU103" s="546">
        <f t="shared" si="144"/>
        <v>5.1521414320670672E-2</v>
      </c>
      <c r="BV103" s="546">
        <f t="shared" si="145"/>
        <v>0.11592318222150901</v>
      </c>
      <c r="BW103" s="546">
        <f t="shared" si="146"/>
        <v>2.0971331882801463E-2</v>
      </c>
      <c r="BX103" s="546">
        <f t="shared" si="174"/>
        <v>0.22726188413836826</v>
      </c>
      <c r="BY103" s="656">
        <f t="shared" si="148"/>
        <v>7.0775848613867445E-2</v>
      </c>
      <c r="BZ103" s="472">
        <f t="shared" si="161"/>
        <v>298.03773275223574</v>
      </c>
      <c r="CA103" s="179">
        <f t="shared" si="162"/>
        <v>0.67411316941225619</v>
      </c>
      <c r="CB103" s="6">
        <f t="shared" si="163"/>
        <v>4.8141509433962266</v>
      </c>
      <c r="CC103" s="179">
        <f t="shared" si="164"/>
        <v>0.87717187883888204</v>
      </c>
      <c r="CD103" s="6">
        <f t="shared" si="165"/>
        <v>87.717187883888201</v>
      </c>
      <c r="CE103">
        <f t="shared" si="166"/>
        <v>98</v>
      </c>
      <c r="CG103" s="581">
        <f t="shared" si="149"/>
        <v>-50</v>
      </c>
      <c r="CH103">
        <f t="shared" si="150"/>
        <v>-50</v>
      </c>
    </row>
    <row r="104" spans="5:86" x14ac:dyDescent="0.2">
      <c r="E104" s="176">
        <v>99</v>
      </c>
      <c r="F104" s="223">
        <f t="shared" ref="F104:F105" si="176">IF(PLOT_TYPE=1, E104/100*Iout_max, min_I*EXP(O104*rr/100))</f>
        <v>0.495</v>
      </c>
      <c r="G104" s="223">
        <f t="shared" si="151"/>
        <v>0.495</v>
      </c>
      <c r="H104" s="223">
        <f t="shared" si="101"/>
        <v>2.4750000000000001</v>
      </c>
      <c r="I104" s="223">
        <f t="shared" si="168"/>
        <v>2.4750000000000001</v>
      </c>
      <c r="J104" s="559">
        <f t="shared" si="102"/>
        <v>24</v>
      </c>
      <c r="K104" s="454">
        <f t="shared" si="103"/>
        <v>10.475557461406517</v>
      </c>
      <c r="L104" s="454">
        <f t="shared" si="104"/>
        <v>39.75</v>
      </c>
      <c r="M104" s="454"/>
      <c r="N104" s="223">
        <f t="shared" si="105"/>
        <v>0.39622641509433965</v>
      </c>
      <c r="O104" s="178">
        <f t="shared" si="175"/>
        <v>1.6047169811320754</v>
      </c>
      <c r="P104" s="178">
        <f t="shared" si="106"/>
        <v>3.2094339622641508</v>
      </c>
      <c r="Q104" s="223">
        <f t="shared" si="107"/>
        <v>0.3209433962264151</v>
      </c>
      <c r="R104" s="223">
        <f t="shared" si="108"/>
        <v>0.3209433962264151</v>
      </c>
      <c r="S104" s="454">
        <f t="shared" si="109"/>
        <v>3.2418524871355059</v>
      </c>
      <c r="T104" s="223">
        <f t="shared" si="110"/>
        <v>0.75</v>
      </c>
      <c r="U104" s="223">
        <f t="shared" si="111"/>
        <v>1.3750000000000002</v>
      </c>
      <c r="V104" s="223">
        <f t="shared" si="112"/>
        <v>3.1501903475377633</v>
      </c>
      <c r="W104" s="203">
        <f t="shared" si="113"/>
        <v>350</v>
      </c>
      <c r="X104" s="454">
        <f t="shared" si="153"/>
        <v>220.98517922988981</v>
      </c>
      <c r="Z104" s="223">
        <f t="shared" si="114"/>
        <v>0.47353966977833539</v>
      </c>
      <c r="AA104" s="179">
        <f t="shared" si="115"/>
        <v>1.9889867958825758</v>
      </c>
      <c r="AB104" s="179">
        <f t="shared" si="169"/>
        <v>0.49447867902074477</v>
      </c>
      <c r="AC104" s="179"/>
      <c r="AD104" s="179">
        <f t="shared" si="117"/>
        <v>0.63003806950755259</v>
      </c>
      <c r="AE104" s="563">
        <f t="shared" si="170"/>
        <v>3491.8524871355053</v>
      </c>
      <c r="AF104" s="546">
        <f t="shared" si="119"/>
        <v>4.9615497973719766E-2</v>
      </c>
      <c r="AH104" s="179">
        <f t="shared" si="120"/>
        <v>0.80178372573727319</v>
      </c>
      <c r="AI104" s="179">
        <f t="shared" si="171"/>
        <v>0.75</v>
      </c>
      <c r="AJ104" s="179">
        <f t="shared" si="172"/>
        <v>1.6444444444444444</v>
      </c>
      <c r="AL104" s="563">
        <f t="shared" si="123"/>
        <v>495</v>
      </c>
      <c r="AM104" s="472">
        <f t="shared" si="124"/>
        <v>220.98517922988981</v>
      </c>
      <c r="AO104" t="str">
        <f t="shared" si="154"/>
        <v/>
      </c>
      <c r="AP104" t="str">
        <f t="shared" si="125"/>
        <v/>
      </c>
      <c r="AR104" s="6">
        <f t="shared" si="155"/>
        <v>4.5251903475377633</v>
      </c>
      <c r="AS104" s="6">
        <f t="shared" si="126"/>
        <v>1.3750000000000002</v>
      </c>
      <c r="AT104" s="6">
        <f t="shared" si="156"/>
        <v>3.1501903475377633</v>
      </c>
      <c r="AU104" s="179">
        <f t="shared" si="157"/>
        <v>0.30385462144109854</v>
      </c>
      <c r="AW104" s="6">
        <f t="shared" si="127"/>
        <v>13.072048611111116</v>
      </c>
      <c r="AX104" s="472">
        <f t="shared" si="128"/>
        <v>15.114696642287239</v>
      </c>
      <c r="AY104" s="6">
        <f t="shared" si="129"/>
        <v>13.072048611111116</v>
      </c>
      <c r="AZ104" s="472">
        <f t="shared" si="130"/>
        <v>30.602988281250006</v>
      </c>
      <c r="BA104" s="6">
        <f t="shared" si="131"/>
        <v>0.30079942554614053</v>
      </c>
      <c r="BB104" s="6">
        <f t="shared" si="132"/>
        <v>71.324997132622329</v>
      </c>
      <c r="BC104" s="6"/>
      <c r="BD104" s="179">
        <f t="shared" si="158"/>
        <v>0.23868963429568107</v>
      </c>
      <c r="BE104" s="179">
        <f t="shared" si="133"/>
        <v>1.083856690858227</v>
      </c>
      <c r="BF104" s="179">
        <f t="shared" si="134"/>
        <v>1.083856690858227</v>
      </c>
      <c r="BG104" s="179"/>
      <c r="BH104" s="546">
        <f t="shared" si="135"/>
        <v>1.9940459532072088E-2</v>
      </c>
      <c r="BI104" s="546">
        <f t="shared" si="136"/>
        <v>4.9410904918433168E-2</v>
      </c>
      <c r="BJ104" s="546">
        <f t="shared" si="137"/>
        <v>2.7623147403736223E-3</v>
      </c>
      <c r="BK104" s="546">
        <f t="shared" si="138"/>
        <v>1.745851973784639E-2</v>
      </c>
      <c r="BL104">
        <f t="shared" si="139"/>
        <v>6.96E-3</v>
      </c>
      <c r="BM104">
        <f t="shared" si="173"/>
        <v>9.9914507186929472E-2</v>
      </c>
      <c r="BN104" s="472">
        <f t="shared" si="159"/>
        <v>99.91450718692947</v>
      </c>
      <c r="BO104" s="179">
        <f t="shared" si="141"/>
        <v>0.13513500000000001</v>
      </c>
      <c r="BP104" s="179">
        <f t="shared" si="142"/>
        <v>0.13513500000000001</v>
      </c>
      <c r="BQ104" s="546"/>
      <c r="BS104" s="472">
        <f t="shared" si="160"/>
        <v>270.27</v>
      </c>
      <c r="BT104" s="546">
        <f t="shared" si="143"/>
        <v>1.1394548304041194E-2</v>
      </c>
      <c r="BU104" s="546">
        <f t="shared" si="144"/>
        <v>4.698981305272585E-2</v>
      </c>
      <c r="BV104" s="546">
        <f t="shared" si="145"/>
        <v>0.10572707936863315</v>
      </c>
      <c r="BW104" s="546">
        <f t="shared" si="146"/>
        <v>1.7681985602486346E-2</v>
      </c>
      <c r="BX104" s="546">
        <f t="shared" si="174"/>
        <v>0.20416729432053049</v>
      </c>
      <c r="BY104" s="656">
        <f t="shared" si="148"/>
        <v>6.2152081658406529E-2</v>
      </c>
      <c r="BZ104" s="472">
        <f t="shared" si="161"/>
        <v>266.31937597893699</v>
      </c>
      <c r="CA104" s="179">
        <f t="shared" si="162"/>
        <v>0.63650388316586659</v>
      </c>
      <c r="CB104" s="6">
        <f t="shared" si="163"/>
        <v>4.8141509433962266</v>
      </c>
      <c r="CC104" s="179">
        <f t="shared" si="164"/>
        <v>0.88322432745804036</v>
      </c>
      <c r="CD104" s="6">
        <f t="shared" si="165"/>
        <v>88.322432745804036</v>
      </c>
      <c r="CE104">
        <f t="shared" si="166"/>
        <v>99</v>
      </c>
      <c r="CG104" s="581">
        <f t="shared" si="149"/>
        <v>-50</v>
      </c>
      <c r="CH104">
        <f t="shared" si="150"/>
        <v>-50</v>
      </c>
    </row>
    <row r="105" spans="5:86" x14ac:dyDescent="0.2">
      <c r="E105" s="176">
        <v>100</v>
      </c>
      <c r="F105" s="223">
        <f t="shared" si="176"/>
        <v>0.5</v>
      </c>
      <c r="G105" s="223">
        <f t="shared" si="151"/>
        <v>0.5</v>
      </c>
      <c r="H105" s="223">
        <f t="shared" si="101"/>
        <v>2.5</v>
      </c>
      <c r="I105" s="223">
        <f t="shared" si="168"/>
        <v>2.5</v>
      </c>
      <c r="J105" s="559">
        <f t="shared" si="102"/>
        <v>24</v>
      </c>
      <c r="K105" s="454">
        <f t="shared" si="103"/>
        <v>10.378301886792453</v>
      </c>
      <c r="L105" s="454">
        <f t="shared" si="104"/>
        <v>39.75</v>
      </c>
      <c r="M105" s="454"/>
      <c r="N105" s="223">
        <f t="shared" si="105"/>
        <v>0.39622641509433965</v>
      </c>
      <c r="O105" s="178">
        <f t="shared" si="175"/>
        <v>1.6047169811320754</v>
      </c>
      <c r="P105" s="178">
        <f t="shared" si="106"/>
        <v>3.2094339622641508</v>
      </c>
      <c r="Q105" s="223">
        <f t="shared" si="107"/>
        <v>0.3209433962264151</v>
      </c>
      <c r="R105" s="223">
        <f t="shared" si="108"/>
        <v>0.3209433962264151</v>
      </c>
      <c r="S105" s="454">
        <f t="shared" si="109"/>
        <v>3.2094339622641508</v>
      </c>
      <c r="T105" s="223">
        <f t="shared" si="110"/>
        <v>0.75</v>
      </c>
      <c r="U105" s="223">
        <f t="shared" si="111"/>
        <v>1.3750000000000002</v>
      </c>
      <c r="V105" s="223">
        <f t="shared" si="112"/>
        <v>3.1797109353695121</v>
      </c>
      <c r="W105" s="203">
        <f t="shared" si="113"/>
        <v>350</v>
      </c>
      <c r="X105" s="454">
        <f t="shared" si="153"/>
        <v>219.55290120269126</v>
      </c>
      <c r="Z105" s="223">
        <f t="shared" si="114"/>
        <v>0.47047050257719564</v>
      </c>
      <c r="AA105" s="179">
        <f t="shared" si="115"/>
        <v>1.9946136024179988</v>
      </c>
      <c r="AB105" s="179">
        <f t="shared" si="169"/>
        <v>0.49266360358787592</v>
      </c>
      <c r="AC105" s="179"/>
      <c r="AD105" s="179">
        <f t="shared" si="117"/>
        <v>0.63594218707390227</v>
      </c>
      <c r="AE105" s="563">
        <f t="shared" si="170"/>
        <v>3494.3777396607593</v>
      </c>
      <c r="AF105" s="546">
        <f t="shared" si="119"/>
        <v>5.0080447232069808E-2</v>
      </c>
      <c r="AH105" s="179">
        <f t="shared" si="120"/>
        <v>0.80582296402538034</v>
      </c>
      <c r="AI105" s="179">
        <f t="shared" si="171"/>
        <v>0.75</v>
      </c>
      <c r="AJ105" s="179">
        <f t="shared" si="172"/>
        <v>1.6444444444444444</v>
      </c>
      <c r="AL105" s="563">
        <f t="shared" si="123"/>
        <v>500</v>
      </c>
      <c r="AM105" s="472">
        <f t="shared" si="124"/>
        <v>219.55290120269126</v>
      </c>
      <c r="AO105" t="str">
        <f t="shared" si="154"/>
        <v/>
      </c>
      <c r="AP105" s="4" t="str">
        <f t="shared" si="125"/>
        <v/>
      </c>
      <c r="AR105" s="6">
        <f t="shared" si="155"/>
        <v>4.5547109353695117</v>
      </c>
      <c r="AS105" s="6">
        <f t="shared" si="126"/>
        <v>1.3750000000000002</v>
      </c>
      <c r="AT105" s="6">
        <f t="shared" si="156"/>
        <v>3.1797109353695117</v>
      </c>
      <c r="AU105" s="179">
        <f t="shared" si="157"/>
        <v>0.30188523915370058</v>
      </c>
      <c r="AW105" s="6">
        <f t="shared" si="127"/>
        <v>13.072048611111116</v>
      </c>
      <c r="AX105" s="472">
        <f t="shared" si="128"/>
        <v>15.4064346926714</v>
      </c>
      <c r="AY105" s="6">
        <f t="shared" si="129"/>
        <v>13.072048611111116</v>
      </c>
      <c r="AZ105" s="472">
        <f t="shared" si="130"/>
        <v>31.209201388888896</v>
      </c>
      <c r="BA105" s="6">
        <f t="shared" si="131"/>
        <v>0.30668508250091736</v>
      </c>
      <c r="BB105" s="6">
        <f t="shared" si="132"/>
        <v>71.982944196325207</v>
      </c>
      <c r="BC105" s="6"/>
      <c r="BD105" s="179">
        <f t="shared" si="158"/>
        <v>0.23791486364100684</v>
      </c>
      <c r="BE105" s="179">
        <f t="shared" si="133"/>
        <v>1.0853887132857658</v>
      </c>
      <c r="BF105" s="179">
        <f t="shared" si="134"/>
        <v>1.0853887132857658</v>
      </c>
      <c r="BG105" s="179"/>
      <c r="BH105" s="546">
        <f t="shared" si="135"/>
        <v>1.9811218819461608E-2</v>
      </c>
      <c r="BI105" s="546">
        <f t="shared" si="136"/>
        <v>4.909065650328924E-2</v>
      </c>
      <c r="BJ105" s="546">
        <f t="shared" si="137"/>
        <v>2.7444112650336409E-3</v>
      </c>
      <c r="BK105" s="546">
        <f t="shared" si="138"/>
        <v>1.7345365297828867E-2</v>
      </c>
      <c r="BL105">
        <f t="shared" si="139"/>
        <v>6.96E-3</v>
      </c>
      <c r="BM105">
        <f t="shared" si="173"/>
        <v>9.9307873998963805E-2</v>
      </c>
      <c r="BN105" s="472">
        <f t="shared" si="159"/>
        <v>99.3078739989638</v>
      </c>
      <c r="BO105" s="179">
        <f t="shared" si="141"/>
        <v>0.13650000000000001</v>
      </c>
      <c r="BP105" s="179">
        <f t="shared" si="142"/>
        <v>0.13650000000000001</v>
      </c>
      <c r="BQ105" s="546"/>
      <c r="BS105" s="472">
        <f t="shared" si="160"/>
        <v>273</v>
      </c>
      <c r="BT105" s="546">
        <f t="shared" si="143"/>
        <v>1.1320696468263777E-2</v>
      </c>
      <c r="BU105" s="546">
        <f t="shared" si="144"/>
        <v>4.7122746357125218E-2</v>
      </c>
      <c r="BV105" s="546">
        <f t="shared" si="145"/>
        <v>0.10602617930353173</v>
      </c>
      <c r="BW105" s="546">
        <f t="shared" si="146"/>
        <v>1.7396869816277031E-2</v>
      </c>
      <c r="BX105" s="546">
        <f t="shared" si="174"/>
        <v>0.20429081728249709</v>
      </c>
      <c r="BY105" s="656">
        <f t="shared" si="148"/>
        <v>6.174925346325693E-2</v>
      </c>
      <c r="BZ105" s="472">
        <f t="shared" si="161"/>
        <v>266.04007074575401</v>
      </c>
      <c r="CA105" s="179">
        <f t="shared" si="162"/>
        <v>0.63834794474471779</v>
      </c>
      <c r="CB105" s="6">
        <f t="shared" si="163"/>
        <v>4.8141509433962266</v>
      </c>
      <c r="CC105" s="179">
        <f t="shared" si="164"/>
        <v>0.88292561670519376</v>
      </c>
      <c r="CD105" s="6">
        <f t="shared" si="165"/>
        <v>88.292561670519376</v>
      </c>
      <c r="CE105">
        <f t="shared" si="166"/>
        <v>100</v>
      </c>
      <c r="CG105" s="581">
        <f t="shared" si="149"/>
        <v>-50</v>
      </c>
      <c r="CH105">
        <f t="shared" si="150"/>
        <v>-50</v>
      </c>
    </row>
    <row r="106" spans="5:86" x14ac:dyDescent="0.2">
      <c r="E106" s="176"/>
      <c r="F106" s="223"/>
      <c r="G106" s="223"/>
      <c r="H106" s="223"/>
      <c r="I106" s="223"/>
      <c r="J106" s="559"/>
      <c r="K106" s="454"/>
      <c r="L106" s="454"/>
      <c r="M106" s="454"/>
      <c r="N106" s="223"/>
      <c r="O106" s="178"/>
      <c r="P106" s="178"/>
      <c r="Q106" s="223"/>
      <c r="R106" s="223"/>
      <c r="S106" s="223"/>
      <c r="T106" s="223"/>
      <c r="U106" s="223"/>
      <c r="V106" s="223"/>
      <c r="W106" s="203"/>
      <c r="X106" s="454"/>
      <c r="Z106" s="223"/>
      <c r="AA106" s="179"/>
      <c r="AB106" s="179"/>
      <c r="AC106" s="179"/>
      <c r="AD106" s="179"/>
      <c r="AE106" s="563"/>
      <c r="AF106" s="546"/>
      <c r="AH106" s="179"/>
      <c r="AI106" s="179"/>
      <c r="AJ106" s="179"/>
      <c r="AL106" s="563"/>
      <c r="AM106" s="472"/>
      <c r="AP106" s="4"/>
      <c r="AR106" s="6"/>
      <c r="AS106" s="6"/>
      <c r="AT106" s="6"/>
      <c r="AU106" s="179"/>
      <c r="AW106" s="6"/>
      <c r="AX106" s="472"/>
      <c r="AY106" s="6"/>
      <c r="AZ106" s="472"/>
      <c r="BA106" s="6"/>
      <c r="BB106" s="6"/>
      <c r="BC106" s="6"/>
      <c r="BD106" s="179"/>
      <c r="BE106" s="179"/>
      <c r="BF106" s="179"/>
      <c r="BG106" s="179"/>
      <c r="BH106" s="546"/>
      <c r="BI106" s="546"/>
      <c r="BJ106" s="546"/>
      <c r="BK106" s="546"/>
      <c r="BN106" s="472"/>
      <c r="BO106" s="179"/>
      <c r="BP106" s="179"/>
      <c r="BQ106" s="546"/>
      <c r="BS106" s="472"/>
      <c r="BT106" s="546"/>
      <c r="BU106" s="546"/>
      <c r="BV106" s="546"/>
      <c r="BW106" s="546"/>
      <c r="BX106" s="546"/>
      <c r="BY106" s="656"/>
      <c r="BZ106" s="472"/>
      <c r="CA106" s="179"/>
      <c r="CB106" s="6"/>
      <c r="CC106" s="179"/>
      <c r="CD106" s="6"/>
    </row>
    <row r="107" spans="5:86" x14ac:dyDescent="0.2">
      <c r="G107" s="223"/>
      <c r="H107" s="223"/>
      <c r="I107" s="223"/>
      <c r="J107" s="559"/>
      <c r="K107" s="454"/>
      <c r="L107" s="454"/>
      <c r="M107" s="454"/>
      <c r="N107" s="223"/>
      <c r="O107" s="178"/>
      <c r="P107" s="178"/>
      <c r="Q107" s="223"/>
      <c r="R107" s="223"/>
      <c r="S107" s="223"/>
      <c r="T107" s="223"/>
      <c r="U107" s="223"/>
      <c r="V107" s="223"/>
      <c r="W107" s="203"/>
      <c r="X107" s="454"/>
      <c r="Z107" s="223"/>
      <c r="AA107" s="179"/>
      <c r="AB107" s="179"/>
      <c r="AC107" s="179"/>
      <c r="AD107" s="179"/>
      <c r="AE107" s="563"/>
      <c r="AF107" s="546"/>
      <c r="AH107" s="179"/>
      <c r="AI107" s="179"/>
      <c r="AJ107" s="179"/>
      <c r="AL107" s="563"/>
      <c r="AM107" s="472"/>
      <c r="AR107" s="6"/>
      <c r="AS107" s="6"/>
      <c r="AT107" s="6"/>
      <c r="AU107" s="179"/>
      <c r="AW107" s="6"/>
      <c r="AX107" s="472"/>
      <c r="AY107" s="6"/>
      <c r="AZ107" s="472"/>
      <c r="BA107" s="6"/>
      <c r="BB107" s="6"/>
      <c r="BC107" s="6"/>
      <c r="BD107" s="179"/>
      <c r="BE107" s="179"/>
      <c r="BF107" s="179"/>
      <c r="BG107" s="179"/>
      <c r="BH107" s="546"/>
      <c r="BI107" s="546"/>
      <c r="BJ107" s="546"/>
      <c r="BK107" s="546"/>
      <c r="BN107" s="472"/>
      <c r="BO107" s="179"/>
      <c r="BP107" s="179"/>
      <c r="BQ107" s="546"/>
      <c r="BS107" s="472"/>
      <c r="BT107" s="546"/>
      <c r="BU107" s="546"/>
      <c r="BV107" s="546"/>
      <c r="BW107" s="546"/>
      <c r="BX107" s="546"/>
      <c r="BY107" s="656"/>
      <c r="BZ107" s="472"/>
      <c r="CA107" s="179"/>
      <c r="CB107" s="6"/>
      <c r="CC107" s="179"/>
      <c r="CD107" s="6"/>
    </row>
    <row r="108" spans="5:86" x14ac:dyDescent="0.2">
      <c r="E108" s="456" t="s">
        <v>446</v>
      </c>
      <c r="G108" s="223"/>
      <c r="H108" s="223"/>
      <c r="I108" s="223"/>
      <c r="J108" s="559"/>
      <c r="K108" s="454"/>
      <c r="L108" s="454"/>
      <c r="M108" s="454"/>
      <c r="N108" s="223"/>
      <c r="O108" s="178"/>
      <c r="P108" s="178"/>
      <c r="Q108" s="223"/>
      <c r="R108" s="223"/>
      <c r="S108" s="223"/>
      <c r="T108" s="223"/>
      <c r="U108" s="223"/>
      <c r="V108" s="223"/>
      <c r="W108" s="203"/>
      <c r="X108" s="454"/>
      <c r="Z108" s="223"/>
      <c r="AA108" s="179"/>
      <c r="AB108" s="179"/>
      <c r="AC108" s="179"/>
      <c r="AD108" s="179"/>
      <c r="AE108" s="563"/>
      <c r="AF108" s="546"/>
      <c r="AH108" s="179"/>
      <c r="AI108" s="179"/>
      <c r="AJ108" s="179"/>
      <c r="AL108" s="563"/>
      <c r="AM108" s="472"/>
      <c r="AR108" s="6"/>
      <c r="AS108" s="6"/>
      <c r="AT108" s="6"/>
      <c r="AU108" s="179"/>
      <c r="AW108" s="6"/>
      <c r="AX108" s="472"/>
      <c r="AY108" s="6"/>
      <c r="AZ108" s="472"/>
      <c r="BA108" s="551"/>
      <c r="BB108" s="6"/>
      <c r="BC108" s="551"/>
      <c r="BD108" s="577" t="s">
        <v>483</v>
      </c>
      <c r="BE108" s="551"/>
      <c r="BF108" s="551"/>
      <c r="BG108" s="551"/>
      <c r="BH108" s="577" t="s">
        <v>506</v>
      </c>
      <c r="BI108" s="551"/>
      <c r="BJ108" s="551"/>
      <c r="BK108" s="551"/>
      <c r="BL108" s="551"/>
      <c r="BM108" s="551"/>
      <c r="BN108" s="551"/>
      <c r="BO108" s="577" t="s">
        <v>502</v>
      </c>
      <c r="BP108" s="551"/>
      <c r="BQ108" s="551"/>
      <c r="BR108" s="551"/>
      <c r="BS108" s="551"/>
      <c r="BT108" s="578" t="s">
        <v>503</v>
      </c>
      <c r="BU108" s="551"/>
      <c r="BV108" s="551"/>
      <c r="BW108" s="551"/>
      <c r="BX108" s="551"/>
      <c r="BY108" s="551"/>
      <c r="BZ108" s="551"/>
      <c r="CA108" s="577"/>
      <c r="CB108" s="551"/>
      <c r="CC108" s="551"/>
      <c r="CD108" s="551"/>
      <c r="CE108" s="551"/>
    </row>
    <row r="109" spans="5:86" ht="45" customHeight="1" thickBot="1" x14ac:dyDescent="0.25">
      <c r="E109" s="247" t="s">
        <v>25</v>
      </c>
      <c r="F109" s="625" t="s">
        <v>600</v>
      </c>
      <c r="G109" s="455" t="s">
        <v>599</v>
      </c>
      <c r="H109" s="626" t="s">
        <v>601</v>
      </c>
      <c r="I109" s="627" t="s">
        <v>602</v>
      </c>
      <c r="J109" s="248" t="s">
        <v>424</v>
      </c>
      <c r="K109" s="249" t="s">
        <v>430</v>
      </c>
      <c r="L109" s="545" t="s">
        <v>425</v>
      </c>
      <c r="M109" s="545"/>
      <c r="N109" s="250" t="s">
        <v>48</v>
      </c>
      <c r="O109" s="629" t="s">
        <v>610</v>
      </c>
      <c r="P109" s="629" t="s">
        <v>626</v>
      </c>
      <c r="Q109" s="545" t="s">
        <v>415</v>
      </c>
      <c r="R109" s="629" t="s">
        <v>604</v>
      </c>
      <c r="S109" s="545" t="s">
        <v>445</v>
      </c>
      <c r="T109" s="629" t="s">
        <v>426</v>
      </c>
      <c r="U109" s="545" t="s">
        <v>478</v>
      </c>
      <c r="V109" s="545" t="s">
        <v>477</v>
      </c>
      <c r="W109" s="565" t="s">
        <v>432</v>
      </c>
      <c r="X109" s="560" t="s">
        <v>437</v>
      </c>
      <c r="Z109" s="251" t="s">
        <v>429</v>
      </c>
      <c r="AA109" s="251" t="s">
        <v>476</v>
      </c>
      <c r="AB109" s="251" t="s">
        <v>607</v>
      </c>
      <c r="AC109" s="562"/>
      <c r="AD109" s="251" t="s">
        <v>475</v>
      </c>
      <c r="AE109" s="630" t="s">
        <v>438</v>
      </c>
      <c r="AF109" s="251" t="s">
        <v>608</v>
      </c>
      <c r="AG109" s="562"/>
      <c r="AH109" s="179"/>
      <c r="AI109" s="566" t="s">
        <v>442</v>
      </c>
      <c r="AJ109" s="566" t="s">
        <v>443</v>
      </c>
      <c r="AL109" s="561" t="s">
        <v>276</v>
      </c>
      <c r="AM109" s="561" t="s">
        <v>444</v>
      </c>
      <c r="AO109" s="251" t="s">
        <v>276</v>
      </c>
      <c r="AP109" s="251" t="s">
        <v>444</v>
      </c>
      <c r="AQ109" s="567"/>
      <c r="AR109" s="251" t="s">
        <v>479</v>
      </c>
      <c r="AS109" s="251" t="s">
        <v>473</v>
      </c>
      <c r="AT109" s="251" t="s">
        <v>474</v>
      </c>
      <c r="AU109" s="251" t="s">
        <v>48</v>
      </c>
      <c r="AV109" s="562"/>
      <c r="AW109" s="251" t="s">
        <v>611</v>
      </c>
      <c r="AX109" s="251" t="s">
        <v>711</v>
      </c>
      <c r="AY109" s="251" t="s">
        <v>612</v>
      </c>
      <c r="AZ109" s="251" t="s">
        <v>712</v>
      </c>
      <c r="BA109" s="251" t="s">
        <v>529</v>
      </c>
      <c r="BB109" s="251" t="s">
        <v>710</v>
      </c>
      <c r="BC109" s="562"/>
      <c r="BD109" s="576" t="s">
        <v>468</v>
      </c>
      <c r="BE109" s="251" t="s">
        <v>619</v>
      </c>
      <c r="BF109" s="251" t="s">
        <v>618</v>
      </c>
      <c r="BG109" s="562"/>
      <c r="BH109" s="576" t="s">
        <v>486</v>
      </c>
      <c r="BI109" s="251" t="s">
        <v>487</v>
      </c>
      <c r="BJ109" s="251" t="s">
        <v>485</v>
      </c>
      <c r="BK109" s="251" t="s">
        <v>481</v>
      </c>
      <c r="BL109" s="251" t="s">
        <v>490</v>
      </c>
      <c r="BM109" s="251"/>
      <c r="BN109" s="251" t="s">
        <v>504</v>
      </c>
      <c r="BO109" s="576" t="s">
        <v>621</v>
      </c>
      <c r="BP109" s="251" t="s">
        <v>620</v>
      </c>
      <c r="BQ109" s="251" t="s">
        <v>489</v>
      </c>
      <c r="BR109" s="251" t="s">
        <v>496</v>
      </c>
      <c r="BS109" s="251" t="s">
        <v>500</v>
      </c>
      <c r="BT109" s="576" t="s">
        <v>470</v>
      </c>
      <c r="BU109" s="251" t="s">
        <v>623</v>
      </c>
      <c r="BV109" s="251" t="s">
        <v>622</v>
      </c>
      <c r="BW109" s="251" t="s">
        <v>480</v>
      </c>
      <c r="BX109" s="251"/>
      <c r="BY109" s="251" t="s">
        <v>497</v>
      </c>
      <c r="BZ109" s="251" t="s">
        <v>499</v>
      </c>
      <c r="CA109" s="576" t="s">
        <v>495</v>
      </c>
      <c r="CB109" s="251" t="s">
        <v>224</v>
      </c>
      <c r="CC109" s="251" t="s">
        <v>47</v>
      </c>
      <c r="CD109" s="251" t="s">
        <v>498</v>
      </c>
      <c r="CE109" s="251" t="s">
        <v>624</v>
      </c>
      <c r="CG109" s="589" t="s">
        <v>511</v>
      </c>
    </row>
    <row r="110" spans="5:86" x14ac:dyDescent="0.2">
      <c r="E110" s="176">
        <v>0.1</v>
      </c>
      <c r="F110" s="223">
        <v>1.0000000000000001E-9</v>
      </c>
      <c r="G110" s="223">
        <f t="shared" ref="G110:G141" si="177">IF(PLOT_TYPE=1, E110/100*Iout2, min_I*EXP(Q110*rr/100))</f>
        <v>5.0000000000000001E-4</v>
      </c>
      <c r="H110" s="223">
        <f t="shared" ref="H110:H141" si="178">F110*Vout</f>
        <v>5.0000000000000001E-9</v>
      </c>
      <c r="I110" s="223">
        <f t="shared" ref="I110:I141" si="179">Vout2*G110</f>
        <v>2.5000000000000001E-3</v>
      </c>
      <c r="J110" s="559">
        <f t="shared" ref="J110:J173" si="180">VIN_min</f>
        <v>15</v>
      </c>
      <c r="K110" s="454">
        <f t="shared" ref="K110:K173" si="181">(S110+Vfwd1)*Nps</f>
        <v>15.75</v>
      </c>
      <c r="L110" s="454">
        <f t="shared" ref="L110:L173" si="182">(Vout+Vfwd1)*Nps+J110</f>
        <v>30.75</v>
      </c>
      <c r="M110" s="454"/>
      <c r="N110" s="223">
        <f t="shared" ref="N110:N173" si="183">(Vout+Vfwd1)*Nps/((Vout+Vfwd1)*Nps+J110)</f>
        <v>0.51219512195121952</v>
      </c>
      <c r="O110" s="178">
        <f t="shared" ref="O110:O141" si="184">N110*J110*Isw_max*0.5*Efficiency*Pout/(Pout+Pout2)</f>
        <v>1.2964939024390245</v>
      </c>
      <c r="P110" s="178">
        <f t="shared" ref="P110:P141" si="185">N110*J110*Isw_max*0.5*Efficiency*(Pout2/Pout_total)</f>
        <v>2.592987804878049</v>
      </c>
      <c r="Q110" s="223">
        <f t="shared" ref="Q110:Q173" si="186">O110/Vout</f>
        <v>0.25929878048780491</v>
      </c>
      <c r="R110" s="223">
        <f t="shared" ref="R110:R141" si="187">O110/Vout2</f>
        <v>0.25929878048780491</v>
      </c>
      <c r="S110" s="223">
        <f t="shared" ref="S110:S141" si="188">MIN(Vout,O110/F110)</f>
        <v>5</v>
      </c>
      <c r="T110" s="223">
        <f t="shared" ref="T110:T141" si="189">MIN(2*(Vout*F110+Vout2*G110)/(Efficiency*J110*N110), Isw_max)</f>
        <v>7.2310550264550262E-4</v>
      </c>
      <c r="U110" s="223">
        <f t="shared" ref="U110:U173" si="190">L*T110/J110*1000000</f>
        <v>2.1211094744268077E-3</v>
      </c>
      <c r="V110" s="223">
        <f t="shared" ref="V110:V173" si="191">L*T110/K110*1000000</f>
        <v>2.0201042613588647E-3</v>
      </c>
      <c r="W110" s="203">
        <f t="shared" ref="W110:W173" si="192">IF(1/((350000*L)*(1/J110+1/K110))&gt;Isw_min, 350, 0.001/((Isw_min*L)*(1/J110+1/K110)))</f>
        <v>350</v>
      </c>
      <c r="X110" s="454">
        <f t="shared" ref="X110:X173" si="193">MIN(1/(U110+V110)*1000, 350)</f>
        <v>350</v>
      </c>
      <c r="Z110" s="223">
        <f t="shared" ref="Z110:Z173" si="194">1/((W110*1000*L)*(1/J110+1/K110))</f>
        <v>0.4988913525498892</v>
      </c>
      <c r="AA110" s="179">
        <f t="shared" ref="AA110:AA173" si="195">L*Z110/K110*1000000</f>
        <v>1.3937282229965158</v>
      </c>
      <c r="AB110" s="179">
        <f t="shared" ref="AB110:AB141" si="196">0.5*AA110*Z110*Nps*W110/1000*(Pout/(Pout+Pout2))</f>
        <v>0.18252122654264241</v>
      </c>
      <c r="AC110" s="179"/>
      <c r="AD110" s="179">
        <f t="shared" ref="AD110:AD173" si="197">L*Isw_min/K110*1000000</f>
        <v>0.419047619047619</v>
      </c>
      <c r="AE110" s="563">
        <f t="shared" ref="AE110:AE141" si="198">MAX(10, F110/(0.5*AD110/1000000*Isw_min*Nps)/1000*Pout_total/Pout)</f>
        <v>10</v>
      </c>
      <c r="AF110" s="546">
        <f t="shared" ref="AF110:AF141" si="199">0.5*AD110/1000000*Isw_min*Nps*W110*1000*(Pout/Pout_total)</f>
        <v>3.2999999999999995E-2</v>
      </c>
      <c r="AH110" s="179">
        <f t="shared" ref="AH110:AH141" si="200">SQRT((H110+I110)/(0.5*L*Fsw_DCM))</f>
        <v>1.8018767272651424E-2</v>
      </c>
      <c r="AI110" s="179">
        <f t="shared" ref="AI110:AI141" si="201">MAX(IF(F110&gt;AB110,T110,AH110),Isw_min)</f>
        <v>0.15</v>
      </c>
      <c r="AJ110" s="179">
        <f t="shared" ref="AJ110:AJ141" si="202">IF(F110&gt;AF110, (AI110-Isw_min)/1.08*0.8+1.2, AE110*0.2/350+1)</f>
        <v>1.0057142857142858</v>
      </c>
      <c r="AL110" s="563">
        <f t="shared" ref="AL110:AL141" si="203">F110*1000</f>
        <v>1.0000000000000002E-6</v>
      </c>
      <c r="AM110" s="472">
        <f t="shared" ref="AM110:AM141" si="204">IF(F110&gt;AF110, X110, AE110)</f>
        <v>10</v>
      </c>
      <c r="AO110" s="472">
        <f t="shared" ref="AO110:AO173" si="205">IF(H110&gt;O110, "",AL110)</f>
        <v>1.0000000000000002E-6</v>
      </c>
      <c r="AP110" s="472">
        <f t="shared" ref="AP110:AP173" si="206">IF(H110&gt;O110, "",AM110)</f>
        <v>10</v>
      </c>
      <c r="AR110" s="6">
        <f t="shared" si="155"/>
        <v>100</v>
      </c>
      <c r="AS110" s="6">
        <f t="shared" ref="AS110:AS114" si="207">L*AI110/J110*1000000</f>
        <v>0.43999999999999995</v>
      </c>
      <c r="AT110" s="6">
        <f t="shared" ref="AT110:AT114" si="208">AR110-AS110</f>
        <v>99.56</v>
      </c>
      <c r="AU110" s="179">
        <f t="shared" ref="AU110:AU114" si="209">AS110/AR110</f>
        <v>4.3999999999999994E-3</v>
      </c>
      <c r="AW110" s="6">
        <f t="shared" ref="AW110:AW141" si="210">L*Iout^2/(2*Vripple1_spec*Vout*Npri_sec1^2)*1000000000*((1+N110)/(1-N110))^2</f>
        <v>23.491111111111117</v>
      </c>
      <c r="AX110" s="472">
        <f t="shared" ref="AX110:AX141" si="211">L*F110^2/(2*Cout*Vout*Nps^2)*1000000000*((1+N110)/(1-N110))^2+F110*RCoutEsr</f>
        <v>3.0000000999621755E-9</v>
      </c>
      <c r="AY110" s="6">
        <f t="shared" ref="AY110:AY141" si="212">L*Iout2^2/(2*Vripple2_spec*Vout2*Npri_sec2^2)*1000000000*((1+N110)/(1-N110))^2</f>
        <v>23.491111111111117</v>
      </c>
      <c r="AZ110" s="472">
        <f t="shared" ref="AZ110:AZ141" si="213">L*G110^2/(2*Cout2*Vout2*Npri_sec2^2)*1000000000*((1+N110)/(1-N110))^2+G110*CoutEsr2</f>
        <v>1.5533888888888889E-3</v>
      </c>
      <c r="BA110" s="6">
        <f t="shared" ref="BA110:BA169" si="214">H110/Efficiency/J110*AT110/Vinripple1</f>
        <v>3.0728395061728392E-8</v>
      </c>
      <c r="BB110" s="6">
        <f t="shared" ref="BB110:BB141" si="215">((CB110/J110/Efficiency)*AT110/Cin+(CB110/J110/Efficiency)*RCinEsr)*1000</f>
        <v>1.8446333188888888</v>
      </c>
      <c r="BC110" s="6"/>
      <c r="BD110" s="179">
        <f t="shared" ref="BD110:BD169" si="216">AI110*SQRT(AU110/3)</f>
        <v>5.7445626465380279E-3</v>
      </c>
      <c r="BE110" s="179">
        <f t="shared" ref="BE110:BE169" si="217">AI110*Npri_sec1*SQRT((1-AU110)/3)*(Pout/Pout_total)</f>
        <v>0.25923541424735935</v>
      </c>
      <c r="BF110" s="179">
        <f t="shared" ref="BF110:BF169" si="218">AI110*Npri_sec2*SQRT((1-AU110)/3)*(Pout2/Pout_total)</f>
        <v>0.25923541424735935</v>
      </c>
      <c r="BG110" s="179"/>
      <c r="BH110" s="546">
        <f t="shared" ref="BH110:BH169" si="219">Rdson*BD110^2</f>
        <v>1.1549999999999996E-5</v>
      </c>
      <c r="BI110" s="546">
        <f t="shared" ref="BI110:BI169" si="220">0.5*L110*AI110*AM110*1000*Trise</f>
        <v>3.4593749999999995E-4</v>
      </c>
      <c r="BJ110" s="546">
        <f t="shared" ref="BJ110:BJ169" si="221">Qg*Vdd*AM110*1000</f>
        <v>1.25E-4</v>
      </c>
      <c r="BK110" s="546">
        <f t="shared" ref="BK110:BK169" si="222">0.5*(Coss+Csw)*L110^2*AM110*1000</f>
        <v>4.7278125000000006E-4</v>
      </c>
      <c r="BL110">
        <f t="shared" ref="BL110:BL169" si="223">J110*IQ</f>
        <v>4.3499999999999997E-3</v>
      </c>
      <c r="BN110" s="472">
        <f t="shared" ref="BN110:BN169" si="224">SUM(BH110:BL110)*1000</f>
        <v>5.3052687499999998</v>
      </c>
      <c r="BO110" s="179">
        <f t="shared" ref="BO110:BO169" si="225">Vfwd2*F110</f>
        <v>3E-10</v>
      </c>
      <c r="BP110" s="179">
        <f t="shared" ref="BP110:BP169" si="226">Vfwd2*G110</f>
        <v>1.4999999999999999E-4</v>
      </c>
      <c r="BQ110" s="546"/>
      <c r="BS110" s="472">
        <f t="shared" ref="BS110:BS169" si="227">SUM(BO110:BR110)*1000</f>
        <v>0.15000029999999998</v>
      </c>
      <c r="BT110" s="546">
        <f t="shared" ref="BT110:BT169" si="228">Rdcr_pri*BD110^2</f>
        <v>6.5999999999999978E-6</v>
      </c>
      <c r="BU110" s="546">
        <f t="shared" ref="BU110:BU169" si="229">Rdcr_sec*BE110^2</f>
        <v>2.68812E-3</v>
      </c>
      <c r="BV110" s="546">
        <f t="shared" ref="BV110:BV169" si="230">Rdcr_sec2*BF110^2</f>
        <v>6.0482699999999997E-3</v>
      </c>
      <c r="BW110" s="546">
        <f t="shared" ref="BW110:BW169" si="231">AI110^2.5*AM110^2.5*k_core</f>
        <v>1.377837980315539E-7</v>
      </c>
      <c r="BX110" s="546"/>
      <c r="BY110" s="656">
        <f t="shared" ref="BY110:BY141" si="232">0.5*Lleak*0.000000001*AI110^2*AM110*1000</f>
        <v>1.1250000000000001E-4</v>
      </c>
      <c r="BZ110" s="472">
        <f t="shared" ref="BZ110:BZ169" si="233">SUM(BT110:BY110)*1000</f>
        <v>8.8556277837980293</v>
      </c>
      <c r="CA110" s="179">
        <f t="shared" ref="CA110:CA169" si="234">SUM(BH110:BL110,BO110:BR110,BT110:BY110)</f>
        <v>1.4310896833798029E-2</v>
      </c>
      <c r="CB110" s="6">
        <f t="shared" ref="CB110:CB169" si="235">MIN(H110+I110,O110+P110)</f>
        <v>2.500005E-3</v>
      </c>
      <c r="CC110" s="179">
        <f t="shared" ref="CC110:CC169" si="236">CB110/(CB110+CA110)</f>
        <v>0.148713318578411</v>
      </c>
      <c r="CD110" s="6">
        <f t="shared" ref="CD110:CD169" si="237">CC110*100</f>
        <v>14.871331857841099</v>
      </c>
      <c r="CE110">
        <f t="shared" ref="CE110:CE169" si="238">F110/Iout*100</f>
        <v>2.0000000000000002E-7</v>
      </c>
      <c r="CG110" s="581">
        <f t="shared" ref="CG110:CG141" si="239">IF(ABS(F110-Ioutmax_Vinmin)&lt;Iout/200, AM110, -50)</f>
        <v>-50</v>
      </c>
      <c r="CH110">
        <f t="shared" ref="CH110:CH141" si="240">IF(ABS(F110-Ioutmax_Vinmin)&lt;Iout/200, (O110+P110)*CC110, -50)</f>
        <v>-50</v>
      </c>
    </row>
    <row r="111" spans="5:86" x14ac:dyDescent="0.2">
      <c r="E111" s="176">
        <v>1</v>
      </c>
      <c r="F111" s="223">
        <f t="shared" ref="F111:F142" si="241">IF(PLOT_TYPE=1, E111/100*Iout_max, min_I*EXP(O111*rr/100))</f>
        <v>5.0000000000000001E-3</v>
      </c>
      <c r="G111" s="223">
        <f t="shared" si="177"/>
        <v>5.0000000000000001E-3</v>
      </c>
      <c r="H111" s="223">
        <f t="shared" si="178"/>
        <v>2.5000000000000001E-2</v>
      </c>
      <c r="I111" s="223">
        <f t="shared" si="179"/>
        <v>2.5000000000000001E-2</v>
      </c>
      <c r="J111" s="559">
        <f t="shared" si="180"/>
        <v>15</v>
      </c>
      <c r="K111" s="454">
        <f t="shared" si="181"/>
        <v>15.75</v>
      </c>
      <c r="L111" s="454">
        <f t="shared" si="182"/>
        <v>30.75</v>
      </c>
      <c r="M111" s="454"/>
      <c r="N111" s="223">
        <f t="shared" si="183"/>
        <v>0.51219512195121952</v>
      </c>
      <c r="O111" s="178">
        <f t="shared" si="184"/>
        <v>1.2964939024390245</v>
      </c>
      <c r="P111" s="178">
        <f t="shared" si="185"/>
        <v>2.592987804878049</v>
      </c>
      <c r="Q111" s="223">
        <f t="shared" si="186"/>
        <v>0.25929878048780491</v>
      </c>
      <c r="R111" s="223">
        <f t="shared" si="187"/>
        <v>0.25929878048780491</v>
      </c>
      <c r="S111" s="223">
        <f t="shared" si="188"/>
        <v>5</v>
      </c>
      <c r="T111" s="223">
        <f t="shared" si="189"/>
        <v>1.4462081128747795E-2</v>
      </c>
      <c r="U111" s="223">
        <f t="shared" si="190"/>
        <v>4.2422104644326865E-2</v>
      </c>
      <c r="V111" s="223">
        <f t="shared" si="191"/>
        <v>4.0402004423168443E-2</v>
      </c>
      <c r="W111" s="203">
        <f t="shared" si="192"/>
        <v>350</v>
      </c>
      <c r="X111" s="454">
        <f t="shared" si="193"/>
        <v>350</v>
      </c>
      <c r="Z111" s="223">
        <f t="shared" si="194"/>
        <v>0.4988913525498892</v>
      </c>
      <c r="AA111" s="179">
        <f t="shared" si="195"/>
        <v>1.3937282229965158</v>
      </c>
      <c r="AB111" s="179">
        <f t="shared" si="196"/>
        <v>0.18252122654264241</v>
      </c>
      <c r="AC111" s="179"/>
      <c r="AD111" s="179">
        <f t="shared" si="197"/>
        <v>0.419047619047619</v>
      </c>
      <c r="AE111" s="563">
        <f t="shared" si="198"/>
        <v>53.030303030303038</v>
      </c>
      <c r="AF111" s="546">
        <f t="shared" si="199"/>
        <v>3.2999999999999995E-2</v>
      </c>
      <c r="AH111" s="179">
        <f t="shared" si="200"/>
        <v>8.0582296402538028E-2</v>
      </c>
      <c r="AI111" s="179">
        <f t="shared" si="201"/>
        <v>0.15</v>
      </c>
      <c r="AJ111" s="179">
        <f t="shared" si="202"/>
        <v>1.0303030303030303</v>
      </c>
      <c r="AL111" s="563">
        <f t="shared" si="203"/>
        <v>5</v>
      </c>
      <c r="AM111" s="472">
        <f t="shared" si="204"/>
        <v>53.030303030303038</v>
      </c>
      <c r="AO111" s="472">
        <f t="shared" si="205"/>
        <v>5</v>
      </c>
      <c r="AP111" s="472">
        <f t="shared" si="206"/>
        <v>53.030303030303038</v>
      </c>
      <c r="AR111" s="6">
        <f t="shared" si="155"/>
        <v>18.857142857142854</v>
      </c>
      <c r="AS111" s="6">
        <f t="shared" si="207"/>
        <v>0.43999999999999995</v>
      </c>
      <c r="AT111" s="6">
        <f t="shared" si="208"/>
        <v>18.417142857142853</v>
      </c>
      <c r="AU111" s="179">
        <f t="shared" si="209"/>
        <v>2.3333333333333334E-2</v>
      </c>
      <c r="AW111" s="6">
        <f t="shared" si="210"/>
        <v>23.491111111111117</v>
      </c>
      <c r="AX111" s="472">
        <f t="shared" si="211"/>
        <v>1.7499054373522456E-2</v>
      </c>
      <c r="AY111" s="6">
        <f t="shared" si="212"/>
        <v>23.491111111111117</v>
      </c>
      <c r="AZ111" s="472">
        <f t="shared" si="213"/>
        <v>2.0338888888888889E-2</v>
      </c>
      <c r="BA111" s="6">
        <f t="shared" si="214"/>
        <v>2.8421516754850076E-2</v>
      </c>
      <c r="BB111" s="6">
        <f t="shared" si="215"/>
        <v>6.8396825396825376</v>
      </c>
      <c r="BC111" s="6"/>
      <c r="BD111" s="179">
        <f t="shared" si="216"/>
        <v>1.3228756555322954E-2</v>
      </c>
      <c r="BE111" s="179">
        <f t="shared" si="217"/>
        <v>0.25675864152935535</v>
      </c>
      <c r="BF111" s="179">
        <f t="shared" si="218"/>
        <v>0.25675864152935535</v>
      </c>
      <c r="BG111" s="179"/>
      <c r="BH111" s="546">
        <f t="shared" si="219"/>
        <v>6.1250000000000012E-5</v>
      </c>
      <c r="BI111" s="546">
        <f t="shared" si="220"/>
        <v>1.8345170454545454E-3</v>
      </c>
      <c r="BJ111" s="546">
        <f t="shared" si="221"/>
        <v>6.6287878787878792E-4</v>
      </c>
      <c r="BK111" s="546">
        <f t="shared" si="222"/>
        <v>2.5071732954545459E-3</v>
      </c>
      <c r="BL111">
        <f t="shared" si="223"/>
        <v>4.3499999999999997E-3</v>
      </c>
      <c r="BN111" s="472">
        <f t="shared" si="224"/>
        <v>9.415819128787879</v>
      </c>
      <c r="BO111" s="179">
        <f t="shared" si="225"/>
        <v>1.5E-3</v>
      </c>
      <c r="BP111" s="179">
        <f t="shared" si="226"/>
        <v>1.5E-3</v>
      </c>
      <c r="BQ111" s="546"/>
      <c r="BS111" s="472">
        <f t="shared" si="227"/>
        <v>3</v>
      </c>
      <c r="BT111" s="546">
        <f t="shared" si="228"/>
        <v>3.5000000000000004E-5</v>
      </c>
      <c r="BU111" s="546">
        <f t="shared" si="229"/>
        <v>2.637E-3</v>
      </c>
      <c r="BV111" s="546">
        <f t="shared" si="230"/>
        <v>5.9332499999999993E-3</v>
      </c>
      <c r="BW111" s="546">
        <f t="shared" si="231"/>
        <v>8.9229492723626459E-6</v>
      </c>
      <c r="BX111" s="546"/>
      <c r="BY111" s="656">
        <f t="shared" si="232"/>
        <v>5.9659090909090925E-4</v>
      </c>
      <c r="BZ111" s="472">
        <f t="shared" si="233"/>
        <v>9.2107638583632703</v>
      </c>
      <c r="CA111" s="179">
        <f t="shared" si="234"/>
        <v>2.1626582987151151E-2</v>
      </c>
      <c r="CB111" s="6">
        <f t="shared" si="235"/>
        <v>0.05</v>
      </c>
      <c r="CC111" s="179">
        <f t="shared" si="236"/>
        <v>0.69806485127134055</v>
      </c>
      <c r="CD111" s="6">
        <f t="shared" si="237"/>
        <v>69.806485127134053</v>
      </c>
      <c r="CE111">
        <f t="shared" si="238"/>
        <v>1</v>
      </c>
      <c r="CG111" s="581">
        <f t="shared" si="239"/>
        <v>-50</v>
      </c>
      <c r="CH111">
        <f t="shared" si="240"/>
        <v>-50</v>
      </c>
    </row>
    <row r="112" spans="5:86" x14ac:dyDescent="0.2">
      <c r="E112" s="176">
        <v>2</v>
      </c>
      <c r="F112" s="223">
        <f t="shared" si="241"/>
        <v>0.01</v>
      </c>
      <c r="G112" s="223">
        <f t="shared" si="177"/>
        <v>0.01</v>
      </c>
      <c r="H112" s="223">
        <f t="shared" si="178"/>
        <v>0.05</v>
      </c>
      <c r="I112" s="223">
        <f t="shared" si="179"/>
        <v>0.05</v>
      </c>
      <c r="J112" s="559">
        <f t="shared" si="180"/>
        <v>15</v>
      </c>
      <c r="K112" s="454">
        <f t="shared" si="181"/>
        <v>15.75</v>
      </c>
      <c r="L112" s="454">
        <f t="shared" si="182"/>
        <v>30.75</v>
      </c>
      <c r="M112" s="454"/>
      <c r="N112" s="223">
        <f t="shared" si="183"/>
        <v>0.51219512195121952</v>
      </c>
      <c r="O112" s="178">
        <f t="shared" si="184"/>
        <v>1.2964939024390245</v>
      </c>
      <c r="P112" s="178">
        <f t="shared" si="185"/>
        <v>2.592987804878049</v>
      </c>
      <c r="Q112" s="223">
        <f t="shared" si="186"/>
        <v>0.25929878048780491</v>
      </c>
      <c r="R112" s="223">
        <f t="shared" si="187"/>
        <v>0.25929878048780491</v>
      </c>
      <c r="S112" s="223">
        <f t="shared" si="188"/>
        <v>5</v>
      </c>
      <c r="T112" s="223">
        <f t="shared" si="189"/>
        <v>2.8924162257495591E-2</v>
      </c>
      <c r="U112" s="223">
        <f t="shared" si="190"/>
        <v>8.484420928865373E-2</v>
      </c>
      <c r="V112" s="223">
        <f t="shared" si="191"/>
        <v>8.0804008846336886E-2</v>
      </c>
      <c r="W112" s="203">
        <f t="shared" si="192"/>
        <v>350</v>
      </c>
      <c r="X112" s="454">
        <f t="shared" si="193"/>
        <v>350</v>
      </c>
      <c r="Z112" s="223">
        <f t="shared" si="194"/>
        <v>0.4988913525498892</v>
      </c>
      <c r="AA112" s="179">
        <f t="shared" si="195"/>
        <v>1.3937282229965158</v>
      </c>
      <c r="AB112" s="179">
        <f t="shared" si="196"/>
        <v>0.18252122654264241</v>
      </c>
      <c r="AC112" s="179"/>
      <c r="AD112" s="179">
        <f t="shared" si="197"/>
        <v>0.419047619047619</v>
      </c>
      <c r="AE112" s="563">
        <f t="shared" si="198"/>
        <v>106.06060606060608</v>
      </c>
      <c r="AF112" s="546">
        <f t="shared" si="199"/>
        <v>3.2999999999999995E-2</v>
      </c>
      <c r="AH112" s="179">
        <f t="shared" si="200"/>
        <v>0.11396057645963795</v>
      </c>
      <c r="AI112" s="179">
        <f t="shared" si="201"/>
        <v>0.15</v>
      </c>
      <c r="AJ112" s="179">
        <f t="shared" si="202"/>
        <v>1.0606060606060606</v>
      </c>
      <c r="AL112" s="563">
        <f t="shared" si="203"/>
        <v>10</v>
      </c>
      <c r="AM112" s="472">
        <f t="shared" si="204"/>
        <v>106.06060606060608</v>
      </c>
      <c r="AO112" s="472">
        <f t="shared" si="205"/>
        <v>10</v>
      </c>
      <c r="AP112" s="472">
        <f t="shared" si="206"/>
        <v>106.06060606060608</v>
      </c>
      <c r="AR112" s="6">
        <f t="shared" si="155"/>
        <v>9.428571428571427</v>
      </c>
      <c r="AS112" s="6">
        <f t="shared" si="207"/>
        <v>0.43999999999999995</v>
      </c>
      <c r="AT112" s="6">
        <f t="shared" si="208"/>
        <v>8.9885714285714275</v>
      </c>
      <c r="AU112" s="179">
        <f t="shared" si="209"/>
        <v>4.6666666666666669E-2</v>
      </c>
      <c r="AW112" s="6">
        <f t="shared" si="210"/>
        <v>23.491111111111117</v>
      </c>
      <c r="AX112" s="472">
        <f t="shared" si="211"/>
        <v>3.9996217494089832E-2</v>
      </c>
      <c r="AY112" s="6">
        <f t="shared" si="212"/>
        <v>23.491111111111117</v>
      </c>
      <c r="AZ112" s="472">
        <f t="shared" si="213"/>
        <v>5.1355555555555557E-2</v>
      </c>
      <c r="BA112" s="6">
        <f t="shared" si="214"/>
        <v>2.774250440917107E-2</v>
      </c>
      <c r="BB112" s="6">
        <f t="shared" si="215"/>
        <v>6.6952380952380945</v>
      </c>
      <c r="BC112" s="6"/>
      <c r="BD112" s="179">
        <f t="shared" si="216"/>
        <v>1.8708286933869708E-2</v>
      </c>
      <c r="BE112" s="179">
        <f t="shared" si="217"/>
        <v>0.2536730178793164</v>
      </c>
      <c r="BF112" s="179">
        <f t="shared" si="218"/>
        <v>0.2536730178793164</v>
      </c>
      <c r="BG112" s="179"/>
      <c r="BH112" s="546">
        <f t="shared" si="219"/>
        <v>1.2250000000000002E-4</v>
      </c>
      <c r="BI112" s="546">
        <f t="shared" si="220"/>
        <v>3.6690340909090909E-3</v>
      </c>
      <c r="BJ112" s="546">
        <f t="shared" si="221"/>
        <v>1.3257575757575758E-3</v>
      </c>
      <c r="BK112" s="546">
        <f t="shared" si="222"/>
        <v>5.0143465909090919E-3</v>
      </c>
      <c r="BL112">
        <f t="shared" si="223"/>
        <v>4.3499999999999997E-3</v>
      </c>
      <c r="BN112" s="472">
        <f t="shared" si="224"/>
        <v>14.481638257575757</v>
      </c>
      <c r="BO112" s="179">
        <f t="shared" si="225"/>
        <v>3.0000000000000001E-3</v>
      </c>
      <c r="BP112" s="179">
        <f t="shared" si="226"/>
        <v>3.0000000000000001E-3</v>
      </c>
      <c r="BQ112" s="546"/>
      <c r="BS112" s="472">
        <f t="shared" si="227"/>
        <v>6</v>
      </c>
      <c r="BT112" s="546">
        <f t="shared" si="228"/>
        <v>7.0000000000000007E-5</v>
      </c>
      <c r="BU112" s="546">
        <f t="shared" si="229"/>
        <v>2.573999999999999E-3</v>
      </c>
      <c r="BV112" s="546">
        <f t="shared" si="230"/>
        <v>5.791499999999998E-3</v>
      </c>
      <c r="BW112" s="546">
        <f t="shared" si="231"/>
        <v>5.0475823509369631E-5</v>
      </c>
      <c r="BX112" s="546"/>
      <c r="BY112" s="656">
        <f t="shared" si="232"/>
        <v>1.1931818181818185E-3</v>
      </c>
      <c r="BZ112" s="472">
        <f t="shared" si="233"/>
        <v>9.6791576416911855</v>
      </c>
      <c r="CA112" s="179">
        <f t="shared" si="234"/>
        <v>3.0160795899266943E-2</v>
      </c>
      <c r="CB112" s="6">
        <f t="shared" si="235"/>
        <v>0.1</v>
      </c>
      <c r="CC112" s="179">
        <f t="shared" si="236"/>
        <v>0.76828048959835227</v>
      </c>
      <c r="CD112" s="6">
        <f t="shared" si="237"/>
        <v>76.828048959835229</v>
      </c>
      <c r="CE112">
        <f t="shared" si="238"/>
        <v>2</v>
      </c>
      <c r="CG112" s="581">
        <f t="shared" si="239"/>
        <v>-50</v>
      </c>
      <c r="CH112">
        <f t="shared" si="240"/>
        <v>-50</v>
      </c>
    </row>
    <row r="113" spans="5:86" x14ac:dyDescent="0.2">
      <c r="E113" s="176">
        <v>3</v>
      </c>
      <c r="F113" s="223">
        <f t="shared" si="241"/>
        <v>1.4999999999999999E-2</v>
      </c>
      <c r="G113" s="223">
        <f t="shared" si="177"/>
        <v>1.4999999999999999E-2</v>
      </c>
      <c r="H113" s="223">
        <f t="shared" si="178"/>
        <v>7.4999999999999997E-2</v>
      </c>
      <c r="I113" s="223">
        <f t="shared" si="179"/>
        <v>7.4999999999999997E-2</v>
      </c>
      <c r="J113" s="559">
        <f t="shared" si="180"/>
        <v>15</v>
      </c>
      <c r="K113" s="454">
        <f t="shared" si="181"/>
        <v>15.75</v>
      </c>
      <c r="L113" s="454">
        <f t="shared" si="182"/>
        <v>30.75</v>
      </c>
      <c r="M113" s="454"/>
      <c r="N113" s="223">
        <f t="shared" si="183"/>
        <v>0.51219512195121952</v>
      </c>
      <c r="O113" s="178">
        <f t="shared" si="184"/>
        <v>1.2964939024390245</v>
      </c>
      <c r="P113" s="178">
        <f t="shared" si="185"/>
        <v>2.592987804878049</v>
      </c>
      <c r="Q113" s="223">
        <f t="shared" si="186"/>
        <v>0.25929878048780491</v>
      </c>
      <c r="R113" s="223">
        <f t="shared" si="187"/>
        <v>0.25929878048780491</v>
      </c>
      <c r="S113" s="223">
        <f t="shared" si="188"/>
        <v>5</v>
      </c>
      <c r="T113" s="223">
        <f t="shared" si="189"/>
        <v>4.3386243386243382E-2</v>
      </c>
      <c r="U113" s="223">
        <f t="shared" si="190"/>
        <v>0.12726631393298057</v>
      </c>
      <c r="V113" s="223">
        <f t="shared" si="191"/>
        <v>0.12120601326950532</v>
      </c>
      <c r="W113" s="203">
        <f t="shared" si="192"/>
        <v>350</v>
      </c>
      <c r="X113" s="454">
        <f t="shared" si="193"/>
        <v>350</v>
      </c>
      <c r="Z113" s="223">
        <f t="shared" si="194"/>
        <v>0.4988913525498892</v>
      </c>
      <c r="AA113" s="179">
        <f t="shared" si="195"/>
        <v>1.3937282229965158</v>
      </c>
      <c r="AB113" s="179">
        <f t="shared" si="196"/>
        <v>0.18252122654264241</v>
      </c>
      <c r="AC113" s="179"/>
      <c r="AD113" s="179">
        <f t="shared" si="197"/>
        <v>0.419047619047619</v>
      </c>
      <c r="AE113" s="563">
        <f t="shared" si="198"/>
        <v>159.09090909090912</v>
      </c>
      <c r="AF113" s="546">
        <f t="shared" si="199"/>
        <v>3.2999999999999995E-2</v>
      </c>
      <c r="AH113" s="179">
        <f t="shared" si="200"/>
        <v>0.13957263155977062</v>
      </c>
      <c r="AI113" s="179">
        <f t="shared" si="201"/>
        <v>0.15</v>
      </c>
      <c r="AJ113" s="179">
        <f t="shared" si="202"/>
        <v>1.0909090909090908</v>
      </c>
      <c r="AL113" s="563">
        <f t="shared" si="203"/>
        <v>15</v>
      </c>
      <c r="AM113" s="472">
        <f t="shared" si="204"/>
        <v>159.09090909090912</v>
      </c>
      <c r="AO113" s="472">
        <f t="shared" si="205"/>
        <v>15</v>
      </c>
      <c r="AP113" s="472">
        <f t="shared" si="206"/>
        <v>159.09090909090912</v>
      </c>
      <c r="AR113" s="6">
        <f t="shared" si="155"/>
        <v>6.2857142857142838</v>
      </c>
      <c r="AS113" s="6">
        <f t="shared" si="207"/>
        <v>0.43999999999999995</v>
      </c>
      <c r="AT113" s="6">
        <f t="shared" si="208"/>
        <v>5.8457142857142834</v>
      </c>
      <c r="AU113" s="179">
        <f t="shared" si="209"/>
        <v>7.0000000000000007E-2</v>
      </c>
      <c r="AW113" s="6">
        <f t="shared" si="210"/>
        <v>23.491111111111117</v>
      </c>
      <c r="AX113" s="472">
        <f t="shared" si="211"/>
        <v>6.7491489361702128E-2</v>
      </c>
      <c r="AY113" s="6">
        <f t="shared" si="212"/>
        <v>23.491111111111117</v>
      </c>
      <c r="AZ113" s="472">
        <f t="shared" si="213"/>
        <v>9.3050000000000008E-2</v>
      </c>
      <c r="BA113" s="6">
        <f t="shared" si="214"/>
        <v>2.7063492063492043E-2</v>
      </c>
      <c r="BB113" s="6">
        <f t="shared" si="215"/>
        <v>6.5507936507936479</v>
      </c>
      <c r="BC113" s="6"/>
      <c r="BD113" s="179">
        <f t="shared" si="216"/>
        <v>2.29128784747792E-2</v>
      </c>
      <c r="BE113" s="179">
        <f t="shared" si="217"/>
        <v>0.25054939632735096</v>
      </c>
      <c r="BF113" s="179">
        <f t="shared" si="218"/>
        <v>0.25054939632735096</v>
      </c>
      <c r="BG113" s="179"/>
      <c r="BH113" s="546">
        <f t="shared" si="219"/>
        <v>1.8374999999999997E-4</v>
      </c>
      <c r="BI113" s="546">
        <f t="shared" si="220"/>
        <v>5.5035511363636363E-3</v>
      </c>
      <c r="BJ113" s="546">
        <f t="shared" si="221"/>
        <v>1.9886363636363639E-3</v>
      </c>
      <c r="BK113" s="546">
        <f t="shared" si="222"/>
        <v>7.5215198863636387E-3</v>
      </c>
      <c r="BL113">
        <f t="shared" si="223"/>
        <v>4.3499999999999997E-3</v>
      </c>
      <c r="BN113" s="472">
        <f t="shared" si="224"/>
        <v>19.547457386363639</v>
      </c>
      <c r="BO113" s="179">
        <f t="shared" si="225"/>
        <v>4.4999999999999997E-3</v>
      </c>
      <c r="BP113" s="179">
        <f t="shared" si="226"/>
        <v>4.4999999999999997E-3</v>
      </c>
      <c r="BQ113" s="546"/>
      <c r="BS113" s="472">
        <f t="shared" si="227"/>
        <v>9</v>
      </c>
      <c r="BT113" s="546">
        <f t="shared" si="228"/>
        <v>1.05E-4</v>
      </c>
      <c r="BU113" s="546">
        <f t="shared" si="229"/>
        <v>2.5109999999999993E-3</v>
      </c>
      <c r="BV113" s="546">
        <f t="shared" si="230"/>
        <v>5.6497499999999985E-3</v>
      </c>
      <c r="BW113" s="546">
        <f t="shared" si="231"/>
        <v>1.390950134378268E-4</v>
      </c>
      <c r="BX113" s="546"/>
      <c r="BY113" s="656">
        <f t="shared" si="232"/>
        <v>1.789772727272728E-3</v>
      </c>
      <c r="BZ113" s="472">
        <f t="shared" si="233"/>
        <v>10.194617740710553</v>
      </c>
      <c r="CA113" s="179">
        <f t="shared" si="234"/>
        <v>3.8742075127074192E-2</v>
      </c>
      <c r="CB113" s="6">
        <f t="shared" si="235"/>
        <v>0.15</v>
      </c>
      <c r="CC113" s="179">
        <f t="shared" si="236"/>
        <v>0.79473535457851485</v>
      </c>
      <c r="CD113" s="6">
        <f t="shared" si="237"/>
        <v>79.473535457851483</v>
      </c>
      <c r="CE113">
        <f t="shared" si="238"/>
        <v>3</v>
      </c>
      <c r="CG113" s="581">
        <f t="shared" si="239"/>
        <v>-50</v>
      </c>
      <c r="CH113">
        <f t="shared" si="240"/>
        <v>-50</v>
      </c>
    </row>
    <row r="114" spans="5:86" x14ac:dyDescent="0.2">
      <c r="E114" s="176">
        <v>4</v>
      </c>
      <c r="F114" s="223">
        <f t="shared" si="241"/>
        <v>0.02</v>
      </c>
      <c r="G114" s="223">
        <f t="shared" si="177"/>
        <v>0.02</v>
      </c>
      <c r="H114" s="223">
        <f t="shared" si="178"/>
        <v>0.1</v>
      </c>
      <c r="I114" s="223">
        <f t="shared" si="179"/>
        <v>0.1</v>
      </c>
      <c r="J114" s="559">
        <f t="shared" si="180"/>
        <v>15</v>
      </c>
      <c r="K114" s="454">
        <f t="shared" si="181"/>
        <v>15.75</v>
      </c>
      <c r="L114" s="454">
        <f t="shared" si="182"/>
        <v>30.75</v>
      </c>
      <c r="M114" s="454"/>
      <c r="N114" s="223">
        <f t="shared" si="183"/>
        <v>0.51219512195121952</v>
      </c>
      <c r="O114" s="178">
        <f t="shared" si="184"/>
        <v>1.2964939024390245</v>
      </c>
      <c r="P114" s="178">
        <f t="shared" si="185"/>
        <v>2.592987804878049</v>
      </c>
      <c r="Q114" s="223">
        <f t="shared" si="186"/>
        <v>0.25929878048780491</v>
      </c>
      <c r="R114" s="223">
        <f t="shared" si="187"/>
        <v>0.25929878048780491</v>
      </c>
      <c r="S114" s="223">
        <f t="shared" si="188"/>
        <v>5</v>
      </c>
      <c r="T114" s="223">
        <f t="shared" si="189"/>
        <v>5.7848324514991181E-2</v>
      </c>
      <c r="U114" s="223">
        <f t="shared" si="190"/>
        <v>0.16968841857730746</v>
      </c>
      <c r="V114" s="223">
        <f t="shared" si="191"/>
        <v>0.16160801769267377</v>
      </c>
      <c r="W114" s="203">
        <f t="shared" si="192"/>
        <v>350</v>
      </c>
      <c r="X114" s="454">
        <f t="shared" si="193"/>
        <v>350</v>
      </c>
      <c r="Z114" s="223">
        <f t="shared" si="194"/>
        <v>0.4988913525498892</v>
      </c>
      <c r="AA114" s="179">
        <f t="shared" si="195"/>
        <v>1.3937282229965158</v>
      </c>
      <c r="AB114" s="179">
        <f t="shared" si="196"/>
        <v>0.18252122654264241</v>
      </c>
      <c r="AC114" s="179"/>
      <c r="AD114" s="179">
        <f t="shared" si="197"/>
        <v>0.419047619047619</v>
      </c>
      <c r="AE114" s="563">
        <f t="shared" si="198"/>
        <v>212.12121212121215</v>
      </c>
      <c r="AF114" s="546">
        <f t="shared" si="199"/>
        <v>3.2999999999999995E-2</v>
      </c>
      <c r="AH114" s="179">
        <f t="shared" si="200"/>
        <v>0.16116459280507606</v>
      </c>
      <c r="AI114" s="179">
        <f t="shared" si="201"/>
        <v>0.16116459280507606</v>
      </c>
      <c r="AJ114" s="179">
        <f t="shared" si="202"/>
        <v>1.1212121212121213</v>
      </c>
      <c r="AL114" s="563">
        <f t="shared" si="203"/>
        <v>20</v>
      </c>
      <c r="AM114" s="472">
        <f t="shared" si="204"/>
        <v>212.12121212121215</v>
      </c>
      <c r="AO114" s="472">
        <f t="shared" si="205"/>
        <v>20</v>
      </c>
      <c r="AP114" s="472">
        <f t="shared" si="206"/>
        <v>212.12121212121215</v>
      </c>
      <c r="AR114" s="6">
        <f t="shared" si="155"/>
        <v>4.7142857142857135</v>
      </c>
      <c r="AS114" s="6">
        <f t="shared" si="207"/>
        <v>0.47274947222822311</v>
      </c>
      <c r="AT114" s="6">
        <f t="shared" si="208"/>
        <v>4.2415362420574905</v>
      </c>
      <c r="AU114" s="179">
        <f t="shared" si="209"/>
        <v>0.10028019107871401</v>
      </c>
      <c r="AW114" s="6">
        <f t="shared" si="210"/>
        <v>23.491111111111117</v>
      </c>
      <c r="AX114" s="472">
        <f t="shared" si="211"/>
        <v>9.9984869976359331E-2</v>
      </c>
      <c r="AY114" s="6">
        <f t="shared" si="212"/>
        <v>23.491111111111117</v>
      </c>
      <c r="AZ114" s="472">
        <f t="shared" si="213"/>
        <v>0.14542222222222223</v>
      </c>
      <c r="BA114" s="6">
        <f t="shared" si="214"/>
        <v>2.6182322481836356E-2</v>
      </c>
      <c r="BB114" s="6">
        <f t="shared" si="215"/>
        <v>6.3578314697148013</v>
      </c>
      <c r="BC114" s="6"/>
      <c r="BD114" s="179">
        <f t="shared" si="216"/>
        <v>2.9465687885848999E-2</v>
      </c>
      <c r="BE114" s="179">
        <f t="shared" si="217"/>
        <v>0.26477922323853414</v>
      </c>
      <c r="BF114" s="179">
        <f t="shared" si="218"/>
        <v>0.26477922323853414</v>
      </c>
      <c r="BG114" s="179"/>
      <c r="BH114" s="546">
        <f t="shared" si="219"/>
        <v>3.0387936690519395E-4</v>
      </c>
      <c r="BI114" s="546">
        <f t="shared" si="220"/>
        <v>7.8842451366574143E-3</v>
      </c>
      <c r="BJ114" s="546">
        <f t="shared" si="221"/>
        <v>2.6515151515151517E-3</v>
      </c>
      <c r="BK114" s="546">
        <f t="shared" si="222"/>
        <v>1.0028693181818184E-2</v>
      </c>
      <c r="BL114">
        <f t="shared" si="223"/>
        <v>4.3499999999999997E-3</v>
      </c>
      <c r="BN114" s="472">
        <f t="shared" si="224"/>
        <v>25.218332836895943</v>
      </c>
      <c r="BO114" s="179">
        <f t="shared" si="225"/>
        <v>6.0000000000000001E-3</v>
      </c>
      <c r="BP114" s="179">
        <f t="shared" si="226"/>
        <v>6.0000000000000001E-3</v>
      </c>
      <c r="BQ114" s="546"/>
      <c r="BS114" s="472">
        <f t="shared" si="227"/>
        <v>12</v>
      </c>
      <c r="BT114" s="546">
        <f t="shared" si="228"/>
        <v>1.7364535251725372E-4</v>
      </c>
      <c r="BU114" s="546">
        <f t="shared" si="229"/>
        <v>2.80432148235206E-3</v>
      </c>
      <c r="BV114" s="546">
        <f t="shared" si="230"/>
        <v>6.3097233352921349E-3</v>
      </c>
      <c r="BW114" s="546">
        <f t="shared" si="231"/>
        <v>3.4166802935627072E-4</v>
      </c>
      <c r="BX114" s="546"/>
      <c r="BY114" s="656">
        <f t="shared" si="232"/>
        <v>2.754820936639119E-3</v>
      </c>
      <c r="BZ114" s="472">
        <f t="shared" si="233"/>
        <v>12.384179136156838</v>
      </c>
      <c r="CA114" s="179">
        <f t="shared" si="234"/>
        <v>4.9602511973052779E-2</v>
      </c>
      <c r="CB114" s="6">
        <f t="shared" si="235"/>
        <v>0.2</v>
      </c>
      <c r="CC114" s="179">
        <f t="shared" si="236"/>
        <v>0.80127398726496835</v>
      </c>
      <c r="CD114" s="6">
        <f t="shared" si="237"/>
        <v>80.127398726496835</v>
      </c>
      <c r="CE114">
        <f t="shared" si="238"/>
        <v>4</v>
      </c>
      <c r="CG114" s="581">
        <f t="shared" si="239"/>
        <v>-50</v>
      </c>
      <c r="CH114">
        <f t="shared" si="240"/>
        <v>-50</v>
      </c>
    </row>
    <row r="115" spans="5:86" x14ac:dyDescent="0.2">
      <c r="E115" s="176">
        <v>5</v>
      </c>
      <c r="F115" s="223">
        <f t="shared" si="241"/>
        <v>2.5000000000000001E-2</v>
      </c>
      <c r="G115" s="223">
        <f t="shared" si="177"/>
        <v>2.5000000000000001E-2</v>
      </c>
      <c r="H115" s="223">
        <f t="shared" si="178"/>
        <v>0.125</v>
      </c>
      <c r="I115" s="223">
        <f t="shared" si="179"/>
        <v>0.125</v>
      </c>
      <c r="J115" s="559">
        <f t="shared" si="180"/>
        <v>15</v>
      </c>
      <c r="K115" s="454">
        <f t="shared" si="181"/>
        <v>15.75</v>
      </c>
      <c r="L115" s="454">
        <f t="shared" si="182"/>
        <v>30.75</v>
      </c>
      <c r="M115" s="454"/>
      <c r="N115" s="223">
        <f t="shared" si="183"/>
        <v>0.51219512195121952</v>
      </c>
      <c r="O115" s="178">
        <f t="shared" si="184"/>
        <v>1.2964939024390245</v>
      </c>
      <c r="P115" s="178">
        <f t="shared" si="185"/>
        <v>2.592987804878049</v>
      </c>
      <c r="Q115" s="223">
        <f t="shared" si="186"/>
        <v>0.25929878048780491</v>
      </c>
      <c r="R115" s="223">
        <f t="shared" si="187"/>
        <v>0.25929878048780491</v>
      </c>
      <c r="S115" s="223">
        <f t="shared" si="188"/>
        <v>5</v>
      </c>
      <c r="T115" s="223">
        <f t="shared" si="189"/>
        <v>7.2310405643738973E-2</v>
      </c>
      <c r="U115" s="223">
        <f t="shared" si="190"/>
        <v>0.21211052322163432</v>
      </c>
      <c r="V115" s="223">
        <f t="shared" si="191"/>
        <v>0.20201002211584221</v>
      </c>
      <c r="W115" s="203">
        <f t="shared" si="192"/>
        <v>350</v>
      </c>
      <c r="X115" s="454">
        <f t="shared" si="193"/>
        <v>350</v>
      </c>
      <c r="Z115" s="223">
        <f t="shared" si="194"/>
        <v>0.4988913525498892</v>
      </c>
      <c r="AA115" s="179">
        <f t="shared" si="195"/>
        <v>1.3937282229965158</v>
      </c>
      <c r="AB115" s="179">
        <f t="shared" si="196"/>
        <v>0.18252122654264241</v>
      </c>
      <c r="AC115" s="179"/>
      <c r="AD115" s="179">
        <f t="shared" si="197"/>
        <v>0.419047619047619</v>
      </c>
      <c r="AE115" s="563">
        <f t="shared" si="198"/>
        <v>265.15151515151518</v>
      </c>
      <c r="AF115" s="546">
        <f t="shared" si="199"/>
        <v>3.2999999999999995E-2</v>
      </c>
      <c r="AH115" s="179">
        <f t="shared" si="200"/>
        <v>0.18018749253911179</v>
      </c>
      <c r="AI115" s="179">
        <f t="shared" si="201"/>
        <v>0.18018749253911179</v>
      </c>
      <c r="AJ115" s="179">
        <f t="shared" si="202"/>
        <v>1.1515151515151516</v>
      </c>
      <c r="AL115" s="563">
        <f t="shared" si="203"/>
        <v>25</v>
      </c>
      <c r="AM115" s="472">
        <f t="shared" si="204"/>
        <v>265.15151515151518</v>
      </c>
      <c r="AO115" s="472">
        <f t="shared" si="205"/>
        <v>25</v>
      </c>
      <c r="AP115" s="472">
        <f t="shared" si="206"/>
        <v>265.15151515151518</v>
      </c>
      <c r="AR115" s="6">
        <f t="shared" si="155"/>
        <v>3.7714285714285709</v>
      </c>
      <c r="AS115" s="6">
        <f t="shared" ref="AS115:AS178" si="242">L*AI115/J115*1000000</f>
        <v>0.52854997811472793</v>
      </c>
      <c r="AT115" s="6">
        <f t="shared" ref="AT115:AT178" si="243">AR115-AS115</f>
        <v>3.2428785933138431</v>
      </c>
      <c r="AU115" s="179">
        <f t="shared" ref="AU115:AU178" si="244">AS115/AR115</f>
        <v>0.14014582753042029</v>
      </c>
      <c r="AW115" s="6">
        <f t="shared" si="210"/>
        <v>23.491111111111117</v>
      </c>
      <c r="AX115" s="472">
        <f t="shared" si="211"/>
        <v>0.13747635933806149</v>
      </c>
      <c r="AY115" s="6">
        <f t="shared" si="212"/>
        <v>23.491111111111117</v>
      </c>
      <c r="AZ115" s="472">
        <f t="shared" si="213"/>
        <v>0.20847222222222228</v>
      </c>
      <c r="BA115" s="6">
        <f t="shared" si="214"/>
        <v>2.5022211368162368E-2</v>
      </c>
      <c r="BB115" s="6">
        <f t="shared" si="215"/>
        <v>6.0979233209515611</v>
      </c>
      <c r="BC115" s="6"/>
      <c r="BD115" s="179">
        <f t="shared" si="216"/>
        <v>3.894521453500685E-2</v>
      </c>
      <c r="BE115" s="179">
        <f t="shared" si="217"/>
        <v>0.28939942948457587</v>
      </c>
      <c r="BF115" s="179">
        <f t="shared" si="218"/>
        <v>0.28939942948457587</v>
      </c>
      <c r="BG115" s="179"/>
      <c r="BH115" s="546">
        <f t="shared" si="219"/>
        <v>5.3085540731219797E-4</v>
      </c>
      <c r="BI115" s="546">
        <f t="shared" si="220"/>
        <v>1.101856754802381E-2</v>
      </c>
      <c r="BJ115" s="546">
        <f t="shared" si="221"/>
        <v>3.3143939393939395E-3</v>
      </c>
      <c r="BK115" s="546">
        <f t="shared" si="222"/>
        <v>1.253586647727273E-2</v>
      </c>
      <c r="BL115">
        <f t="shared" si="223"/>
        <v>4.3499999999999997E-3</v>
      </c>
      <c r="BN115" s="472">
        <f t="shared" si="224"/>
        <v>31.749683372002679</v>
      </c>
      <c r="BO115" s="179">
        <f t="shared" si="225"/>
        <v>7.4999999999999997E-3</v>
      </c>
      <c r="BP115" s="179">
        <f t="shared" si="226"/>
        <v>7.4999999999999997E-3</v>
      </c>
      <c r="BQ115" s="546"/>
      <c r="BS115" s="472">
        <f t="shared" si="227"/>
        <v>15</v>
      </c>
      <c r="BT115" s="546">
        <f t="shared" si="228"/>
        <v>3.0334594703554179E-4</v>
      </c>
      <c r="BU115" s="546">
        <f t="shared" si="229"/>
        <v>3.3500811914399199E-3</v>
      </c>
      <c r="BV115" s="546">
        <f t="shared" si="230"/>
        <v>7.5376826807398191E-3</v>
      </c>
      <c r="BW115" s="546">
        <f t="shared" si="231"/>
        <v>7.8889080036216748E-4</v>
      </c>
      <c r="BX115" s="546"/>
      <c r="BY115" s="656">
        <f t="shared" si="232"/>
        <v>4.3044077134986227E-3</v>
      </c>
      <c r="BZ115" s="472">
        <f t="shared" si="233"/>
        <v>16.284408333076069</v>
      </c>
      <c r="CA115" s="179">
        <f t="shared" si="234"/>
        <v>6.3034091705078746E-2</v>
      </c>
      <c r="CB115" s="6">
        <f t="shared" si="235"/>
        <v>0.25</v>
      </c>
      <c r="CC115" s="179">
        <f t="shared" si="236"/>
        <v>0.79863505804835622</v>
      </c>
      <c r="CD115" s="6">
        <f t="shared" si="237"/>
        <v>79.863505804835626</v>
      </c>
      <c r="CE115">
        <f t="shared" si="238"/>
        <v>5</v>
      </c>
      <c r="CG115" s="581">
        <f t="shared" si="239"/>
        <v>-50</v>
      </c>
      <c r="CH115">
        <f t="shared" si="240"/>
        <v>-50</v>
      </c>
    </row>
    <row r="116" spans="5:86" x14ac:dyDescent="0.2">
      <c r="E116" s="176">
        <v>6</v>
      </c>
      <c r="F116" s="223">
        <f t="shared" si="241"/>
        <v>0.03</v>
      </c>
      <c r="G116" s="223">
        <f t="shared" si="177"/>
        <v>0.03</v>
      </c>
      <c r="H116" s="223">
        <f t="shared" si="178"/>
        <v>0.15</v>
      </c>
      <c r="I116" s="223">
        <f t="shared" si="179"/>
        <v>0.15</v>
      </c>
      <c r="J116" s="559">
        <f t="shared" si="180"/>
        <v>15</v>
      </c>
      <c r="K116" s="454">
        <f t="shared" si="181"/>
        <v>15.75</v>
      </c>
      <c r="L116" s="454">
        <f t="shared" si="182"/>
        <v>30.75</v>
      </c>
      <c r="M116" s="454"/>
      <c r="N116" s="223">
        <f t="shared" si="183"/>
        <v>0.51219512195121952</v>
      </c>
      <c r="O116" s="178">
        <f t="shared" si="184"/>
        <v>1.2964939024390245</v>
      </c>
      <c r="P116" s="178">
        <f t="shared" si="185"/>
        <v>2.592987804878049</v>
      </c>
      <c r="Q116" s="223">
        <f t="shared" si="186"/>
        <v>0.25929878048780491</v>
      </c>
      <c r="R116" s="223">
        <f t="shared" si="187"/>
        <v>0.25929878048780491</v>
      </c>
      <c r="S116" s="223">
        <f t="shared" si="188"/>
        <v>5</v>
      </c>
      <c r="T116" s="223">
        <f t="shared" si="189"/>
        <v>8.6772486772486765E-2</v>
      </c>
      <c r="U116" s="223">
        <f t="shared" si="190"/>
        <v>0.25453262786596115</v>
      </c>
      <c r="V116" s="223">
        <f t="shared" si="191"/>
        <v>0.24241202653901064</v>
      </c>
      <c r="W116" s="203">
        <f t="shared" si="192"/>
        <v>350</v>
      </c>
      <c r="X116" s="454">
        <f t="shared" si="193"/>
        <v>350</v>
      </c>
      <c r="Z116" s="223">
        <f t="shared" si="194"/>
        <v>0.4988913525498892</v>
      </c>
      <c r="AA116" s="179">
        <f t="shared" si="195"/>
        <v>1.3937282229965158</v>
      </c>
      <c r="AB116" s="179">
        <f t="shared" si="196"/>
        <v>0.18252122654264241</v>
      </c>
      <c r="AC116" s="179"/>
      <c r="AD116" s="179">
        <f t="shared" si="197"/>
        <v>0.419047619047619</v>
      </c>
      <c r="AE116" s="563">
        <f t="shared" si="198"/>
        <v>318.18181818181824</v>
      </c>
      <c r="AF116" s="546">
        <f t="shared" si="199"/>
        <v>3.2999999999999995E-2</v>
      </c>
      <c r="AH116" s="179">
        <f t="shared" si="200"/>
        <v>0.19738550848793068</v>
      </c>
      <c r="AI116" s="179">
        <f t="shared" si="201"/>
        <v>0.19738550848793068</v>
      </c>
      <c r="AJ116" s="179">
        <f t="shared" si="202"/>
        <v>1.1818181818181819</v>
      </c>
      <c r="AL116" s="563">
        <f t="shared" si="203"/>
        <v>30</v>
      </c>
      <c r="AM116" s="472">
        <f t="shared" si="204"/>
        <v>318.18181818181824</v>
      </c>
      <c r="AO116" s="472">
        <f t="shared" si="205"/>
        <v>30</v>
      </c>
      <c r="AP116" s="472">
        <f t="shared" si="206"/>
        <v>318.18181818181824</v>
      </c>
      <c r="AR116" s="6">
        <f t="shared" si="155"/>
        <v>3.1428571428571419</v>
      </c>
      <c r="AS116" s="6">
        <f t="shared" si="242"/>
        <v>0.57899749156459657</v>
      </c>
      <c r="AT116" s="6">
        <f t="shared" si="243"/>
        <v>2.5638596512925451</v>
      </c>
      <c r="AU116" s="179">
        <f t="shared" si="244"/>
        <v>0.18422647458873534</v>
      </c>
      <c r="AW116" s="6">
        <f t="shared" si="210"/>
        <v>23.491111111111117</v>
      </c>
      <c r="AX116" s="472">
        <f t="shared" si="211"/>
        <v>0.17996595744680849</v>
      </c>
      <c r="AY116" s="6">
        <f t="shared" si="212"/>
        <v>23.491111111111117</v>
      </c>
      <c r="AZ116" s="472">
        <f t="shared" si="213"/>
        <v>0.28220000000000001</v>
      </c>
      <c r="BA116" s="6">
        <f t="shared" si="214"/>
        <v>2.373944121567171E-2</v>
      </c>
      <c r="BB116" s="6">
        <f t="shared" si="215"/>
        <v>5.8085770028723225</v>
      </c>
      <c r="BC116" s="6"/>
      <c r="BD116" s="179">
        <f t="shared" si="216"/>
        <v>4.8913716052202814E-2</v>
      </c>
      <c r="BE116" s="179">
        <f t="shared" si="217"/>
        <v>0.30878819977582883</v>
      </c>
      <c r="BF116" s="179">
        <f t="shared" si="218"/>
        <v>0.30878819977582883</v>
      </c>
      <c r="BG116" s="179"/>
      <c r="BH116" s="546">
        <f t="shared" si="219"/>
        <v>8.3739306631243305E-4</v>
      </c>
      <c r="BI116" s="546">
        <f t="shared" si="220"/>
        <v>1.448428319387287E-2</v>
      </c>
      <c r="BJ116" s="546">
        <f t="shared" si="221"/>
        <v>3.9772727272727277E-3</v>
      </c>
      <c r="BK116" s="546">
        <f t="shared" si="222"/>
        <v>1.5043039772727277E-2</v>
      </c>
      <c r="BL116">
        <f t="shared" si="223"/>
        <v>4.3499999999999997E-3</v>
      </c>
      <c r="BN116" s="472">
        <f t="shared" si="224"/>
        <v>38.691988760185311</v>
      </c>
      <c r="BO116" s="179">
        <f t="shared" si="225"/>
        <v>8.9999999999999993E-3</v>
      </c>
      <c r="BP116" s="179">
        <f t="shared" si="226"/>
        <v>8.9999999999999993E-3</v>
      </c>
      <c r="BQ116" s="546"/>
      <c r="BS116" s="472">
        <f t="shared" si="227"/>
        <v>18</v>
      </c>
      <c r="BT116" s="546">
        <f t="shared" si="228"/>
        <v>4.7851032360710463E-4</v>
      </c>
      <c r="BU116" s="546">
        <f t="shared" si="229"/>
        <v>3.8140060928318871E-3</v>
      </c>
      <c r="BV116" s="546">
        <f t="shared" si="230"/>
        <v>8.581513708871745E-3</v>
      </c>
      <c r="BW116" s="546">
        <f t="shared" si="231"/>
        <v>1.5629553242222541E-3</v>
      </c>
      <c r="BX116" s="546"/>
      <c r="BY116" s="656">
        <f t="shared" si="232"/>
        <v>6.1983471074380184E-3</v>
      </c>
      <c r="BZ116" s="472">
        <f t="shared" si="233"/>
        <v>20.635332556971012</v>
      </c>
      <c r="CA116" s="179">
        <f t="shared" si="234"/>
        <v>7.732732131715632E-2</v>
      </c>
      <c r="CB116" s="6">
        <f t="shared" si="235"/>
        <v>0.3</v>
      </c>
      <c r="CC116" s="179">
        <f t="shared" si="236"/>
        <v>0.7950656712394274</v>
      </c>
      <c r="CD116" s="6">
        <f t="shared" si="237"/>
        <v>79.506567123942745</v>
      </c>
      <c r="CE116">
        <f t="shared" si="238"/>
        <v>6</v>
      </c>
      <c r="CG116" s="581">
        <f t="shared" si="239"/>
        <v>-50</v>
      </c>
      <c r="CH116">
        <f t="shared" si="240"/>
        <v>-50</v>
      </c>
    </row>
    <row r="117" spans="5:86" x14ac:dyDescent="0.2">
      <c r="E117" s="176">
        <v>7</v>
      </c>
      <c r="F117" s="223">
        <f t="shared" si="241"/>
        <v>3.5000000000000003E-2</v>
      </c>
      <c r="G117" s="223">
        <f t="shared" si="177"/>
        <v>3.5000000000000003E-2</v>
      </c>
      <c r="H117" s="223">
        <f t="shared" si="178"/>
        <v>0.17500000000000002</v>
      </c>
      <c r="I117" s="223">
        <f t="shared" si="179"/>
        <v>0.17500000000000002</v>
      </c>
      <c r="J117" s="559">
        <f t="shared" si="180"/>
        <v>15</v>
      </c>
      <c r="K117" s="454">
        <f t="shared" si="181"/>
        <v>15.75</v>
      </c>
      <c r="L117" s="454">
        <f t="shared" si="182"/>
        <v>30.75</v>
      </c>
      <c r="M117" s="454"/>
      <c r="N117" s="223">
        <f t="shared" si="183"/>
        <v>0.51219512195121952</v>
      </c>
      <c r="O117" s="178">
        <f t="shared" si="184"/>
        <v>1.2964939024390245</v>
      </c>
      <c r="P117" s="178">
        <f t="shared" si="185"/>
        <v>2.592987804878049</v>
      </c>
      <c r="Q117" s="223">
        <f t="shared" si="186"/>
        <v>0.25929878048780491</v>
      </c>
      <c r="R117" s="223">
        <f t="shared" si="187"/>
        <v>0.25929878048780491</v>
      </c>
      <c r="S117" s="223">
        <f t="shared" si="188"/>
        <v>5</v>
      </c>
      <c r="T117" s="223">
        <f t="shared" si="189"/>
        <v>0.10123456790123457</v>
      </c>
      <c r="U117" s="223">
        <f t="shared" si="190"/>
        <v>0.29695473251028803</v>
      </c>
      <c r="V117" s="223">
        <f t="shared" si="191"/>
        <v>0.28281403096217911</v>
      </c>
      <c r="W117" s="203">
        <f t="shared" si="192"/>
        <v>350</v>
      </c>
      <c r="X117" s="454">
        <f t="shared" si="193"/>
        <v>350</v>
      </c>
      <c r="Z117" s="223">
        <f t="shared" si="194"/>
        <v>0.4988913525498892</v>
      </c>
      <c r="AA117" s="179">
        <f t="shared" si="195"/>
        <v>1.3937282229965158</v>
      </c>
      <c r="AB117" s="179">
        <f t="shared" si="196"/>
        <v>0.18252122654264241</v>
      </c>
      <c r="AC117" s="179"/>
      <c r="AD117" s="179">
        <f t="shared" si="197"/>
        <v>0.419047619047619</v>
      </c>
      <c r="AE117" s="563">
        <f t="shared" si="198"/>
        <v>371.21212121212136</v>
      </c>
      <c r="AF117" s="546">
        <f t="shared" si="199"/>
        <v>3.2999999999999995E-2</v>
      </c>
      <c r="AH117" s="179">
        <f t="shared" si="200"/>
        <v>0.21320071635561044</v>
      </c>
      <c r="AI117" s="179">
        <f t="shared" si="201"/>
        <v>0.21320071635561044</v>
      </c>
      <c r="AJ117" s="179">
        <f t="shared" si="202"/>
        <v>1.2468153454486002</v>
      </c>
      <c r="AL117" s="563">
        <f t="shared" si="203"/>
        <v>35</v>
      </c>
      <c r="AM117" s="472">
        <f t="shared" si="204"/>
        <v>350</v>
      </c>
      <c r="AO117" s="472">
        <f t="shared" si="205"/>
        <v>35</v>
      </c>
      <c r="AP117" s="472">
        <f t="shared" si="206"/>
        <v>350</v>
      </c>
      <c r="AR117" s="6">
        <f t="shared" si="155"/>
        <v>2.8571428571428572</v>
      </c>
      <c r="AS117" s="6">
        <f t="shared" si="242"/>
        <v>0.62538876797645726</v>
      </c>
      <c r="AT117" s="6">
        <f t="shared" si="243"/>
        <v>2.2317540891664001</v>
      </c>
      <c r="AU117" s="179">
        <f t="shared" si="244"/>
        <v>0.21888606879176004</v>
      </c>
      <c r="AW117" s="6">
        <f t="shared" si="210"/>
        <v>23.491111111111117</v>
      </c>
      <c r="AX117" s="472">
        <f t="shared" si="211"/>
        <v>0.2274536643026005</v>
      </c>
      <c r="AY117" s="6">
        <f t="shared" si="212"/>
        <v>23.491111111111117</v>
      </c>
      <c r="AZ117" s="472">
        <f t="shared" si="213"/>
        <v>0.36660555555555563</v>
      </c>
      <c r="BA117" s="6">
        <f t="shared" si="214"/>
        <v>2.4108454666920985E-2</v>
      </c>
      <c r="BB117" s="6">
        <f t="shared" si="215"/>
        <v>5.9156587496906674</v>
      </c>
      <c r="BC117" s="6"/>
      <c r="BD117" s="179">
        <f t="shared" si="216"/>
        <v>5.7588675863870495E-2</v>
      </c>
      <c r="BE117" s="179">
        <f t="shared" si="217"/>
        <v>0.32636717983561231</v>
      </c>
      <c r="BF117" s="179">
        <f t="shared" si="218"/>
        <v>0.32636717983561231</v>
      </c>
      <c r="BG117" s="179"/>
      <c r="BH117" s="546">
        <f t="shared" si="219"/>
        <v>1.1607594557138789E-3</v>
      </c>
      <c r="BI117" s="546">
        <f t="shared" si="220"/>
        <v>1.7209295323329429E-2</v>
      </c>
      <c r="BJ117" s="546">
        <f t="shared" si="221"/>
        <v>4.3749999999999995E-3</v>
      </c>
      <c r="BK117" s="546">
        <f t="shared" si="222"/>
        <v>1.6547343750000002E-2</v>
      </c>
      <c r="BL117">
        <f t="shared" si="223"/>
        <v>4.3499999999999997E-3</v>
      </c>
      <c r="BN117" s="472">
        <f t="shared" si="224"/>
        <v>43.642398529043305</v>
      </c>
      <c r="BO117" s="179">
        <f t="shared" si="225"/>
        <v>1.0500000000000001E-2</v>
      </c>
      <c r="BP117" s="179">
        <f t="shared" si="226"/>
        <v>1.0500000000000001E-2</v>
      </c>
      <c r="BQ117" s="546"/>
      <c r="BS117" s="472">
        <f t="shared" si="227"/>
        <v>21</v>
      </c>
      <c r="BT117" s="546">
        <f t="shared" si="228"/>
        <v>6.6329111755078799E-4</v>
      </c>
      <c r="BU117" s="546">
        <f t="shared" si="229"/>
        <v>4.2606214429540363E-3</v>
      </c>
      <c r="BV117" s="546">
        <f t="shared" si="230"/>
        <v>9.5863982466465811E-3</v>
      </c>
      <c r="BW117" s="546">
        <f t="shared" si="231"/>
        <v>2.4049816340877702E-3</v>
      </c>
      <c r="BX117" s="546"/>
      <c r="BY117" s="656">
        <f t="shared" si="232"/>
        <v>7.9545454545454572E-3</v>
      </c>
      <c r="BZ117" s="472">
        <f t="shared" si="233"/>
        <v>24.869837895784634</v>
      </c>
      <c r="CA117" s="179">
        <f t="shared" si="234"/>
        <v>8.9512236424827946E-2</v>
      </c>
      <c r="CB117" s="6">
        <f t="shared" si="235"/>
        <v>0.35000000000000003</v>
      </c>
      <c r="CC117" s="179">
        <f t="shared" si="236"/>
        <v>0.79633732805039281</v>
      </c>
      <c r="CD117" s="6">
        <f t="shared" si="237"/>
        <v>79.633732805039287</v>
      </c>
      <c r="CE117">
        <f t="shared" si="238"/>
        <v>7.0000000000000009</v>
      </c>
      <c r="CG117" s="581">
        <f t="shared" si="239"/>
        <v>-50</v>
      </c>
      <c r="CH117">
        <f t="shared" si="240"/>
        <v>-50</v>
      </c>
    </row>
    <row r="118" spans="5:86" x14ac:dyDescent="0.2">
      <c r="E118" s="176">
        <v>8</v>
      </c>
      <c r="F118" s="223">
        <f t="shared" si="241"/>
        <v>0.04</v>
      </c>
      <c r="G118" s="223">
        <f t="shared" si="177"/>
        <v>0.04</v>
      </c>
      <c r="H118" s="223">
        <f t="shared" si="178"/>
        <v>0.2</v>
      </c>
      <c r="I118" s="223">
        <f t="shared" si="179"/>
        <v>0.2</v>
      </c>
      <c r="J118" s="559">
        <f t="shared" si="180"/>
        <v>15</v>
      </c>
      <c r="K118" s="454">
        <f t="shared" si="181"/>
        <v>15.75</v>
      </c>
      <c r="L118" s="454">
        <f t="shared" si="182"/>
        <v>30.75</v>
      </c>
      <c r="M118" s="454"/>
      <c r="N118" s="223">
        <f t="shared" si="183"/>
        <v>0.51219512195121952</v>
      </c>
      <c r="O118" s="178">
        <f t="shared" si="184"/>
        <v>1.2964939024390245</v>
      </c>
      <c r="P118" s="178">
        <f t="shared" si="185"/>
        <v>2.592987804878049</v>
      </c>
      <c r="Q118" s="223">
        <f t="shared" si="186"/>
        <v>0.25929878048780491</v>
      </c>
      <c r="R118" s="223">
        <f t="shared" si="187"/>
        <v>0.25929878048780491</v>
      </c>
      <c r="S118" s="223">
        <f t="shared" si="188"/>
        <v>5</v>
      </c>
      <c r="T118" s="223">
        <f t="shared" si="189"/>
        <v>0.11569664902998236</v>
      </c>
      <c r="U118" s="223">
        <f t="shared" si="190"/>
        <v>0.33937683715461492</v>
      </c>
      <c r="V118" s="223">
        <f t="shared" si="191"/>
        <v>0.32321603538534754</v>
      </c>
      <c r="W118" s="203">
        <f t="shared" si="192"/>
        <v>350</v>
      </c>
      <c r="X118" s="454">
        <f t="shared" si="193"/>
        <v>350</v>
      </c>
      <c r="Z118" s="223">
        <f t="shared" si="194"/>
        <v>0.4988913525498892</v>
      </c>
      <c r="AA118" s="179">
        <f t="shared" si="195"/>
        <v>1.3937282229965158</v>
      </c>
      <c r="AB118" s="179">
        <f t="shared" si="196"/>
        <v>0.18252122654264241</v>
      </c>
      <c r="AC118" s="179"/>
      <c r="AD118" s="179">
        <f t="shared" si="197"/>
        <v>0.419047619047619</v>
      </c>
      <c r="AE118" s="563">
        <f t="shared" si="198"/>
        <v>424.24242424242431</v>
      </c>
      <c r="AF118" s="546">
        <f t="shared" si="199"/>
        <v>3.2999999999999995E-2</v>
      </c>
      <c r="AH118" s="179">
        <f t="shared" si="200"/>
        <v>0.22792115291927589</v>
      </c>
      <c r="AI118" s="179">
        <f t="shared" si="201"/>
        <v>0.22792115291927589</v>
      </c>
      <c r="AJ118" s="179">
        <f t="shared" si="202"/>
        <v>1.2577193725327969</v>
      </c>
      <c r="AL118" s="563">
        <f t="shared" si="203"/>
        <v>40</v>
      </c>
      <c r="AM118" s="472">
        <f t="shared" si="204"/>
        <v>350</v>
      </c>
      <c r="AO118" s="472">
        <f t="shared" si="205"/>
        <v>40</v>
      </c>
      <c r="AP118" s="472">
        <f t="shared" si="206"/>
        <v>350</v>
      </c>
      <c r="AR118" s="6">
        <f t="shared" si="155"/>
        <v>2.8571428571428572</v>
      </c>
      <c r="AS118" s="6">
        <f t="shared" si="242"/>
        <v>0.66856871522987593</v>
      </c>
      <c r="AT118" s="6">
        <f t="shared" si="243"/>
        <v>2.1885741419129814</v>
      </c>
      <c r="AU118" s="179">
        <f t="shared" si="244"/>
        <v>0.23399905033045656</v>
      </c>
      <c r="AW118" s="6">
        <f t="shared" si="210"/>
        <v>23.491111111111117</v>
      </c>
      <c r="AX118" s="472">
        <f t="shared" si="211"/>
        <v>0.27993947990543733</v>
      </c>
      <c r="AY118" s="6">
        <f t="shared" si="212"/>
        <v>23.491111111111117</v>
      </c>
      <c r="AZ118" s="472">
        <f t="shared" si="213"/>
        <v>0.46168888888888887</v>
      </c>
      <c r="BA118" s="6">
        <f t="shared" si="214"/>
        <v>2.7019433850777548E-2</v>
      </c>
      <c r="BB118" s="6">
        <f t="shared" si="215"/>
        <v>6.6328122723347596</v>
      </c>
      <c r="BC118" s="6"/>
      <c r="BD118" s="179">
        <f t="shared" si="216"/>
        <v>6.3654784639128228E-2</v>
      </c>
      <c r="BE118" s="179">
        <f t="shared" si="217"/>
        <v>0.3455094374645527</v>
      </c>
      <c r="BF118" s="179">
        <f t="shared" si="218"/>
        <v>0.3455094374645527</v>
      </c>
      <c r="BG118" s="179"/>
      <c r="BH118" s="546">
        <f t="shared" si="219"/>
        <v>1.418176062608828E-3</v>
      </c>
      <c r="BI118" s="546">
        <f t="shared" si="220"/>
        <v>1.8397510562202801E-2</v>
      </c>
      <c r="BJ118" s="546">
        <f t="shared" si="221"/>
        <v>4.3749999999999995E-3</v>
      </c>
      <c r="BK118" s="546">
        <f t="shared" si="222"/>
        <v>1.6547343750000002E-2</v>
      </c>
      <c r="BL118">
        <f t="shared" si="223"/>
        <v>4.3499999999999997E-3</v>
      </c>
      <c r="BN118" s="472">
        <f t="shared" si="224"/>
        <v>45.088030374811638</v>
      </c>
      <c r="BO118" s="179">
        <f t="shared" si="225"/>
        <v>1.2E-2</v>
      </c>
      <c r="BP118" s="179">
        <f t="shared" si="226"/>
        <v>1.2E-2</v>
      </c>
      <c r="BQ118" s="546"/>
      <c r="BS118" s="472">
        <f t="shared" si="227"/>
        <v>24</v>
      </c>
      <c r="BT118" s="546">
        <f t="shared" si="228"/>
        <v>8.10386321490759E-4</v>
      </c>
      <c r="BU118" s="546">
        <f t="shared" si="229"/>
        <v>4.7750708550828667E-3</v>
      </c>
      <c r="BV118" s="546">
        <f t="shared" si="230"/>
        <v>1.074390942393645E-2</v>
      </c>
      <c r="BW118" s="546">
        <f t="shared" si="231"/>
        <v>2.8418535784763979E-3</v>
      </c>
      <c r="BX118" s="546"/>
      <c r="BY118" s="656">
        <f t="shared" si="232"/>
        <v>9.0909090909090905E-3</v>
      </c>
      <c r="BZ118" s="472">
        <f t="shared" si="233"/>
        <v>28.262129269895564</v>
      </c>
      <c r="CA118" s="179">
        <f t="shared" si="234"/>
        <v>9.735015964470721E-2</v>
      </c>
      <c r="CB118" s="6">
        <f t="shared" si="235"/>
        <v>0.4</v>
      </c>
      <c r="CC118" s="179">
        <f t="shared" si="236"/>
        <v>0.80426233357550059</v>
      </c>
      <c r="CD118" s="6">
        <f t="shared" si="237"/>
        <v>80.426233357550061</v>
      </c>
      <c r="CE118">
        <f t="shared" si="238"/>
        <v>8</v>
      </c>
      <c r="CG118" s="581">
        <f t="shared" si="239"/>
        <v>-50</v>
      </c>
      <c r="CH118">
        <f t="shared" si="240"/>
        <v>-50</v>
      </c>
    </row>
    <row r="119" spans="5:86" x14ac:dyDescent="0.2">
      <c r="E119" s="176">
        <v>9</v>
      </c>
      <c r="F119" s="223">
        <f t="shared" si="241"/>
        <v>4.4999999999999998E-2</v>
      </c>
      <c r="G119" s="223">
        <f t="shared" si="177"/>
        <v>4.4999999999999998E-2</v>
      </c>
      <c r="H119" s="223">
        <f t="shared" si="178"/>
        <v>0.22499999999999998</v>
      </c>
      <c r="I119" s="223">
        <f t="shared" si="179"/>
        <v>0.22499999999999998</v>
      </c>
      <c r="J119" s="559">
        <f t="shared" si="180"/>
        <v>15</v>
      </c>
      <c r="K119" s="454">
        <f t="shared" si="181"/>
        <v>15.75</v>
      </c>
      <c r="L119" s="454">
        <f t="shared" si="182"/>
        <v>30.75</v>
      </c>
      <c r="M119" s="454"/>
      <c r="N119" s="223">
        <f t="shared" si="183"/>
        <v>0.51219512195121952</v>
      </c>
      <c r="O119" s="178">
        <f t="shared" si="184"/>
        <v>1.2964939024390245</v>
      </c>
      <c r="P119" s="178">
        <f t="shared" si="185"/>
        <v>2.592987804878049</v>
      </c>
      <c r="Q119" s="223">
        <f t="shared" si="186"/>
        <v>0.25929878048780491</v>
      </c>
      <c r="R119" s="223">
        <f t="shared" si="187"/>
        <v>0.25929878048780491</v>
      </c>
      <c r="S119" s="223">
        <f t="shared" si="188"/>
        <v>5</v>
      </c>
      <c r="T119" s="223">
        <f t="shared" si="189"/>
        <v>0.13015873015873014</v>
      </c>
      <c r="U119" s="223">
        <f t="shared" si="190"/>
        <v>0.38179894179894169</v>
      </c>
      <c r="V119" s="223">
        <f t="shared" si="191"/>
        <v>0.36361803980851592</v>
      </c>
      <c r="W119" s="203">
        <f t="shared" si="192"/>
        <v>350</v>
      </c>
      <c r="X119" s="454">
        <f t="shared" si="193"/>
        <v>350</v>
      </c>
      <c r="Z119" s="223">
        <f t="shared" si="194"/>
        <v>0.4988913525498892</v>
      </c>
      <c r="AA119" s="179">
        <f t="shared" si="195"/>
        <v>1.3937282229965158</v>
      </c>
      <c r="AB119" s="179">
        <f t="shared" si="196"/>
        <v>0.18252122654264241</v>
      </c>
      <c r="AC119" s="179"/>
      <c r="AD119" s="179">
        <f t="shared" si="197"/>
        <v>0.419047619047619</v>
      </c>
      <c r="AE119" s="563">
        <f t="shared" si="198"/>
        <v>477.27272727272737</v>
      </c>
      <c r="AF119" s="546">
        <f t="shared" si="199"/>
        <v>3.2999999999999995E-2</v>
      </c>
      <c r="AH119" s="179">
        <f t="shared" si="200"/>
        <v>0.24174688920761409</v>
      </c>
      <c r="AI119" s="179">
        <f t="shared" si="201"/>
        <v>0.24174688920761409</v>
      </c>
      <c r="AJ119" s="179">
        <f t="shared" si="202"/>
        <v>1.2679606586723067</v>
      </c>
      <c r="AL119" s="563">
        <f t="shared" si="203"/>
        <v>45</v>
      </c>
      <c r="AM119" s="472">
        <f t="shared" si="204"/>
        <v>350</v>
      </c>
      <c r="AO119" s="472">
        <f t="shared" si="205"/>
        <v>45</v>
      </c>
      <c r="AP119" s="472">
        <f t="shared" si="206"/>
        <v>350</v>
      </c>
      <c r="AR119" s="6">
        <f t="shared" si="155"/>
        <v>2.8571428571428572</v>
      </c>
      <c r="AS119" s="6">
        <f t="shared" si="242"/>
        <v>0.70912420834233469</v>
      </c>
      <c r="AT119" s="6">
        <f t="shared" si="243"/>
        <v>2.1480186488005226</v>
      </c>
      <c r="AU119" s="179">
        <f t="shared" si="244"/>
        <v>0.24819347291981714</v>
      </c>
      <c r="AW119" s="6">
        <f t="shared" si="210"/>
        <v>23.491111111111117</v>
      </c>
      <c r="AX119" s="472">
        <f t="shared" si="211"/>
        <v>0.33742340425531914</v>
      </c>
      <c r="AY119" s="6">
        <f t="shared" si="212"/>
        <v>23.491111111111117</v>
      </c>
      <c r="AZ119" s="472">
        <f t="shared" si="213"/>
        <v>0.56745000000000001</v>
      </c>
      <c r="BA119" s="6">
        <f t="shared" si="214"/>
        <v>2.9833592344451695E-2</v>
      </c>
      <c r="BB119" s="6">
        <f t="shared" si="215"/>
        <v>7.3267288293350727</v>
      </c>
      <c r="BC119" s="6"/>
      <c r="BD119" s="179">
        <f t="shared" si="216"/>
        <v>6.9533716887221569E-2</v>
      </c>
      <c r="BE119" s="179">
        <f t="shared" si="217"/>
        <v>0.36305679344601827</v>
      </c>
      <c r="BF119" s="179">
        <f t="shared" si="218"/>
        <v>0.36305679344601827</v>
      </c>
      <c r="BG119" s="179"/>
      <c r="BH119" s="546">
        <f t="shared" si="219"/>
        <v>1.6922282244532987E-3</v>
      </c>
      <c r="BI119" s="546">
        <f t="shared" si="220"/>
        <v>1.9513506713227095E-2</v>
      </c>
      <c r="BJ119" s="546">
        <f t="shared" si="221"/>
        <v>4.3749999999999995E-3</v>
      </c>
      <c r="BK119" s="546">
        <f t="shared" si="222"/>
        <v>1.6547343750000002E-2</v>
      </c>
      <c r="BL119">
        <f t="shared" si="223"/>
        <v>4.3499999999999997E-3</v>
      </c>
      <c r="BN119" s="472">
        <f t="shared" si="224"/>
        <v>46.478078687680394</v>
      </c>
      <c r="BO119" s="179">
        <f t="shared" si="225"/>
        <v>1.35E-2</v>
      </c>
      <c r="BP119" s="179">
        <f t="shared" si="226"/>
        <v>1.35E-2</v>
      </c>
      <c r="BQ119" s="546"/>
      <c r="BS119" s="472">
        <f t="shared" si="227"/>
        <v>27</v>
      </c>
      <c r="BT119" s="546">
        <f t="shared" si="228"/>
        <v>9.6698755683045652E-4</v>
      </c>
      <c r="BU119" s="546">
        <f t="shared" si="229"/>
        <v>5.2724094106921908E-3</v>
      </c>
      <c r="BV119" s="546">
        <f t="shared" si="230"/>
        <v>1.1862921174057428E-2</v>
      </c>
      <c r="BW119" s="546">
        <f t="shared" si="231"/>
        <v>3.2926256036665607E-3</v>
      </c>
      <c r="BX119" s="546"/>
      <c r="BY119" s="656">
        <f t="shared" si="232"/>
        <v>1.0227272727272729E-2</v>
      </c>
      <c r="BZ119" s="472">
        <f t="shared" si="233"/>
        <v>31.622216472519366</v>
      </c>
      <c r="CA119" s="179">
        <f t="shared" si="234"/>
        <v>0.10510029516019977</v>
      </c>
      <c r="CB119" s="6">
        <f t="shared" si="235"/>
        <v>0.44999999999999996</v>
      </c>
      <c r="CC119" s="179">
        <f t="shared" si="236"/>
        <v>0.81066431404099992</v>
      </c>
      <c r="CD119" s="6">
        <f t="shared" si="237"/>
        <v>81.066431404099987</v>
      </c>
      <c r="CE119">
        <f t="shared" si="238"/>
        <v>9</v>
      </c>
      <c r="CG119" s="581">
        <f t="shared" si="239"/>
        <v>-50</v>
      </c>
      <c r="CH119">
        <f t="shared" si="240"/>
        <v>-50</v>
      </c>
    </row>
    <row r="120" spans="5:86" x14ac:dyDescent="0.2">
      <c r="E120" s="176">
        <v>10</v>
      </c>
      <c r="F120" s="223">
        <f t="shared" si="241"/>
        <v>0.05</v>
      </c>
      <c r="G120" s="223">
        <f t="shared" si="177"/>
        <v>0.05</v>
      </c>
      <c r="H120" s="223">
        <f t="shared" si="178"/>
        <v>0.25</v>
      </c>
      <c r="I120" s="223">
        <f t="shared" si="179"/>
        <v>0.25</v>
      </c>
      <c r="J120" s="559">
        <f t="shared" si="180"/>
        <v>15</v>
      </c>
      <c r="K120" s="454">
        <f t="shared" si="181"/>
        <v>15.75</v>
      </c>
      <c r="L120" s="454">
        <f t="shared" si="182"/>
        <v>30.75</v>
      </c>
      <c r="M120" s="454"/>
      <c r="N120" s="223">
        <f t="shared" si="183"/>
        <v>0.51219512195121952</v>
      </c>
      <c r="O120" s="178">
        <f t="shared" si="184"/>
        <v>1.2964939024390245</v>
      </c>
      <c r="P120" s="178">
        <f t="shared" si="185"/>
        <v>2.592987804878049</v>
      </c>
      <c r="Q120" s="223">
        <f t="shared" si="186"/>
        <v>0.25929878048780491</v>
      </c>
      <c r="R120" s="223">
        <f t="shared" si="187"/>
        <v>0.25929878048780491</v>
      </c>
      <c r="S120" s="223">
        <f t="shared" si="188"/>
        <v>5</v>
      </c>
      <c r="T120" s="223">
        <f t="shared" si="189"/>
        <v>0.14462081128747795</v>
      </c>
      <c r="U120" s="223">
        <f t="shared" si="190"/>
        <v>0.42422104644326863</v>
      </c>
      <c r="V120" s="223">
        <f t="shared" si="191"/>
        <v>0.40402004423168442</v>
      </c>
      <c r="W120" s="203">
        <f t="shared" si="192"/>
        <v>350</v>
      </c>
      <c r="X120" s="454">
        <f t="shared" si="193"/>
        <v>350</v>
      </c>
      <c r="Z120" s="223">
        <f t="shared" si="194"/>
        <v>0.4988913525498892</v>
      </c>
      <c r="AA120" s="179">
        <f t="shared" si="195"/>
        <v>1.3937282229965158</v>
      </c>
      <c r="AB120" s="179">
        <f t="shared" si="196"/>
        <v>0.18252122654264241</v>
      </c>
      <c r="AC120" s="179"/>
      <c r="AD120" s="179">
        <f t="shared" si="197"/>
        <v>0.419047619047619</v>
      </c>
      <c r="AE120" s="563">
        <f t="shared" si="198"/>
        <v>530.30303030303037</v>
      </c>
      <c r="AF120" s="546">
        <f t="shared" si="199"/>
        <v>3.2999999999999995E-2</v>
      </c>
      <c r="AH120" s="179">
        <f t="shared" si="200"/>
        <v>0.25482359571881275</v>
      </c>
      <c r="AI120" s="179">
        <f t="shared" si="201"/>
        <v>0.25482359571881275</v>
      </c>
      <c r="AJ120" s="179">
        <f t="shared" si="202"/>
        <v>1.2776471079398612</v>
      </c>
      <c r="AL120" s="563">
        <f t="shared" si="203"/>
        <v>50</v>
      </c>
      <c r="AM120" s="472">
        <f t="shared" si="204"/>
        <v>350</v>
      </c>
      <c r="AO120" s="472">
        <f t="shared" si="205"/>
        <v>50</v>
      </c>
      <c r="AP120" s="472">
        <f t="shared" si="206"/>
        <v>350</v>
      </c>
      <c r="AR120" s="6">
        <f t="shared" si="155"/>
        <v>2.8571428571428572</v>
      </c>
      <c r="AS120" s="6">
        <f t="shared" si="242"/>
        <v>0.74748254744185072</v>
      </c>
      <c r="AT120" s="6">
        <f t="shared" si="243"/>
        <v>2.1096603097010065</v>
      </c>
      <c r="AU120" s="179">
        <f t="shared" si="244"/>
        <v>0.26161889160464774</v>
      </c>
      <c r="AW120" s="6">
        <f t="shared" si="210"/>
        <v>23.491111111111117</v>
      </c>
      <c r="AX120" s="472">
        <f t="shared" si="211"/>
        <v>0.39990543735224593</v>
      </c>
      <c r="AY120" s="6">
        <f t="shared" si="212"/>
        <v>23.491111111111117</v>
      </c>
      <c r="AZ120" s="472">
        <f t="shared" si="213"/>
        <v>0.6838888888888891</v>
      </c>
      <c r="BA120" s="6">
        <f t="shared" si="214"/>
        <v>3.2556486260817995E-2</v>
      </c>
      <c r="BB120" s="6">
        <f t="shared" si="215"/>
        <v>7.9987418877815051</v>
      </c>
      <c r="BC120" s="6"/>
      <c r="BD120" s="179">
        <f t="shared" si="216"/>
        <v>7.5251223056699693E-2</v>
      </c>
      <c r="BE120" s="179">
        <f t="shared" si="217"/>
        <v>0.3792630692032013</v>
      </c>
      <c r="BF120" s="179">
        <f t="shared" si="218"/>
        <v>0.3792630692032013</v>
      </c>
      <c r="BG120" s="179"/>
      <c r="BH120" s="546">
        <f t="shared" si="219"/>
        <v>1.9819613000352102E-3</v>
      </c>
      <c r="BI120" s="546">
        <f t="shared" si="220"/>
        <v>2.0569042116927914E-2</v>
      </c>
      <c r="BJ120" s="546">
        <f t="shared" si="221"/>
        <v>4.3749999999999995E-3</v>
      </c>
      <c r="BK120" s="546">
        <f t="shared" si="222"/>
        <v>1.6547343750000002E-2</v>
      </c>
      <c r="BL120">
        <f t="shared" si="223"/>
        <v>4.3499999999999997E-3</v>
      </c>
      <c r="BN120" s="472">
        <f t="shared" si="224"/>
        <v>47.823347166963124</v>
      </c>
      <c r="BO120" s="179">
        <f t="shared" si="225"/>
        <v>1.4999999999999999E-2</v>
      </c>
      <c r="BP120" s="179">
        <f t="shared" si="226"/>
        <v>1.4999999999999999E-2</v>
      </c>
      <c r="BQ120" s="546"/>
      <c r="BS120" s="472">
        <f t="shared" si="227"/>
        <v>30</v>
      </c>
      <c r="BT120" s="546">
        <f t="shared" si="228"/>
        <v>1.1325493143058345E-3</v>
      </c>
      <c r="BU120" s="546">
        <f t="shared" si="229"/>
        <v>5.753619026457291E-3</v>
      </c>
      <c r="BV120" s="546">
        <f t="shared" si="230"/>
        <v>1.2945642809528904E-2</v>
      </c>
      <c r="BW120" s="546">
        <f t="shared" si="231"/>
        <v>3.7561178859833451E-3</v>
      </c>
      <c r="BX120" s="546"/>
      <c r="BY120" s="656">
        <f t="shared" si="232"/>
        <v>1.136363636363636E-2</v>
      </c>
      <c r="BZ120" s="472">
        <f t="shared" si="233"/>
        <v>34.951565399911729</v>
      </c>
      <c r="CA120" s="179">
        <f t="shared" si="234"/>
        <v>0.11277491256687486</v>
      </c>
      <c r="CB120" s="6">
        <f t="shared" si="235"/>
        <v>0.5</v>
      </c>
      <c r="CC120" s="179">
        <f t="shared" si="236"/>
        <v>0.81596029756755539</v>
      </c>
      <c r="CD120" s="6">
        <f t="shared" si="237"/>
        <v>81.596029756755541</v>
      </c>
      <c r="CE120">
        <f t="shared" si="238"/>
        <v>10</v>
      </c>
      <c r="CG120" s="581">
        <f t="shared" si="239"/>
        <v>-50</v>
      </c>
      <c r="CH120">
        <f t="shared" si="240"/>
        <v>-50</v>
      </c>
    </row>
    <row r="121" spans="5:86" x14ac:dyDescent="0.2">
      <c r="E121" s="176">
        <v>11</v>
      </c>
      <c r="F121" s="223">
        <f t="shared" si="241"/>
        <v>5.5E-2</v>
      </c>
      <c r="G121" s="223">
        <f t="shared" si="177"/>
        <v>5.5E-2</v>
      </c>
      <c r="H121" s="223">
        <f t="shared" si="178"/>
        <v>0.27500000000000002</v>
      </c>
      <c r="I121" s="223">
        <f t="shared" si="179"/>
        <v>0.27500000000000002</v>
      </c>
      <c r="J121" s="559">
        <f t="shared" si="180"/>
        <v>15</v>
      </c>
      <c r="K121" s="454">
        <f t="shared" si="181"/>
        <v>15.75</v>
      </c>
      <c r="L121" s="454">
        <f t="shared" si="182"/>
        <v>30.75</v>
      </c>
      <c r="M121" s="454"/>
      <c r="N121" s="223">
        <f t="shared" si="183"/>
        <v>0.51219512195121952</v>
      </c>
      <c r="O121" s="178">
        <f t="shared" si="184"/>
        <v>1.2964939024390245</v>
      </c>
      <c r="P121" s="178">
        <f t="shared" si="185"/>
        <v>2.592987804878049</v>
      </c>
      <c r="Q121" s="223">
        <f t="shared" si="186"/>
        <v>0.25929878048780491</v>
      </c>
      <c r="R121" s="223">
        <f t="shared" si="187"/>
        <v>0.25929878048780491</v>
      </c>
      <c r="S121" s="223">
        <f t="shared" si="188"/>
        <v>5</v>
      </c>
      <c r="T121" s="223">
        <f t="shared" si="189"/>
        <v>0.15908289241622575</v>
      </c>
      <c r="U121" s="223">
        <f t="shared" si="190"/>
        <v>0.46664315108759552</v>
      </c>
      <c r="V121" s="223">
        <f t="shared" si="191"/>
        <v>0.44442204865485291</v>
      </c>
      <c r="W121" s="203">
        <f t="shared" si="192"/>
        <v>350</v>
      </c>
      <c r="X121" s="454">
        <f t="shared" si="193"/>
        <v>350</v>
      </c>
      <c r="Z121" s="223">
        <f t="shared" si="194"/>
        <v>0.4988913525498892</v>
      </c>
      <c r="AA121" s="179">
        <f t="shared" si="195"/>
        <v>1.3937282229965158</v>
      </c>
      <c r="AB121" s="179">
        <f t="shared" si="196"/>
        <v>0.18252122654264241</v>
      </c>
      <c r="AC121" s="179"/>
      <c r="AD121" s="179">
        <f t="shared" si="197"/>
        <v>0.419047619047619</v>
      </c>
      <c r="AE121" s="563">
        <f t="shared" si="198"/>
        <v>583.33333333333348</v>
      </c>
      <c r="AF121" s="546">
        <f t="shared" si="199"/>
        <v>3.2999999999999995E-2</v>
      </c>
      <c r="AH121" s="179">
        <f t="shared" si="200"/>
        <v>0.2672612419124244</v>
      </c>
      <c r="AI121" s="179">
        <f t="shared" si="201"/>
        <v>0.2672612419124244</v>
      </c>
      <c r="AJ121" s="179">
        <f t="shared" si="202"/>
        <v>1.2868601791943883</v>
      </c>
      <c r="AL121" s="563">
        <f t="shared" si="203"/>
        <v>55</v>
      </c>
      <c r="AM121" s="472">
        <f t="shared" si="204"/>
        <v>350</v>
      </c>
      <c r="AO121" s="472">
        <f t="shared" si="205"/>
        <v>55</v>
      </c>
      <c r="AP121" s="472">
        <f t="shared" si="206"/>
        <v>350</v>
      </c>
      <c r="AR121" s="6">
        <f t="shared" si="155"/>
        <v>2.8571428571428572</v>
      </c>
      <c r="AS121" s="6">
        <f t="shared" si="242"/>
        <v>0.7839663096097782</v>
      </c>
      <c r="AT121" s="6">
        <f t="shared" si="243"/>
        <v>2.073176547533079</v>
      </c>
      <c r="AU121" s="179">
        <f t="shared" si="244"/>
        <v>0.27438820836342237</v>
      </c>
      <c r="AW121" s="6">
        <f t="shared" si="210"/>
        <v>23.491111111111117</v>
      </c>
      <c r="AX121" s="472">
        <f t="shared" si="211"/>
        <v>0.46738557919621748</v>
      </c>
      <c r="AY121" s="6">
        <f t="shared" si="212"/>
        <v>23.491111111111117</v>
      </c>
      <c r="AZ121" s="472">
        <f t="shared" si="213"/>
        <v>0.81100555555555565</v>
      </c>
      <c r="BA121" s="6">
        <f t="shared" si="214"/>
        <v>3.5192811763678805E-2</v>
      </c>
      <c r="BB121" s="6">
        <f t="shared" si="215"/>
        <v>8.6499785269866187</v>
      </c>
      <c r="BC121" s="6"/>
      <c r="BD121" s="179">
        <f t="shared" si="216"/>
        <v>8.0827300957544576E-2</v>
      </c>
      <c r="BE121" s="179">
        <f t="shared" si="217"/>
        <v>0.39431997294707372</v>
      </c>
      <c r="BF121" s="179">
        <f t="shared" si="218"/>
        <v>0.39431997294707372</v>
      </c>
      <c r="BG121" s="179"/>
      <c r="BH121" s="546">
        <f t="shared" si="219"/>
        <v>2.28656840302852E-3</v>
      </c>
      <c r="BI121" s="546">
        <f t="shared" si="220"/>
        <v>2.1572993370618503E-2</v>
      </c>
      <c r="BJ121" s="546">
        <f t="shared" si="221"/>
        <v>4.3749999999999995E-3</v>
      </c>
      <c r="BK121" s="546">
        <f t="shared" si="222"/>
        <v>1.6547343750000002E-2</v>
      </c>
      <c r="BL121">
        <f t="shared" si="223"/>
        <v>4.3499999999999997E-3</v>
      </c>
      <c r="BN121" s="472">
        <f t="shared" si="224"/>
        <v>49.131905523647028</v>
      </c>
      <c r="BO121" s="179">
        <f t="shared" si="225"/>
        <v>1.6500000000000001E-2</v>
      </c>
      <c r="BP121" s="179">
        <f t="shared" si="226"/>
        <v>1.6500000000000001E-2</v>
      </c>
      <c r="BQ121" s="546"/>
      <c r="BS121" s="472">
        <f t="shared" si="227"/>
        <v>33</v>
      </c>
      <c r="BT121" s="546">
        <f t="shared" si="228"/>
        <v>1.3066105160162973E-3</v>
      </c>
      <c r="BU121" s="546">
        <f t="shared" si="229"/>
        <v>6.2195296425992374E-3</v>
      </c>
      <c r="BV121" s="546">
        <f t="shared" si="230"/>
        <v>1.3993941695848285E-2</v>
      </c>
      <c r="BW121" s="546">
        <f t="shared" si="231"/>
        <v>4.2313609193355209E-3</v>
      </c>
      <c r="BX121" s="546"/>
      <c r="BY121" s="656">
        <f t="shared" si="232"/>
        <v>1.2500000000000004E-2</v>
      </c>
      <c r="BZ121" s="472">
        <f t="shared" si="233"/>
        <v>38.25144277379934</v>
      </c>
      <c r="CA121" s="179">
        <f t="shared" si="234"/>
        <v>0.12038334829744637</v>
      </c>
      <c r="CB121" s="6">
        <f t="shared" si="235"/>
        <v>0.55000000000000004</v>
      </c>
      <c r="CC121" s="179">
        <f t="shared" si="236"/>
        <v>0.82042610604338473</v>
      </c>
      <c r="CD121" s="6">
        <f t="shared" si="237"/>
        <v>82.042610604338478</v>
      </c>
      <c r="CE121">
        <f t="shared" si="238"/>
        <v>11</v>
      </c>
      <c r="CG121" s="581">
        <f t="shared" si="239"/>
        <v>-50</v>
      </c>
      <c r="CH121">
        <f t="shared" si="240"/>
        <v>-50</v>
      </c>
    </row>
    <row r="122" spans="5:86" x14ac:dyDescent="0.2">
      <c r="E122" s="176">
        <v>12</v>
      </c>
      <c r="F122" s="223">
        <f t="shared" si="241"/>
        <v>0.06</v>
      </c>
      <c r="G122" s="223">
        <f t="shared" si="177"/>
        <v>0.06</v>
      </c>
      <c r="H122" s="223">
        <f t="shared" si="178"/>
        <v>0.3</v>
      </c>
      <c r="I122" s="223">
        <f t="shared" si="179"/>
        <v>0.3</v>
      </c>
      <c r="J122" s="559">
        <f t="shared" si="180"/>
        <v>15</v>
      </c>
      <c r="K122" s="454">
        <f t="shared" si="181"/>
        <v>15.75</v>
      </c>
      <c r="L122" s="454">
        <f t="shared" si="182"/>
        <v>30.75</v>
      </c>
      <c r="M122" s="454"/>
      <c r="N122" s="223">
        <f t="shared" si="183"/>
        <v>0.51219512195121952</v>
      </c>
      <c r="O122" s="178">
        <f t="shared" si="184"/>
        <v>1.2964939024390245</v>
      </c>
      <c r="P122" s="178">
        <f t="shared" si="185"/>
        <v>2.592987804878049</v>
      </c>
      <c r="Q122" s="223">
        <f t="shared" si="186"/>
        <v>0.25929878048780491</v>
      </c>
      <c r="R122" s="223">
        <f t="shared" si="187"/>
        <v>0.25929878048780491</v>
      </c>
      <c r="S122" s="223">
        <f t="shared" si="188"/>
        <v>5</v>
      </c>
      <c r="T122" s="223">
        <f t="shared" si="189"/>
        <v>0.17354497354497353</v>
      </c>
      <c r="U122" s="223">
        <f t="shared" si="190"/>
        <v>0.50906525573192229</v>
      </c>
      <c r="V122" s="223">
        <f t="shared" si="191"/>
        <v>0.48482405307802129</v>
      </c>
      <c r="W122" s="203">
        <f t="shared" si="192"/>
        <v>350</v>
      </c>
      <c r="X122" s="454">
        <f t="shared" si="193"/>
        <v>350</v>
      </c>
      <c r="Z122" s="223">
        <f t="shared" si="194"/>
        <v>0.4988913525498892</v>
      </c>
      <c r="AA122" s="179">
        <f t="shared" si="195"/>
        <v>1.3937282229965158</v>
      </c>
      <c r="AB122" s="179">
        <f t="shared" si="196"/>
        <v>0.18252122654264241</v>
      </c>
      <c r="AC122" s="179"/>
      <c r="AD122" s="179">
        <f t="shared" si="197"/>
        <v>0.419047619047619</v>
      </c>
      <c r="AE122" s="563">
        <f t="shared" si="198"/>
        <v>636.36363636363649</v>
      </c>
      <c r="AF122" s="546">
        <f t="shared" si="199"/>
        <v>3.2999999999999995E-2</v>
      </c>
      <c r="AH122" s="179">
        <f t="shared" si="200"/>
        <v>0.27914526311954124</v>
      </c>
      <c r="AI122" s="179">
        <f t="shared" si="201"/>
        <v>0.27914526311954124</v>
      </c>
      <c r="AJ122" s="179">
        <f t="shared" si="202"/>
        <v>1.2956631578663269</v>
      </c>
      <c r="AL122" s="563">
        <f t="shared" si="203"/>
        <v>60</v>
      </c>
      <c r="AM122" s="472">
        <f t="shared" si="204"/>
        <v>350</v>
      </c>
      <c r="AO122" s="472">
        <f t="shared" si="205"/>
        <v>60</v>
      </c>
      <c r="AP122" s="472">
        <f t="shared" si="206"/>
        <v>350</v>
      </c>
      <c r="AR122" s="6">
        <f t="shared" si="155"/>
        <v>2.8571428571428572</v>
      </c>
      <c r="AS122" s="6">
        <f t="shared" si="242"/>
        <v>0.81882610515065424</v>
      </c>
      <c r="AT122" s="6">
        <f t="shared" si="243"/>
        <v>2.0383167519922027</v>
      </c>
      <c r="AU122" s="179">
        <f t="shared" si="244"/>
        <v>0.28658913680272896</v>
      </c>
      <c r="AW122" s="6">
        <f t="shared" si="210"/>
        <v>23.491111111111117</v>
      </c>
      <c r="AX122" s="472">
        <f t="shared" si="211"/>
        <v>0.53986382978723402</v>
      </c>
      <c r="AY122" s="6">
        <f t="shared" si="212"/>
        <v>23.491111111111117</v>
      </c>
      <c r="AZ122" s="472">
        <f t="shared" si="213"/>
        <v>0.94880000000000009</v>
      </c>
      <c r="BA122" s="6">
        <f t="shared" si="214"/>
        <v>3.7746606518374116E-2</v>
      </c>
      <c r="BB122" s="6">
        <f t="shared" si="215"/>
        <v>9.2814077866320126</v>
      </c>
      <c r="BC122" s="6"/>
      <c r="BD122" s="179">
        <f t="shared" si="216"/>
        <v>8.6277886408904145E-2</v>
      </c>
      <c r="BE122" s="179">
        <f t="shared" si="217"/>
        <v>0.40837650595687291</v>
      </c>
      <c r="BF122" s="179">
        <f t="shared" si="218"/>
        <v>0.40837650595687291</v>
      </c>
      <c r="BG122" s="179"/>
      <c r="BH122" s="546">
        <f t="shared" si="219"/>
        <v>2.6053557891157183E-3</v>
      </c>
      <c r="BI122" s="546">
        <f t="shared" si="220"/>
        <v>2.2532256707430465E-2</v>
      </c>
      <c r="BJ122" s="546">
        <f t="shared" si="221"/>
        <v>4.3749999999999995E-3</v>
      </c>
      <c r="BK122" s="546">
        <f t="shared" si="222"/>
        <v>1.6547343750000002E-2</v>
      </c>
      <c r="BL122">
        <f t="shared" si="223"/>
        <v>4.3499999999999997E-3</v>
      </c>
      <c r="BN122" s="472">
        <f t="shared" si="224"/>
        <v>50.409956246546187</v>
      </c>
      <c r="BO122" s="179">
        <f t="shared" si="225"/>
        <v>1.7999999999999999E-2</v>
      </c>
      <c r="BP122" s="179">
        <f t="shared" si="226"/>
        <v>1.7999999999999999E-2</v>
      </c>
      <c r="BQ122" s="546"/>
      <c r="BS122" s="472">
        <f t="shared" si="227"/>
        <v>36</v>
      </c>
      <c r="BT122" s="546">
        <f t="shared" si="228"/>
        <v>1.4887747366375535E-3</v>
      </c>
      <c r="BU122" s="546">
        <f t="shared" si="229"/>
        <v>6.6708548247017543E-3</v>
      </c>
      <c r="BV122" s="546">
        <f t="shared" si="230"/>
        <v>1.5009423355578946E-2</v>
      </c>
      <c r="BW122" s="546">
        <f t="shared" si="231"/>
        <v>4.7175419606032311E-3</v>
      </c>
      <c r="BX122" s="546"/>
      <c r="BY122" s="656">
        <f t="shared" si="232"/>
        <v>1.3636363636363636E-2</v>
      </c>
      <c r="BZ122" s="472">
        <f t="shared" si="233"/>
        <v>41.522958513885122</v>
      </c>
      <c r="CA122" s="179">
        <f t="shared" si="234"/>
        <v>0.12793291476043131</v>
      </c>
      <c r="CB122" s="6">
        <f t="shared" si="235"/>
        <v>0.6</v>
      </c>
      <c r="CC122" s="179">
        <f t="shared" si="236"/>
        <v>0.82425177902206126</v>
      </c>
      <c r="CD122" s="6">
        <f t="shared" si="237"/>
        <v>82.42517790220613</v>
      </c>
      <c r="CE122">
        <f t="shared" si="238"/>
        <v>12</v>
      </c>
      <c r="CG122" s="581">
        <f t="shared" si="239"/>
        <v>-50</v>
      </c>
      <c r="CH122">
        <f t="shared" si="240"/>
        <v>-50</v>
      </c>
    </row>
    <row r="123" spans="5:86" x14ac:dyDescent="0.2">
      <c r="E123" s="176">
        <v>13</v>
      </c>
      <c r="F123" s="223">
        <f t="shared" si="241"/>
        <v>6.5000000000000002E-2</v>
      </c>
      <c r="G123" s="223">
        <f t="shared" si="177"/>
        <v>6.5000000000000002E-2</v>
      </c>
      <c r="H123" s="223">
        <f t="shared" si="178"/>
        <v>0.32500000000000001</v>
      </c>
      <c r="I123" s="223">
        <f t="shared" si="179"/>
        <v>0.32500000000000001</v>
      </c>
      <c r="J123" s="559">
        <f t="shared" si="180"/>
        <v>15</v>
      </c>
      <c r="K123" s="454">
        <f t="shared" si="181"/>
        <v>15.75</v>
      </c>
      <c r="L123" s="454">
        <f t="shared" si="182"/>
        <v>30.75</v>
      </c>
      <c r="M123" s="454"/>
      <c r="N123" s="223">
        <f t="shared" si="183"/>
        <v>0.51219512195121952</v>
      </c>
      <c r="O123" s="178">
        <f t="shared" si="184"/>
        <v>1.2964939024390245</v>
      </c>
      <c r="P123" s="178">
        <f t="shared" si="185"/>
        <v>2.592987804878049</v>
      </c>
      <c r="Q123" s="223">
        <f t="shared" si="186"/>
        <v>0.25929878048780491</v>
      </c>
      <c r="R123" s="223">
        <f t="shared" si="187"/>
        <v>0.25929878048780491</v>
      </c>
      <c r="S123" s="223">
        <f t="shared" si="188"/>
        <v>5</v>
      </c>
      <c r="T123" s="223">
        <f t="shared" si="189"/>
        <v>0.18800705467372134</v>
      </c>
      <c r="U123" s="223">
        <f t="shared" si="190"/>
        <v>0.55148736037624935</v>
      </c>
      <c r="V123" s="223">
        <f t="shared" si="191"/>
        <v>0.52522605750118978</v>
      </c>
      <c r="W123" s="203">
        <f t="shared" si="192"/>
        <v>350</v>
      </c>
      <c r="X123" s="454">
        <f t="shared" si="193"/>
        <v>350</v>
      </c>
      <c r="Z123" s="223">
        <f t="shared" si="194"/>
        <v>0.4988913525498892</v>
      </c>
      <c r="AA123" s="179">
        <f t="shared" si="195"/>
        <v>1.3937282229965158</v>
      </c>
      <c r="AB123" s="179">
        <f t="shared" si="196"/>
        <v>0.18252122654264241</v>
      </c>
      <c r="AC123" s="179"/>
      <c r="AD123" s="179">
        <f t="shared" si="197"/>
        <v>0.419047619047619</v>
      </c>
      <c r="AE123" s="563">
        <f t="shared" si="198"/>
        <v>689.3939393939396</v>
      </c>
      <c r="AF123" s="546">
        <f t="shared" si="199"/>
        <v>3.2999999999999995E-2</v>
      </c>
      <c r="AH123" s="179">
        <f t="shared" si="200"/>
        <v>0.29054360157398823</v>
      </c>
      <c r="AI123" s="179">
        <f t="shared" si="201"/>
        <v>0.29054360157398823</v>
      </c>
      <c r="AJ123" s="179">
        <f t="shared" si="202"/>
        <v>1.3041063715362875</v>
      </c>
      <c r="AL123" s="563">
        <f t="shared" si="203"/>
        <v>65</v>
      </c>
      <c r="AM123" s="472">
        <f t="shared" si="204"/>
        <v>350</v>
      </c>
      <c r="AO123" s="472">
        <f t="shared" si="205"/>
        <v>65</v>
      </c>
      <c r="AP123" s="472">
        <f t="shared" si="206"/>
        <v>350</v>
      </c>
      <c r="AR123" s="6">
        <f t="shared" si="155"/>
        <v>2.8571428571428572</v>
      </c>
      <c r="AS123" s="6">
        <f t="shared" si="242"/>
        <v>0.85226123128369879</v>
      </c>
      <c r="AT123" s="6">
        <f t="shared" si="243"/>
        <v>2.0048816258591584</v>
      </c>
      <c r="AU123" s="179">
        <f t="shared" si="244"/>
        <v>0.29829143094929456</v>
      </c>
      <c r="AW123" s="6">
        <f t="shared" si="210"/>
        <v>23.491111111111117</v>
      </c>
      <c r="AX123" s="472">
        <f t="shared" si="211"/>
        <v>0.61734018912529565</v>
      </c>
      <c r="AY123" s="6">
        <f t="shared" si="212"/>
        <v>23.491111111111117</v>
      </c>
      <c r="AZ123" s="472">
        <f t="shared" si="213"/>
        <v>1.0972722222222224</v>
      </c>
      <c r="BA123" s="6">
        <f t="shared" si="214"/>
        <v>4.0221390642236197E-2</v>
      </c>
      <c r="BB123" s="6">
        <f t="shared" si="215"/>
        <v>9.89387449487743</v>
      </c>
      <c r="BC123" s="6"/>
      <c r="BD123" s="179">
        <f t="shared" si="216"/>
        <v>9.1615947428646663E-2</v>
      </c>
      <c r="BE123" s="179">
        <f t="shared" si="217"/>
        <v>0.42155120310291649</v>
      </c>
      <c r="BF123" s="179">
        <f t="shared" si="218"/>
        <v>0.42155120310291649</v>
      </c>
      <c r="BG123" s="179"/>
      <c r="BH123" s="546">
        <f t="shared" si="219"/>
        <v>2.9377186381369918E-3</v>
      </c>
      <c r="BI123" s="546">
        <f t="shared" si="220"/>
        <v>2.3452316339550361E-2</v>
      </c>
      <c r="BJ123" s="546">
        <f t="shared" si="221"/>
        <v>4.3749999999999995E-3</v>
      </c>
      <c r="BK123" s="546">
        <f t="shared" si="222"/>
        <v>1.6547343750000002E-2</v>
      </c>
      <c r="BL123">
        <f t="shared" si="223"/>
        <v>4.3499999999999997E-3</v>
      </c>
      <c r="BN123" s="472">
        <f t="shared" si="224"/>
        <v>51.662378727687354</v>
      </c>
      <c r="BO123" s="179">
        <f t="shared" si="225"/>
        <v>1.95E-2</v>
      </c>
      <c r="BP123" s="179">
        <f t="shared" si="226"/>
        <v>1.95E-2</v>
      </c>
      <c r="BQ123" s="546"/>
      <c r="BS123" s="472">
        <f t="shared" si="227"/>
        <v>39</v>
      </c>
      <c r="BT123" s="546">
        <f t="shared" si="228"/>
        <v>1.6786963646497099E-3</v>
      </c>
      <c r="BU123" s="546">
        <f t="shared" si="229"/>
        <v>7.1082166735006534E-3</v>
      </c>
      <c r="BV123" s="546">
        <f t="shared" si="230"/>
        <v>1.5993487515376471E-2</v>
      </c>
      <c r="BW123" s="546">
        <f t="shared" si="231"/>
        <v>5.2139685178123271E-3</v>
      </c>
      <c r="BX123" s="546"/>
      <c r="BY123" s="656">
        <f t="shared" si="232"/>
        <v>1.4772727272727274E-2</v>
      </c>
      <c r="BZ123" s="472">
        <f t="shared" si="233"/>
        <v>44.767096344066431</v>
      </c>
      <c r="CA123" s="179">
        <f t="shared" si="234"/>
        <v>0.13542947507175379</v>
      </c>
      <c r="CB123" s="6">
        <f t="shared" si="235"/>
        <v>0.65</v>
      </c>
      <c r="CC123" s="179">
        <f t="shared" si="236"/>
        <v>0.827572711019813</v>
      </c>
      <c r="CD123" s="6">
        <f t="shared" si="237"/>
        <v>82.757271101981303</v>
      </c>
      <c r="CE123">
        <f t="shared" si="238"/>
        <v>13</v>
      </c>
      <c r="CG123" s="581">
        <f t="shared" si="239"/>
        <v>-50</v>
      </c>
      <c r="CH123">
        <f t="shared" si="240"/>
        <v>-50</v>
      </c>
    </row>
    <row r="124" spans="5:86" x14ac:dyDescent="0.2">
      <c r="E124" s="176">
        <v>14</v>
      </c>
      <c r="F124" s="223">
        <f t="shared" si="241"/>
        <v>7.0000000000000007E-2</v>
      </c>
      <c r="G124" s="223">
        <f t="shared" si="177"/>
        <v>7.0000000000000007E-2</v>
      </c>
      <c r="H124" s="223">
        <f t="shared" si="178"/>
        <v>0.35000000000000003</v>
      </c>
      <c r="I124" s="223">
        <f t="shared" si="179"/>
        <v>0.35000000000000003</v>
      </c>
      <c r="J124" s="559">
        <f t="shared" si="180"/>
        <v>15</v>
      </c>
      <c r="K124" s="454">
        <f t="shared" si="181"/>
        <v>15.75</v>
      </c>
      <c r="L124" s="454">
        <f t="shared" si="182"/>
        <v>30.75</v>
      </c>
      <c r="M124" s="454"/>
      <c r="N124" s="223">
        <f t="shared" si="183"/>
        <v>0.51219512195121952</v>
      </c>
      <c r="O124" s="178">
        <f t="shared" si="184"/>
        <v>1.2964939024390245</v>
      </c>
      <c r="P124" s="178">
        <f t="shared" si="185"/>
        <v>2.592987804878049</v>
      </c>
      <c r="Q124" s="223">
        <f t="shared" si="186"/>
        <v>0.25929878048780491</v>
      </c>
      <c r="R124" s="223">
        <f t="shared" si="187"/>
        <v>0.25929878048780491</v>
      </c>
      <c r="S124" s="223">
        <f t="shared" si="188"/>
        <v>5</v>
      </c>
      <c r="T124" s="223">
        <f t="shared" si="189"/>
        <v>0.20246913580246914</v>
      </c>
      <c r="U124" s="223">
        <f t="shared" si="190"/>
        <v>0.59390946502057607</v>
      </c>
      <c r="V124" s="223">
        <f t="shared" si="191"/>
        <v>0.56562806192435822</v>
      </c>
      <c r="W124" s="203">
        <f t="shared" si="192"/>
        <v>350</v>
      </c>
      <c r="X124" s="454">
        <f t="shared" si="193"/>
        <v>350</v>
      </c>
      <c r="Z124" s="223">
        <f t="shared" si="194"/>
        <v>0.4988913525498892</v>
      </c>
      <c r="AA124" s="179">
        <f t="shared" si="195"/>
        <v>1.3937282229965158</v>
      </c>
      <c r="AB124" s="179">
        <f t="shared" si="196"/>
        <v>0.18252122654264241</v>
      </c>
      <c r="AC124" s="179"/>
      <c r="AD124" s="179">
        <f t="shared" si="197"/>
        <v>0.419047619047619</v>
      </c>
      <c r="AE124" s="563">
        <f t="shared" si="198"/>
        <v>742.42424242424272</v>
      </c>
      <c r="AF124" s="546">
        <f t="shared" si="199"/>
        <v>3.2999999999999995E-2</v>
      </c>
      <c r="AH124" s="179">
        <f t="shared" si="200"/>
        <v>0.30151134457776363</v>
      </c>
      <c r="AI124" s="179">
        <f t="shared" si="201"/>
        <v>0.30151134457776363</v>
      </c>
      <c r="AJ124" s="179">
        <f t="shared" si="202"/>
        <v>1.3122306256131582</v>
      </c>
      <c r="AL124" s="563">
        <f t="shared" si="203"/>
        <v>70</v>
      </c>
      <c r="AM124" s="472">
        <f t="shared" si="204"/>
        <v>350</v>
      </c>
      <c r="AO124" s="472">
        <f t="shared" si="205"/>
        <v>70</v>
      </c>
      <c r="AP124" s="472">
        <f t="shared" si="206"/>
        <v>350</v>
      </c>
      <c r="AR124" s="6">
        <f t="shared" si="155"/>
        <v>2.8571428571428572</v>
      </c>
      <c r="AS124" s="6">
        <f t="shared" si="242"/>
        <v>0.88443327742810662</v>
      </c>
      <c r="AT124" s="6">
        <f t="shared" si="243"/>
        <v>1.9727095797147505</v>
      </c>
      <c r="AU124" s="179">
        <f t="shared" si="244"/>
        <v>0.30955164709983729</v>
      </c>
      <c r="AW124" s="6">
        <f t="shared" si="210"/>
        <v>23.491111111111117</v>
      </c>
      <c r="AX124" s="472">
        <f t="shared" si="211"/>
        <v>0.69981465721040204</v>
      </c>
      <c r="AY124" s="6">
        <f t="shared" si="212"/>
        <v>23.491111111111117</v>
      </c>
      <c r="AZ124" s="472">
        <f t="shared" si="213"/>
        <v>1.2564222222222223</v>
      </c>
      <c r="BA124" s="6">
        <f t="shared" si="214"/>
        <v>4.2620268697540896E-2</v>
      </c>
      <c r="BB124" s="6">
        <f t="shared" si="215"/>
        <v>10.488123746669075</v>
      </c>
      <c r="BC124" s="6"/>
      <c r="BD124" s="179">
        <f t="shared" si="216"/>
        <v>9.6852222186273623E-2</v>
      </c>
      <c r="BE124" s="179">
        <f t="shared" si="217"/>
        <v>0.43394019892780034</v>
      </c>
      <c r="BF124" s="179">
        <f t="shared" si="218"/>
        <v>0.43394019892780034</v>
      </c>
      <c r="BG124" s="179"/>
      <c r="BH124" s="546">
        <f t="shared" si="219"/>
        <v>3.2831235298467591E-3</v>
      </c>
      <c r="BI124" s="546">
        <f t="shared" si="220"/>
        <v>2.4337618845136359E-2</v>
      </c>
      <c r="BJ124" s="546">
        <f t="shared" si="221"/>
        <v>4.3749999999999995E-3</v>
      </c>
      <c r="BK124" s="546">
        <f t="shared" si="222"/>
        <v>1.6547343750000002E-2</v>
      </c>
      <c r="BL124">
        <f t="shared" si="223"/>
        <v>4.3499999999999997E-3</v>
      </c>
      <c r="BN124" s="472">
        <f t="shared" si="224"/>
        <v>52.893086124983121</v>
      </c>
      <c r="BO124" s="179">
        <f t="shared" si="225"/>
        <v>2.1000000000000001E-2</v>
      </c>
      <c r="BP124" s="179">
        <f t="shared" si="226"/>
        <v>2.1000000000000001E-2</v>
      </c>
      <c r="BQ124" s="546"/>
      <c r="BS124" s="472">
        <f t="shared" si="227"/>
        <v>42</v>
      </c>
      <c r="BT124" s="546">
        <f t="shared" si="228"/>
        <v>1.8760705884838626E-3</v>
      </c>
      <c r="BU124" s="546">
        <f t="shared" si="229"/>
        <v>7.5321638498199572E-3</v>
      </c>
      <c r="BV124" s="546">
        <f t="shared" si="230"/>
        <v>1.6947368662094904E-2</v>
      </c>
      <c r="BW124" s="546">
        <f t="shared" si="231"/>
        <v>5.7200425414160915E-3</v>
      </c>
      <c r="BX124" s="546"/>
      <c r="BY124" s="656">
        <f t="shared" si="232"/>
        <v>1.5909090909090914E-2</v>
      </c>
      <c r="BZ124" s="472">
        <f t="shared" si="233"/>
        <v>47.98473655090573</v>
      </c>
      <c r="CA124" s="179">
        <f t="shared" si="234"/>
        <v>0.14287782267588883</v>
      </c>
      <c r="CB124" s="6">
        <f t="shared" si="235"/>
        <v>0.70000000000000007</v>
      </c>
      <c r="CC124" s="179">
        <f t="shared" si="236"/>
        <v>0.83048809823671266</v>
      </c>
      <c r="CD124" s="6">
        <f t="shared" si="237"/>
        <v>83.048809823671263</v>
      </c>
      <c r="CE124">
        <f t="shared" si="238"/>
        <v>14.000000000000002</v>
      </c>
      <c r="CG124" s="581">
        <f t="shared" si="239"/>
        <v>-50</v>
      </c>
      <c r="CH124">
        <f t="shared" si="240"/>
        <v>-50</v>
      </c>
    </row>
    <row r="125" spans="5:86" x14ac:dyDescent="0.2">
      <c r="E125" s="176">
        <v>15</v>
      </c>
      <c r="F125" s="223">
        <f t="shared" si="241"/>
        <v>7.4999999999999997E-2</v>
      </c>
      <c r="G125" s="223">
        <f t="shared" si="177"/>
        <v>7.4999999999999997E-2</v>
      </c>
      <c r="H125" s="223">
        <f t="shared" si="178"/>
        <v>0.375</v>
      </c>
      <c r="I125" s="223">
        <f t="shared" si="179"/>
        <v>0.375</v>
      </c>
      <c r="J125" s="559">
        <f t="shared" si="180"/>
        <v>15</v>
      </c>
      <c r="K125" s="454">
        <f t="shared" si="181"/>
        <v>15.75</v>
      </c>
      <c r="L125" s="454">
        <f t="shared" si="182"/>
        <v>30.75</v>
      </c>
      <c r="M125" s="454"/>
      <c r="N125" s="223">
        <f t="shared" si="183"/>
        <v>0.51219512195121952</v>
      </c>
      <c r="O125" s="178">
        <f t="shared" si="184"/>
        <v>1.2964939024390245</v>
      </c>
      <c r="P125" s="178">
        <f t="shared" si="185"/>
        <v>2.592987804878049</v>
      </c>
      <c r="Q125" s="223">
        <f t="shared" si="186"/>
        <v>0.25929878048780491</v>
      </c>
      <c r="R125" s="223">
        <f t="shared" si="187"/>
        <v>0.25929878048780491</v>
      </c>
      <c r="S125" s="223">
        <f t="shared" si="188"/>
        <v>5</v>
      </c>
      <c r="T125" s="223">
        <f t="shared" si="189"/>
        <v>0.21693121693121692</v>
      </c>
      <c r="U125" s="223">
        <f t="shared" si="190"/>
        <v>0.63633156966490301</v>
      </c>
      <c r="V125" s="223">
        <f t="shared" si="191"/>
        <v>0.60603006634752665</v>
      </c>
      <c r="W125" s="203">
        <f t="shared" si="192"/>
        <v>350</v>
      </c>
      <c r="X125" s="454">
        <f t="shared" si="193"/>
        <v>350</v>
      </c>
      <c r="Z125" s="223">
        <f t="shared" si="194"/>
        <v>0.4988913525498892</v>
      </c>
      <c r="AA125" s="179">
        <f t="shared" si="195"/>
        <v>1.3937282229965158</v>
      </c>
      <c r="AB125" s="179">
        <f t="shared" si="196"/>
        <v>0.18252122654264241</v>
      </c>
      <c r="AC125" s="179"/>
      <c r="AD125" s="179">
        <f t="shared" si="197"/>
        <v>0.419047619047619</v>
      </c>
      <c r="AE125" s="563">
        <f t="shared" si="198"/>
        <v>795.4545454545455</v>
      </c>
      <c r="AF125" s="546">
        <f t="shared" si="199"/>
        <v>3.2999999999999995E-2</v>
      </c>
      <c r="AH125" s="179">
        <f t="shared" si="200"/>
        <v>0.31209389196617965</v>
      </c>
      <c r="AI125" s="179">
        <f t="shared" si="201"/>
        <v>0.31209389196617965</v>
      </c>
      <c r="AJ125" s="179">
        <f t="shared" si="202"/>
        <v>1.3200695496045776</v>
      </c>
      <c r="AL125" s="563">
        <f t="shared" si="203"/>
        <v>75</v>
      </c>
      <c r="AM125" s="472">
        <f t="shared" si="204"/>
        <v>350</v>
      </c>
      <c r="AO125" s="472">
        <f t="shared" si="205"/>
        <v>75</v>
      </c>
      <c r="AP125" s="472">
        <f t="shared" si="206"/>
        <v>350</v>
      </c>
      <c r="AR125" s="6">
        <f t="shared" si="155"/>
        <v>2.8571428571428572</v>
      </c>
      <c r="AS125" s="6">
        <f t="shared" si="242"/>
        <v>0.91547541643412689</v>
      </c>
      <c r="AT125" s="6">
        <f t="shared" si="243"/>
        <v>1.9416674407087302</v>
      </c>
      <c r="AU125" s="179">
        <f t="shared" si="244"/>
        <v>0.32041639575194442</v>
      </c>
      <c r="AW125" s="6">
        <f t="shared" si="210"/>
        <v>23.491111111111117</v>
      </c>
      <c r="AX125" s="472">
        <f t="shared" si="211"/>
        <v>0.78728723404255319</v>
      </c>
      <c r="AY125" s="6">
        <f t="shared" si="212"/>
        <v>23.491111111111117</v>
      </c>
      <c r="AZ125" s="472">
        <f t="shared" si="213"/>
        <v>1.42625</v>
      </c>
      <c r="BA125" s="6">
        <f t="shared" si="214"/>
        <v>4.4946005571961337E-2</v>
      </c>
      <c r="BB125" s="6">
        <f t="shared" si="215"/>
        <v>11.064819115048502</v>
      </c>
      <c r="BC125" s="6"/>
      <c r="BD125" s="179">
        <f t="shared" si="216"/>
        <v>0.10199573389218781</v>
      </c>
      <c r="BE125" s="179">
        <f t="shared" si="217"/>
        <v>0.44562273799475083</v>
      </c>
      <c r="BF125" s="179">
        <f t="shared" si="218"/>
        <v>0.44562273799475083</v>
      </c>
      <c r="BG125" s="179"/>
      <c r="BH125" s="546">
        <f t="shared" si="219"/>
        <v>3.6410954062720967E-3</v>
      </c>
      <c r="BI125" s="546">
        <f t="shared" si="220"/>
        <v>2.5191828842145061E-2</v>
      </c>
      <c r="BJ125" s="546">
        <f t="shared" si="221"/>
        <v>4.3749999999999995E-3</v>
      </c>
      <c r="BK125" s="546">
        <f t="shared" si="222"/>
        <v>1.6547343750000002E-2</v>
      </c>
      <c r="BL125">
        <f t="shared" si="223"/>
        <v>4.3499999999999997E-3</v>
      </c>
      <c r="BN125" s="472">
        <f t="shared" si="224"/>
        <v>54.105267998417162</v>
      </c>
      <c r="BO125" s="179">
        <f t="shared" si="225"/>
        <v>2.2499999999999999E-2</v>
      </c>
      <c r="BP125" s="179">
        <f t="shared" si="226"/>
        <v>2.2499999999999999E-2</v>
      </c>
      <c r="BQ125" s="546"/>
      <c r="BS125" s="472">
        <f t="shared" si="227"/>
        <v>45</v>
      </c>
      <c r="BT125" s="546">
        <f t="shared" si="228"/>
        <v>2.0806259464411984E-3</v>
      </c>
      <c r="BU125" s="546">
        <f t="shared" si="229"/>
        <v>7.9431849847175339E-3</v>
      </c>
      <c r="BV125" s="546">
        <f t="shared" si="230"/>
        <v>1.7872166215614452E-2</v>
      </c>
      <c r="BW125" s="546">
        <f t="shared" si="231"/>
        <v>6.2352416290211467E-3</v>
      </c>
      <c r="BX125" s="546"/>
      <c r="BY125" s="656">
        <f t="shared" si="232"/>
        <v>1.7045454545454551E-2</v>
      </c>
      <c r="BZ125" s="472">
        <f t="shared" si="233"/>
        <v>51.176673321248884</v>
      </c>
      <c r="CA125" s="179">
        <f t="shared" si="234"/>
        <v>0.15028194131966605</v>
      </c>
      <c r="CB125" s="6">
        <f t="shared" si="235"/>
        <v>0.75</v>
      </c>
      <c r="CC125" s="179">
        <f t="shared" si="236"/>
        <v>0.83307235831102266</v>
      </c>
      <c r="CD125" s="6">
        <f t="shared" si="237"/>
        <v>83.307235831102261</v>
      </c>
      <c r="CE125">
        <f t="shared" si="238"/>
        <v>15</v>
      </c>
      <c r="CG125" s="581">
        <f t="shared" si="239"/>
        <v>-50</v>
      </c>
      <c r="CH125">
        <f t="shared" si="240"/>
        <v>-50</v>
      </c>
    </row>
    <row r="126" spans="5:86" x14ac:dyDescent="0.2">
      <c r="E126" s="176">
        <v>16</v>
      </c>
      <c r="F126" s="223">
        <f t="shared" si="241"/>
        <v>0.08</v>
      </c>
      <c r="G126" s="223">
        <f t="shared" si="177"/>
        <v>0.08</v>
      </c>
      <c r="H126" s="223">
        <f t="shared" si="178"/>
        <v>0.4</v>
      </c>
      <c r="I126" s="223">
        <f t="shared" si="179"/>
        <v>0.4</v>
      </c>
      <c r="J126" s="559">
        <f t="shared" si="180"/>
        <v>15</v>
      </c>
      <c r="K126" s="454">
        <f t="shared" si="181"/>
        <v>15.75</v>
      </c>
      <c r="L126" s="454">
        <f t="shared" si="182"/>
        <v>30.75</v>
      </c>
      <c r="M126" s="454"/>
      <c r="N126" s="223">
        <f t="shared" si="183"/>
        <v>0.51219512195121952</v>
      </c>
      <c r="O126" s="178">
        <f t="shared" si="184"/>
        <v>1.2964939024390245</v>
      </c>
      <c r="P126" s="178">
        <f t="shared" si="185"/>
        <v>2.592987804878049</v>
      </c>
      <c r="Q126" s="223">
        <f t="shared" si="186"/>
        <v>0.25929878048780491</v>
      </c>
      <c r="R126" s="223">
        <f t="shared" si="187"/>
        <v>0.25929878048780491</v>
      </c>
      <c r="S126" s="223">
        <f t="shared" si="188"/>
        <v>5</v>
      </c>
      <c r="T126" s="223">
        <f t="shared" si="189"/>
        <v>0.23139329805996472</v>
      </c>
      <c r="U126" s="223">
        <f t="shared" si="190"/>
        <v>0.67875367430922984</v>
      </c>
      <c r="V126" s="223">
        <f t="shared" si="191"/>
        <v>0.64643207077069509</v>
      </c>
      <c r="W126" s="203">
        <f t="shared" si="192"/>
        <v>350</v>
      </c>
      <c r="X126" s="454">
        <f t="shared" si="193"/>
        <v>350</v>
      </c>
      <c r="Z126" s="223">
        <f t="shared" si="194"/>
        <v>0.4988913525498892</v>
      </c>
      <c r="AA126" s="179">
        <f t="shared" si="195"/>
        <v>1.3937282229965158</v>
      </c>
      <c r="AB126" s="179">
        <f t="shared" si="196"/>
        <v>0.18252122654264241</v>
      </c>
      <c r="AC126" s="179"/>
      <c r="AD126" s="179">
        <f t="shared" si="197"/>
        <v>0.419047619047619</v>
      </c>
      <c r="AE126" s="563">
        <f t="shared" si="198"/>
        <v>848.48484848484861</v>
      </c>
      <c r="AF126" s="546">
        <f t="shared" si="199"/>
        <v>3.2999999999999995E-2</v>
      </c>
      <c r="AH126" s="179">
        <f t="shared" si="200"/>
        <v>0.32232918561015211</v>
      </c>
      <c r="AI126" s="179">
        <f t="shared" si="201"/>
        <v>0.32232918561015211</v>
      </c>
      <c r="AJ126" s="179">
        <f t="shared" si="202"/>
        <v>1.3276512486001126</v>
      </c>
      <c r="AL126" s="563">
        <f t="shared" si="203"/>
        <v>80</v>
      </c>
      <c r="AM126" s="472">
        <f t="shared" si="204"/>
        <v>350</v>
      </c>
      <c r="AO126" s="472">
        <f t="shared" si="205"/>
        <v>80</v>
      </c>
      <c r="AP126" s="472">
        <f t="shared" si="206"/>
        <v>350</v>
      </c>
      <c r="AR126" s="6">
        <f t="shared" si="155"/>
        <v>2.8571428571428572</v>
      </c>
      <c r="AS126" s="6">
        <f t="shared" si="242"/>
        <v>0.94549894445644622</v>
      </c>
      <c r="AT126" s="6">
        <f t="shared" si="243"/>
        <v>1.9116439126864111</v>
      </c>
      <c r="AU126" s="179">
        <f t="shared" si="244"/>
        <v>0.33092463055975618</v>
      </c>
      <c r="AW126" s="6">
        <f t="shared" si="210"/>
        <v>23.491111111111117</v>
      </c>
      <c r="AX126" s="472">
        <f t="shared" si="211"/>
        <v>0.87975791962174932</v>
      </c>
      <c r="AY126" s="6">
        <f t="shared" si="212"/>
        <v>23.491111111111117</v>
      </c>
      <c r="AZ126" s="472">
        <f t="shared" si="213"/>
        <v>1.6067555555555555</v>
      </c>
      <c r="BA126" s="6">
        <f t="shared" si="214"/>
        <v>4.7201084263861992E-2</v>
      </c>
      <c r="BB126" s="6">
        <f t="shared" si="215"/>
        <v>11.624556519623177</v>
      </c>
      <c r="BC126" s="6"/>
      <c r="BD126" s="179">
        <f t="shared" si="216"/>
        <v>0.10705416043358025</v>
      </c>
      <c r="BE126" s="179">
        <f t="shared" si="217"/>
        <v>0.45666505481924385</v>
      </c>
      <c r="BF126" s="179">
        <f t="shared" si="218"/>
        <v>0.45666505481924385</v>
      </c>
      <c r="BG126" s="179"/>
      <c r="BH126" s="546">
        <f t="shared" si="219"/>
        <v>4.0112076431485589E-3</v>
      </c>
      <c r="BI126" s="546">
        <f t="shared" si="220"/>
        <v>2.6018008950969462E-2</v>
      </c>
      <c r="BJ126" s="546">
        <f t="shared" si="221"/>
        <v>4.3749999999999995E-3</v>
      </c>
      <c r="BK126" s="546">
        <f t="shared" si="222"/>
        <v>1.6547343750000002E-2</v>
      </c>
      <c r="BL126">
        <f t="shared" si="223"/>
        <v>4.3499999999999997E-3</v>
      </c>
      <c r="BN126" s="472">
        <f t="shared" si="224"/>
        <v>55.301560344118016</v>
      </c>
      <c r="BO126" s="179">
        <f t="shared" si="225"/>
        <v>2.4E-2</v>
      </c>
      <c r="BP126" s="179">
        <f t="shared" si="226"/>
        <v>2.4E-2</v>
      </c>
      <c r="BQ126" s="546"/>
      <c r="BS126" s="472">
        <f t="shared" si="227"/>
        <v>48</v>
      </c>
      <c r="BT126" s="546">
        <f t="shared" si="228"/>
        <v>2.292118653227748E-3</v>
      </c>
      <c r="BU126" s="546">
        <f t="shared" si="229"/>
        <v>8.3417188917225202E-3</v>
      </c>
      <c r="BV126" s="546">
        <f t="shared" si="230"/>
        <v>1.8768867506375669E-2</v>
      </c>
      <c r="BW126" s="546">
        <f t="shared" si="231"/>
        <v>6.7591049906401525E-3</v>
      </c>
      <c r="BX126" s="546"/>
      <c r="BY126" s="656">
        <f t="shared" si="232"/>
        <v>1.8181818181818181E-2</v>
      </c>
      <c r="BZ126" s="472">
        <f t="shared" si="233"/>
        <v>54.343628223784272</v>
      </c>
      <c r="CA126" s="179">
        <f t="shared" si="234"/>
        <v>0.15764518856790227</v>
      </c>
      <c r="CB126" s="6">
        <f t="shared" si="235"/>
        <v>0.8</v>
      </c>
      <c r="CC126" s="179">
        <f t="shared" si="236"/>
        <v>0.83538246685742701</v>
      </c>
      <c r="CD126" s="6">
        <f t="shared" si="237"/>
        <v>83.538246685742706</v>
      </c>
      <c r="CE126">
        <f t="shared" si="238"/>
        <v>16</v>
      </c>
      <c r="CG126" s="581">
        <f t="shared" si="239"/>
        <v>-50</v>
      </c>
      <c r="CH126">
        <f t="shared" si="240"/>
        <v>-50</v>
      </c>
    </row>
    <row r="127" spans="5:86" x14ac:dyDescent="0.2">
      <c r="E127" s="176">
        <v>17</v>
      </c>
      <c r="F127" s="223">
        <f t="shared" si="241"/>
        <v>8.5000000000000006E-2</v>
      </c>
      <c r="G127" s="223">
        <f t="shared" si="177"/>
        <v>8.5000000000000006E-2</v>
      </c>
      <c r="H127" s="223">
        <f t="shared" si="178"/>
        <v>0.42500000000000004</v>
      </c>
      <c r="I127" s="223">
        <f t="shared" si="179"/>
        <v>0.42500000000000004</v>
      </c>
      <c r="J127" s="559">
        <f t="shared" si="180"/>
        <v>15</v>
      </c>
      <c r="K127" s="454">
        <f t="shared" si="181"/>
        <v>15.75</v>
      </c>
      <c r="L127" s="454">
        <f t="shared" si="182"/>
        <v>30.75</v>
      </c>
      <c r="M127" s="454"/>
      <c r="N127" s="223">
        <f t="shared" si="183"/>
        <v>0.51219512195121952</v>
      </c>
      <c r="O127" s="178">
        <f t="shared" si="184"/>
        <v>1.2964939024390245</v>
      </c>
      <c r="P127" s="178">
        <f t="shared" si="185"/>
        <v>2.592987804878049</v>
      </c>
      <c r="Q127" s="223">
        <f t="shared" si="186"/>
        <v>0.25929878048780491</v>
      </c>
      <c r="R127" s="223">
        <f t="shared" si="187"/>
        <v>0.25929878048780491</v>
      </c>
      <c r="S127" s="223">
        <f t="shared" si="188"/>
        <v>5</v>
      </c>
      <c r="T127" s="223">
        <f t="shared" si="189"/>
        <v>0.24585537918871253</v>
      </c>
      <c r="U127" s="223">
        <f t="shared" si="190"/>
        <v>0.72117577895355678</v>
      </c>
      <c r="V127" s="223">
        <f t="shared" si="191"/>
        <v>0.68683407519386352</v>
      </c>
      <c r="W127" s="203">
        <f t="shared" si="192"/>
        <v>350</v>
      </c>
      <c r="X127" s="454">
        <f t="shared" si="193"/>
        <v>350</v>
      </c>
      <c r="Z127" s="223">
        <f t="shared" si="194"/>
        <v>0.4988913525498892</v>
      </c>
      <c r="AA127" s="179">
        <f t="shared" si="195"/>
        <v>1.3937282229965158</v>
      </c>
      <c r="AB127" s="179">
        <f t="shared" si="196"/>
        <v>0.18252122654264241</v>
      </c>
      <c r="AC127" s="179"/>
      <c r="AD127" s="179">
        <f t="shared" si="197"/>
        <v>0.419047619047619</v>
      </c>
      <c r="AE127" s="563">
        <f t="shared" si="198"/>
        <v>901.51515151515173</v>
      </c>
      <c r="AF127" s="546">
        <f t="shared" si="199"/>
        <v>3.2999999999999995E-2</v>
      </c>
      <c r="AH127" s="179">
        <f t="shared" si="200"/>
        <v>0.33224931962249432</v>
      </c>
      <c r="AI127" s="179">
        <f t="shared" si="201"/>
        <v>0.33224931962249432</v>
      </c>
      <c r="AJ127" s="179">
        <f t="shared" si="202"/>
        <v>1.3349994960166625</v>
      </c>
      <c r="AL127" s="563">
        <f t="shared" si="203"/>
        <v>85</v>
      </c>
      <c r="AM127" s="472">
        <f t="shared" si="204"/>
        <v>350</v>
      </c>
      <c r="AO127" s="472">
        <f t="shared" si="205"/>
        <v>85</v>
      </c>
      <c r="AP127" s="472">
        <f t="shared" si="206"/>
        <v>350</v>
      </c>
      <c r="AR127" s="6">
        <f t="shared" si="155"/>
        <v>2.8571428571428572</v>
      </c>
      <c r="AS127" s="6">
        <f t="shared" si="242"/>
        <v>0.97459800422598342</v>
      </c>
      <c r="AT127" s="6">
        <f t="shared" si="243"/>
        <v>1.8825448529168738</v>
      </c>
      <c r="AU127" s="179">
        <f t="shared" si="244"/>
        <v>0.34110930147909418</v>
      </c>
      <c r="AW127" s="6">
        <f t="shared" si="210"/>
        <v>23.491111111111117</v>
      </c>
      <c r="AX127" s="472">
        <f t="shared" si="211"/>
        <v>0.97722671394799088</v>
      </c>
      <c r="AY127" s="6">
        <f t="shared" si="212"/>
        <v>23.491111111111117</v>
      </c>
      <c r="AZ127" s="472">
        <f t="shared" si="213"/>
        <v>1.7979388888888894</v>
      </c>
      <c r="BA127" s="6">
        <f t="shared" si="214"/>
        <v>4.9387750770967367E-2</v>
      </c>
      <c r="BB127" s="6">
        <f t="shared" si="215"/>
        <v>12.167874999846985</v>
      </c>
      <c r="BC127" s="6"/>
      <c r="BD127" s="179">
        <f t="shared" si="216"/>
        <v>0.11203410625125035</v>
      </c>
      <c r="BE127" s="179">
        <f t="shared" si="217"/>
        <v>0.46712317700707501</v>
      </c>
      <c r="BF127" s="179">
        <f t="shared" si="218"/>
        <v>0.46712317700707501</v>
      </c>
      <c r="BG127" s="179"/>
      <c r="BH127" s="546">
        <f t="shared" si="219"/>
        <v>4.3930743372307575E-3</v>
      </c>
      <c r="BI127" s="546">
        <f t="shared" si="220"/>
        <v>2.6818749768278215E-2</v>
      </c>
      <c r="BJ127" s="546">
        <f t="shared" si="221"/>
        <v>4.3749999999999995E-3</v>
      </c>
      <c r="BK127" s="546">
        <f t="shared" si="222"/>
        <v>1.6547343750000002E-2</v>
      </c>
      <c r="BL127">
        <f t="shared" si="223"/>
        <v>4.3499999999999997E-3</v>
      </c>
      <c r="BN127" s="472">
        <f t="shared" si="224"/>
        <v>56.484167855508979</v>
      </c>
      <c r="BO127" s="179">
        <f t="shared" si="225"/>
        <v>2.5500000000000002E-2</v>
      </c>
      <c r="BP127" s="179">
        <f t="shared" si="226"/>
        <v>2.5500000000000002E-2</v>
      </c>
      <c r="BQ127" s="546"/>
      <c r="BS127" s="472">
        <f t="shared" si="227"/>
        <v>51.000000000000007</v>
      </c>
      <c r="BT127" s="546">
        <f t="shared" si="228"/>
        <v>2.5103281927032904E-3</v>
      </c>
      <c r="BU127" s="546">
        <f t="shared" si="229"/>
        <v>8.7281624998873254E-3</v>
      </c>
      <c r="BV127" s="546">
        <f t="shared" si="230"/>
        <v>1.9638365624746482E-2</v>
      </c>
      <c r="BW127" s="546">
        <f t="shared" si="231"/>
        <v>7.2912227427339091E-3</v>
      </c>
      <c r="BX127" s="546"/>
      <c r="BY127" s="656">
        <f t="shared" si="232"/>
        <v>1.9318181818181821E-2</v>
      </c>
      <c r="BZ127" s="472">
        <f t="shared" si="233"/>
        <v>57.486260878252828</v>
      </c>
      <c r="CA127" s="179">
        <f t="shared" si="234"/>
        <v>0.1649704287337618</v>
      </c>
      <c r="CB127" s="6">
        <f t="shared" si="235"/>
        <v>0.85000000000000009</v>
      </c>
      <c r="CC127" s="179">
        <f t="shared" si="236"/>
        <v>0.83746282249860948</v>
      </c>
      <c r="CD127" s="6">
        <f t="shared" si="237"/>
        <v>83.746282249860954</v>
      </c>
      <c r="CE127">
        <f t="shared" si="238"/>
        <v>17</v>
      </c>
      <c r="CG127" s="581">
        <f t="shared" si="239"/>
        <v>-50</v>
      </c>
      <c r="CH127">
        <f t="shared" si="240"/>
        <v>-50</v>
      </c>
    </row>
    <row r="128" spans="5:86" x14ac:dyDescent="0.2">
      <c r="E128" s="176">
        <v>18</v>
      </c>
      <c r="F128" s="223">
        <f t="shared" si="241"/>
        <v>0.09</v>
      </c>
      <c r="G128" s="223">
        <f t="shared" si="177"/>
        <v>0.09</v>
      </c>
      <c r="H128" s="223">
        <f t="shared" si="178"/>
        <v>0.44999999999999996</v>
      </c>
      <c r="I128" s="223">
        <f t="shared" si="179"/>
        <v>0.44999999999999996</v>
      </c>
      <c r="J128" s="559">
        <f t="shared" si="180"/>
        <v>15</v>
      </c>
      <c r="K128" s="454">
        <f t="shared" si="181"/>
        <v>15.75</v>
      </c>
      <c r="L128" s="454">
        <f t="shared" si="182"/>
        <v>30.75</v>
      </c>
      <c r="M128" s="454"/>
      <c r="N128" s="223">
        <f t="shared" si="183"/>
        <v>0.51219512195121952</v>
      </c>
      <c r="O128" s="178">
        <f t="shared" si="184"/>
        <v>1.2964939024390245</v>
      </c>
      <c r="P128" s="178">
        <f t="shared" si="185"/>
        <v>2.592987804878049</v>
      </c>
      <c r="Q128" s="223">
        <f t="shared" si="186"/>
        <v>0.25929878048780491</v>
      </c>
      <c r="R128" s="223">
        <f t="shared" si="187"/>
        <v>0.25929878048780491</v>
      </c>
      <c r="S128" s="223">
        <f t="shared" si="188"/>
        <v>5</v>
      </c>
      <c r="T128" s="223">
        <f t="shared" si="189"/>
        <v>0.26031746031746028</v>
      </c>
      <c r="U128" s="223">
        <f t="shared" si="190"/>
        <v>0.76359788359788339</v>
      </c>
      <c r="V128" s="223">
        <f t="shared" si="191"/>
        <v>0.72723607961703185</v>
      </c>
      <c r="W128" s="203">
        <f t="shared" si="192"/>
        <v>350</v>
      </c>
      <c r="X128" s="454">
        <f t="shared" si="193"/>
        <v>350</v>
      </c>
      <c r="Z128" s="223">
        <f t="shared" si="194"/>
        <v>0.4988913525498892</v>
      </c>
      <c r="AA128" s="179">
        <f t="shared" si="195"/>
        <v>1.3937282229965158</v>
      </c>
      <c r="AB128" s="179">
        <f t="shared" si="196"/>
        <v>0.18252122654264241</v>
      </c>
      <c r="AC128" s="179"/>
      <c r="AD128" s="179">
        <f t="shared" si="197"/>
        <v>0.419047619047619</v>
      </c>
      <c r="AE128" s="563">
        <f t="shared" si="198"/>
        <v>954.54545454545473</v>
      </c>
      <c r="AF128" s="546">
        <f t="shared" si="199"/>
        <v>3.2999999999999995E-2</v>
      </c>
      <c r="AH128" s="179">
        <f t="shared" si="200"/>
        <v>0.34188172937891381</v>
      </c>
      <c r="AI128" s="179">
        <f t="shared" si="201"/>
        <v>0.34188172937891381</v>
      </c>
      <c r="AJ128" s="179">
        <f t="shared" si="202"/>
        <v>1.342134614354751</v>
      </c>
      <c r="AL128" s="563">
        <f t="shared" si="203"/>
        <v>90</v>
      </c>
      <c r="AM128" s="472">
        <f t="shared" si="204"/>
        <v>350</v>
      </c>
      <c r="AO128" s="472">
        <f t="shared" si="205"/>
        <v>90</v>
      </c>
      <c r="AP128" s="472">
        <f t="shared" si="206"/>
        <v>350</v>
      </c>
      <c r="AR128" s="6">
        <f t="shared" si="155"/>
        <v>2.8571428571428572</v>
      </c>
      <c r="AS128" s="6">
        <f t="shared" si="242"/>
        <v>1.002853072844814</v>
      </c>
      <c r="AT128" s="6">
        <f t="shared" si="243"/>
        <v>1.8542897842980433</v>
      </c>
      <c r="AU128" s="179">
        <f t="shared" si="244"/>
        <v>0.35099857549568486</v>
      </c>
      <c r="AW128" s="6">
        <f t="shared" si="210"/>
        <v>23.491111111111117</v>
      </c>
      <c r="AX128" s="472">
        <f t="shared" si="211"/>
        <v>1.0796936170212765</v>
      </c>
      <c r="AY128" s="6">
        <f t="shared" si="212"/>
        <v>23.491111111111117</v>
      </c>
      <c r="AZ128" s="472">
        <f t="shared" si="213"/>
        <v>1.9998000000000002</v>
      </c>
      <c r="BA128" s="6">
        <f t="shared" si="214"/>
        <v>5.1508049563834528E-2</v>
      </c>
      <c r="BB128" s="6">
        <f t="shared" si="215"/>
        <v>12.69526522865362</v>
      </c>
      <c r="BC128" s="6"/>
      <c r="BD128" s="179">
        <f t="shared" si="216"/>
        <v>0.11694130653946257</v>
      </c>
      <c r="BE128" s="179">
        <f t="shared" si="217"/>
        <v>0.47704499585777194</v>
      </c>
      <c r="BF128" s="179">
        <f t="shared" si="218"/>
        <v>0.47704499585777194</v>
      </c>
      <c r="BG128" s="179"/>
      <c r="BH128" s="546">
        <f t="shared" si="219"/>
        <v>4.7863442113047928E-3</v>
      </c>
      <c r="BI128" s="546">
        <f t="shared" si="220"/>
        <v>2.7596265843304203E-2</v>
      </c>
      <c r="BJ128" s="546">
        <f t="shared" si="221"/>
        <v>4.3749999999999995E-3</v>
      </c>
      <c r="BK128" s="546">
        <f t="shared" si="222"/>
        <v>1.6547343750000002E-2</v>
      </c>
      <c r="BL128">
        <f t="shared" si="223"/>
        <v>4.3499999999999997E-3</v>
      </c>
      <c r="BN128" s="472">
        <f t="shared" si="224"/>
        <v>57.654953804608994</v>
      </c>
      <c r="BO128" s="179">
        <f t="shared" si="225"/>
        <v>2.7E-2</v>
      </c>
      <c r="BP128" s="179">
        <f t="shared" si="226"/>
        <v>2.7E-2</v>
      </c>
      <c r="BQ128" s="546"/>
      <c r="BS128" s="472">
        <f t="shared" si="227"/>
        <v>54</v>
      </c>
      <c r="BT128" s="546">
        <f t="shared" si="228"/>
        <v>2.7350538350313105E-3</v>
      </c>
      <c r="BU128" s="546">
        <f t="shared" si="229"/>
        <v>9.1028771229176662E-3</v>
      </c>
      <c r="BV128" s="546">
        <f t="shared" si="230"/>
        <v>2.0481473526564747E-2</v>
      </c>
      <c r="BW128" s="546">
        <f t="shared" si="231"/>
        <v>7.8312275898408078E-3</v>
      </c>
      <c r="BX128" s="546"/>
      <c r="BY128" s="656">
        <f t="shared" si="232"/>
        <v>2.0454545454545454E-2</v>
      </c>
      <c r="BZ128" s="472">
        <f t="shared" si="233"/>
        <v>60.605177528899979</v>
      </c>
      <c r="CA128" s="179">
        <f t="shared" si="234"/>
        <v>0.17226013133350898</v>
      </c>
      <c r="CB128" s="6">
        <f t="shared" si="235"/>
        <v>0.89999999999999991</v>
      </c>
      <c r="CC128" s="179">
        <f t="shared" si="236"/>
        <v>0.83934856262978008</v>
      </c>
      <c r="CD128" s="6">
        <f t="shared" si="237"/>
        <v>83.934856262978002</v>
      </c>
      <c r="CE128">
        <f t="shared" si="238"/>
        <v>18</v>
      </c>
      <c r="CG128" s="581">
        <f t="shared" si="239"/>
        <v>-50</v>
      </c>
      <c r="CH128">
        <f t="shared" si="240"/>
        <v>-50</v>
      </c>
    </row>
    <row r="129" spans="5:86" x14ac:dyDescent="0.2">
      <c r="E129" s="176">
        <v>19</v>
      </c>
      <c r="F129" s="223">
        <f t="shared" si="241"/>
        <v>9.5000000000000001E-2</v>
      </c>
      <c r="G129" s="223">
        <f t="shared" si="177"/>
        <v>9.5000000000000001E-2</v>
      </c>
      <c r="H129" s="223">
        <f t="shared" si="178"/>
        <v>0.47499999999999998</v>
      </c>
      <c r="I129" s="223">
        <f t="shared" si="179"/>
        <v>0.47499999999999998</v>
      </c>
      <c r="J129" s="559">
        <f t="shared" si="180"/>
        <v>15</v>
      </c>
      <c r="K129" s="454">
        <f t="shared" si="181"/>
        <v>15.75</v>
      </c>
      <c r="L129" s="454">
        <f t="shared" si="182"/>
        <v>30.75</v>
      </c>
      <c r="M129" s="454"/>
      <c r="N129" s="223">
        <f t="shared" si="183"/>
        <v>0.51219512195121952</v>
      </c>
      <c r="O129" s="178">
        <f t="shared" si="184"/>
        <v>1.2964939024390245</v>
      </c>
      <c r="P129" s="178">
        <f t="shared" si="185"/>
        <v>2.592987804878049</v>
      </c>
      <c r="Q129" s="223">
        <f t="shared" si="186"/>
        <v>0.25929878048780491</v>
      </c>
      <c r="R129" s="223">
        <f t="shared" si="187"/>
        <v>0.25929878048780491</v>
      </c>
      <c r="S129" s="223">
        <f t="shared" si="188"/>
        <v>5</v>
      </c>
      <c r="T129" s="223">
        <f t="shared" si="189"/>
        <v>0.27477954144620809</v>
      </c>
      <c r="U129" s="223">
        <f t="shared" si="190"/>
        <v>0.80601998824221044</v>
      </c>
      <c r="V129" s="223">
        <f t="shared" si="191"/>
        <v>0.7676380840402004</v>
      </c>
      <c r="W129" s="203">
        <f t="shared" si="192"/>
        <v>350</v>
      </c>
      <c r="X129" s="454">
        <f t="shared" si="193"/>
        <v>350</v>
      </c>
      <c r="Z129" s="223">
        <f t="shared" si="194"/>
        <v>0.4988913525498892</v>
      </c>
      <c r="AA129" s="179">
        <f t="shared" si="195"/>
        <v>1.3937282229965158</v>
      </c>
      <c r="AB129" s="179">
        <f t="shared" si="196"/>
        <v>0.18252122654264241</v>
      </c>
      <c r="AC129" s="179"/>
      <c r="AD129" s="179">
        <f t="shared" si="197"/>
        <v>0.419047619047619</v>
      </c>
      <c r="AE129" s="563">
        <f t="shared" si="198"/>
        <v>1007.5757575757577</v>
      </c>
      <c r="AF129" s="546">
        <f t="shared" si="199"/>
        <v>3.2999999999999995E-2</v>
      </c>
      <c r="AH129" s="179">
        <f t="shared" si="200"/>
        <v>0.35125008665710444</v>
      </c>
      <c r="AI129" s="179">
        <f t="shared" si="201"/>
        <v>0.35125008665710444</v>
      </c>
      <c r="AJ129" s="179">
        <f t="shared" si="202"/>
        <v>1.3490741382645217</v>
      </c>
      <c r="AL129" s="563">
        <f t="shared" si="203"/>
        <v>95</v>
      </c>
      <c r="AM129" s="472">
        <f t="shared" si="204"/>
        <v>350</v>
      </c>
      <c r="AO129" s="472">
        <f t="shared" si="205"/>
        <v>95</v>
      </c>
      <c r="AP129" s="472">
        <f t="shared" si="206"/>
        <v>350</v>
      </c>
      <c r="AR129" s="6">
        <f t="shared" si="155"/>
        <v>2.8571428571428572</v>
      </c>
      <c r="AS129" s="6">
        <f t="shared" si="242"/>
        <v>1.0303335875275064</v>
      </c>
      <c r="AT129" s="6">
        <f t="shared" si="243"/>
        <v>1.8268092696153508</v>
      </c>
      <c r="AU129" s="179">
        <f t="shared" si="244"/>
        <v>0.3606167556346272</v>
      </c>
      <c r="AW129" s="6">
        <f t="shared" si="210"/>
        <v>23.491111111111117</v>
      </c>
      <c r="AX129" s="472">
        <f t="shared" si="211"/>
        <v>1.1871586288416076</v>
      </c>
      <c r="AY129" s="6">
        <f t="shared" si="212"/>
        <v>23.491111111111117</v>
      </c>
      <c r="AZ129" s="472">
        <f t="shared" si="213"/>
        <v>2.2123388888888891</v>
      </c>
      <c r="BA129" s="6">
        <f t="shared" si="214"/>
        <v>5.3563852041190838E-2</v>
      </c>
      <c r="BB129" s="6">
        <f t="shared" si="215"/>
        <v>13.207176341737652</v>
      </c>
      <c r="BC129" s="6"/>
      <c r="BD129" s="179">
        <f t="shared" si="216"/>
        <v>0.12178078343651381</v>
      </c>
      <c r="BE129" s="179">
        <f t="shared" si="217"/>
        <v>0.48647182570028707</v>
      </c>
      <c r="BF129" s="179">
        <f t="shared" si="218"/>
        <v>0.48647182570028707</v>
      </c>
      <c r="BG129" s="179"/>
      <c r="BH129" s="546">
        <f t="shared" si="219"/>
        <v>5.1906957250438769E-3</v>
      </c>
      <c r="BI129" s="546">
        <f t="shared" si="220"/>
        <v>2.8352467932353149E-2</v>
      </c>
      <c r="BJ129" s="546">
        <f t="shared" si="221"/>
        <v>4.3749999999999995E-3</v>
      </c>
      <c r="BK129" s="546">
        <f t="shared" si="222"/>
        <v>1.6547343750000002E-2</v>
      </c>
      <c r="BL129">
        <f t="shared" si="223"/>
        <v>4.3499999999999997E-3</v>
      </c>
      <c r="BN129" s="472">
        <f t="shared" si="224"/>
        <v>58.815507407397028</v>
      </c>
      <c r="BO129" s="179">
        <f t="shared" si="225"/>
        <v>2.8499999999999998E-2</v>
      </c>
      <c r="BP129" s="179">
        <f t="shared" si="226"/>
        <v>2.8499999999999998E-2</v>
      </c>
      <c r="BQ129" s="546"/>
      <c r="BS129" s="472">
        <f t="shared" si="227"/>
        <v>56.999999999999993</v>
      </c>
      <c r="BT129" s="546">
        <f t="shared" si="228"/>
        <v>2.9661118428822159E-3</v>
      </c>
      <c r="BU129" s="546">
        <f t="shared" si="229"/>
        <v>9.4661934880068202E-3</v>
      </c>
      <c r="BV129" s="546">
        <f t="shared" si="230"/>
        <v>2.1298935348015344E-2</v>
      </c>
      <c r="BW129" s="546">
        <f t="shared" si="231"/>
        <v>8.3787882568188837E-3</v>
      </c>
      <c r="BX129" s="546"/>
      <c r="BY129" s="656">
        <f t="shared" si="232"/>
        <v>2.1590909090909095E-2</v>
      </c>
      <c r="BZ129" s="472">
        <f t="shared" si="233"/>
        <v>63.700938026632365</v>
      </c>
      <c r="CA129" s="179">
        <f t="shared" si="234"/>
        <v>0.17951644543402939</v>
      </c>
      <c r="CB129" s="6">
        <f t="shared" si="235"/>
        <v>0.95</v>
      </c>
      <c r="CC129" s="179">
        <f t="shared" si="236"/>
        <v>0.84106787806436212</v>
      </c>
      <c r="CD129" s="6">
        <f t="shared" si="237"/>
        <v>84.106787806436216</v>
      </c>
      <c r="CE129">
        <f t="shared" si="238"/>
        <v>19</v>
      </c>
      <c r="CG129" s="581">
        <f t="shared" si="239"/>
        <v>-50</v>
      </c>
      <c r="CH129">
        <f t="shared" si="240"/>
        <v>-50</v>
      </c>
    </row>
    <row r="130" spans="5:86" x14ac:dyDescent="0.2">
      <c r="E130" s="176">
        <v>20</v>
      </c>
      <c r="F130" s="223">
        <f t="shared" si="241"/>
        <v>0.1</v>
      </c>
      <c r="G130" s="223">
        <f t="shared" si="177"/>
        <v>0.1</v>
      </c>
      <c r="H130" s="223">
        <f t="shared" si="178"/>
        <v>0.5</v>
      </c>
      <c r="I130" s="223">
        <f t="shared" si="179"/>
        <v>0.5</v>
      </c>
      <c r="J130" s="559">
        <f t="shared" si="180"/>
        <v>15</v>
      </c>
      <c r="K130" s="454">
        <f t="shared" si="181"/>
        <v>15.75</v>
      </c>
      <c r="L130" s="454">
        <f t="shared" si="182"/>
        <v>30.75</v>
      </c>
      <c r="M130" s="454"/>
      <c r="N130" s="223">
        <f t="shared" si="183"/>
        <v>0.51219512195121952</v>
      </c>
      <c r="O130" s="178">
        <f t="shared" si="184"/>
        <v>1.2964939024390245</v>
      </c>
      <c r="P130" s="178">
        <f t="shared" si="185"/>
        <v>2.592987804878049</v>
      </c>
      <c r="Q130" s="223">
        <f t="shared" si="186"/>
        <v>0.25929878048780491</v>
      </c>
      <c r="R130" s="223">
        <f t="shared" si="187"/>
        <v>0.25929878048780491</v>
      </c>
      <c r="S130" s="223">
        <f t="shared" si="188"/>
        <v>5</v>
      </c>
      <c r="T130" s="223">
        <f t="shared" si="189"/>
        <v>0.28924162257495589</v>
      </c>
      <c r="U130" s="223">
        <f t="shared" si="190"/>
        <v>0.84844209288653727</v>
      </c>
      <c r="V130" s="223">
        <f t="shared" si="191"/>
        <v>0.80804008846336883</v>
      </c>
      <c r="W130" s="203">
        <f t="shared" si="192"/>
        <v>350</v>
      </c>
      <c r="X130" s="454">
        <f t="shared" si="193"/>
        <v>350</v>
      </c>
      <c r="Z130" s="223">
        <f t="shared" si="194"/>
        <v>0.4988913525498892</v>
      </c>
      <c r="AA130" s="179">
        <f t="shared" si="195"/>
        <v>1.3937282229965158</v>
      </c>
      <c r="AB130" s="179">
        <f t="shared" si="196"/>
        <v>0.18252122654264241</v>
      </c>
      <c r="AC130" s="179"/>
      <c r="AD130" s="179">
        <f t="shared" si="197"/>
        <v>0.419047619047619</v>
      </c>
      <c r="AE130" s="563">
        <f t="shared" si="198"/>
        <v>1060.6060606060607</v>
      </c>
      <c r="AF130" s="546">
        <f t="shared" si="199"/>
        <v>3.2999999999999995E-2</v>
      </c>
      <c r="AH130" s="179">
        <f t="shared" si="200"/>
        <v>0.36037498507822358</v>
      </c>
      <c r="AI130" s="179">
        <f t="shared" si="201"/>
        <v>0.36037498507822358</v>
      </c>
      <c r="AJ130" s="179">
        <f t="shared" si="202"/>
        <v>1.3558333222801655</v>
      </c>
      <c r="AL130" s="563">
        <f t="shared" si="203"/>
        <v>100</v>
      </c>
      <c r="AM130" s="472">
        <f t="shared" si="204"/>
        <v>350</v>
      </c>
      <c r="AO130" s="472">
        <f t="shared" si="205"/>
        <v>100</v>
      </c>
      <c r="AP130" s="472">
        <f t="shared" si="206"/>
        <v>350</v>
      </c>
      <c r="AR130" s="6">
        <f t="shared" si="155"/>
        <v>2.8571428571428572</v>
      </c>
      <c r="AS130" s="6">
        <f t="shared" si="242"/>
        <v>1.0570999562294559</v>
      </c>
      <c r="AT130" s="6">
        <f t="shared" si="243"/>
        <v>1.8000429009134014</v>
      </c>
      <c r="AU130" s="179">
        <f t="shared" si="244"/>
        <v>0.36998498468030955</v>
      </c>
      <c r="AW130" s="6">
        <f t="shared" si="210"/>
        <v>23.491111111111117</v>
      </c>
      <c r="AX130" s="472">
        <f t="shared" si="211"/>
        <v>1.2996217494089839</v>
      </c>
      <c r="AY130" s="6">
        <f t="shared" si="212"/>
        <v>23.491111111111117</v>
      </c>
      <c r="AZ130" s="472">
        <f t="shared" si="213"/>
        <v>2.4355555555555561</v>
      </c>
      <c r="BA130" s="6">
        <f t="shared" si="214"/>
        <v>5.555687965782103E-2</v>
      </c>
      <c r="BB130" s="6">
        <f t="shared" si="215"/>
        <v>13.704021488247417</v>
      </c>
      <c r="BC130" s="6"/>
      <c r="BD130" s="179">
        <f t="shared" si="216"/>
        <v>0.12655696742367289</v>
      </c>
      <c r="BE130" s="179">
        <f t="shared" si="217"/>
        <v>0.49543959831557682</v>
      </c>
      <c r="BF130" s="179">
        <f t="shared" si="218"/>
        <v>0.49543959831557682</v>
      </c>
      <c r="BG130" s="179"/>
      <c r="BH130" s="546">
        <f t="shared" si="219"/>
        <v>5.6058331012168111E-3</v>
      </c>
      <c r="BI130" s="546">
        <f t="shared" si="220"/>
        <v>2.9089018326782859E-2</v>
      </c>
      <c r="BJ130" s="546">
        <f t="shared" si="221"/>
        <v>4.3749999999999995E-3</v>
      </c>
      <c r="BK130" s="546">
        <f t="shared" si="222"/>
        <v>1.6547343750000002E-2</v>
      </c>
      <c r="BL130">
        <f t="shared" si="223"/>
        <v>4.3499999999999997E-3</v>
      </c>
      <c r="BN130" s="472">
        <f t="shared" si="224"/>
        <v>59.967195177999663</v>
      </c>
      <c r="BO130" s="179">
        <f t="shared" si="225"/>
        <v>0.03</v>
      </c>
      <c r="BP130" s="179">
        <f t="shared" si="226"/>
        <v>0.03</v>
      </c>
      <c r="BQ130" s="546"/>
      <c r="BS130" s="472">
        <f t="shared" si="227"/>
        <v>60</v>
      </c>
      <c r="BT130" s="546">
        <f t="shared" si="228"/>
        <v>3.2033332006953207E-3</v>
      </c>
      <c r="BU130" s="546">
        <f t="shared" si="229"/>
        <v>9.8184158231640044E-3</v>
      </c>
      <c r="BV130" s="546">
        <f t="shared" si="230"/>
        <v>2.209143560211901E-2</v>
      </c>
      <c r="BW130" s="546">
        <f t="shared" si="231"/>
        <v>8.9336042296007511E-3</v>
      </c>
      <c r="BX130" s="546"/>
      <c r="BY130" s="656">
        <f t="shared" si="232"/>
        <v>2.2727272727272724E-2</v>
      </c>
      <c r="BZ130" s="472">
        <f t="shared" si="233"/>
        <v>66.774061582851814</v>
      </c>
      <c r="CA130" s="179">
        <f t="shared" si="234"/>
        <v>0.18674125676085149</v>
      </c>
      <c r="CB130" s="6">
        <f t="shared" si="235"/>
        <v>1</v>
      </c>
      <c r="CC130" s="179">
        <f t="shared" si="236"/>
        <v>0.84264366331162022</v>
      </c>
      <c r="CD130" s="6">
        <f t="shared" si="237"/>
        <v>84.264366331162023</v>
      </c>
      <c r="CE130">
        <f t="shared" si="238"/>
        <v>20</v>
      </c>
      <c r="CG130" s="581">
        <f t="shared" si="239"/>
        <v>-50</v>
      </c>
      <c r="CH130">
        <f t="shared" si="240"/>
        <v>-50</v>
      </c>
    </row>
    <row r="131" spans="5:86" x14ac:dyDescent="0.2">
      <c r="E131" s="176">
        <v>21</v>
      </c>
      <c r="F131" s="223">
        <f t="shared" si="241"/>
        <v>0.105</v>
      </c>
      <c r="G131" s="223">
        <f t="shared" si="177"/>
        <v>0.105</v>
      </c>
      <c r="H131" s="223">
        <f t="shared" si="178"/>
        <v>0.52500000000000002</v>
      </c>
      <c r="I131" s="223">
        <f t="shared" si="179"/>
        <v>0.52500000000000002</v>
      </c>
      <c r="J131" s="559">
        <f t="shared" si="180"/>
        <v>15</v>
      </c>
      <c r="K131" s="454">
        <f t="shared" si="181"/>
        <v>15.75</v>
      </c>
      <c r="L131" s="454">
        <f t="shared" si="182"/>
        <v>30.75</v>
      </c>
      <c r="M131" s="454"/>
      <c r="N131" s="223">
        <f t="shared" si="183"/>
        <v>0.51219512195121952</v>
      </c>
      <c r="O131" s="178">
        <f t="shared" si="184"/>
        <v>1.2964939024390245</v>
      </c>
      <c r="P131" s="178">
        <f t="shared" si="185"/>
        <v>2.592987804878049</v>
      </c>
      <c r="Q131" s="223">
        <f t="shared" si="186"/>
        <v>0.25929878048780491</v>
      </c>
      <c r="R131" s="223">
        <f t="shared" si="187"/>
        <v>0.25929878048780491</v>
      </c>
      <c r="S131" s="223">
        <f t="shared" si="188"/>
        <v>5</v>
      </c>
      <c r="T131" s="223">
        <f t="shared" si="189"/>
        <v>0.3037037037037037</v>
      </c>
      <c r="U131" s="223">
        <f t="shared" si="190"/>
        <v>0.8908641975308641</v>
      </c>
      <c r="V131" s="223">
        <f t="shared" si="191"/>
        <v>0.84844209288653727</v>
      </c>
      <c r="W131" s="203">
        <f t="shared" si="192"/>
        <v>350</v>
      </c>
      <c r="X131" s="454">
        <f t="shared" si="193"/>
        <v>350</v>
      </c>
      <c r="Z131" s="223">
        <f t="shared" si="194"/>
        <v>0.4988913525498892</v>
      </c>
      <c r="AA131" s="179">
        <f t="shared" si="195"/>
        <v>1.3937282229965158</v>
      </c>
      <c r="AB131" s="179">
        <f t="shared" si="196"/>
        <v>0.18252122654264241</v>
      </c>
      <c r="AC131" s="179"/>
      <c r="AD131" s="179">
        <f t="shared" si="197"/>
        <v>0.419047619047619</v>
      </c>
      <c r="AE131" s="563">
        <f t="shared" si="198"/>
        <v>1113.6363636363637</v>
      </c>
      <c r="AF131" s="546">
        <f t="shared" si="199"/>
        <v>3.2999999999999995E-2</v>
      </c>
      <c r="AH131" s="179">
        <f t="shared" si="200"/>
        <v>0.3692744729379982</v>
      </c>
      <c r="AI131" s="179">
        <f t="shared" si="201"/>
        <v>0.3692744729379982</v>
      </c>
      <c r="AJ131" s="179">
        <f t="shared" si="202"/>
        <v>1.3624255355096282</v>
      </c>
      <c r="AL131" s="563">
        <f t="shared" si="203"/>
        <v>105</v>
      </c>
      <c r="AM131" s="472">
        <f t="shared" si="204"/>
        <v>350</v>
      </c>
      <c r="AO131" s="472">
        <f t="shared" si="205"/>
        <v>105</v>
      </c>
      <c r="AP131" s="472">
        <f t="shared" si="206"/>
        <v>350</v>
      </c>
      <c r="AR131" s="6">
        <f t="shared" si="155"/>
        <v>2.8571428571428572</v>
      </c>
      <c r="AS131" s="6">
        <f t="shared" si="242"/>
        <v>1.0832051206181279</v>
      </c>
      <c r="AT131" s="6">
        <f t="shared" si="243"/>
        <v>1.7739377365247293</v>
      </c>
      <c r="AU131" s="179">
        <f t="shared" si="244"/>
        <v>0.37912179221634473</v>
      </c>
      <c r="AW131" s="6">
        <f t="shared" si="210"/>
        <v>23.491111111111117</v>
      </c>
      <c r="AX131" s="472">
        <f t="shared" si="211"/>
        <v>1.4170829787234043</v>
      </c>
      <c r="AY131" s="6">
        <f t="shared" si="212"/>
        <v>23.491111111111117</v>
      </c>
      <c r="AZ131" s="472">
        <f t="shared" si="213"/>
        <v>2.6694499999999999</v>
      </c>
      <c r="BA131" s="6">
        <f t="shared" si="214"/>
        <v>5.7488722942931038E-2</v>
      </c>
      <c r="BB131" s="6">
        <f t="shared" si="215"/>
        <v>14.18618239519234</v>
      </c>
      <c r="BC131" s="6"/>
      <c r="BD131" s="179">
        <f t="shared" si="216"/>
        <v>0.13127379303237405</v>
      </c>
      <c r="BE131" s="179">
        <f t="shared" si="217"/>
        <v>0.50397979171485618</v>
      </c>
      <c r="BF131" s="179">
        <f t="shared" si="218"/>
        <v>0.50397979171485618</v>
      </c>
      <c r="BG131" s="179"/>
      <c r="BH131" s="546">
        <f t="shared" si="219"/>
        <v>6.0314830579873014E-3</v>
      </c>
      <c r="BI131" s="546">
        <f t="shared" si="220"/>
        <v>2.9807373862464039E-2</v>
      </c>
      <c r="BJ131" s="546">
        <f t="shared" si="221"/>
        <v>4.3749999999999995E-3</v>
      </c>
      <c r="BK131" s="546">
        <f t="shared" si="222"/>
        <v>1.6547343750000002E-2</v>
      </c>
      <c r="BL131">
        <f t="shared" si="223"/>
        <v>4.3499999999999997E-3</v>
      </c>
      <c r="BN131" s="472">
        <f t="shared" si="224"/>
        <v>61.111200670451346</v>
      </c>
      <c r="BO131" s="179">
        <f t="shared" si="225"/>
        <v>3.15E-2</v>
      </c>
      <c r="BP131" s="179">
        <f t="shared" si="226"/>
        <v>3.15E-2</v>
      </c>
      <c r="BQ131" s="546"/>
      <c r="BS131" s="472">
        <f t="shared" si="227"/>
        <v>63</v>
      </c>
      <c r="BT131" s="546">
        <f t="shared" si="228"/>
        <v>3.4465617474213153E-3</v>
      </c>
      <c r="BU131" s="546">
        <f t="shared" si="229"/>
        <v>1.0159825218277994E-2</v>
      </c>
      <c r="BV131" s="546">
        <f t="shared" si="230"/>
        <v>2.2859606741125485E-2</v>
      </c>
      <c r="BW131" s="546">
        <f t="shared" si="231"/>
        <v>9.4954014907528052E-3</v>
      </c>
      <c r="BX131" s="546"/>
      <c r="BY131" s="656">
        <f t="shared" si="232"/>
        <v>2.3863636363636365E-2</v>
      </c>
      <c r="BZ131" s="472">
        <f t="shared" si="233"/>
        <v>69.825031561213976</v>
      </c>
      <c r="CA131" s="179">
        <f t="shared" si="234"/>
        <v>0.19393623223166531</v>
      </c>
      <c r="CB131" s="6">
        <f t="shared" si="235"/>
        <v>1.05</v>
      </c>
      <c r="CC131" s="179">
        <f t="shared" si="236"/>
        <v>0.84409471546323811</v>
      </c>
      <c r="CD131" s="6">
        <f t="shared" si="237"/>
        <v>84.409471546323815</v>
      </c>
      <c r="CE131">
        <f t="shared" si="238"/>
        <v>21</v>
      </c>
      <c r="CG131" s="581">
        <f t="shared" si="239"/>
        <v>-50</v>
      </c>
      <c r="CH131">
        <f t="shared" si="240"/>
        <v>-50</v>
      </c>
    </row>
    <row r="132" spans="5:86" x14ac:dyDescent="0.2">
      <c r="E132" s="176">
        <v>22</v>
      </c>
      <c r="F132" s="223">
        <f t="shared" si="241"/>
        <v>0.11</v>
      </c>
      <c r="G132" s="223">
        <f t="shared" si="177"/>
        <v>0.11</v>
      </c>
      <c r="H132" s="223">
        <f t="shared" si="178"/>
        <v>0.55000000000000004</v>
      </c>
      <c r="I132" s="223">
        <f t="shared" si="179"/>
        <v>0.55000000000000004</v>
      </c>
      <c r="J132" s="559">
        <f t="shared" si="180"/>
        <v>15</v>
      </c>
      <c r="K132" s="454">
        <f t="shared" si="181"/>
        <v>15.75</v>
      </c>
      <c r="L132" s="454">
        <f t="shared" si="182"/>
        <v>30.75</v>
      </c>
      <c r="M132" s="454"/>
      <c r="N132" s="223">
        <f t="shared" si="183"/>
        <v>0.51219512195121952</v>
      </c>
      <c r="O132" s="178">
        <f t="shared" si="184"/>
        <v>1.2964939024390245</v>
      </c>
      <c r="P132" s="178">
        <f t="shared" si="185"/>
        <v>2.592987804878049</v>
      </c>
      <c r="Q132" s="223">
        <f t="shared" si="186"/>
        <v>0.25929878048780491</v>
      </c>
      <c r="R132" s="223">
        <f t="shared" si="187"/>
        <v>0.25929878048780491</v>
      </c>
      <c r="S132" s="223">
        <f t="shared" si="188"/>
        <v>5</v>
      </c>
      <c r="T132" s="223">
        <f t="shared" si="189"/>
        <v>0.3181657848324515</v>
      </c>
      <c r="U132" s="223">
        <f t="shared" si="190"/>
        <v>0.93328630217519104</v>
      </c>
      <c r="V132" s="223">
        <f t="shared" si="191"/>
        <v>0.88884409730970582</v>
      </c>
      <c r="W132" s="203">
        <f t="shared" si="192"/>
        <v>350</v>
      </c>
      <c r="X132" s="454">
        <f t="shared" si="193"/>
        <v>350</v>
      </c>
      <c r="Z132" s="223">
        <f t="shared" si="194"/>
        <v>0.4988913525498892</v>
      </c>
      <c r="AA132" s="179">
        <f t="shared" si="195"/>
        <v>1.3937282229965158</v>
      </c>
      <c r="AB132" s="179">
        <f t="shared" si="196"/>
        <v>0.18252122654264241</v>
      </c>
      <c r="AC132" s="179"/>
      <c r="AD132" s="179">
        <f t="shared" si="197"/>
        <v>0.419047619047619</v>
      </c>
      <c r="AE132" s="563">
        <f t="shared" si="198"/>
        <v>1166.666666666667</v>
      </c>
      <c r="AF132" s="546">
        <f t="shared" si="199"/>
        <v>3.2999999999999995E-2</v>
      </c>
      <c r="AH132" s="179">
        <f t="shared" si="200"/>
        <v>0.37796447300922725</v>
      </c>
      <c r="AI132" s="179">
        <f t="shared" si="201"/>
        <v>0.37796447300922725</v>
      </c>
      <c r="AJ132" s="179">
        <f t="shared" si="202"/>
        <v>1.3688625725994275</v>
      </c>
      <c r="AL132" s="563">
        <f t="shared" si="203"/>
        <v>110</v>
      </c>
      <c r="AM132" s="472">
        <f t="shared" si="204"/>
        <v>350</v>
      </c>
      <c r="AO132" s="472">
        <f t="shared" si="205"/>
        <v>110</v>
      </c>
      <c r="AP132" s="472">
        <f t="shared" si="206"/>
        <v>350</v>
      </c>
      <c r="AR132" s="6">
        <f t="shared" si="155"/>
        <v>2.8571428571428572</v>
      </c>
      <c r="AS132" s="6">
        <f t="shared" si="242"/>
        <v>1.1086957874937331</v>
      </c>
      <c r="AT132" s="6">
        <f t="shared" si="243"/>
        <v>1.7484470696491241</v>
      </c>
      <c r="AU132" s="179">
        <f t="shared" si="244"/>
        <v>0.38804352562280658</v>
      </c>
      <c r="AW132" s="6">
        <f t="shared" si="210"/>
        <v>23.491111111111117</v>
      </c>
      <c r="AX132" s="472">
        <f t="shared" si="211"/>
        <v>1.5395423167848701</v>
      </c>
      <c r="AY132" s="6">
        <f t="shared" si="212"/>
        <v>23.491111111111117</v>
      </c>
      <c r="AZ132" s="472">
        <f t="shared" si="213"/>
        <v>2.9140222222222225</v>
      </c>
      <c r="BA132" s="6">
        <f t="shared" si="214"/>
        <v>5.9360857302902352E-2</v>
      </c>
      <c r="BB132" s="6">
        <f t="shared" si="215"/>
        <v>14.65401316010397</v>
      </c>
      <c r="BC132" s="6"/>
      <c r="BD132" s="179">
        <f t="shared" si="216"/>
        <v>0.13593477525966471</v>
      </c>
      <c r="BE132" s="179">
        <f t="shared" si="217"/>
        <v>0.51212016211761147</v>
      </c>
      <c r="BF132" s="179">
        <f t="shared" si="218"/>
        <v>0.51212016211761147</v>
      </c>
      <c r="BG132" s="179"/>
      <c r="BH132" s="546">
        <f t="shared" si="219"/>
        <v>6.4673920937134439E-3</v>
      </c>
      <c r="BI132" s="546">
        <f t="shared" si="220"/>
        <v>3.0508819805713561E-2</v>
      </c>
      <c r="BJ132" s="546">
        <f t="shared" si="221"/>
        <v>4.3749999999999995E-3</v>
      </c>
      <c r="BK132" s="546">
        <f t="shared" si="222"/>
        <v>1.6547343750000002E-2</v>
      </c>
      <c r="BL132">
        <f t="shared" si="223"/>
        <v>4.3499999999999997E-3</v>
      </c>
      <c r="BN132" s="472">
        <f t="shared" si="224"/>
        <v>62.248555649427004</v>
      </c>
      <c r="BO132" s="179">
        <f t="shared" si="225"/>
        <v>3.3000000000000002E-2</v>
      </c>
      <c r="BP132" s="179">
        <f t="shared" si="226"/>
        <v>3.3000000000000002E-2</v>
      </c>
      <c r="BQ132" s="546"/>
      <c r="BS132" s="472">
        <f t="shared" si="227"/>
        <v>66</v>
      </c>
      <c r="BT132" s="546">
        <f t="shared" si="228"/>
        <v>3.6956526249791108E-3</v>
      </c>
      <c r="BU132" s="546">
        <f t="shared" si="229"/>
        <v>1.0490682417894746E-2</v>
      </c>
      <c r="BV132" s="546">
        <f t="shared" si="230"/>
        <v>2.3604035440263176E-2</v>
      </c>
      <c r="BW132" s="546">
        <f t="shared" si="231"/>
        <v>1.0063929022836513E-2</v>
      </c>
      <c r="BX132" s="546"/>
      <c r="BY132" s="656">
        <f t="shared" si="232"/>
        <v>2.5000000000000008E-2</v>
      </c>
      <c r="BZ132" s="472">
        <f t="shared" si="233"/>
        <v>72.854299505973557</v>
      </c>
      <c r="CA132" s="179">
        <f t="shared" si="234"/>
        <v>0.20110285515540055</v>
      </c>
      <c r="CB132" s="6">
        <f t="shared" si="235"/>
        <v>1.1000000000000001</v>
      </c>
      <c r="CC132" s="179">
        <f t="shared" si="236"/>
        <v>0.84543661989629459</v>
      </c>
      <c r="CD132" s="6">
        <f t="shared" si="237"/>
        <v>84.543661989629456</v>
      </c>
      <c r="CE132">
        <f t="shared" si="238"/>
        <v>22</v>
      </c>
      <c r="CG132" s="581">
        <f t="shared" si="239"/>
        <v>-50</v>
      </c>
      <c r="CH132">
        <f t="shared" si="240"/>
        <v>-50</v>
      </c>
    </row>
    <row r="133" spans="5:86" x14ac:dyDescent="0.2">
      <c r="E133" s="176">
        <v>23</v>
      </c>
      <c r="F133" s="223">
        <f t="shared" si="241"/>
        <v>0.115</v>
      </c>
      <c r="G133" s="223">
        <f t="shared" si="177"/>
        <v>0.115</v>
      </c>
      <c r="H133" s="223">
        <f t="shared" si="178"/>
        <v>0.57500000000000007</v>
      </c>
      <c r="I133" s="223">
        <f t="shared" si="179"/>
        <v>0.57500000000000007</v>
      </c>
      <c r="J133" s="559">
        <f t="shared" si="180"/>
        <v>15</v>
      </c>
      <c r="K133" s="454">
        <f t="shared" si="181"/>
        <v>15.75</v>
      </c>
      <c r="L133" s="454">
        <f t="shared" si="182"/>
        <v>30.75</v>
      </c>
      <c r="M133" s="454"/>
      <c r="N133" s="223">
        <f t="shared" si="183"/>
        <v>0.51219512195121952</v>
      </c>
      <c r="O133" s="178">
        <f t="shared" si="184"/>
        <v>1.2964939024390245</v>
      </c>
      <c r="P133" s="178">
        <f t="shared" si="185"/>
        <v>2.592987804878049</v>
      </c>
      <c r="Q133" s="223">
        <f t="shared" si="186"/>
        <v>0.25929878048780491</v>
      </c>
      <c r="R133" s="223">
        <f t="shared" si="187"/>
        <v>0.25929878048780491</v>
      </c>
      <c r="S133" s="223">
        <f t="shared" si="188"/>
        <v>5</v>
      </c>
      <c r="T133" s="223">
        <f t="shared" si="189"/>
        <v>0.33262786596119931</v>
      </c>
      <c r="U133" s="223">
        <f t="shared" si="190"/>
        <v>0.97570840681951798</v>
      </c>
      <c r="V133" s="223">
        <f t="shared" si="191"/>
        <v>0.92924610173287425</v>
      </c>
      <c r="W133" s="203">
        <f t="shared" si="192"/>
        <v>350</v>
      </c>
      <c r="X133" s="454">
        <f t="shared" si="193"/>
        <v>350</v>
      </c>
      <c r="Z133" s="223">
        <f t="shared" si="194"/>
        <v>0.4988913525498892</v>
      </c>
      <c r="AA133" s="179">
        <f t="shared" si="195"/>
        <v>1.3937282229965158</v>
      </c>
      <c r="AB133" s="179">
        <f t="shared" si="196"/>
        <v>0.18252122654264241</v>
      </c>
      <c r="AC133" s="179"/>
      <c r="AD133" s="179">
        <f t="shared" si="197"/>
        <v>0.419047619047619</v>
      </c>
      <c r="AE133" s="563">
        <f t="shared" si="198"/>
        <v>1219.69696969697</v>
      </c>
      <c r="AF133" s="546">
        <f t="shared" si="199"/>
        <v>3.2999999999999995E-2</v>
      </c>
      <c r="AH133" s="179">
        <f t="shared" si="200"/>
        <v>0.38645911730822108</v>
      </c>
      <c r="AI133" s="179">
        <f t="shared" si="201"/>
        <v>0.38645911730822108</v>
      </c>
      <c r="AJ133" s="179">
        <f t="shared" si="202"/>
        <v>1.3751549017097933</v>
      </c>
      <c r="AL133" s="563">
        <f t="shared" si="203"/>
        <v>115</v>
      </c>
      <c r="AM133" s="472">
        <f t="shared" si="204"/>
        <v>350</v>
      </c>
      <c r="AO133" s="472">
        <f t="shared" si="205"/>
        <v>115</v>
      </c>
      <c r="AP133" s="472">
        <f t="shared" si="206"/>
        <v>350</v>
      </c>
      <c r="AR133" s="6">
        <f t="shared" si="155"/>
        <v>2.8571428571428572</v>
      </c>
      <c r="AS133" s="6">
        <f t="shared" si="242"/>
        <v>1.1336134107707818</v>
      </c>
      <c r="AT133" s="6">
        <f t="shared" si="243"/>
        <v>1.7235294463720754</v>
      </c>
      <c r="AU133" s="179">
        <f t="shared" si="244"/>
        <v>0.39676469376977364</v>
      </c>
      <c r="AW133" s="6">
        <f t="shared" si="210"/>
        <v>23.491111111111117</v>
      </c>
      <c r="AX133" s="472">
        <f t="shared" si="211"/>
        <v>1.6669997635933806</v>
      </c>
      <c r="AY133" s="6">
        <f t="shared" si="212"/>
        <v>23.491111111111117</v>
      </c>
      <c r="AZ133" s="472">
        <f t="shared" si="213"/>
        <v>3.1692722222222227</v>
      </c>
      <c r="BA133" s="6">
        <f t="shared" si="214"/>
        <v>6.1174656275552061E-2</v>
      </c>
      <c r="BB133" s="6">
        <f t="shared" si="215"/>
        <v>15.107843432058424</v>
      </c>
      <c r="BC133" s="6"/>
      <c r="BD133" s="179">
        <f t="shared" si="216"/>
        <v>0.14054307127938542</v>
      </c>
      <c r="BE133" s="179">
        <f t="shared" si="217"/>
        <v>0.51988532782736463</v>
      </c>
      <c r="BF133" s="179">
        <f t="shared" si="218"/>
        <v>0.51988532782736463</v>
      </c>
      <c r="BG133" s="179"/>
      <c r="BH133" s="546">
        <f t="shared" si="219"/>
        <v>6.9133242096248437E-3</v>
      </c>
      <c r="BI133" s="546">
        <f t="shared" si="220"/>
        <v>3.1194496875222966E-2</v>
      </c>
      <c r="BJ133" s="546">
        <f t="shared" si="221"/>
        <v>4.3749999999999995E-3</v>
      </c>
      <c r="BK133" s="546">
        <f t="shared" si="222"/>
        <v>1.6547343750000002E-2</v>
      </c>
      <c r="BL133">
        <f t="shared" si="223"/>
        <v>4.3499999999999997E-3</v>
      </c>
      <c r="BN133" s="472">
        <f t="shared" si="224"/>
        <v>63.380164834847818</v>
      </c>
      <c r="BO133" s="179">
        <f t="shared" si="225"/>
        <v>3.4500000000000003E-2</v>
      </c>
      <c r="BP133" s="179">
        <f t="shared" si="226"/>
        <v>3.4500000000000003E-2</v>
      </c>
      <c r="BQ133" s="546"/>
      <c r="BS133" s="472">
        <f t="shared" si="227"/>
        <v>69</v>
      </c>
      <c r="BT133" s="546">
        <f t="shared" si="228"/>
        <v>3.9504709769284828E-3</v>
      </c>
      <c r="BU133" s="546">
        <f t="shared" si="229"/>
        <v>1.0811230163606656E-2</v>
      </c>
      <c r="BV133" s="546">
        <f t="shared" si="230"/>
        <v>2.4325267868114973E-2</v>
      </c>
      <c r="BW133" s="546">
        <f t="shared" si="231"/>
        <v>1.0638955912423146E-2</v>
      </c>
      <c r="BX133" s="546"/>
      <c r="BY133" s="656">
        <f t="shared" si="232"/>
        <v>2.6136363636363645E-2</v>
      </c>
      <c r="BZ133" s="472">
        <f t="shared" si="233"/>
        <v>75.862288557436898</v>
      </c>
      <c r="CA133" s="179">
        <f t="shared" si="234"/>
        <v>0.20824245339228475</v>
      </c>
      <c r="CB133" s="6">
        <f t="shared" si="235"/>
        <v>1.1500000000000001</v>
      </c>
      <c r="CC133" s="179">
        <f t="shared" si="236"/>
        <v>0.84668241456288773</v>
      </c>
      <c r="CD133" s="6">
        <f t="shared" si="237"/>
        <v>84.668241456288769</v>
      </c>
      <c r="CE133">
        <f t="shared" si="238"/>
        <v>23</v>
      </c>
      <c r="CG133" s="581">
        <f t="shared" si="239"/>
        <v>-50</v>
      </c>
      <c r="CH133">
        <f t="shared" si="240"/>
        <v>-50</v>
      </c>
    </row>
    <row r="134" spans="5:86" x14ac:dyDescent="0.2">
      <c r="E134" s="176">
        <v>24</v>
      </c>
      <c r="F134" s="223">
        <f t="shared" si="241"/>
        <v>0.12</v>
      </c>
      <c r="G134" s="223">
        <f t="shared" si="177"/>
        <v>0.12</v>
      </c>
      <c r="H134" s="223">
        <f t="shared" si="178"/>
        <v>0.6</v>
      </c>
      <c r="I134" s="223">
        <f t="shared" si="179"/>
        <v>0.6</v>
      </c>
      <c r="J134" s="559">
        <f t="shared" si="180"/>
        <v>15</v>
      </c>
      <c r="K134" s="454">
        <f t="shared" si="181"/>
        <v>15.75</v>
      </c>
      <c r="L134" s="454">
        <f t="shared" si="182"/>
        <v>30.75</v>
      </c>
      <c r="M134" s="454"/>
      <c r="N134" s="223">
        <f t="shared" si="183"/>
        <v>0.51219512195121952</v>
      </c>
      <c r="O134" s="178">
        <f t="shared" si="184"/>
        <v>1.2964939024390245</v>
      </c>
      <c r="P134" s="178">
        <f t="shared" si="185"/>
        <v>2.592987804878049</v>
      </c>
      <c r="Q134" s="223">
        <f t="shared" si="186"/>
        <v>0.25929878048780491</v>
      </c>
      <c r="R134" s="223">
        <f t="shared" si="187"/>
        <v>0.25929878048780491</v>
      </c>
      <c r="S134" s="223">
        <f t="shared" si="188"/>
        <v>5</v>
      </c>
      <c r="T134" s="223">
        <f t="shared" si="189"/>
        <v>0.34708994708994706</v>
      </c>
      <c r="U134" s="223">
        <f t="shared" si="190"/>
        <v>1.0181305114638446</v>
      </c>
      <c r="V134" s="223">
        <f t="shared" si="191"/>
        <v>0.96964810615604258</v>
      </c>
      <c r="W134" s="203">
        <f t="shared" si="192"/>
        <v>350</v>
      </c>
      <c r="X134" s="454">
        <f t="shared" si="193"/>
        <v>350</v>
      </c>
      <c r="Z134" s="223">
        <f t="shared" si="194"/>
        <v>0.4988913525498892</v>
      </c>
      <c r="AA134" s="179">
        <f t="shared" si="195"/>
        <v>1.3937282229965158</v>
      </c>
      <c r="AB134" s="179">
        <f t="shared" si="196"/>
        <v>0.18252122654264241</v>
      </c>
      <c r="AC134" s="179"/>
      <c r="AD134" s="179">
        <f t="shared" si="197"/>
        <v>0.419047619047619</v>
      </c>
      <c r="AE134" s="563">
        <f t="shared" si="198"/>
        <v>1272.727272727273</v>
      </c>
      <c r="AF134" s="546">
        <f t="shared" si="199"/>
        <v>3.2999999999999995E-2</v>
      </c>
      <c r="AH134" s="179">
        <f t="shared" si="200"/>
        <v>0.39477101697586137</v>
      </c>
      <c r="AI134" s="179">
        <f t="shared" si="201"/>
        <v>0.39477101697586137</v>
      </c>
      <c r="AJ134" s="179">
        <f t="shared" si="202"/>
        <v>1.3813118644265638</v>
      </c>
      <c r="AL134" s="563">
        <f t="shared" si="203"/>
        <v>120</v>
      </c>
      <c r="AM134" s="472">
        <f t="shared" si="204"/>
        <v>350</v>
      </c>
      <c r="AO134" s="472">
        <f t="shared" si="205"/>
        <v>120</v>
      </c>
      <c r="AP134" s="472">
        <f t="shared" si="206"/>
        <v>350</v>
      </c>
      <c r="AR134" s="6">
        <f t="shared" ref="AR134:AR197" si="245">1/AM134*1000</f>
        <v>2.8571428571428572</v>
      </c>
      <c r="AS134" s="6">
        <f t="shared" si="242"/>
        <v>1.1579949831291931</v>
      </c>
      <c r="AT134" s="6">
        <f t="shared" si="243"/>
        <v>1.6991478740136641</v>
      </c>
      <c r="AU134" s="179">
        <f t="shared" si="244"/>
        <v>0.40529824409521759</v>
      </c>
      <c r="AW134" s="6">
        <f t="shared" si="210"/>
        <v>23.491111111111117</v>
      </c>
      <c r="AX134" s="472">
        <f t="shared" si="211"/>
        <v>1.7994553191489362</v>
      </c>
      <c r="AY134" s="6">
        <f t="shared" si="212"/>
        <v>23.491111111111117</v>
      </c>
      <c r="AZ134" s="472">
        <f t="shared" si="213"/>
        <v>3.4352000000000005</v>
      </c>
      <c r="BA134" s="6">
        <f t="shared" si="214"/>
        <v>6.2931402741246797E-2</v>
      </c>
      <c r="BB134" s="6">
        <f t="shared" si="215"/>
        <v>15.54798110234368</v>
      </c>
      <c r="BC134" s="6"/>
      <c r="BD134" s="179">
        <f t="shared" si="216"/>
        <v>0.14510153079382931</v>
      </c>
      <c r="BE134" s="179">
        <f t="shared" si="217"/>
        <v>0.52729724006868661</v>
      </c>
      <c r="BF134" s="179">
        <f t="shared" si="218"/>
        <v>0.52729724006868661</v>
      </c>
      <c r="BG134" s="179"/>
      <c r="BH134" s="546">
        <f t="shared" si="219"/>
        <v>7.3690589835494081E-3</v>
      </c>
      <c r="BI134" s="546">
        <f t="shared" si="220"/>
        <v>3.1865423026520311E-2</v>
      </c>
      <c r="BJ134" s="546">
        <f t="shared" si="221"/>
        <v>4.3749999999999995E-3</v>
      </c>
      <c r="BK134" s="546">
        <f t="shared" si="222"/>
        <v>1.6547343750000002E-2</v>
      </c>
      <c r="BL134">
        <f t="shared" si="223"/>
        <v>4.3499999999999997E-3</v>
      </c>
      <c r="BN134" s="472">
        <f t="shared" si="224"/>
        <v>64.506825760069717</v>
      </c>
      <c r="BO134" s="179">
        <f t="shared" si="225"/>
        <v>3.5999999999999997E-2</v>
      </c>
      <c r="BP134" s="179">
        <f t="shared" si="226"/>
        <v>3.5999999999999997E-2</v>
      </c>
      <c r="BQ134" s="546"/>
      <c r="BS134" s="472">
        <f t="shared" si="227"/>
        <v>72</v>
      </c>
      <c r="BT134" s="546">
        <f t="shared" si="228"/>
        <v>4.2108908477425195E-3</v>
      </c>
      <c r="BU134" s="546">
        <f t="shared" si="229"/>
        <v>1.1121695175362165E-2</v>
      </c>
      <c r="BV134" s="546">
        <f t="shared" si="230"/>
        <v>2.5023814144564869E-2</v>
      </c>
      <c r="BW134" s="546">
        <f t="shared" si="231"/>
        <v>1.1220268929746499E-2</v>
      </c>
      <c r="BX134" s="546"/>
      <c r="BY134" s="656">
        <f t="shared" si="232"/>
        <v>2.7272727272727271E-2</v>
      </c>
      <c r="BZ134" s="472">
        <f t="shared" si="233"/>
        <v>78.849396370143324</v>
      </c>
      <c r="CA134" s="179">
        <f t="shared" si="234"/>
        <v>0.21535622213021305</v>
      </c>
      <c r="CB134" s="6">
        <f t="shared" si="235"/>
        <v>1.2</v>
      </c>
      <c r="CC134" s="179">
        <f t="shared" si="236"/>
        <v>0.84784309507179301</v>
      </c>
      <c r="CD134" s="6">
        <f t="shared" si="237"/>
        <v>84.784309507179302</v>
      </c>
      <c r="CE134">
        <f t="shared" si="238"/>
        <v>24</v>
      </c>
      <c r="CG134" s="581">
        <f t="shared" si="239"/>
        <v>-50</v>
      </c>
      <c r="CH134">
        <f t="shared" si="240"/>
        <v>-50</v>
      </c>
    </row>
    <row r="135" spans="5:86" x14ac:dyDescent="0.2">
      <c r="E135" s="176">
        <v>25</v>
      </c>
      <c r="F135" s="223">
        <f t="shared" si="241"/>
        <v>0.125</v>
      </c>
      <c r="G135" s="223">
        <f t="shared" si="177"/>
        <v>0.125</v>
      </c>
      <c r="H135" s="223">
        <f t="shared" si="178"/>
        <v>0.625</v>
      </c>
      <c r="I135" s="223">
        <f t="shared" si="179"/>
        <v>0.625</v>
      </c>
      <c r="J135" s="559">
        <f t="shared" si="180"/>
        <v>15</v>
      </c>
      <c r="K135" s="454">
        <f t="shared" si="181"/>
        <v>15.75</v>
      </c>
      <c r="L135" s="454">
        <f t="shared" si="182"/>
        <v>30.75</v>
      </c>
      <c r="M135" s="454"/>
      <c r="N135" s="223">
        <f t="shared" si="183"/>
        <v>0.51219512195121952</v>
      </c>
      <c r="O135" s="178">
        <f t="shared" si="184"/>
        <v>1.2964939024390245</v>
      </c>
      <c r="P135" s="178">
        <f t="shared" si="185"/>
        <v>2.592987804878049</v>
      </c>
      <c r="Q135" s="223">
        <f t="shared" si="186"/>
        <v>0.25929878048780491</v>
      </c>
      <c r="R135" s="223">
        <f t="shared" si="187"/>
        <v>0.25929878048780491</v>
      </c>
      <c r="S135" s="223">
        <f t="shared" si="188"/>
        <v>5</v>
      </c>
      <c r="T135" s="223">
        <f t="shared" si="189"/>
        <v>0.36155202821869487</v>
      </c>
      <c r="U135" s="223">
        <f t="shared" si="190"/>
        <v>1.0605526161081715</v>
      </c>
      <c r="V135" s="223">
        <f t="shared" si="191"/>
        <v>1.010050110579211</v>
      </c>
      <c r="W135" s="203">
        <f t="shared" si="192"/>
        <v>350</v>
      </c>
      <c r="X135" s="454">
        <f t="shared" si="193"/>
        <v>350</v>
      </c>
      <c r="Z135" s="223">
        <f t="shared" si="194"/>
        <v>0.4988913525498892</v>
      </c>
      <c r="AA135" s="179">
        <f t="shared" si="195"/>
        <v>1.3937282229965158</v>
      </c>
      <c r="AB135" s="179">
        <f t="shared" si="196"/>
        <v>0.18252122654264241</v>
      </c>
      <c r="AC135" s="179"/>
      <c r="AD135" s="179">
        <f t="shared" si="197"/>
        <v>0.419047619047619</v>
      </c>
      <c r="AE135" s="563">
        <f t="shared" si="198"/>
        <v>1325.757575757576</v>
      </c>
      <c r="AF135" s="546">
        <f t="shared" si="199"/>
        <v>3.2999999999999995E-2</v>
      </c>
      <c r="AH135" s="179">
        <f t="shared" si="200"/>
        <v>0.40291148201269017</v>
      </c>
      <c r="AI135" s="179">
        <f t="shared" si="201"/>
        <v>0.40291148201269017</v>
      </c>
      <c r="AJ135" s="179">
        <f t="shared" si="202"/>
        <v>1.3873418385279186</v>
      </c>
      <c r="AL135" s="563">
        <f t="shared" si="203"/>
        <v>125</v>
      </c>
      <c r="AM135" s="472">
        <f t="shared" si="204"/>
        <v>350</v>
      </c>
      <c r="AO135" s="472">
        <f t="shared" si="205"/>
        <v>125</v>
      </c>
      <c r="AP135" s="472">
        <f t="shared" si="206"/>
        <v>350</v>
      </c>
      <c r="AR135" s="6">
        <f t="shared" si="245"/>
        <v>2.8571428571428572</v>
      </c>
      <c r="AS135" s="6">
        <f t="shared" si="242"/>
        <v>1.1818736805705579</v>
      </c>
      <c r="AT135" s="6">
        <f t="shared" si="243"/>
        <v>1.6752691765722993</v>
      </c>
      <c r="AU135" s="179">
        <f t="shared" si="244"/>
        <v>0.41365578819969523</v>
      </c>
      <c r="AW135" s="6">
        <f t="shared" si="210"/>
        <v>23.491111111111117</v>
      </c>
      <c r="AX135" s="472">
        <f t="shared" si="211"/>
        <v>1.9369089834515369</v>
      </c>
      <c r="AY135" s="6">
        <f t="shared" si="212"/>
        <v>23.491111111111117</v>
      </c>
      <c r="AZ135" s="472">
        <f t="shared" si="213"/>
        <v>3.7118055555555558</v>
      </c>
      <c r="BA135" s="6">
        <f t="shared" si="214"/>
        <v>6.463229847886956E-2</v>
      </c>
      <c r="BB135" s="6">
        <f t="shared" si="215"/>
        <v>15.97471459789166</v>
      </c>
      <c r="BC135" s="6"/>
      <c r="BD135" s="179">
        <f t="shared" si="216"/>
        <v>0.14961273750228365</v>
      </c>
      <c r="BE135" s="179">
        <f t="shared" si="217"/>
        <v>0.53437556643866302</v>
      </c>
      <c r="BF135" s="179">
        <f t="shared" si="218"/>
        <v>0.53437556643866302</v>
      </c>
      <c r="BG135" s="179"/>
      <c r="BH135" s="546">
        <f t="shared" si="219"/>
        <v>7.8343899280245311E-3</v>
      </c>
      <c r="BI135" s="546">
        <f t="shared" si="220"/>
        <v>3.2522511188711835E-2</v>
      </c>
      <c r="BJ135" s="546">
        <f t="shared" si="221"/>
        <v>4.3749999999999995E-3</v>
      </c>
      <c r="BK135" s="546">
        <f t="shared" si="222"/>
        <v>1.6547343750000002E-2</v>
      </c>
      <c r="BL135">
        <f t="shared" si="223"/>
        <v>4.3499999999999997E-3</v>
      </c>
      <c r="BN135" s="472">
        <f t="shared" si="224"/>
        <v>65.629244866736357</v>
      </c>
      <c r="BO135" s="179">
        <f t="shared" si="225"/>
        <v>3.7499999999999999E-2</v>
      </c>
      <c r="BP135" s="179">
        <f t="shared" si="226"/>
        <v>3.7499999999999999E-2</v>
      </c>
      <c r="BQ135" s="546"/>
      <c r="BS135" s="472">
        <f t="shared" si="227"/>
        <v>75</v>
      </c>
      <c r="BT135" s="546">
        <f t="shared" si="228"/>
        <v>4.4767942445854475E-3</v>
      </c>
      <c r="BU135" s="546">
        <f t="shared" si="229"/>
        <v>1.1422289840265679E-2</v>
      </c>
      <c r="BV135" s="546">
        <f t="shared" si="230"/>
        <v>2.5700152140597773E-2</v>
      </c>
      <c r="BW135" s="546">
        <f t="shared" si="231"/>
        <v>1.1807670489163645E-2</v>
      </c>
      <c r="BX135" s="546"/>
      <c r="BY135" s="656">
        <f t="shared" si="232"/>
        <v>2.8409090909090919E-2</v>
      </c>
      <c r="BZ135" s="472">
        <f t="shared" si="233"/>
        <v>81.815997623703467</v>
      </c>
      <c r="CA135" s="179">
        <f t="shared" si="234"/>
        <v>0.22244524249043982</v>
      </c>
      <c r="CB135" s="6">
        <f t="shared" si="235"/>
        <v>1.25</v>
      </c>
      <c r="CC135" s="179">
        <f t="shared" si="236"/>
        <v>0.84892800352004671</v>
      </c>
      <c r="CD135" s="6">
        <f t="shared" si="237"/>
        <v>84.89280035200467</v>
      </c>
      <c r="CE135">
        <f t="shared" si="238"/>
        <v>25</v>
      </c>
      <c r="CG135" s="581">
        <f t="shared" si="239"/>
        <v>-50</v>
      </c>
      <c r="CH135">
        <f t="shared" si="240"/>
        <v>-50</v>
      </c>
    </row>
    <row r="136" spans="5:86" x14ac:dyDescent="0.2">
      <c r="E136" s="176">
        <v>26</v>
      </c>
      <c r="F136" s="223">
        <f t="shared" si="241"/>
        <v>0.13</v>
      </c>
      <c r="G136" s="223">
        <f t="shared" si="177"/>
        <v>0.13</v>
      </c>
      <c r="H136" s="223">
        <f t="shared" si="178"/>
        <v>0.65</v>
      </c>
      <c r="I136" s="223">
        <f t="shared" si="179"/>
        <v>0.65</v>
      </c>
      <c r="J136" s="559">
        <f t="shared" si="180"/>
        <v>15</v>
      </c>
      <c r="K136" s="454">
        <f t="shared" si="181"/>
        <v>15.75</v>
      </c>
      <c r="L136" s="454">
        <f t="shared" si="182"/>
        <v>30.75</v>
      </c>
      <c r="M136" s="454"/>
      <c r="N136" s="223">
        <f t="shared" si="183"/>
        <v>0.51219512195121952</v>
      </c>
      <c r="O136" s="178">
        <f t="shared" si="184"/>
        <v>1.2964939024390245</v>
      </c>
      <c r="P136" s="178">
        <f t="shared" si="185"/>
        <v>2.592987804878049</v>
      </c>
      <c r="Q136" s="223">
        <f t="shared" si="186"/>
        <v>0.25929878048780491</v>
      </c>
      <c r="R136" s="223">
        <f t="shared" si="187"/>
        <v>0.25929878048780491</v>
      </c>
      <c r="S136" s="223">
        <f t="shared" si="188"/>
        <v>5</v>
      </c>
      <c r="T136" s="223">
        <f t="shared" si="189"/>
        <v>0.37601410934744267</v>
      </c>
      <c r="U136" s="223">
        <f t="shared" si="190"/>
        <v>1.1029747207524987</v>
      </c>
      <c r="V136" s="223">
        <f t="shared" si="191"/>
        <v>1.0504521150023796</v>
      </c>
      <c r="W136" s="203">
        <f t="shared" si="192"/>
        <v>350</v>
      </c>
      <c r="X136" s="454">
        <f t="shared" si="193"/>
        <v>350</v>
      </c>
      <c r="Z136" s="223">
        <f t="shared" si="194"/>
        <v>0.4988913525498892</v>
      </c>
      <c r="AA136" s="179">
        <f t="shared" si="195"/>
        <v>1.3937282229965158</v>
      </c>
      <c r="AB136" s="179">
        <f t="shared" si="196"/>
        <v>0.18252122654264241</v>
      </c>
      <c r="AC136" s="179"/>
      <c r="AD136" s="179">
        <f t="shared" si="197"/>
        <v>0.419047619047619</v>
      </c>
      <c r="AE136" s="563">
        <f t="shared" si="198"/>
        <v>1378.7878787878792</v>
      </c>
      <c r="AF136" s="546">
        <f t="shared" si="199"/>
        <v>3.2999999999999995E-2</v>
      </c>
      <c r="AH136" s="179">
        <f t="shared" si="200"/>
        <v>0.4108907018066591</v>
      </c>
      <c r="AI136" s="179">
        <f t="shared" si="201"/>
        <v>0.4108907018066591</v>
      </c>
      <c r="AJ136" s="179">
        <f t="shared" si="202"/>
        <v>1.3932523717086363</v>
      </c>
      <c r="AL136" s="563">
        <f t="shared" si="203"/>
        <v>130</v>
      </c>
      <c r="AM136" s="472">
        <f t="shared" si="204"/>
        <v>350</v>
      </c>
      <c r="AO136" s="472">
        <f t="shared" si="205"/>
        <v>130</v>
      </c>
      <c r="AP136" s="472">
        <f t="shared" si="206"/>
        <v>350</v>
      </c>
      <c r="AR136" s="6">
        <f t="shared" si="245"/>
        <v>2.8571428571428572</v>
      </c>
      <c r="AS136" s="6">
        <f t="shared" si="242"/>
        <v>1.2052793919661999</v>
      </c>
      <c r="AT136" s="6">
        <f t="shared" si="243"/>
        <v>1.6518634651766573</v>
      </c>
      <c r="AU136" s="179">
        <f t="shared" si="244"/>
        <v>0.42184778718816995</v>
      </c>
      <c r="AW136" s="6">
        <f t="shared" si="210"/>
        <v>23.491111111111117</v>
      </c>
      <c r="AX136" s="472">
        <f t="shared" si="211"/>
        <v>2.0793607565011825</v>
      </c>
      <c r="AY136" s="6">
        <f t="shared" si="212"/>
        <v>23.491111111111117</v>
      </c>
      <c r="AZ136" s="472">
        <f t="shared" si="213"/>
        <v>3.9990888888888896</v>
      </c>
      <c r="BA136" s="6">
        <f t="shared" si="214"/>
        <v>6.6278472368199212E-2</v>
      </c>
      <c r="BB136" s="6">
        <f t="shared" si="215"/>
        <v>16.388314849849294</v>
      </c>
      <c r="BC136" s="6"/>
      <c r="BD136" s="179">
        <f t="shared" si="216"/>
        <v>0.1540790435456435</v>
      </c>
      <c r="BE136" s="179">
        <f t="shared" si="217"/>
        <v>0.54113800601514195</v>
      </c>
      <c r="BF136" s="179">
        <f t="shared" si="218"/>
        <v>0.54113800601514195</v>
      </c>
      <c r="BG136" s="179"/>
      <c r="BH136" s="546">
        <f t="shared" si="219"/>
        <v>8.309123080979107E-3</v>
      </c>
      <c r="BI136" s="546">
        <f t="shared" si="220"/>
        <v>3.3166583836456265E-2</v>
      </c>
      <c r="BJ136" s="546">
        <f t="shared" si="221"/>
        <v>4.3749999999999995E-3</v>
      </c>
      <c r="BK136" s="546">
        <f t="shared" si="222"/>
        <v>1.6547343750000002E-2</v>
      </c>
      <c r="BL136">
        <f t="shared" si="223"/>
        <v>4.3499999999999997E-3</v>
      </c>
      <c r="BN136" s="472">
        <f t="shared" si="224"/>
        <v>66.748050667435365</v>
      </c>
      <c r="BO136" s="179">
        <f t="shared" si="225"/>
        <v>3.9E-2</v>
      </c>
      <c r="BP136" s="179">
        <f t="shared" si="226"/>
        <v>3.9E-2</v>
      </c>
      <c r="BQ136" s="546"/>
      <c r="BS136" s="472">
        <f t="shared" si="227"/>
        <v>78</v>
      </c>
      <c r="BT136" s="546">
        <f t="shared" si="228"/>
        <v>4.7480703319880621E-3</v>
      </c>
      <c r="BU136" s="546">
        <f t="shared" si="229"/>
        <v>1.1713213662161753E-2</v>
      </c>
      <c r="BV136" s="546">
        <f t="shared" si="230"/>
        <v>2.6354730739863941E-2</v>
      </c>
      <c r="BW136" s="546">
        <f t="shared" si="231"/>
        <v>1.2400976917565219E-2</v>
      </c>
      <c r="BX136" s="546"/>
      <c r="BY136" s="656">
        <f t="shared" si="232"/>
        <v>2.9545454545454555E-2</v>
      </c>
      <c r="BZ136" s="472">
        <f t="shared" si="233"/>
        <v>84.762446197033526</v>
      </c>
      <c r="CA136" s="179">
        <f t="shared" si="234"/>
        <v>0.22951049686446889</v>
      </c>
      <c r="CB136" s="6">
        <f t="shared" si="235"/>
        <v>1.3</v>
      </c>
      <c r="CC136" s="179">
        <f t="shared" si="236"/>
        <v>0.84994513124625792</v>
      </c>
      <c r="CD136" s="6">
        <f t="shared" si="237"/>
        <v>84.994513124625797</v>
      </c>
      <c r="CE136">
        <f t="shared" si="238"/>
        <v>26</v>
      </c>
      <c r="CG136" s="581">
        <f t="shared" si="239"/>
        <v>-50</v>
      </c>
      <c r="CH136">
        <f t="shared" si="240"/>
        <v>-50</v>
      </c>
    </row>
    <row r="137" spans="5:86" x14ac:dyDescent="0.2">
      <c r="E137" s="176">
        <v>27</v>
      </c>
      <c r="F137" s="223">
        <f t="shared" si="241"/>
        <v>0.13500000000000001</v>
      </c>
      <c r="G137" s="223">
        <f t="shared" si="177"/>
        <v>0.13500000000000001</v>
      </c>
      <c r="H137" s="223">
        <f t="shared" si="178"/>
        <v>0.67500000000000004</v>
      </c>
      <c r="I137" s="223">
        <f t="shared" si="179"/>
        <v>0.67500000000000004</v>
      </c>
      <c r="J137" s="559">
        <f t="shared" si="180"/>
        <v>15</v>
      </c>
      <c r="K137" s="454">
        <f t="shared" si="181"/>
        <v>15.75</v>
      </c>
      <c r="L137" s="454">
        <f t="shared" si="182"/>
        <v>30.75</v>
      </c>
      <c r="M137" s="454"/>
      <c r="N137" s="223">
        <f t="shared" si="183"/>
        <v>0.51219512195121952</v>
      </c>
      <c r="O137" s="178">
        <f t="shared" si="184"/>
        <v>1.2964939024390245</v>
      </c>
      <c r="P137" s="178">
        <f t="shared" si="185"/>
        <v>2.592987804878049</v>
      </c>
      <c r="Q137" s="223">
        <f t="shared" si="186"/>
        <v>0.25929878048780491</v>
      </c>
      <c r="R137" s="223">
        <f t="shared" si="187"/>
        <v>0.25929878048780491</v>
      </c>
      <c r="S137" s="223">
        <f t="shared" si="188"/>
        <v>5</v>
      </c>
      <c r="T137" s="223">
        <f t="shared" si="189"/>
        <v>0.39047619047619048</v>
      </c>
      <c r="U137" s="223">
        <f t="shared" si="190"/>
        <v>1.1453968253968252</v>
      </c>
      <c r="V137" s="223">
        <f t="shared" si="191"/>
        <v>1.0908541194255479</v>
      </c>
      <c r="W137" s="203">
        <f t="shared" si="192"/>
        <v>350</v>
      </c>
      <c r="X137" s="454">
        <f t="shared" si="193"/>
        <v>350</v>
      </c>
      <c r="Z137" s="223">
        <f t="shared" si="194"/>
        <v>0.4988913525498892</v>
      </c>
      <c r="AA137" s="179">
        <f t="shared" si="195"/>
        <v>1.3937282229965158</v>
      </c>
      <c r="AB137" s="179">
        <f t="shared" si="196"/>
        <v>0.18252122654264241</v>
      </c>
      <c r="AC137" s="179"/>
      <c r="AD137" s="179">
        <f t="shared" si="197"/>
        <v>0.419047619047619</v>
      </c>
      <c r="AE137" s="563">
        <f t="shared" si="198"/>
        <v>1431.8181818181822</v>
      </c>
      <c r="AF137" s="546">
        <f t="shared" si="199"/>
        <v>3.2999999999999995E-2</v>
      </c>
      <c r="AH137" s="179">
        <f t="shared" si="200"/>
        <v>0.41871789467931192</v>
      </c>
      <c r="AI137" s="179">
        <f t="shared" si="201"/>
        <v>0.41871789467931192</v>
      </c>
      <c r="AJ137" s="179">
        <f t="shared" si="202"/>
        <v>1.3990502923550459</v>
      </c>
      <c r="AL137" s="563">
        <f t="shared" si="203"/>
        <v>135</v>
      </c>
      <c r="AM137" s="472">
        <f t="shared" si="204"/>
        <v>350</v>
      </c>
      <c r="AO137" s="472">
        <f t="shared" si="205"/>
        <v>135</v>
      </c>
      <c r="AP137" s="472">
        <f t="shared" si="206"/>
        <v>350</v>
      </c>
      <c r="AR137" s="6">
        <f t="shared" si="245"/>
        <v>2.8571428571428572</v>
      </c>
      <c r="AS137" s="6">
        <f t="shared" si="242"/>
        <v>1.2282391577259815</v>
      </c>
      <c r="AT137" s="6">
        <f t="shared" si="243"/>
        <v>1.6289036994168757</v>
      </c>
      <c r="AU137" s="179">
        <f t="shared" si="244"/>
        <v>0.42988370520409352</v>
      </c>
      <c r="AW137" s="6">
        <f t="shared" si="210"/>
        <v>23.491111111111117</v>
      </c>
      <c r="AX137" s="472">
        <f t="shared" si="211"/>
        <v>2.2268106382978727</v>
      </c>
      <c r="AY137" s="6">
        <f t="shared" si="212"/>
        <v>23.491111111111117</v>
      </c>
      <c r="AZ137" s="472">
        <f t="shared" si="213"/>
        <v>4.2970500000000005</v>
      </c>
      <c r="BA137" s="6">
        <f t="shared" si="214"/>
        <v>6.7870987475703151E-2</v>
      </c>
      <c r="BB137" s="6">
        <f t="shared" si="215"/>
        <v>16.789036994168761</v>
      </c>
      <c r="BC137" s="6"/>
      <c r="BD137" s="179">
        <f t="shared" si="216"/>
        <v>0.15850259834071717</v>
      </c>
      <c r="BE137" s="179">
        <f t="shared" si="217"/>
        <v>0.54760055044457134</v>
      </c>
      <c r="BF137" s="179">
        <f t="shared" si="218"/>
        <v>0.54760055044457134</v>
      </c>
      <c r="BG137" s="179"/>
      <c r="BH137" s="546">
        <f t="shared" si="219"/>
        <v>8.7930757882655509E-3</v>
      </c>
      <c r="BI137" s="546">
        <f t="shared" si="220"/>
        <v>3.37983850611457E-2</v>
      </c>
      <c r="BJ137" s="546">
        <f t="shared" si="221"/>
        <v>4.3749999999999995E-3</v>
      </c>
      <c r="BK137" s="546">
        <f t="shared" si="222"/>
        <v>1.6547343750000002E-2</v>
      </c>
      <c r="BL137">
        <f t="shared" si="223"/>
        <v>4.3499999999999997E-3</v>
      </c>
      <c r="BN137" s="472">
        <f t="shared" si="224"/>
        <v>67.863804599411239</v>
      </c>
      <c r="BO137" s="179">
        <f t="shared" si="225"/>
        <v>4.0500000000000001E-2</v>
      </c>
      <c r="BP137" s="179">
        <f t="shared" si="226"/>
        <v>4.0500000000000001E-2</v>
      </c>
      <c r="BQ137" s="546"/>
      <c r="BS137" s="472">
        <f t="shared" si="227"/>
        <v>81</v>
      </c>
      <c r="BT137" s="546">
        <f t="shared" si="228"/>
        <v>5.0246147361517439E-3</v>
      </c>
      <c r="BU137" s="546">
        <f t="shared" si="229"/>
        <v>1.1994654513887901E-2</v>
      </c>
      <c r="BV137" s="546">
        <f t="shared" si="230"/>
        <v>2.6987972656247777E-2</v>
      </c>
      <c r="BW137" s="546">
        <f t="shared" si="231"/>
        <v>1.3000016974102722E-2</v>
      </c>
      <c r="BX137" s="546"/>
      <c r="BY137" s="656">
        <f t="shared" si="232"/>
        <v>3.0681818181818196E-2</v>
      </c>
      <c r="BZ137" s="472">
        <f t="shared" si="233"/>
        <v>87.689077062208341</v>
      </c>
      <c r="CA137" s="179">
        <f t="shared" si="234"/>
        <v>0.23655288166161959</v>
      </c>
      <c r="CB137" s="6">
        <f t="shared" si="235"/>
        <v>1.35</v>
      </c>
      <c r="CC137" s="179">
        <f t="shared" si="236"/>
        <v>0.85090135702638892</v>
      </c>
      <c r="CD137" s="6">
        <f t="shared" si="237"/>
        <v>85.090135702638889</v>
      </c>
      <c r="CE137">
        <f t="shared" si="238"/>
        <v>27</v>
      </c>
      <c r="CG137" s="581">
        <f t="shared" si="239"/>
        <v>-50</v>
      </c>
      <c r="CH137">
        <f t="shared" si="240"/>
        <v>-50</v>
      </c>
    </row>
    <row r="138" spans="5:86" x14ac:dyDescent="0.2">
      <c r="E138" s="176">
        <v>28</v>
      </c>
      <c r="F138" s="223">
        <f t="shared" si="241"/>
        <v>0.14000000000000001</v>
      </c>
      <c r="G138" s="223">
        <f t="shared" si="177"/>
        <v>0.14000000000000001</v>
      </c>
      <c r="H138" s="223">
        <f t="shared" si="178"/>
        <v>0.70000000000000007</v>
      </c>
      <c r="I138" s="223">
        <f t="shared" si="179"/>
        <v>0.70000000000000007</v>
      </c>
      <c r="J138" s="559">
        <f t="shared" si="180"/>
        <v>15</v>
      </c>
      <c r="K138" s="454">
        <f t="shared" si="181"/>
        <v>15.75</v>
      </c>
      <c r="L138" s="454">
        <f t="shared" si="182"/>
        <v>30.75</v>
      </c>
      <c r="M138" s="454"/>
      <c r="N138" s="223">
        <f t="shared" si="183"/>
        <v>0.51219512195121952</v>
      </c>
      <c r="O138" s="178">
        <f t="shared" si="184"/>
        <v>1.2964939024390245</v>
      </c>
      <c r="P138" s="178">
        <f t="shared" si="185"/>
        <v>2.592987804878049</v>
      </c>
      <c r="Q138" s="223">
        <f t="shared" si="186"/>
        <v>0.25929878048780491</v>
      </c>
      <c r="R138" s="223">
        <f t="shared" si="187"/>
        <v>0.25929878048780491</v>
      </c>
      <c r="S138" s="223">
        <f t="shared" si="188"/>
        <v>5</v>
      </c>
      <c r="T138" s="223">
        <f t="shared" si="189"/>
        <v>0.40493827160493828</v>
      </c>
      <c r="U138" s="223">
        <f t="shared" si="190"/>
        <v>1.1878189300411521</v>
      </c>
      <c r="V138" s="223">
        <f t="shared" si="191"/>
        <v>1.1312561238487164</v>
      </c>
      <c r="W138" s="203">
        <f t="shared" si="192"/>
        <v>350</v>
      </c>
      <c r="X138" s="454">
        <f t="shared" si="193"/>
        <v>350</v>
      </c>
      <c r="Z138" s="223">
        <f t="shared" si="194"/>
        <v>0.4988913525498892</v>
      </c>
      <c r="AA138" s="179">
        <f t="shared" si="195"/>
        <v>1.3937282229965158</v>
      </c>
      <c r="AB138" s="179">
        <f t="shared" si="196"/>
        <v>0.18252122654264241</v>
      </c>
      <c r="AC138" s="179"/>
      <c r="AD138" s="179">
        <f t="shared" si="197"/>
        <v>0.419047619047619</v>
      </c>
      <c r="AE138" s="563">
        <f t="shared" si="198"/>
        <v>1484.8484848484854</v>
      </c>
      <c r="AF138" s="546">
        <f t="shared" si="199"/>
        <v>3.2999999999999995E-2</v>
      </c>
      <c r="AH138" s="179">
        <f t="shared" si="200"/>
        <v>0.42640143271122088</v>
      </c>
      <c r="AI138" s="179">
        <f t="shared" si="201"/>
        <v>0.42640143271122088</v>
      </c>
      <c r="AJ138" s="179">
        <f t="shared" si="202"/>
        <v>1.4047418020083118</v>
      </c>
      <c r="AL138" s="563">
        <f t="shared" si="203"/>
        <v>140</v>
      </c>
      <c r="AM138" s="472">
        <f t="shared" si="204"/>
        <v>350</v>
      </c>
      <c r="AO138" s="472">
        <f t="shared" si="205"/>
        <v>140</v>
      </c>
      <c r="AP138" s="472">
        <f t="shared" si="206"/>
        <v>350</v>
      </c>
      <c r="AR138" s="6">
        <f t="shared" si="245"/>
        <v>2.8571428571428572</v>
      </c>
      <c r="AS138" s="6">
        <f t="shared" si="242"/>
        <v>1.2507775359529145</v>
      </c>
      <c r="AT138" s="6">
        <f t="shared" si="243"/>
        <v>1.6063653211899427</v>
      </c>
      <c r="AU138" s="179">
        <f t="shared" si="244"/>
        <v>0.43777213758352007</v>
      </c>
      <c r="AW138" s="6">
        <f t="shared" si="210"/>
        <v>23.491111111111117</v>
      </c>
      <c r="AX138" s="472">
        <f t="shared" si="211"/>
        <v>2.3792586288416078</v>
      </c>
      <c r="AY138" s="6">
        <f t="shared" si="212"/>
        <v>23.491111111111117</v>
      </c>
      <c r="AZ138" s="472">
        <f t="shared" si="213"/>
        <v>4.6056888888888894</v>
      </c>
      <c r="BA138" s="6">
        <f t="shared" si="214"/>
        <v>6.9410847211911098E-2</v>
      </c>
      <c r="BB138" s="6">
        <f t="shared" si="215"/>
        <v>17.177121849377183</v>
      </c>
      <c r="BC138" s="6"/>
      <c r="BD138" s="179">
        <f t="shared" si="216"/>
        <v>0.16288537289158753</v>
      </c>
      <c r="BE138" s="179">
        <f t="shared" si="217"/>
        <v>0.55377770191319708</v>
      </c>
      <c r="BF138" s="179">
        <f t="shared" si="218"/>
        <v>0.55377770191319708</v>
      </c>
      <c r="BG138" s="179"/>
      <c r="BH138" s="546">
        <f t="shared" si="219"/>
        <v>9.2860756457110293E-3</v>
      </c>
      <c r="BI138" s="546">
        <f t="shared" si="220"/>
        <v>3.4418590646658857E-2</v>
      </c>
      <c r="BJ138" s="546">
        <f t="shared" si="221"/>
        <v>4.3749999999999995E-3</v>
      </c>
      <c r="BK138" s="546">
        <f t="shared" si="222"/>
        <v>1.6547343750000002E-2</v>
      </c>
      <c r="BL138">
        <f t="shared" si="223"/>
        <v>4.3499999999999997E-3</v>
      </c>
      <c r="BN138" s="472">
        <f t="shared" si="224"/>
        <v>68.977010042369898</v>
      </c>
      <c r="BO138" s="179">
        <f t="shared" si="225"/>
        <v>4.2000000000000003E-2</v>
      </c>
      <c r="BP138" s="179">
        <f t="shared" si="226"/>
        <v>4.2000000000000003E-2</v>
      </c>
      <c r="BQ138" s="546"/>
      <c r="BS138" s="472">
        <f t="shared" si="227"/>
        <v>84</v>
      </c>
      <c r="BT138" s="546">
        <f t="shared" si="228"/>
        <v>5.306328940406304E-3</v>
      </c>
      <c r="BU138" s="546">
        <f t="shared" si="229"/>
        <v>1.2266789725450471E-2</v>
      </c>
      <c r="BV138" s="546">
        <f t="shared" si="230"/>
        <v>2.7600276882263557E-2</v>
      </c>
      <c r="BW138" s="546">
        <f t="shared" si="231"/>
        <v>1.3604630576740533E-2</v>
      </c>
      <c r="BX138" s="546"/>
      <c r="BY138" s="656">
        <f t="shared" si="232"/>
        <v>3.1818181818181829E-2</v>
      </c>
      <c r="BZ138" s="472">
        <f t="shared" si="233"/>
        <v>90.5962079430427</v>
      </c>
      <c r="CA138" s="179">
        <f t="shared" si="234"/>
        <v>0.24357321798541259</v>
      </c>
      <c r="CB138" s="6">
        <f t="shared" si="235"/>
        <v>1.4000000000000001</v>
      </c>
      <c r="CC138" s="179">
        <f t="shared" si="236"/>
        <v>0.85180263628050035</v>
      </c>
      <c r="CD138" s="6">
        <f t="shared" si="237"/>
        <v>85.180263628050028</v>
      </c>
      <c r="CE138">
        <f t="shared" si="238"/>
        <v>28.000000000000004</v>
      </c>
      <c r="CG138" s="581">
        <f t="shared" si="239"/>
        <v>-50</v>
      </c>
      <c r="CH138">
        <f t="shared" si="240"/>
        <v>-50</v>
      </c>
    </row>
    <row r="139" spans="5:86" x14ac:dyDescent="0.2">
      <c r="E139" s="176">
        <v>29</v>
      </c>
      <c r="F139" s="223">
        <f t="shared" si="241"/>
        <v>0.14499999999999999</v>
      </c>
      <c r="G139" s="223">
        <f t="shared" si="177"/>
        <v>0.14499999999999999</v>
      </c>
      <c r="H139" s="223">
        <f t="shared" si="178"/>
        <v>0.72499999999999998</v>
      </c>
      <c r="I139" s="223">
        <f t="shared" si="179"/>
        <v>0.72499999999999998</v>
      </c>
      <c r="J139" s="559">
        <f t="shared" si="180"/>
        <v>15</v>
      </c>
      <c r="K139" s="454">
        <f t="shared" si="181"/>
        <v>15.75</v>
      </c>
      <c r="L139" s="454">
        <f t="shared" si="182"/>
        <v>30.75</v>
      </c>
      <c r="M139" s="454"/>
      <c r="N139" s="223">
        <f t="shared" si="183"/>
        <v>0.51219512195121952</v>
      </c>
      <c r="O139" s="178">
        <f t="shared" si="184"/>
        <v>1.2964939024390245</v>
      </c>
      <c r="P139" s="178">
        <f t="shared" si="185"/>
        <v>2.592987804878049</v>
      </c>
      <c r="Q139" s="223">
        <f t="shared" si="186"/>
        <v>0.25929878048780491</v>
      </c>
      <c r="R139" s="223">
        <f t="shared" si="187"/>
        <v>0.25929878048780491</v>
      </c>
      <c r="S139" s="223">
        <f t="shared" si="188"/>
        <v>5</v>
      </c>
      <c r="T139" s="223">
        <f t="shared" si="189"/>
        <v>0.41940035273368603</v>
      </c>
      <c r="U139" s="223">
        <f t="shared" si="190"/>
        <v>1.2302410346854791</v>
      </c>
      <c r="V139" s="223">
        <f t="shared" si="191"/>
        <v>1.1716581282718848</v>
      </c>
      <c r="W139" s="203">
        <f t="shared" si="192"/>
        <v>350</v>
      </c>
      <c r="X139" s="454">
        <f t="shared" si="193"/>
        <v>350</v>
      </c>
      <c r="Z139" s="223">
        <f t="shared" si="194"/>
        <v>0.4988913525498892</v>
      </c>
      <c r="AA139" s="179">
        <f t="shared" si="195"/>
        <v>1.3937282229965158</v>
      </c>
      <c r="AB139" s="179">
        <f t="shared" si="196"/>
        <v>0.18252122654264241</v>
      </c>
      <c r="AC139" s="179"/>
      <c r="AD139" s="179">
        <f t="shared" si="197"/>
        <v>0.419047619047619</v>
      </c>
      <c r="AE139" s="563">
        <f t="shared" si="198"/>
        <v>1537.878787878788</v>
      </c>
      <c r="AF139" s="546">
        <f t="shared" si="199"/>
        <v>3.2999999999999995E-2</v>
      </c>
      <c r="AH139" s="179">
        <f t="shared" si="200"/>
        <v>0.43394894666502914</v>
      </c>
      <c r="AI139" s="179">
        <f t="shared" si="201"/>
        <v>0.43394894666502914</v>
      </c>
      <c r="AJ139" s="179">
        <f t="shared" si="202"/>
        <v>1.4103325530852067</v>
      </c>
      <c r="AL139" s="563">
        <f t="shared" si="203"/>
        <v>145</v>
      </c>
      <c r="AM139" s="472">
        <f t="shared" si="204"/>
        <v>350</v>
      </c>
      <c r="AO139" s="472">
        <f t="shared" si="205"/>
        <v>145</v>
      </c>
      <c r="AP139" s="472">
        <f t="shared" si="206"/>
        <v>350</v>
      </c>
      <c r="AR139" s="6">
        <f t="shared" si="245"/>
        <v>2.8571428571428572</v>
      </c>
      <c r="AS139" s="6">
        <f t="shared" si="242"/>
        <v>1.2729169102174185</v>
      </c>
      <c r="AT139" s="6">
        <f t="shared" si="243"/>
        <v>1.5842259469254387</v>
      </c>
      <c r="AU139" s="179">
        <f t="shared" si="244"/>
        <v>0.44552091857609644</v>
      </c>
      <c r="AW139" s="6">
        <f t="shared" si="210"/>
        <v>23.491111111111117</v>
      </c>
      <c r="AX139" s="472">
        <f t="shared" si="211"/>
        <v>2.536704728132388</v>
      </c>
      <c r="AY139" s="6">
        <f t="shared" si="212"/>
        <v>23.491111111111117</v>
      </c>
      <c r="AZ139" s="472">
        <f t="shared" si="213"/>
        <v>4.9250055555555559</v>
      </c>
      <c r="BA139" s="6">
        <f t="shared" si="214"/>
        <v>7.0899000711169308E-2</v>
      </c>
      <c r="BB139" s="6">
        <f t="shared" si="215"/>
        <v>17.552797207717671</v>
      </c>
      <c r="BC139" s="6"/>
      <c r="BD139" s="179">
        <f t="shared" si="216"/>
        <v>0.16722918042339277</v>
      </c>
      <c r="BE139" s="179">
        <f t="shared" si="217"/>
        <v>0.55968265639498616</v>
      </c>
      <c r="BF139" s="179">
        <f t="shared" si="218"/>
        <v>0.55968265639498616</v>
      </c>
      <c r="BG139" s="179"/>
      <c r="BH139" s="546">
        <f t="shared" si="219"/>
        <v>9.7879595747778769E-3</v>
      </c>
      <c r="BI139" s="546">
        <f t="shared" si="220"/>
        <v>3.502781653861782E-2</v>
      </c>
      <c r="BJ139" s="546">
        <f t="shared" si="221"/>
        <v>4.3749999999999995E-3</v>
      </c>
      <c r="BK139" s="546">
        <f t="shared" si="222"/>
        <v>1.6547343750000002E-2</v>
      </c>
      <c r="BL139">
        <f t="shared" si="223"/>
        <v>4.3499999999999997E-3</v>
      </c>
      <c r="BN139" s="472">
        <f t="shared" si="224"/>
        <v>70.08811986339569</v>
      </c>
      <c r="BO139" s="179">
        <f t="shared" si="225"/>
        <v>4.3499999999999997E-2</v>
      </c>
      <c r="BP139" s="179">
        <f t="shared" si="226"/>
        <v>4.3499999999999997E-2</v>
      </c>
      <c r="BQ139" s="546"/>
      <c r="BS139" s="472">
        <f t="shared" si="227"/>
        <v>87</v>
      </c>
      <c r="BT139" s="546">
        <f t="shared" si="228"/>
        <v>5.5931197570159305E-3</v>
      </c>
      <c r="BU139" s="546">
        <f t="shared" si="229"/>
        <v>1.2529787034773926E-2</v>
      </c>
      <c r="BV139" s="546">
        <f t="shared" si="230"/>
        <v>2.8192020828241331E-2</v>
      </c>
      <c r="BW139" s="546">
        <f t="shared" si="231"/>
        <v>1.4214667700335313E-2</v>
      </c>
      <c r="BX139" s="546"/>
      <c r="BY139" s="656">
        <f t="shared" si="232"/>
        <v>3.2954545454545459E-2</v>
      </c>
      <c r="BZ139" s="472">
        <f t="shared" si="233"/>
        <v>93.484140774911964</v>
      </c>
      <c r="CA139" s="179">
        <f t="shared" si="234"/>
        <v>0.25057226063830762</v>
      </c>
      <c r="CB139" s="6">
        <f t="shared" si="235"/>
        <v>1.45</v>
      </c>
      <c r="CC139" s="179">
        <f t="shared" si="236"/>
        <v>0.85265415270018829</v>
      </c>
      <c r="CD139" s="6">
        <f t="shared" si="237"/>
        <v>85.265415270018835</v>
      </c>
      <c r="CE139">
        <f t="shared" si="238"/>
        <v>28.999999999999996</v>
      </c>
      <c r="CG139" s="581">
        <f t="shared" si="239"/>
        <v>-50</v>
      </c>
      <c r="CH139">
        <f t="shared" si="240"/>
        <v>-50</v>
      </c>
    </row>
    <row r="140" spans="5:86" x14ac:dyDescent="0.2">
      <c r="E140" s="176">
        <v>30</v>
      </c>
      <c r="F140" s="223">
        <f t="shared" si="241"/>
        <v>0.15</v>
      </c>
      <c r="G140" s="223">
        <f t="shared" si="177"/>
        <v>0.15</v>
      </c>
      <c r="H140" s="223">
        <f t="shared" si="178"/>
        <v>0.75</v>
      </c>
      <c r="I140" s="223">
        <f t="shared" si="179"/>
        <v>0.75</v>
      </c>
      <c r="J140" s="559">
        <f t="shared" si="180"/>
        <v>15</v>
      </c>
      <c r="K140" s="454">
        <f t="shared" si="181"/>
        <v>15.75</v>
      </c>
      <c r="L140" s="454">
        <f t="shared" si="182"/>
        <v>30.75</v>
      </c>
      <c r="M140" s="454"/>
      <c r="N140" s="223">
        <f t="shared" si="183"/>
        <v>0.51219512195121952</v>
      </c>
      <c r="O140" s="178">
        <f t="shared" si="184"/>
        <v>1.2964939024390245</v>
      </c>
      <c r="P140" s="178">
        <f t="shared" si="185"/>
        <v>2.592987804878049</v>
      </c>
      <c r="Q140" s="223">
        <f t="shared" si="186"/>
        <v>0.25929878048780491</v>
      </c>
      <c r="R140" s="223">
        <f t="shared" si="187"/>
        <v>0.25929878048780491</v>
      </c>
      <c r="S140" s="223">
        <f t="shared" si="188"/>
        <v>5</v>
      </c>
      <c r="T140" s="223">
        <f t="shared" si="189"/>
        <v>0.43386243386243384</v>
      </c>
      <c r="U140" s="223">
        <f t="shared" si="190"/>
        <v>1.272663139329806</v>
      </c>
      <c r="V140" s="223">
        <f t="shared" si="191"/>
        <v>1.2120601326950533</v>
      </c>
      <c r="W140" s="203">
        <f t="shared" si="192"/>
        <v>350</v>
      </c>
      <c r="X140" s="454">
        <f t="shared" si="193"/>
        <v>350</v>
      </c>
      <c r="Z140" s="223">
        <f t="shared" si="194"/>
        <v>0.4988913525498892</v>
      </c>
      <c r="AA140" s="179">
        <f t="shared" si="195"/>
        <v>1.3937282229965158</v>
      </c>
      <c r="AB140" s="179">
        <f t="shared" si="196"/>
        <v>0.18252122654264241</v>
      </c>
      <c r="AC140" s="179"/>
      <c r="AD140" s="179">
        <f t="shared" si="197"/>
        <v>0.419047619047619</v>
      </c>
      <c r="AE140" s="563">
        <f t="shared" si="198"/>
        <v>1590.909090909091</v>
      </c>
      <c r="AF140" s="546">
        <f t="shared" si="199"/>
        <v>3.2999999999999995E-2</v>
      </c>
      <c r="AH140" s="179">
        <f t="shared" si="200"/>
        <v>0.44136741475237479</v>
      </c>
      <c r="AI140" s="179">
        <f t="shared" si="201"/>
        <v>0.44136741475237479</v>
      </c>
      <c r="AJ140" s="179">
        <f t="shared" si="202"/>
        <v>1.4158277146313887</v>
      </c>
      <c r="AL140" s="563">
        <f t="shared" si="203"/>
        <v>150</v>
      </c>
      <c r="AM140" s="472">
        <f t="shared" si="204"/>
        <v>350</v>
      </c>
      <c r="AO140" s="472">
        <f t="shared" si="205"/>
        <v>150</v>
      </c>
      <c r="AP140" s="472">
        <f t="shared" si="206"/>
        <v>350</v>
      </c>
      <c r="AR140" s="6">
        <f t="shared" si="245"/>
        <v>2.8571428571428572</v>
      </c>
      <c r="AS140" s="6">
        <f t="shared" si="242"/>
        <v>1.2946777499402993</v>
      </c>
      <c r="AT140" s="6">
        <f t="shared" si="243"/>
        <v>1.5624651072025579</v>
      </c>
      <c r="AU140" s="179">
        <f t="shared" si="244"/>
        <v>0.45313721247910471</v>
      </c>
      <c r="AW140" s="6">
        <f t="shared" si="210"/>
        <v>23.491111111111117</v>
      </c>
      <c r="AX140" s="472">
        <f t="shared" si="211"/>
        <v>2.6991489361702126</v>
      </c>
      <c r="AY140" s="6">
        <f t="shared" si="212"/>
        <v>23.491111111111117</v>
      </c>
      <c r="AZ140" s="472">
        <f t="shared" si="213"/>
        <v>5.2549999999999999</v>
      </c>
      <c r="BA140" s="6">
        <f t="shared" si="214"/>
        <v>7.233634755567396E-2</v>
      </c>
      <c r="BB140" s="6">
        <f t="shared" si="215"/>
        <v>17.916278968917311</v>
      </c>
      <c r="BC140" s="6"/>
      <c r="BD140" s="179">
        <f t="shared" si="216"/>
        <v>0.17153569400222504</v>
      </c>
      <c r="BE140" s="179">
        <f t="shared" si="217"/>
        <v>0.56532745870350187</v>
      </c>
      <c r="BF140" s="179">
        <f t="shared" si="218"/>
        <v>0.56532745870350187</v>
      </c>
      <c r="BG140" s="179"/>
      <c r="BH140" s="546">
        <f t="shared" si="219"/>
        <v>1.0298573010888745E-2</v>
      </c>
      <c r="BI140" s="546">
        <f t="shared" si="220"/>
        <v>3.562662600954325E-2</v>
      </c>
      <c r="BJ140" s="546">
        <f t="shared" si="221"/>
        <v>4.3749999999999995E-3</v>
      </c>
      <c r="BK140" s="546">
        <f t="shared" si="222"/>
        <v>1.6547343750000002E-2</v>
      </c>
      <c r="BL140">
        <f t="shared" si="223"/>
        <v>4.3499999999999997E-3</v>
      </c>
      <c r="BN140" s="472">
        <f t="shared" si="224"/>
        <v>71.197542770431994</v>
      </c>
      <c r="BO140" s="179">
        <f t="shared" si="225"/>
        <v>4.4999999999999998E-2</v>
      </c>
      <c r="BP140" s="179">
        <f t="shared" si="226"/>
        <v>4.4999999999999998E-2</v>
      </c>
      <c r="BQ140" s="546"/>
      <c r="BS140" s="472">
        <f t="shared" si="227"/>
        <v>90</v>
      </c>
      <c r="BT140" s="546">
        <f t="shared" si="228"/>
        <v>5.8848988633649971E-3</v>
      </c>
      <c r="BU140" s="546">
        <f t="shared" si="229"/>
        <v>1.2783805422566385E-2</v>
      </c>
      <c r="BV140" s="546">
        <f t="shared" si="230"/>
        <v>2.8763562200774365E-2</v>
      </c>
      <c r="BW140" s="546">
        <f t="shared" si="231"/>
        <v>1.4829987417986211E-2</v>
      </c>
      <c r="BX140" s="546"/>
      <c r="BY140" s="656">
        <f t="shared" si="232"/>
        <v>3.4090909090909102E-2</v>
      </c>
      <c r="BZ140" s="472">
        <f t="shared" si="233"/>
        <v>96.353162995601068</v>
      </c>
      <c r="CA140" s="179">
        <f t="shared" si="234"/>
        <v>0.25755070576603306</v>
      </c>
      <c r="CB140" s="6">
        <f t="shared" si="235"/>
        <v>1.5</v>
      </c>
      <c r="CC140" s="179">
        <f t="shared" si="236"/>
        <v>0.85346044075935834</v>
      </c>
      <c r="CD140" s="6">
        <f t="shared" si="237"/>
        <v>85.346044075935836</v>
      </c>
      <c r="CE140">
        <f t="shared" si="238"/>
        <v>30</v>
      </c>
      <c r="CG140" s="581">
        <f t="shared" si="239"/>
        <v>-50</v>
      </c>
      <c r="CH140">
        <f t="shared" si="240"/>
        <v>-50</v>
      </c>
    </row>
    <row r="141" spans="5:86" x14ac:dyDescent="0.2">
      <c r="E141" s="176">
        <v>31</v>
      </c>
      <c r="F141" s="223">
        <f t="shared" si="241"/>
        <v>0.155</v>
      </c>
      <c r="G141" s="223">
        <f t="shared" si="177"/>
        <v>0.155</v>
      </c>
      <c r="H141" s="223">
        <f t="shared" si="178"/>
        <v>0.77500000000000002</v>
      </c>
      <c r="I141" s="223">
        <f t="shared" si="179"/>
        <v>0.77500000000000002</v>
      </c>
      <c r="J141" s="559">
        <f t="shared" si="180"/>
        <v>15</v>
      </c>
      <c r="K141" s="454">
        <f t="shared" si="181"/>
        <v>15.75</v>
      </c>
      <c r="L141" s="454">
        <f t="shared" si="182"/>
        <v>30.75</v>
      </c>
      <c r="M141" s="454"/>
      <c r="N141" s="223">
        <f t="shared" si="183"/>
        <v>0.51219512195121952</v>
      </c>
      <c r="O141" s="178">
        <f t="shared" si="184"/>
        <v>1.2964939024390245</v>
      </c>
      <c r="P141" s="178">
        <f t="shared" si="185"/>
        <v>2.592987804878049</v>
      </c>
      <c r="Q141" s="223">
        <f t="shared" si="186"/>
        <v>0.25929878048780491</v>
      </c>
      <c r="R141" s="223">
        <f t="shared" si="187"/>
        <v>0.25929878048780491</v>
      </c>
      <c r="S141" s="223">
        <f t="shared" si="188"/>
        <v>5</v>
      </c>
      <c r="T141" s="223">
        <f t="shared" si="189"/>
        <v>0.44832451499118164</v>
      </c>
      <c r="U141" s="223">
        <f t="shared" si="190"/>
        <v>1.3150852439741327</v>
      </c>
      <c r="V141" s="223">
        <f t="shared" si="191"/>
        <v>1.2524621371182216</v>
      </c>
      <c r="W141" s="203">
        <f t="shared" si="192"/>
        <v>350</v>
      </c>
      <c r="X141" s="454">
        <f t="shared" si="193"/>
        <v>350</v>
      </c>
      <c r="Z141" s="223">
        <f t="shared" si="194"/>
        <v>0.4988913525498892</v>
      </c>
      <c r="AA141" s="179">
        <f t="shared" si="195"/>
        <v>1.3937282229965158</v>
      </c>
      <c r="AB141" s="179">
        <f t="shared" si="196"/>
        <v>0.18252122654264241</v>
      </c>
      <c r="AC141" s="179"/>
      <c r="AD141" s="179">
        <f t="shared" si="197"/>
        <v>0.419047619047619</v>
      </c>
      <c r="AE141" s="563">
        <f t="shared" si="198"/>
        <v>1643.9393939393944</v>
      </c>
      <c r="AF141" s="546">
        <f t="shared" si="199"/>
        <v>3.2999999999999995E-2</v>
      </c>
      <c r="AH141" s="179">
        <f t="shared" si="200"/>
        <v>0.44866323818505716</v>
      </c>
      <c r="AI141" s="179">
        <f t="shared" si="201"/>
        <v>0.44866323818505716</v>
      </c>
      <c r="AJ141" s="179">
        <f t="shared" si="202"/>
        <v>1.4212320282852275</v>
      </c>
      <c r="AL141" s="563">
        <f t="shared" si="203"/>
        <v>155</v>
      </c>
      <c r="AM141" s="472">
        <f t="shared" si="204"/>
        <v>350</v>
      </c>
      <c r="AO141" s="472">
        <f t="shared" si="205"/>
        <v>155</v>
      </c>
      <c r="AP141" s="472">
        <f t="shared" si="206"/>
        <v>350</v>
      </c>
      <c r="AR141" s="6">
        <f t="shared" si="245"/>
        <v>2.8571428571428572</v>
      </c>
      <c r="AS141" s="6">
        <f t="shared" si="242"/>
        <v>1.3160788320095009</v>
      </c>
      <c r="AT141" s="6">
        <f t="shared" si="243"/>
        <v>1.5410640251333563</v>
      </c>
      <c r="AU141" s="179">
        <f t="shared" si="244"/>
        <v>0.4606275912033253</v>
      </c>
      <c r="AW141" s="6">
        <f t="shared" si="210"/>
        <v>23.491111111111117</v>
      </c>
      <c r="AX141" s="472">
        <f t="shared" si="211"/>
        <v>2.8665912529550828</v>
      </c>
      <c r="AY141" s="6">
        <f t="shared" si="212"/>
        <v>23.491111111111117</v>
      </c>
      <c r="AZ141" s="472">
        <f t="shared" si="213"/>
        <v>5.5956722222222233</v>
      </c>
      <c r="BA141" s="6">
        <f t="shared" si="214"/>
        <v>7.3723741943108087E-2</v>
      </c>
      <c r="BB141" s="6">
        <f t="shared" si="215"/>
        <v>18.267772140420018</v>
      </c>
      <c r="BC141" s="6"/>
      <c r="BD141" s="179">
        <f t="shared" si="216"/>
        <v>0.17580646166696914</v>
      </c>
      <c r="BE141" s="179">
        <f t="shared" si="217"/>
        <v>0.57072313447184575</v>
      </c>
      <c r="BF141" s="179">
        <f t="shared" si="218"/>
        <v>0.57072313447184575</v>
      </c>
      <c r="BG141" s="179"/>
      <c r="BH141" s="546">
        <f t="shared" si="219"/>
        <v>1.0817769187350822E-2</v>
      </c>
      <c r="BI141" s="546">
        <f t="shared" si="220"/>
        <v>3.6215535757250082E-2</v>
      </c>
      <c r="BJ141" s="546">
        <f t="shared" si="221"/>
        <v>4.3749999999999995E-3</v>
      </c>
      <c r="BK141" s="546">
        <f t="shared" si="222"/>
        <v>1.6547343750000002E-2</v>
      </c>
      <c r="BL141">
        <f t="shared" si="223"/>
        <v>4.3499999999999997E-3</v>
      </c>
      <c r="BN141" s="472">
        <f t="shared" si="224"/>
        <v>72.305648694600904</v>
      </c>
      <c r="BO141" s="179">
        <f t="shared" si="225"/>
        <v>4.65E-2</v>
      </c>
      <c r="BP141" s="179">
        <f t="shared" si="226"/>
        <v>4.65E-2</v>
      </c>
      <c r="BQ141" s="546"/>
      <c r="BS141" s="472">
        <f t="shared" si="227"/>
        <v>93</v>
      </c>
      <c r="BT141" s="546">
        <f t="shared" si="228"/>
        <v>6.1815823927718989E-3</v>
      </c>
      <c r="BU141" s="546">
        <f t="shared" si="229"/>
        <v>1.3028995848854742E-2</v>
      </c>
      <c r="BV141" s="546">
        <f t="shared" si="230"/>
        <v>2.9315240659923164E-2</v>
      </c>
      <c r="BW141" s="546">
        <f t="shared" si="231"/>
        <v>1.545045706284618E-2</v>
      </c>
      <c r="BX141" s="546"/>
      <c r="BY141" s="656">
        <f t="shared" si="232"/>
        <v>3.5227272727272739E-2</v>
      </c>
      <c r="BZ141" s="472">
        <f t="shared" si="233"/>
        <v>99.203548691668729</v>
      </c>
      <c r="CA141" s="179">
        <f t="shared" si="234"/>
        <v>0.2645091973862696</v>
      </c>
      <c r="CB141" s="6">
        <f t="shared" si="235"/>
        <v>1.55</v>
      </c>
      <c r="CC141" s="179">
        <f t="shared" si="236"/>
        <v>0.85422548545508348</v>
      </c>
      <c r="CD141" s="6">
        <f t="shared" si="237"/>
        <v>85.422548545508349</v>
      </c>
      <c r="CE141">
        <f t="shared" si="238"/>
        <v>31</v>
      </c>
      <c r="CG141" s="581">
        <f t="shared" si="239"/>
        <v>-50</v>
      </c>
      <c r="CH141">
        <f t="shared" si="240"/>
        <v>-50</v>
      </c>
    </row>
    <row r="142" spans="5:86" x14ac:dyDescent="0.2">
      <c r="E142" s="176">
        <v>32</v>
      </c>
      <c r="F142" s="223">
        <f t="shared" si="241"/>
        <v>0.16</v>
      </c>
      <c r="G142" s="223">
        <f t="shared" ref="G142:G173" si="246">IF(PLOT_TYPE=1, E142/100*Iout2, min_I*EXP(Q142*rr/100))</f>
        <v>0.16</v>
      </c>
      <c r="H142" s="223">
        <f t="shared" ref="H142:H173" si="247">F142*Vout</f>
        <v>0.8</v>
      </c>
      <c r="I142" s="223">
        <f t="shared" ref="I142:I173" si="248">Vout2*G142</f>
        <v>0.8</v>
      </c>
      <c r="J142" s="559">
        <f t="shared" si="180"/>
        <v>15</v>
      </c>
      <c r="K142" s="454">
        <f t="shared" si="181"/>
        <v>15.75</v>
      </c>
      <c r="L142" s="454">
        <f t="shared" si="182"/>
        <v>30.75</v>
      </c>
      <c r="M142" s="454"/>
      <c r="N142" s="223">
        <f t="shared" si="183"/>
        <v>0.51219512195121952</v>
      </c>
      <c r="O142" s="178">
        <f t="shared" ref="O142:O173" si="249">N142*J142*Isw_max*0.5*Efficiency*Pout/(Pout+Pout2)</f>
        <v>1.2964939024390245</v>
      </c>
      <c r="P142" s="178">
        <f t="shared" ref="P142:P173" si="250">N142*J142*Isw_max*0.5*Efficiency*(Pout2/Pout_total)</f>
        <v>2.592987804878049</v>
      </c>
      <c r="Q142" s="223">
        <f t="shared" si="186"/>
        <v>0.25929878048780491</v>
      </c>
      <c r="R142" s="223">
        <f t="shared" ref="R142:R173" si="251">O142/Vout2</f>
        <v>0.25929878048780491</v>
      </c>
      <c r="S142" s="223">
        <f t="shared" ref="S142:S173" si="252">MIN(Vout,O142/F142)</f>
        <v>5</v>
      </c>
      <c r="T142" s="223">
        <f t="shared" ref="T142:T173" si="253">MIN(2*(Vout*F142+Vout2*G142)/(Efficiency*J142*N142), Isw_max)</f>
        <v>0.46278659611992945</v>
      </c>
      <c r="U142" s="223">
        <f t="shared" si="190"/>
        <v>1.3575073486184597</v>
      </c>
      <c r="V142" s="223">
        <f t="shared" si="191"/>
        <v>1.2928641415413902</v>
      </c>
      <c r="W142" s="203">
        <f t="shared" si="192"/>
        <v>350</v>
      </c>
      <c r="X142" s="454">
        <f t="shared" si="193"/>
        <v>350</v>
      </c>
      <c r="Z142" s="223">
        <f t="shared" si="194"/>
        <v>0.4988913525498892</v>
      </c>
      <c r="AA142" s="179">
        <f t="shared" si="195"/>
        <v>1.3937282229965158</v>
      </c>
      <c r="AB142" s="179">
        <f t="shared" ref="AB142:AB173" si="254">0.5*AA142*Z142*Nps*W142/1000*(Pout/(Pout+Pout2))</f>
        <v>0.18252122654264241</v>
      </c>
      <c r="AC142" s="179"/>
      <c r="AD142" s="179">
        <f t="shared" si="197"/>
        <v>0.419047619047619</v>
      </c>
      <c r="AE142" s="563">
        <f t="shared" ref="AE142:AE173" si="255">MAX(10, F142/(0.5*AD142/1000000*Isw_min*Nps)/1000*Pout_total/Pout)</f>
        <v>1696.9696969696972</v>
      </c>
      <c r="AF142" s="546">
        <f t="shared" ref="AF142:AF173" si="256">0.5*AD142/1000000*Isw_min*Nps*W142*1000*(Pout/Pout_total)</f>
        <v>3.2999999999999995E-2</v>
      </c>
      <c r="AH142" s="179">
        <f t="shared" ref="AH142:AH173" si="257">SQRT((H142+I142)/(0.5*L*Fsw_DCM))</f>
        <v>0.45584230583855179</v>
      </c>
      <c r="AI142" s="179">
        <f t="shared" ref="AI142:AI173" si="258">MAX(IF(F142&gt;AB142,T142,AH142),Isw_min)</f>
        <v>0.45584230583855179</v>
      </c>
      <c r="AJ142" s="179">
        <f t="shared" ref="AJ142:AJ173" si="259">IF(F142&gt;AF142, (AI142-Isw_min)/1.08*0.8+1.2, AE142*0.2/350+1)</f>
        <v>1.4265498561767049</v>
      </c>
      <c r="AL142" s="563">
        <f t="shared" ref="AL142:AL173" si="260">F142*1000</f>
        <v>160</v>
      </c>
      <c r="AM142" s="472">
        <f t="shared" ref="AM142:AM173" si="261">IF(F142&gt;AF142, X142, AE142)</f>
        <v>350</v>
      </c>
      <c r="AO142" s="472">
        <f t="shared" si="205"/>
        <v>160</v>
      </c>
      <c r="AP142" s="472">
        <f t="shared" si="206"/>
        <v>350</v>
      </c>
      <c r="AR142" s="6">
        <f t="shared" si="245"/>
        <v>2.8571428571428572</v>
      </c>
      <c r="AS142" s="6">
        <f t="shared" si="242"/>
        <v>1.3371374304597519</v>
      </c>
      <c r="AT142" s="6">
        <f t="shared" si="243"/>
        <v>1.5200054266831053</v>
      </c>
      <c r="AU142" s="179">
        <f t="shared" si="244"/>
        <v>0.46799810066091313</v>
      </c>
      <c r="AW142" s="6">
        <f t="shared" ref="AW142:AW173" si="262">L*Iout^2/(2*Vripple1_spec*Vout*Npri_sec1^2)*1000000000*((1+N142)/(1-N142))^2</f>
        <v>23.491111111111117</v>
      </c>
      <c r="AX142" s="472">
        <f t="shared" ref="AX142:AX173" si="263">L*F142^2/(2*Cout*Vout*Nps^2)*1000000000*((1+N142)/(1-N142))^2+F142*RCoutEsr</f>
        <v>3.0390316784869973</v>
      </c>
      <c r="AY142" s="6">
        <f t="shared" ref="AY142:AY173" si="264">L*Iout2^2/(2*Vripple2_spec*Vout2*Npri_sec2^2)*1000000000*((1+N142)/(1-N142))^2</f>
        <v>23.491111111111117</v>
      </c>
      <c r="AZ142" s="472">
        <f t="shared" ref="AZ142:AZ173" si="265">L*G142^2/(2*Cout2*Vout2*Npri_sec2^2)*1000000000*((1+N142)/(1-N142))^2+G142*CoutEsr2</f>
        <v>5.9470222222222215</v>
      </c>
      <c r="BA142" s="6">
        <f t="shared" si="214"/>
        <v>7.5061996379412604E-2</v>
      </c>
      <c r="BB142" s="6">
        <f t="shared" ref="BB142:BB173" si="266">((CB142/J142/Efficiency)*AT142/Cin+(CB142/J142/Efficiency)*RCinEsr)*1000</f>
        <v>18.607471723651621</v>
      </c>
      <c r="BC142" s="6"/>
      <c r="BD142" s="179">
        <f t="shared" si="216"/>
        <v>0.18004291949318738</v>
      </c>
      <c r="BE142" s="179">
        <f t="shared" si="217"/>
        <v>0.57587980311862841</v>
      </c>
      <c r="BF142" s="179">
        <f t="shared" si="218"/>
        <v>0.57587980311862841</v>
      </c>
      <c r="BG142" s="179"/>
      <c r="BH142" s="546">
        <f t="shared" si="219"/>
        <v>1.1345408500870622E-2</v>
      </c>
      <c r="BI142" s="546">
        <f t="shared" si="220"/>
        <v>3.6795021124405601E-2</v>
      </c>
      <c r="BJ142" s="546">
        <f t="shared" si="221"/>
        <v>4.3749999999999995E-3</v>
      </c>
      <c r="BK142" s="546">
        <f t="shared" si="222"/>
        <v>1.6547343750000002E-2</v>
      </c>
      <c r="BL142">
        <f t="shared" si="223"/>
        <v>4.3499999999999997E-3</v>
      </c>
      <c r="BN142" s="472">
        <f t="shared" si="224"/>
        <v>73.412773375276217</v>
      </c>
      <c r="BO142" s="179">
        <f t="shared" si="225"/>
        <v>4.8000000000000001E-2</v>
      </c>
      <c r="BP142" s="179">
        <f t="shared" si="226"/>
        <v>4.8000000000000001E-2</v>
      </c>
      <c r="BQ142" s="546"/>
      <c r="BS142" s="472">
        <f t="shared" si="227"/>
        <v>96</v>
      </c>
      <c r="BT142" s="546">
        <f t="shared" si="228"/>
        <v>6.4830905719260703E-3</v>
      </c>
      <c r="BU142" s="546">
        <f t="shared" si="229"/>
        <v>1.326550190559801E-2</v>
      </c>
      <c r="BV142" s="546">
        <f t="shared" si="230"/>
        <v>2.9847379287595521E-2</v>
      </c>
      <c r="BW142" s="546">
        <f t="shared" si="231"/>
        <v>1.6075951491839338E-2</v>
      </c>
      <c r="BX142" s="546"/>
      <c r="BY142" s="656">
        <f t="shared" ref="BY142:BY173" si="267">0.5*Lleak*0.000000001*AI142^2*AM142*1000</f>
        <v>3.6363636363636362E-2</v>
      </c>
      <c r="BZ142" s="472">
        <f t="shared" si="233"/>
        <v>102.03555962059531</v>
      </c>
      <c r="CA142" s="179">
        <f t="shared" si="234"/>
        <v>0.27144833299587151</v>
      </c>
      <c r="CB142" s="6">
        <f t="shared" si="235"/>
        <v>1.6</v>
      </c>
      <c r="CC142" s="179">
        <f t="shared" si="236"/>
        <v>0.8549528040876615</v>
      </c>
      <c r="CD142" s="6">
        <f t="shared" si="237"/>
        <v>85.495280408766149</v>
      </c>
      <c r="CE142">
        <f t="shared" si="238"/>
        <v>32</v>
      </c>
      <c r="CG142" s="581">
        <f t="shared" ref="CG142:CG173" si="268">IF(ABS(F142-Ioutmax_Vinmin)&lt;Iout/200, AM142, -50)</f>
        <v>-50</v>
      </c>
      <c r="CH142">
        <f t="shared" ref="CH142:CH173" si="269">IF(ABS(F142-Ioutmax_Vinmin)&lt;Iout/200, (O142+P142)*CC142, -50)</f>
        <v>-50</v>
      </c>
    </row>
    <row r="143" spans="5:86" x14ac:dyDescent="0.2">
      <c r="E143" s="176">
        <v>33</v>
      </c>
      <c r="F143" s="223">
        <f t="shared" ref="F143:F174" si="270">IF(PLOT_TYPE=1, E143/100*Iout_max, min_I*EXP(O143*rr/100))</f>
        <v>0.16500000000000001</v>
      </c>
      <c r="G143" s="223">
        <f t="shared" si="246"/>
        <v>0.16500000000000001</v>
      </c>
      <c r="H143" s="223">
        <f t="shared" si="247"/>
        <v>0.82500000000000007</v>
      </c>
      <c r="I143" s="223">
        <f t="shared" si="248"/>
        <v>0.82500000000000007</v>
      </c>
      <c r="J143" s="559">
        <f t="shared" si="180"/>
        <v>15</v>
      </c>
      <c r="K143" s="454">
        <f t="shared" si="181"/>
        <v>15.75</v>
      </c>
      <c r="L143" s="454">
        <f t="shared" si="182"/>
        <v>30.75</v>
      </c>
      <c r="M143" s="454"/>
      <c r="N143" s="223">
        <f t="shared" si="183"/>
        <v>0.51219512195121952</v>
      </c>
      <c r="O143" s="178">
        <f t="shared" si="249"/>
        <v>1.2964939024390245</v>
      </c>
      <c r="P143" s="178">
        <f t="shared" si="250"/>
        <v>2.592987804878049</v>
      </c>
      <c r="Q143" s="223">
        <f t="shared" si="186"/>
        <v>0.25929878048780491</v>
      </c>
      <c r="R143" s="223">
        <f t="shared" si="251"/>
        <v>0.25929878048780491</v>
      </c>
      <c r="S143" s="223">
        <f t="shared" si="252"/>
        <v>5</v>
      </c>
      <c r="T143" s="223">
        <f t="shared" si="253"/>
        <v>0.47724867724867726</v>
      </c>
      <c r="U143" s="223">
        <f t="shared" si="190"/>
        <v>1.3999294532627866</v>
      </c>
      <c r="V143" s="223">
        <f t="shared" si="191"/>
        <v>1.3332661459645587</v>
      </c>
      <c r="W143" s="203">
        <f t="shared" si="192"/>
        <v>350</v>
      </c>
      <c r="X143" s="454">
        <f t="shared" si="193"/>
        <v>350</v>
      </c>
      <c r="Z143" s="223">
        <f t="shared" si="194"/>
        <v>0.4988913525498892</v>
      </c>
      <c r="AA143" s="179">
        <f t="shared" si="195"/>
        <v>1.3937282229965158</v>
      </c>
      <c r="AB143" s="179">
        <f t="shared" si="254"/>
        <v>0.18252122654264241</v>
      </c>
      <c r="AC143" s="179"/>
      <c r="AD143" s="179">
        <f t="shared" si="197"/>
        <v>0.419047619047619</v>
      </c>
      <c r="AE143" s="563">
        <f t="shared" si="255"/>
        <v>1750.0000000000005</v>
      </c>
      <c r="AF143" s="546">
        <f t="shared" si="256"/>
        <v>3.2999999999999995E-2</v>
      </c>
      <c r="AH143" s="179">
        <f t="shared" si="257"/>
        <v>0.46291004988627577</v>
      </c>
      <c r="AI143" s="179">
        <f t="shared" si="258"/>
        <v>0.46291004988627577</v>
      </c>
      <c r="AJ143" s="179">
        <f t="shared" si="259"/>
        <v>1.4317852221379821</v>
      </c>
      <c r="AL143" s="563">
        <f t="shared" si="260"/>
        <v>165</v>
      </c>
      <c r="AM143" s="472">
        <f t="shared" si="261"/>
        <v>350</v>
      </c>
      <c r="AO143" s="472">
        <f t="shared" si="205"/>
        <v>165</v>
      </c>
      <c r="AP143" s="472">
        <f t="shared" si="206"/>
        <v>350</v>
      </c>
      <c r="AR143" s="6">
        <f t="shared" si="245"/>
        <v>2.8571428571428572</v>
      </c>
      <c r="AS143" s="6">
        <f t="shared" si="242"/>
        <v>1.3578694796664088</v>
      </c>
      <c r="AT143" s="6">
        <f t="shared" si="243"/>
        <v>1.4992733774764484</v>
      </c>
      <c r="AU143" s="179">
        <f t="shared" si="244"/>
        <v>0.47525431788324307</v>
      </c>
      <c r="AW143" s="6">
        <f t="shared" si="262"/>
        <v>23.491111111111117</v>
      </c>
      <c r="AX143" s="472">
        <f t="shared" si="263"/>
        <v>3.2164702127659579</v>
      </c>
      <c r="AY143" s="6">
        <f t="shared" si="264"/>
        <v>23.491111111111117</v>
      </c>
      <c r="AZ143" s="472">
        <f t="shared" si="265"/>
        <v>6.3090500000000009</v>
      </c>
      <c r="BA143" s="6">
        <f t="shared" si="214"/>
        <v>7.6351884964078381E-2</v>
      </c>
      <c r="BB143" s="6">
        <f t="shared" si="266"/>
        <v>18.935563502489927</v>
      </c>
      <c r="BC143" s="6"/>
      <c r="BD143" s="179">
        <f t="shared" si="216"/>
        <v>0.18424640292733052</v>
      </c>
      <c r="BE143" s="179">
        <f t="shared" si="217"/>
        <v>0.58080677503985867</v>
      </c>
      <c r="BF143" s="179">
        <f t="shared" si="218"/>
        <v>0.58080677503985867</v>
      </c>
      <c r="BG143" s="179"/>
      <c r="BH143" s="546">
        <f t="shared" si="219"/>
        <v>1.1881357947081081E-2</v>
      </c>
      <c r="BI143" s="546">
        <f t="shared" si="220"/>
        <v>3.7365520589257815E-2</v>
      </c>
      <c r="BJ143" s="546">
        <f t="shared" si="221"/>
        <v>4.3749999999999995E-3</v>
      </c>
      <c r="BK143" s="546">
        <f t="shared" si="222"/>
        <v>1.6547343750000002E-2</v>
      </c>
      <c r="BL143">
        <f t="shared" si="223"/>
        <v>4.3499999999999997E-3</v>
      </c>
      <c r="BN143" s="472">
        <f t="shared" si="224"/>
        <v>74.519222286338888</v>
      </c>
      <c r="BO143" s="179">
        <f t="shared" si="225"/>
        <v>4.9500000000000002E-2</v>
      </c>
      <c r="BP143" s="179">
        <f t="shared" si="226"/>
        <v>4.9500000000000002E-2</v>
      </c>
      <c r="BQ143" s="546"/>
      <c r="BS143" s="472">
        <f t="shared" si="227"/>
        <v>99</v>
      </c>
      <c r="BT143" s="546">
        <f t="shared" si="228"/>
        <v>6.7893473983320464E-3</v>
      </c>
      <c r="BU143" s="546">
        <f t="shared" si="229"/>
        <v>1.349346039728804E-2</v>
      </c>
      <c r="BV143" s="546">
        <f t="shared" si="230"/>
        <v>3.0360285893898088E-2</v>
      </c>
      <c r="BW143" s="546">
        <f t="shared" si="231"/>
        <v>1.6706352436080738E-2</v>
      </c>
      <c r="BX143" s="546"/>
      <c r="BY143" s="656">
        <f t="shared" si="267"/>
        <v>3.7500000000000012E-2</v>
      </c>
      <c r="BZ143" s="472">
        <f t="shared" si="233"/>
        <v>104.84944612559893</v>
      </c>
      <c r="CA143" s="179">
        <f t="shared" si="234"/>
        <v>0.2783686684119378</v>
      </c>
      <c r="CB143" s="6">
        <f t="shared" si="235"/>
        <v>1.6500000000000001</v>
      </c>
      <c r="CC143" s="179">
        <f t="shared" si="236"/>
        <v>0.8556455137589527</v>
      </c>
      <c r="CD143" s="6">
        <f t="shared" si="237"/>
        <v>85.564551375895263</v>
      </c>
      <c r="CE143">
        <f t="shared" si="238"/>
        <v>33</v>
      </c>
      <c r="CG143" s="581">
        <f t="shared" si="268"/>
        <v>-50</v>
      </c>
      <c r="CH143">
        <f t="shared" si="269"/>
        <v>-50</v>
      </c>
    </row>
    <row r="144" spans="5:86" x14ac:dyDescent="0.2">
      <c r="E144" s="176">
        <v>34</v>
      </c>
      <c r="F144" s="223">
        <f t="shared" si="270"/>
        <v>0.17</v>
      </c>
      <c r="G144" s="223">
        <f t="shared" si="246"/>
        <v>0.17</v>
      </c>
      <c r="H144" s="223">
        <f t="shared" si="247"/>
        <v>0.85000000000000009</v>
      </c>
      <c r="I144" s="223">
        <f t="shared" si="248"/>
        <v>0.85000000000000009</v>
      </c>
      <c r="J144" s="559">
        <f t="shared" si="180"/>
        <v>15</v>
      </c>
      <c r="K144" s="454">
        <f t="shared" si="181"/>
        <v>15.75</v>
      </c>
      <c r="L144" s="454">
        <f t="shared" si="182"/>
        <v>30.75</v>
      </c>
      <c r="M144" s="454"/>
      <c r="N144" s="223">
        <f t="shared" si="183"/>
        <v>0.51219512195121952</v>
      </c>
      <c r="O144" s="178">
        <f t="shared" si="249"/>
        <v>1.2964939024390245</v>
      </c>
      <c r="P144" s="178">
        <f t="shared" si="250"/>
        <v>2.592987804878049</v>
      </c>
      <c r="Q144" s="223">
        <f t="shared" si="186"/>
        <v>0.25929878048780491</v>
      </c>
      <c r="R144" s="223">
        <f t="shared" si="251"/>
        <v>0.25929878048780491</v>
      </c>
      <c r="S144" s="223">
        <f t="shared" si="252"/>
        <v>5</v>
      </c>
      <c r="T144" s="223">
        <f t="shared" si="253"/>
        <v>0.49171075837742506</v>
      </c>
      <c r="U144" s="223">
        <f t="shared" si="190"/>
        <v>1.4423515579071136</v>
      </c>
      <c r="V144" s="223">
        <f t="shared" si="191"/>
        <v>1.373668150387727</v>
      </c>
      <c r="W144" s="203">
        <f t="shared" si="192"/>
        <v>350</v>
      </c>
      <c r="X144" s="454">
        <f t="shared" si="193"/>
        <v>350</v>
      </c>
      <c r="Z144" s="223">
        <f t="shared" si="194"/>
        <v>0.4988913525498892</v>
      </c>
      <c r="AA144" s="179">
        <f t="shared" si="195"/>
        <v>1.3937282229965158</v>
      </c>
      <c r="AB144" s="179">
        <f t="shared" si="254"/>
        <v>0.18252122654264241</v>
      </c>
      <c r="AC144" s="179"/>
      <c r="AD144" s="179">
        <f t="shared" si="197"/>
        <v>0.419047619047619</v>
      </c>
      <c r="AE144" s="563">
        <f t="shared" si="255"/>
        <v>1803.0303030303035</v>
      </c>
      <c r="AF144" s="546">
        <f t="shared" si="256"/>
        <v>3.2999999999999995E-2</v>
      </c>
      <c r="AH144" s="179">
        <f t="shared" si="257"/>
        <v>0.46987149389936478</v>
      </c>
      <c r="AI144" s="179">
        <f t="shared" si="258"/>
        <v>0.46987149389936478</v>
      </c>
      <c r="AJ144" s="179">
        <f t="shared" si="259"/>
        <v>1.4369418473328628</v>
      </c>
      <c r="AL144" s="563">
        <f t="shared" si="260"/>
        <v>170</v>
      </c>
      <c r="AM144" s="472">
        <f t="shared" si="261"/>
        <v>350</v>
      </c>
      <c r="AO144" s="472">
        <f t="shared" si="205"/>
        <v>170</v>
      </c>
      <c r="AP144" s="472">
        <f t="shared" si="206"/>
        <v>350</v>
      </c>
      <c r="AR144" s="6">
        <f t="shared" si="245"/>
        <v>2.8571428571428572</v>
      </c>
      <c r="AS144" s="6">
        <f t="shared" si="242"/>
        <v>1.3782897154381366</v>
      </c>
      <c r="AT144" s="6">
        <f t="shared" si="243"/>
        <v>1.4788531417047206</v>
      </c>
      <c r="AU144" s="179">
        <f t="shared" si="244"/>
        <v>0.48240140040334778</v>
      </c>
      <c r="AW144" s="6">
        <f t="shared" si="262"/>
        <v>23.491111111111117</v>
      </c>
      <c r="AX144" s="472">
        <f t="shared" si="263"/>
        <v>3.3989068557919637</v>
      </c>
      <c r="AY144" s="6">
        <f t="shared" si="264"/>
        <v>23.491111111111117</v>
      </c>
      <c r="AZ144" s="472">
        <f t="shared" si="265"/>
        <v>6.6817555555555579</v>
      </c>
      <c r="BA144" s="6">
        <f t="shared" si="214"/>
        <v>7.7594146324013111E-2</v>
      </c>
      <c r="BB144" s="6">
        <f t="shared" si="266"/>
        <v>19.252224747392777</v>
      </c>
      <c r="BC144" s="6"/>
      <c r="BD144" s="179">
        <f t="shared" si="216"/>
        <v>0.18841815666566036</v>
      </c>
      <c r="BE144" s="179">
        <f t="shared" si="217"/>
        <v>0.58551263563316402</v>
      </c>
      <c r="BF144" s="179">
        <f t="shared" si="218"/>
        <v>0.58551263563316402</v>
      </c>
      <c r="BG144" s="179"/>
      <c r="BH144" s="546">
        <f t="shared" si="219"/>
        <v>1.2425490616449866E-2</v>
      </c>
      <c r="BI144" s="546">
        <f t="shared" si="220"/>
        <v>3.7927439648189343E-2</v>
      </c>
      <c r="BJ144" s="546">
        <f t="shared" si="221"/>
        <v>4.3749999999999995E-3</v>
      </c>
      <c r="BK144" s="546">
        <f t="shared" si="222"/>
        <v>1.6547343750000002E-2</v>
      </c>
      <c r="BL144">
        <f t="shared" si="223"/>
        <v>4.3499999999999997E-3</v>
      </c>
      <c r="BN144" s="472">
        <f t="shared" si="224"/>
        <v>75.625274014639203</v>
      </c>
      <c r="BO144" s="179">
        <f t="shared" si="225"/>
        <v>5.1000000000000004E-2</v>
      </c>
      <c r="BP144" s="179">
        <f t="shared" si="226"/>
        <v>5.1000000000000004E-2</v>
      </c>
      <c r="BQ144" s="546"/>
      <c r="BS144" s="472">
        <f t="shared" si="227"/>
        <v>102.00000000000001</v>
      </c>
      <c r="BT144" s="546">
        <f t="shared" si="228"/>
        <v>7.1002803522570677E-3</v>
      </c>
      <c r="BU144" s="546">
        <f t="shared" si="229"/>
        <v>1.3713001859443772E-2</v>
      </c>
      <c r="BV144" s="546">
        <f t="shared" si="230"/>
        <v>3.0854254183748486E-2</v>
      </c>
      <c r="BW144" s="546">
        <f t="shared" si="231"/>
        <v>1.7341547925457629E-2</v>
      </c>
      <c r="BX144" s="546"/>
      <c r="BY144" s="656">
        <f t="shared" si="267"/>
        <v>3.8636363636363649E-2</v>
      </c>
      <c r="BZ144" s="472">
        <f t="shared" si="233"/>
        <v>107.6454479572706</v>
      </c>
      <c r="CA144" s="179">
        <f t="shared" si="234"/>
        <v>0.28527072197190978</v>
      </c>
      <c r="CB144" s="6">
        <f t="shared" si="235"/>
        <v>1.7000000000000002</v>
      </c>
      <c r="CC144" s="179">
        <f t="shared" si="236"/>
        <v>0.85630638742883447</v>
      </c>
      <c r="CD144" s="6">
        <f t="shared" si="237"/>
        <v>85.630638742883448</v>
      </c>
      <c r="CE144">
        <f t="shared" si="238"/>
        <v>34</v>
      </c>
      <c r="CG144" s="581">
        <f t="shared" si="268"/>
        <v>-50</v>
      </c>
      <c r="CH144">
        <f t="shared" si="269"/>
        <v>-50</v>
      </c>
    </row>
    <row r="145" spans="5:86" x14ac:dyDescent="0.2">
      <c r="E145" s="176">
        <v>35</v>
      </c>
      <c r="F145" s="223">
        <f t="shared" si="270"/>
        <v>0.17499999999999999</v>
      </c>
      <c r="G145" s="223">
        <f t="shared" si="246"/>
        <v>0.17499999999999999</v>
      </c>
      <c r="H145" s="223">
        <f t="shared" si="247"/>
        <v>0.875</v>
      </c>
      <c r="I145" s="223">
        <f t="shared" si="248"/>
        <v>0.875</v>
      </c>
      <c r="J145" s="559">
        <f t="shared" si="180"/>
        <v>15</v>
      </c>
      <c r="K145" s="454">
        <f t="shared" si="181"/>
        <v>15.75</v>
      </c>
      <c r="L145" s="454">
        <f t="shared" si="182"/>
        <v>30.75</v>
      </c>
      <c r="M145" s="454"/>
      <c r="N145" s="223">
        <f t="shared" si="183"/>
        <v>0.51219512195121952</v>
      </c>
      <c r="O145" s="178">
        <f t="shared" si="249"/>
        <v>1.2964939024390245</v>
      </c>
      <c r="P145" s="178">
        <f t="shared" si="250"/>
        <v>2.592987804878049</v>
      </c>
      <c r="Q145" s="223">
        <f t="shared" si="186"/>
        <v>0.25929878048780491</v>
      </c>
      <c r="R145" s="223">
        <f t="shared" si="251"/>
        <v>0.25929878048780491</v>
      </c>
      <c r="S145" s="223">
        <f t="shared" si="252"/>
        <v>5</v>
      </c>
      <c r="T145" s="223">
        <f t="shared" si="253"/>
        <v>0.50617283950617287</v>
      </c>
      <c r="U145" s="223">
        <f t="shared" si="190"/>
        <v>1.4847736625514405</v>
      </c>
      <c r="V145" s="223">
        <f t="shared" si="191"/>
        <v>1.4140701548108956</v>
      </c>
      <c r="W145" s="203">
        <f t="shared" si="192"/>
        <v>350</v>
      </c>
      <c r="X145" s="454">
        <f t="shared" si="193"/>
        <v>344.96511816559399</v>
      </c>
      <c r="Z145" s="223">
        <f t="shared" si="194"/>
        <v>0.4988913525498892</v>
      </c>
      <c r="AA145" s="179">
        <f t="shared" si="195"/>
        <v>1.3937282229965158</v>
      </c>
      <c r="AB145" s="179">
        <f t="shared" si="254"/>
        <v>0.18252122654264241</v>
      </c>
      <c r="AC145" s="179"/>
      <c r="AD145" s="179">
        <f t="shared" si="197"/>
        <v>0.419047619047619</v>
      </c>
      <c r="AE145" s="563">
        <f t="shared" si="255"/>
        <v>1856.0606060606065</v>
      </c>
      <c r="AF145" s="546">
        <f t="shared" si="256"/>
        <v>3.2999999999999995E-2</v>
      </c>
      <c r="AH145" s="179">
        <f t="shared" si="257"/>
        <v>0.47673129462279618</v>
      </c>
      <c r="AI145" s="179">
        <f t="shared" si="258"/>
        <v>0.47673129462279618</v>
      </c>
      <c r="AJ145" s="179">
        <f t="shared" si="259"/>
        <v>1.4420231812020712</v>
      </c>
      <c r="AL145" s="563">
        <f t="shared" si="260"/>
        <v>175</v>
      </c>
      <c r="AM145" s="472">
        <f t="shared" si="261"/>
        <v>344.96511816559399</v>
      </c>
      <c r="AO145" s="472">
        <f t="shared" si="205"/>
        <v>175</v>
      </c>
      <c r="AP145" s="472">
        <f t="shared" si="206"/>
        <v>344.96511816559399</v>
      </c>
      <c r="AR145" s="6">
        <f t="shared" si="245"/>
        <v>2.8988438173623368</v>
      </c>
      <c r="AS145" s="6">
        <f t="shared" si="242"/>
        <v>1.3984117975602022</v>
      </c>
      <c r="AT145" s="6">
        <f t="shared" si="243"/>
        <v>1.5004320198021346</v>
      </c>
      <c r="AU145" s="179">
        <f t="shared" si="244"/>
        <v>0.48240329098951579</v>
      </c>
      <c r="AW145" s="6">
        <f t="shared" si="262"/>
        <v>23.491111111111117</v>
      </c>
      <c r="AX145" s="472">
        <f t="shared" si="263"/>
        <v>3.5863416075650116</v>
      </c>
      <c r="AY145" s="6">
        <f t="shared" si="264"/>
        <v>23.491111111111117</v>
      </c>
      <c r="AZ145" s="472">
        <f t="shared" si="265"/>
        <v>7.0651388888888871</v>
      </c>
      <c r="BA145" s="6">
        <f t="shared" si="214"/>
        <v>8.104185292141157E-2</v>
      </c>
      <c r="BB145" s="6">
        <f t="shared" si="266"/>
        <v>20.098192849286928</v>
      </c>
      <c r="BC145" s="6"/>
      <c r="BD145" s="179">
        <f t="shared" si="216"/>
        <v>0.19116930680117589</v>
      </c>
      <c r="BE145" s="179">
        <f t="shared" si="217"/>
        <v>0.59405963257286121</v>
      </c>
      <c r="BF145" s="179">
        <f t="shared" si="218"/>
        <v>0.59405963257286121</v>
      </c>
      <c r="BG145" s="179"/>
      <c r="BH145" s="546">
        <f t="shared" si="219"/>
        <v>1.279099635199474E-2</v>
      </c>
      <c r="BI145" s="546">
        <f t="shared" si="220"/>
        <v>3.7927588290155821E-2</v>
      </c>
      <c r="BJ145" s="546">
        <f t="shared" si="221"/>
        <v>4.3120639770699246E-3</v>
      </c>
      <c r="BK145" s="546">
        <f t="shared" si="222"/>
        <v>1.6309303977272725E-2</v>
      </c>
      <c r="BL145">
        <f t="shared" si="223"/>
        <v>4.3499999999999997E-3</v>
      </c>
      <c r="BN145" s="472">
        <f t="shared" si="224"/>
        <v>75.6899525964932</v>
      </c>
      <c r="BO145" s="179">
        <f t="shared" si="225"/>
        <v>5.2499999999999998E-2</v>
      </c>
      <c r="BP145" s="179">
        <f t="shared" si="226"/>
        <v>5.2499999999999998E-2</v>
      </c>
      <c r="BQ145" s="546"/>
      <c r="BS145" s="472">
        <f t="shared" si="227"/>
        <v>105</v>
      </c>
      <c r="BT145" s="546">
        <f t="shared" si="228"/>
        <v>7.3091407725684237E-3</v>
      </c>
      <c r="BU145" s="546">
        <f t="shared" si="229"/>
        <v>1.4116273882104114E-2</v>
      </c>
      <c r="BV145" s="546">
        <f t="shared" si="230"/>
        <v>3.1761616234734252E-2</v>
      </c>
      <c r="BW145" s="546">
        <f t="shared" si="231"/>
        <v>1.734171783472295E-2</v>
      </c>
      <c r="BX145" s="546"/>
      <c r="BY145" s="656">
        <f t="shared" si="267"/>
        <v>3.9200581609726608E-2</v>
      </c>
      <c r="BZ145" s="472">
        <f t="shared" si="233"/>
        <v>109.72933033385634</v>
      </c>
      <c r="CA145" s="179">
        <f t="shared" si="234"/>
        <v>0.29041928293034952</v>
      </c>
      <c r="CB145" s="6">
        <f t="shared" si="235"/>
        <v>1.75</v>
      </c>
      <c r="CC145" s="179">
        <f t="shared" si="236"/>
        <v>0.85766686025763117</v>
      </c>
      <c r="CD145" s="6">
        <f t="shared" si="237"/>
        <v>85.766686025763121</v>
      </c>
      <c r="CE145">
        <f t="shared" si="238"/>
        <v>35</v>
      </c>
      <c r="CG145" s="581">
        <f t="shared" si="268"/>
        <v>-50</v>
      </c>
      <c r="CH145">
        <f t="shared" si="269"/>
        <v>-50</v>
      </c>
    </row>
    <row r="146" spans="5:86" x14ac:dyDescent="0.2">
      <c r="E146" s="176">
        <v>36</v>
      </c>
      <c r="F146" s="223">
        <f t="shared" si="270"/>
        <v>0.18</v>
      </c>
      <c r="G146" s="223">
        <f t="shared" si="246"/>
        <v>0.18</v>
      </c>
      <c r="H146" s="223">
        <f t="shared" si="247"/>
        <v>0.89999999999999991</v>
      </c>
      <c r="I146" s="223">
        <f t="shared" si="248"/>
        <v>0.89999999999999991</v>
      </c>
      <c r="J146" s="559">
        <f t="shared" si="180"/>
        <v>15</v>
      </c>
      <c r="K146" s="454">
        <f t="shared" si="181"/>
        <v>15.75</v>
      </c>
      <c r="L146" s="454">
        <f t="shared" si="182"/>
        <v>30.75</v>
      </c>
      <c r="M146" s="454"/>
      <c r="N146" s="223">
        <f t="shared" si="183"/>
        <v>0.51219512195121952</v>
      </c>
      <c r="O146" s="178">
        <f t="shared" si="249"/>
        <v>1.2964939024390245</v>
      </c>
      <c r="P146" s="178">
        <f t="shared" si="250"/>
        <v>2.592987804878049</v>
      </c>
      <c r="Q146" s="223">
        <f t="shared" si="186"/>
        <v>0.25929878048780491</v>
      </c>
      <c r="R146" s="223">
        <f t="shared" si="251"/>
        <v>0.25929878048780491</v>
      </c>
      <c r="S146" s="223">
        <f t="shared" si="252"/>
        <v>5</v>
      </c>
      <c r="T146" s="223">
        <f t="shared" si="253"/>
        <v>0.52063492063492056</v>
      </c>
      <c r="U146" s="223">
        <f t="shared" si="190"/>
        <v>1.5271957671957668</v>
      </c>
      <c r="V146" s="223">
        <f t="shared" si="191"/>
        <v>1.4544721592340637</v>
      </c>
      <c r="W146" s="203">
        <f t="shared" si="192"/>
        <v>350</v>
      </c>
      <c r="X146" s="454">
        <f t="shared" si="193"/>
        <v>335.38275377210539</v>
      </c>
      <c r="Z146" s="223">
        <f t="shared" si="194"/>
        <v>0.4988913525498892</v>
      </c>
      <c r="AA146" s="179">
        <f t="shared" si="195"/>
        <v>1.3937282229965158</v>
      </c>
      <c r="AB146" s="179">
        <f t="shared" si="254"/>
        <v>0.18252122654264241</v>
      </c>
      <c r="AC146" s="179"/>
      <c r="AD146" s="179">
        <f t="shared" si="197"/>
        <v>0.419047619047619</v>
      </c>
      <c r="AE146" s="563">
        <f t="shared" si="255"/>
        <v>1909.0909090909095</v>
      </c>
      <c r="AF146" s="546">
        <f t="shared" si="256"/>
        <v>3.2999999999999995E-2</v>
      </c>
      <c r="AH146" s="179">
        <f t="shared" si="257"/>
        <v>0.48349377841522817</v>
      </c>
      <c r="AI146" s="179">
        <f t="shared" si="258"/>
        <v>0.48349377841522817</v>
      </c>
      <c r="AJ146" s="179">
        <f t="shared" si="259"/>
        <v>1.4470324284557246</v>
      </c>
      <c r="AL146" s="563">
        <f t="shared" si="260"/>
        <v>180</v>
      </c>
      <c r="AM146" s="472">
        <f t="shared" si="261"/>
        <v>335.38275377210539</v>
      </c>
      <c r="AO146" s="472">
        <f t="shared" si="205"/>
        <v>180</v>
      </c>
      <c r="AP146" s="472">
        <f t="shared" si="206"/>
        <v>335.38275377210539</v>
      </c>
      <c r="AR146" s="6">
        <f t="shared" si="245"/>
        <v>2.9816679264298309</v>
      </c>
      <c r="AS146" s="6">
        <f t="shared" si="242"/>
        <v>1.4182484166846694</v>
      </c>
      <c r="AT146" s="6">
        <f t="shared" si="243"/>
        <v>1.5634195097451615</v>
      </c>
      <c r="AU146" s="179">
        <f t="shared" si="244"/>
        <v>0.47565605952063278</v>
      </c>
      <c r="AW146" s="6">
        <f t="shared" si="262"/>
        <v>23.491111111111117</v>
      </c>
      <c r="AX146" s="472">
        <f t="shared" si="263"/>
        <v>3.7787744680851065</v>
      </c>
      <c r="AY146" s="6">
        <f t="shared" si="264"/>
        <v>23.491111111111117</v>
      </c>
      <c r="AZ146" s="472">
        <f t="shared" si="265"/>
        <v>7.4592000000000009</v>
      </c>
      <c r="BA146" s="6">
        <f t="shared" si="214"/>
        <v>8.6856639430286736E-2</v>
      </c>
      <c r="BB146" s="6">
        <f t="shared" si="266"/>
        <v>21.512260129935481</v>
      </c>
      <c r="BC146" s="6"/>
      <c r="BD146" s="179">
        <f t="shared" si="216"/>
        <v>0.19252041069475018</v>
      </c>
      <c r="BE146" s="179">
        <f t="shared" si="217"/>
        <v>0.60640063035259428</v>
      </c>
      <c r="BF146" s="179">
        <f t="shared" si="218"/>
        <v>0.60640063035259428</v>
      </c>
      <c r="BG146" s="179"/>
      <c r="BH146" s="546">
        <f t="shared" si="219"/>
        <v>1.2972437986926346E-2</v>
      </c>
      <c r="BI146" s="546">
        <f t="shared" si="220"/>
        <v>3.7397106384186106E-2</v>
      </c>
      <c r="BJ146" s="546">
        <f t="shared" si="221"/>
        <v>4.1922844221513175E-3</v>
      </c>
      <c r="BK146" s="546">
        <f t="shared" si="222"/>
        <v>1.5856267755681823E-2</v>
      </c>
      <c r="BL146">
        <f t="shared" si="223"/>
        <v>4.3499999999999997E-3</v>
      </c>
      <c r="BN146" s="472">
        <f t="shared" si="224"/>
        <v>74.768096548945593</v>
      </c>
      <c r="BO146" s="179">
        <f t="shared" si="225"/>
        <v>5.3999999999999999E-2</v>
      </c>
      <c r="BP146" s="179">
        <f t="shared" si="226"/>
        <v>5.3999999999999999E-2</v>
      </c>
      <c r="BQ146" s="546"/>
      <c r="BS146" s="472">
        <f t="shared" si="227"/>
        <v>108</v>
      </c>
      <c r="BT146" s="546">
        <f t="shared" si="228"/>
        <v>7.4128217068150553E-3</v>
      </c>
      <c r="BU146" s="546">
        <f t="shared" si="229"/>
        <v>1.4708868979680947E-2</v>
      </c>
      <c r="BV146" s="546">
        <f t="shared" si="230"/>
        <v>3.3094955204282128E-2</v>
      </c>
      <c r="BW146" s="546">
        <f t="shared" si="231"/>
        <v>1.6741680327046433E-2</v>
      </c>
      <c r="BX146" s="546"/>
      <c r="BY146" s="656">
        <f t="shared" si="267"/>
        <v>3.9200581609726608E-2</v>
      </c>
      <c r="BZ146" s="472">
        <f t="shared" si="233"/>
        <v>111.15890782755116</v>
      </c>
      <c r="CA146" s="179">
        <f t="shared" si="234"/>
        <v>0.29392700437649677</v>
      </c>
      <c r="CB146" s="6">
        <f t="shared" si="235"/>
        <v>1.7999999999999998</v>
      </c>
      <c r="CC146" s="179">
        <f t="shared" si="236"/>
        <v>0.85962882002946495</v>
      </c>
      <c r="CD146" s="6">
        <f t="shared" si="237"/>
        <v>85.9628820029465</v>
      </c>
      <c r="CE146">
        <f t="shared" si="238"/>
        <v>36</v>
      </c>
      <c r="CG146" s="581">
        <f t="shared" si="268"/>
        <v>-50</v>
      </c>
      <c r="CH146">
        <f t="shared" si="269"/>
        <v>-50</v>
      </c>
    </row>
    <row r="147" spans="5:86" x14ac:dyDescent="0.2">
      <c r="E147" s="176">
        <v>37</v>
      </c>
      <c r="F147" s="223">
        <f t="shared" si="270"/>
        <v>0.185</v>
      </c>
      <c r="G147" s="223">
        <f t="shared" si="246"/>
        <v>0.185</v>
      </c>
      <c r="H147" s="223">
        <f t="shared" si="247"/>
        <v>0.92500000000000004</v>
      </c>
      <c r="I147" s="223">
        <f t="shared" si="248"/>
        <v>0.92500000000000004</v>
      </c>
      <c r="J147" s="559">
        <f t="shared" si="180"/>
        <v>15</v>
      </c>
      <c r="K147" s="454">
        <f t="shared" si="181"/>
        <v>15.75</v>
      </c>
      <c r="L147" s="454">
        <f t="shared" si="182"/>
        <v>30.75</v>
      </c>
      <c r="M147" s="454"/>
      <c r="N147" s="223">
        <f t="shared" si="183"/>
        <v>0.51219512195121952</v>
      </c>
      <c r="O147" s="178">
        <f t="shared" si="249"/>
        <v>1.2964939024390245</v>
      </c>
      <c r="P147" s="178">
        <f t="shared" si="250"/>
        <v>2.592987804878049</v>
      </c>
      <c r="Q147" s="223">
        <f t="shared" si="186"/>
        <v>0.25929878048780491</v>
      </c>
      <c r="R147" s="223">
        <f t="shared" si="251"/>
        <v>0.25929878048780491</v>
      </c>
      <c r="S147" s="223">
        <f t="shared" si="252"/>
        <v>5</v>
      </c>
      <c r="T147" s="223">
        <f t="shared" si="253"/>
        <v>0.53509700176366848</v>
      </c>
      <c r="U147" s="223">
        <f t="shared" si="190"/>
        <v>1.5696178718400942</v>
      </c>
      <c r="V147" s="223">
        <f t="shared" si="191"/>
        <v>1.4948741636572325</v>
      </c>
      <c r="W147" s="203">
        <f t="shared" si="192"/>
        <v>350</v>
      </c>
      <c r="X147" s="454">
        <f t="shared" si="193"/>
        <v>326.3183550215079</v>
      </c>
      <c r="Z147" s="223">
        <f t="shared" si="194"/>
        <v>0.4988913525498892</v>
      </c>
      <c r="AA147" s="179">
        <f t="shared" si="195"/>
        <v>1.3937282229965158</v>
      </c>
      <c r="AB147" s="179">
        <f t="shared" si="254"/>
        <v>0.18252122654264241</v>
      </c>
      <c r="AC147" s="179"/>
      <c r="AD147" s="179">
        <f t="shared" si="197"/>
        <v>0.419047619047619</v>
      </c>
      <c r="AE147" s="563">
        <f t="shared" si="255"/>
        <v>1962.1212121212125</v>
      </c>
      <c r="AF147" s="546">
        <f t="shared" si="256"/>
        <v>3.2999999999999995E-2</v>
      </c>
      <c r="AH147" s="179">
        <f t="shared" si="257"/>
        <v>0.49016297316274338</v>
      </c>
      <c r="AI147" s="179">
        <f t="shared" si="258"/>
        <v>0.53509700176366848</v>
      </c>
      <c r="AJ147" s="179">
        <f t="shared" si="259"/>
        <v>1.485257038343458</v>
      </c>
      <c r="AL147" s="563">
        <f t="shared" si="260"/>
        <v>185</v>
      </c>
      <c r="AM147" s="472">
        <f t="shared" si="261"/>
        <v>326.3183550215079</v>
      </c>
      <c r="AO147" s="472">
        <f t="shared" si="205"/>
        <v>185</v>
      </c>
      <c r="AP147" s="472">
        <f t="shared" si="206"/>
        <v>326.3183550215079</v>
      </c>
      <c r="AR147" s="6">
        <f t="shared" si="245"/>
        <v>3.0644920354973268</v>
      </c>
      <c r="AS147" s="6">
        <f t="shared" si="242"/>
        <v>1.5696178718400942</v>
      </c>
      <c r="AT147" s="6">
        <f t="shared" si="243"/>
        <v>1.4948741636572327</v>
      </c>
      <c r="AU147" s="179">
        <f t="shared" si="244"/>
        <v>0.51219512195121952</v>
      </c>
      <c r="AW147" s="6">
        <f t="shared" si="262"/>
        <v>23.491111111111117</v>
      </c>
      <c r="AX147" s="472">
        <f t="shared" si="263"/>
        <v>3.9762054373522453</v>
      </c>
      <c r="AY147" s="6">
        <f t="shared" si="264"/>
        <v>23.491111111111117</v>
      </c>
      <c r="AZ147" s="472">
        <f t="shared" si="265"/>
        <v>7.8639388888888879</v>
      </c>
      <c r="BA147" s="6">
        <f t="shared" si="214"/>
        <v>8.5355469221169142E-2</v>
      </c>
      <c r="BB147" s="6">
        <f t="shared" si="266"/>
        <v>21.170497798265782</v>
      </c>
      <c r="BC147" s="6"/>
      <c r="BD147" s="179">
        <f t="shared" si="216"/>
        <v>0.22110044120127142</v>
      </c>
      <c r="BE147" s="179">
        <f t="shared" si="217"/>
        <v>0.64731581009182093</v>
      </c>
      <c r="BF147" s="179">
        <f t="shared" si="218"/>
        <v>0.64731581009182093</v>
      </c>
      <c r="BG147" s="179"/>
      <c r="BH147" s="546">
        <f t="shared" si="219"/>
        <v>1.7109891784788906E-2</v>
      </c>
      <c r="BI147" s="546">
        <f t="shared" si="220"/>
        <v>4.0269886363636362E-2</v>
      </c>
      <c r="BJ147" s="546">
        <f t="shared" si="221"/>
        <v>4.0789794377688489E-3</v>
      </c>
      <c r="BK147" s="546">
        <f t="shared" si="222"/>
        <v>1.5427719978501229E-2</v>
      </c>
      <c r="BL147">
        <f t="shared" si="223"/>
        <v>4.3499999999999997E-3</v>
      </c>
      <c r="BN147" s="472">
        <f t="shared" si="224"/>
        <v>81.236477564695349</v>
      </c>
      <c r="BO147" s="179">
        <f t="shared" si="225"/>
        <v>5.5500000000000001E-2</v>
      </c>
      <c r="BP147" s="179">
        <f t="shared" si="226"/>
        <v>5.5500000000000001E-2</v>
      </c>
      <c r="BQ147" s="546"/>
      <c r="BS147" s="472">
        <f t="shared" si="227"/>
        <v>111</v>
      </c>
      <c r="BT147" s="546">
        <f t="shared" si="228"/>
        <v>9.7770810198793759E-3</v>
      </c>
      <c r="BU147" s="546">
        <f t="shared" si="229"/>
        <v>1.6760710319793214E-2</v>
      </c>
      <c r="BV147" s="546">
        <f t="shared" si="230"/>
        <v>3.771159821953473E-2</v>
      </c>
      <c r="BW147" s="546">
        <f t="shared" si="231"/>
        <v>2.0144433365049175E-2</v>
      </c>
      <c r="BX147" s="546"/>
      <c r="BY147" s="656">
        <f t="shared" si="267"/>
        <v>4.6717171717171727E-2</v>
      </c>
      <c r="BZ147" s="472">
        <f t="shared" si="233"/>
        <v>131.11099464142822</v>
      </c>
      <c r="CA147" s="179">
        <f t="shared" si="234"/>
        <v>0.32334747220612353</v>
      </c>
      <c r="CB147" s="6">
        <f t="shared" si="235"/>
        <v>1.85</v>
      </c>
      <c r="CC147" s="179">
        <f t="shared" si="236"/>
        <v>0.85122145614483835</v>
      </c>
      <c r="CD147" s="6">
        <f t="shared" si="237"/>
        <v>85.122145614483841</v>
      </c>
      <c r="CE147">
        <f t="shared" si="238"/>
        <v>37</v>
      </c>
      <c r="CG147" s="581">
        <f t="shared" si="268"/>
        <v>-50</v>
      </c>
      <c r="CH147">
        <f t="shared" si="269"/>
        <v>-50</v>
      </c>
    </row>
    <row r="148" spans="5:86" x14ac:dyDescent="0.2">
      <c r="E148" s="176">
        <v>38</v>
      </c>
      <c r="F148" s="223">
        <f t="shared" si="270"/>
        <v>0.19</v>
      </c>
      <c r="G148" s="223">
        <f t="shared" si="246"/>
        <v>0.19</v>
      </c>
      <c r="H148" s="223">
        <f t="shared" si="247"/>
        <v>0.95</v>
      </c>
      <c r="I148" s="223">
        <f t="shared" si="248"/>
        <v>0.95</v>
      </c>
      <c r="J148" s="559">
        <f t="shared" si="180"/>
        <v>15</v>
      </c>
      <c r="K148" s="454">
        <f t="shared" si="181"/>
        <v>15.75</v>
      </c>
      <c r="L148" s="454">
        <f t="shared" si="182"/>
        <v>30.75</v>
      </c>
      <c r="M148" s="454"/>
      <c r="N148" s="223">
        <f t="shared" si="183"/>
        <v>0.51219512195121952</v>
      </c>
      <c r="O148" s="178">
        <f t="shared" si="249"/>
        <v>1.2964939024390245</v>
      </c>
      <c r="P148" s="178">
        <f t="shared" si="250"/>
        <v>2.592987804878049</v>
      </c>
      <c r="Q148" s="223">
        <f t="shared" si="186"/>
        <v>0.25929878048780491</v>
      </c>
      <c r="R148" s="223">
        <f t="shared" si="251"/>
        <v>0.25929878048780491</v>
      </c>
      <c r="S148" s="223">
        <f t="shared" si="252"/>
        <v>5</v>
      </c>
      <c r="T148" s="223">
        <f t="shared" si="253"/>
        <v>0.54955908289241617</v>
      </c>
      <c r="U148" s="223">
        <f t="shared" si="190"/>
        <v>1.6120399764844209</v>
      </c>
      <c r="V148" s="223">
        <f t="shared" si="191"/>
        <v>1.5352761680804008</v>
      </c>
      <c r="W148" s="203">
        <f t="shared" si="192"/>
        <v>350</v>
      </c>
      <c r="X148" s="454">
        <f t="shared" si="193"/>
        <v>317.73102988936301</v>
      </c>
      <c r="Z148" s="223">
        <f t="shared" si="194"/>
        <v>0.4988913525498892</v>
      </c>
      <c r="AA148" s="179">
        <f t="shared" si="195"/>
        <v>1.3937282229965158</v>
      </c>
      <c r="AB148" s="179">
        <f t="shared" si="254"/>
        <v>0.18252122654264241</v>
      </c>
      <c r="AC148" s="179"/>
      <c r="AD148" s="179">
        <f t="shared" si="197"/>
        <v>0.419047619047619</v>
      </c>
      <c r="AE148" s="563">
        <f t="shared" si="255"/>
        <v>2015.1515151515155</v>
      </c>
      <c r="AF148" s="546">
        <f t="shared" si="256"/>
        <v>3.2999999999999995E-2</v>
      </c>
      <c r="AH148" s="179">
        <f t="shared" si="257"/>
        <v>0.49674263633520199</v>
      </c>
      <c r="AI148" s="179">
        <f t="shared" si="258"/>
        <v>0.54955908289241617</v>
      </c>
      <c r="AJ148" s="179">
        <f t="shared" si="259"/>
        <v>1.4959696910314193</v>
      </c>
      <c r="AL148" s="563">
        <f t="shared" si="260"/>
        <v>190</v>
      </c>
      <c r="AM148" s="472">
        <f t="shared" si="261"/>
        <v>317.73102988936301</v>
      </c>
      <c r="AO148" s="472">
        <f t="shared" si="205"/>
        <v>190</v>
      </c>
      <c r="AP148" s="472">
        <f t="shared" si="206"/>
        <v>317.73102988936301</v>
      </c>
      <c r="AR148" s="6">
        <f t="shared" si="245"/>
        <v>3.1473161445648214</v>
      </c>
      <c r="AS148" s="6">
        <f t="shared" si="242"/>
        <v>1.6120399764844209</v>
      </c>
      <c r="AT148" s="6">
        <f t="shared" si="243"/>
        <v>1.5352761680804006</v>
      </c>
      <c r="AU148" s="179">
        <f t="shared" si="244"/>
        <v>0.51219512195121952</v>
      </c>
      <c r="AW148" s="6">
        <f t="shared" si="262"/>
        <v>23.491111111111117</v>
      </c>
      <c r="AX148" s="472">
        <f t="shared" si="263"/>
        <v>4.1786345153664302</v>
      </c>
      <c r="AY148" s="6">
        <f t="shared" si="264"/>
        <v>23.491111111111117</v>
      </c>
      <c r="AZ148" s="472">
        <f t="shared" si="265"/>
        <v>8.279355555555556</v>
      </c>
      <c r="BA148" s="6">
        <f t="shared" si="214"/>
        <v>9.0031627140517309E-2</v>
      </c>
      <c r="BB148" s="6">
        <f t="shared" si="266"/>
        <v>22.311294217427857</v>
      </c>
      <c r="BC148" s="6"/>
      <c r="BD148" s="179">
        <f t="shared" si="216"/>
        <v>0.22707612880130573</v>
      </c>
      <c r="BE148" s="179">
        <f t="shared" si="217"/>
        <v>0.66481083198619428</v>
      </c>
      <c r="BF148" s="179">
        <f t="shared" si="218"/>
        <v>0.66481083198619428</v>
      </c>
      <c r="BG148" s="179"/>
      <c r="BH148" s="546">
        <f t="shared" si="219"/>
        <v>1.8047248894985515E-2</v>
      </c>
      <c r="BI148" s="546">
        <f t="shared" si="220"/>
        <v>4.0269886363636369E-2</v>
      </c>
      <c r="BJ148" s="546">
        <f t="shared" si="221"/>
        <v>3.9716378736170373E-3</v>
      </c>
      <c r="BK148" s="546">
        <f t="shared" si="222"/>
        <v>1.5021727347488042E-2</v>
      </c>
      <c r="BL148">
        <f t="shared" si="223"/>
        <v>4.3499999999999997E-3</v>
      </c>
      <c r="BN148" s="472">
        <f t="shared" si="224"/>
        <v>81.660500479726949</v>
      </c>
      <c r="BO148" s="179">
        <f t="shared" si="225"/>
        <v>5.6999999999999995E-2</v>
      </c>
      <c r="BP148" s="179">
        <f t="shared" si="226"/>
        <v>5.6999999999999995E-2</v>
      </c>
      <c r="BQ148" s="546"/>
      <c r="BS148" s="472">
        <f t="shared" si="227"/>
        <v>113.99999999999999</v>
      </c>
      <c r="BT148" s="546">
        <f t="shared" si="228"/>
        <v>1.0312713654277439E-2</v>
      </c>
      <c r="BU148" s="546">
        <f t="shared" si="229"/>
        <v>1.7678937693047035E-2</v>
      </c>
      <c r="BV148" s="546">
        <f t="shared" si="230"/>
        <v>3.9777609809355824E-2</v>
      </c>
      <c r="BW148" s="546">
        <f t="shared" si="231"/>
        <v>2.0144433365049126E-2</v>
      </c>
      <c r="BX148" s="546"/>
      <c r="BY148" s="656">
        <f t="shared" si="267"/>
        <v>4.7979797979797977E-2</v>
      </c>
      <c r="BZ148" s="472">
        <f t="shared" si="233"/>
        <v>135.89349250152742</v>
      </c>
      <c r="CA148" s="179">
        <f t="shared" si="234"/>
        <v>0.33155399298125432</v>
      </c>
      <c r="CB148" s="6">
        <f t="shared" si="235"/>
        <v>1.9</v>
      </c>
      <c r="CC148" s="179">
        <f t="shared" si="236"/>
        <v>0.85142461530213143</v>
      </c>
      <c r="CD148" s="6">
        <f t="shared" si="237"/>
        <v>85.14246153021314</v>
      </c>
      <c r="CE148">
        <f t="shared" si="238"/>
        <v>38</v>
      </c>
      <c r="CG148" s="581">
        <f t="shared" si="268"/>
        <v>-50</v>
      </c>
      <c r="CH148">
        <f t="shared" si="269"/>
        <v>-50</v>
      </c>
    </row>
    <row r="149" spans="5:86" x14ac:dyDescent="0.2">
      <c r="E149" s="176">
        <v>39</v>
      </c>
      <c r="F149" s="223">
        <f t="shared" si="270"/>
        <v>0.19500000000000001</v>
      </c>
      <c r="G149" s="223">
        <f t="shared" si="246"/>
        <v>0.19500000000000001</v>
      </c>
      <c r="H149" s="223">
        <f t="shared" si="247"/>
        <v>0.97500000000000009</v>
      </c>
      <c r="I149" s="223">
        <f t="shared" si="248"/>
        <v>0.97500000000000009</v>
      </c>
      <c r="J149" s="559">
        <f t="shared" si="180"/>
        <v>15</v>
      </c>
      <c r="K149" s="454">
        <f t="shared" si="181"/>
        <v>15.75</v>
      </c>
      <c r="L149" s="454">
        <f t="shared" si="182"/>
        <v>30.75</v>
      </c>
      <c r="M149" s="454"/>
      <c r="N149" s="223">
        <f t="shared" si="183"/>
        <v>0.51219512195121952</v>
      </c>
      <c r="O149" s="178">
        <f t="shared" si="249"/>
        <v>1.2964939024390245</v>
      </c>
      <c r="P149" s="178">
        <f t="shared" si="250"/>
        <v>2.592987804878049</v>
      </c>
      <c r="Q149" s="223">
        <f t="shared" si="186"/>
        <v>0.25929878048780491</v>
      </c>
      <c r="R149" s="223">
        <f t="shared" si="251"/>
        <v>0.25929878048780491</v>
      </c>
      <c r="S149" s="223">
        <f t="shared" si="252"/>
        <v>5</v>
      </c>
      <c r="T149" s="223">
        <f t="shared" si="253"/>
        <v>0.56402116402116409</v>
      </c>
      <c r="U149" s="223">
        <f t="shared" si="190"/>
        <v>1.654462081128748</v>
      </c>
      <c r="V149" s="223">
        <f t="shared" si="191"/>
        <v>1.5756781725035696</v>
      </c>
      <c r="W149" s="203">
        <f t="shared" si="192"/>
        <v>350</v>
      </c>
      <c r="X149" s="454">
        <f t="shared" si="193"/>
        <v>309.5840804050203</v>
      </c>
      <c r="Z149" s="223">
        <f t="shared" si="194"/>
        <v>0.4988913525498892</v>
      </c>
      <c r="AA149" s="179">
        <f t="shared" si="195"/>
        <v>1.3937282229965158</v>
      </c>
      <c r="AB149" s="179">
        <f t="shared" si="254"/>
        <v>0.18252122654264241</v>
      </c>
      <c r="AC149" s="179"/>
      <c r="AD149" s="179">
        <f t="shared" si="197"/>
        <v>0.419047619047619</v>
      </c>
      <c r="AE149" s="563">
        <f t="shared" si="255"/>
        <v>2068.1818181818185</v>
      </c>
      <c r="AF149" s="546">
        <f t="shared" si="256"/>
        <v>3.2999999999999995E-2</v>
      </c>
      <c r="AH149" s="179">
        <f t="shared" si="257"/>
        <v>0.50323627974019647</v>
      </c>
      <c r="AI149" s="179">
        <f t="shared" si="258"/>
        <v>0.56402116402116409</v>
      </c>
      <c r="AJ149" s="179">
        <f t="shared" si="259"/>
        <v>1.5066823437193808</v>
      </c>
      <c r="AL149" s="563">
        <f t="shared" si="260"/>
        <v>195</v>
      </c>
      <c r="AM149" s="472">
        <f t="shared" si="261"/>
        <v>309.5840804050203</v>
      </c>
      <c r="AO149" s="472">
        <f t="shared" si="205"/>
        <v>195</v>
      </c>
      <c r="AP149" s="472">
        <f t="shared" si="206"/>
        <v>309.5840804050203</v>
      </c>
      <c r="AR149" s="6">
        <f t="shared" si="245"/>
        <v>3.2301402536323174</v>
      </c>
      <c r="AS149" s="6">
        <f t="shared" si="242"/>
        <v>1.654462081128748</v>
      </c>
      <c r="AT149" s="6">
        <f t="shared" si="243"/>
        <v>1.5756781725035693</v>
      </c>
      <c r="AU149" s="179">
        <f t="shared" si="244"/>
        <v>0.51219512195121952</v>
      </c>
      <c r="AW149" s="6">
        <f t="shared" si="262"/>
        <v>23.491111111111117</v>
      </c>
      <c r="AX149" s="472">
        <f t="shared" si="263"/>
        <v>4.3860617021276607</v>
      </c>
      <c r="AY149" s="6">
        <f t="shared" si="264"/>
        <v>23.491111111111117</v>
      </c>
      <c r="AZ149" s="472">
        <f t="shared" si="265"/>
        <v>8.7054500000000026</v>
      </c>
      <c r="BA149" s="6">
        <f t="shared" si="214"/>
        <v>9.4832482604381485E-2</v>
      </c>
      <c r="BB149" s="6">
        <f t="shared" si="266"/>
        <v>23.482018047273783</v>
      </c>
      <c r="BC149" s="6"/>
      <c r="BD149" s="179">
        <f t="shared" si="216"/>
        <v>0.23305181640134015</v>
      </c>
      <c r="BE149" s="179">
        <f t="shared" si="217"/>
        <v>0.68230585388056797</v>
      </c>
      <c r="BF149" s="179">
        <f t="shared" si="218"/>
        <v>0.68230585388056797</v>
      </c>
      <c r="BG149" s="179"/>
      <c r="BH149" s="546">
        <f t="shared" si="219"/>
        <v>1.9009602194787385E-2</v>
      </c>
      <c r="BI149" s="546">
        <f t="shared" si="220"/>
        <v>4.0269886363636362E-2</v>
      </c>
      <c r="BJ149" s="546">
        <f t="shared" si="221"/>
        <v>3.8698010050627531E-3</v>
      </c>
      <c r="BK149" s="546">
        <f t="shared" si="222"/>
        <v>1.4636554851398602E-2</v>
      </c>
      <c r="BL149">
        <f t="shared" si="223"/>
        <v>4.3499999999999997E-3</v>
      </c>
      <c r="BN149" s="472">
        <f t="shared" si="224"/>
        <v>82.135844414885085</v>
      </c>
      <c r="BO149" s="179">
        <f t="shared" si="225"/>
        <v>5.8499999999999996E-2</v>
      </c>
      <c r="BP149" s="179">
        <f t="shared" si="226"/>
        <v>5.8499999999999996E-2</v>
      </c>
      <c r="BQ149" s="546"/>
      <c r="BS149" s="472">
        <f t="shared" si="227"/>
        <v>117</v>
      </c>
      <c r="BT149" s="546">
        <f t="shared" si="228"/>
        <v>1.0862629825592792E-2</v>
      </c>
      <c r="BU149" s="546">
        <f t="shared" si="229"/>
        <v>1.8621651129587639E-2</v>
      </c>
      <c r="BV149" s="546">
        <f t="shared" si="230"/>
        <v>4.1898715041572186E-2</v>
      </c>
      <c r="BW149" s="546">
        <f t="shared" si="231"/>
        <v>2.0144433365049168E-2</v>
      </c>
      <c r="BX149" s="546"/>
      <c r="BY149" s="656">
        <f t="shared" si="267"/>
        <v>4.9242424242424261E-2</v>
      </c>
      <c r="BZ149" s="472">
        <f t="shared" si="233"/>
        <v>140.76985360422603</v>
      </c>
      <c r="CA149" s="179">
        <f t="shared" si="234"/>
        <v>0.33990569801911114</v>
      </c>
      <c r="CB149" s="6">
        <f t="shared" si="235"/>
        <v>1.9500000000000002</v>
      </c>
      <c r="CC149" s="179">
        <f t="shared" si="236"/>
        <v>0.85156345158093294</v>
      </c>
      <c r="CD149" s="6">
        <f t="shared" si="237"/>
        <v>85.156345158093288</v>
      </c>
      <c r="CE149">
        <f t="shared" si="238"/>
        <v>39</v>
      </c>
      <c r="CG149" s="581">
        <f t="shared" si="268"/>
        <v>-50</v>
      </c>
      <c r="CH149">
        <f t="shared" si="269"/>
        <v>-50</v>
      </c>
    </row>
    <row r="150" spans="5:86" x14ac:dyDescent="0.2">
      <c r="E150" s="176">
        <v>40</v>
      </c>
      <c r="F150" s="223">
        <f t="shared" si="270"/>
        <v>0.2</v>
      </c>
      <c r="G150" s="223">
        <f t="shared" si="246"/>
        <v>0.2</v>
      </c>
      <c r="H150" s="223">
        <f t="shared" si="247"/>
        <v>1</v>
      </c>
      <c r="I150" s="223">
        <f t="shared" si="248"/>
        <v>1</v>
      </c>
      <c r="J150" s="559">
        <f t="shared" si="180"/>
        <v>15</v>
      </c>
      <c r="K150" s="454">
        <f t="shared" si="181"/>
        <v>15.75</v>
      </c>
      <c r="L150" s="454">
        <f t="shared" si="182"/>
        <v>30.75</v>
      </c>
      <c r="M150" s="454"/>
      <c r="N150" s="223">
        <f t="shared" si="183"/>
        <v>0.51219512195121952</v>
      </c>
      <c r="O150" s="178">
        <f t="shared" si="249"/>
        <v>1.2964939024390245</v>
      </c>
      <c r="P150" s="178">
        <f t="shared" si="250"/>
        <v>2.592987804878049</v>
      </c>
      <c r="Q150" s="223">
        <f t="shared" si="186"/>
        <v>0.25929878048780491</v>
      </c>
      <c r="R150" s="223">
        <f t="shared" si="251"/>
        <v>0.25929878048780491</v>
      </c>
      <c r="S150" s="223">
        <f t="shared" si="252"/>
        <v>5</v>
      </c>
      <c r="T150" s="223">
        <f t="shared" si="253"/>
        <v>0.57848324514991178</v>
      </c>
      <c r="U150" s="223">
        <f t="shared" si="190"/>
        <v>1.6968841857730745</v>
      </c>
      <c r="V150" s="223">
        <f t="shared" si="191"/>
        <v>1.6160801769267377</v>
      </c>
      <c r="W150" s="203">
        <f t="shared" si="192"/>
        <v>350</v>
      </c>
      <c r="X150" s="454">
        <f t="shared" si="193"/>
        <v>301.84447839489479</v>
      </c>
      <c r="Z150" s="223">
        <f t="shared" si="194"/>
        <v>0.4988913525498892</v>
      </c>
      <c r="AA150" s="179">
        <f t="shared" si="195"/>
        <v>1.3937282229965158</v>
      </c>
      <c r="AB150" s="179">
        <f t="shared" si="254"/>
        <v>0.18252122654264241</v>
      </c>
      <c r="AC150" s="179"/>
      <c r="AD150" s="179">
        <f t="shared" si="197"/>
        <v>0.419047619047619</v>
      </c>
      <c r="AE150" s="563">
        <f t="shared" si="255"/>
        <v>2121.2121212121215</v>
      </c>
      <c r="AF150" s="546">
        <f t="shared" si="256"/>
        <v>3.2999999999999995E-2</v>
      </c>
      <c r="AH150" s="179">
        <f t="shared" si="257"/>
        <v>0.50964719143762549</v>
      </c>
      <c r="AI150" s="179">
        <f t="shared" si="258"/>
        <v>0.57848324514991178</v>
      </c>
      <c r="AJ150" s="179">
        <f t="shared" si="259"/>
        <v>1.5173949964073419</v>
      </c>
      <c r="AL150" s="563">
        <f t="shared" si="260"/>
        <v>200</v>
      </c>
      <c r="AM150" s="472">
        <f t="shared" si="261"/>
        <v>301.84447839489479</v>
      </c>
      <c r="AO150" s="472">
        <f t="shared" si="205"/>
        <v>200</v>
      </c>
      <c r="AP150" s="472">
        <f t="shared" si="206"/>
        <v>301.84447839489479</v>
      </c>
      <c r="AR150" s="6">
        <f t="shared" si="245"/>
        <v>3.3129643626998129</v>
      </c>
      <c r="AS150" s="6">
        <f t="shared" si="242"/>
        <v>1.6968841857730745</v>
      </c>
      <c r="AT150" s="6">
        <f t="shared" si="243"/>
        <v>1.6160801769267383</v>
      </c>
      <c r="AU150" s="179">
        <f t="shared" si="244"/>
        <v>0.51219512195121941</v>
      </c>
      <c r="AW150" s="6">
        <f t="shared" si="262"/>
        <v>23.491111111111117</v>
      </c>
      <c r="AX150" s="472">
        <f t="shared" si="263"/>
        <v>4.598486997635935</v>
      </c>
      <c r="AY150" s="6">
        <f t="shared" si="264"/>
        <v>23.491111111111117</v>
      </c>
      <c r="AZ150" s="472">
        <f t="shared" si="265"/>
        <v>9.1422222222222249</v>
      </c>
      <c r="BA150" s="6">
        <f t="shared" si="214"/>
        <v>9.9758035612761628E-2</v>
      </c>
      <c r="BB150" s="6">
        <f t="shared" si="266"/>
        <v>24.682669287803527</v>
      </c>
      <c r="BC150" s="6"/>
      <c r="BD150" s="179">
        <f t="shared" si="216"/>
        <v>0.23902750400137443</v>
      </c>
      <c r="BE150" s="179">
        <f t="shared" si="217"/>
        <v>0.69980087577494154</v>
      </c>
      <c r="BF150" s="179">
        <f t="shared" si="218"/>
        <v>0.69980087577494154</v>
      </c>
      <c r="BG150" s="179"/>
      <c r="BH150" s="546">
        <f t="shared" si="219"/>
        <v>1.9996951684194474E-2</v>
      </c>
      <c r="BI150" s="546">
        <f t="shared" si="220"/>
        <v>4.0269886363636355E-2</v>
      </c>
      <c r="BJ150" s="546">
        <f t="shared" si="221"/>
        <v>3.7730559799361847E-3</v>
      </c>
      <c r="BK150" s="546">
        <f t="shared" si="222"/>
        <v>1.4270640980113637E-2</v>
      </c>
      <c r="BL150">
        <f t="shared" si="223"/>
        <v>4.3499999999999997E-3</v>
      </c>
      <c r="BN150" s="472">
        <f t="shared" si="224"/>
        <v>82.660535007880654</v>
      </c>
      <c r="BO150" s="179">
        <f t="shared" si="225"/>
        <v>0.06</v>
      </c>
      <c r="BP150" s="179">
        <f t="shared" si="226"/>
        <v>0.06</v>
      </c>
      <c r="BQ150" s="546"/>
      <c r="BS150" s="472">
        <f t="shared" si="227"/>
        <v>120</v>
      </c>
      <c r="BT150" s="546">
        <f t="shared" si="228"/>
        <v>1.1426829533825414E-2</v>
      </c>
      <c r="BU150" s="546">
        <f t="shared" si="229"/>
        <v>1.9588850629415008E-2</v>
      </c>
      <c r="BV150" s="546">
        <f t="shared" si="230"/>
        <v>4.4074913916183761E-2</v>
      </c>
      <c r="BW150" s="546">
        <f t="shared" si="231"/>
        <v>2.0144433365049164E-2</v>
      </c>
      <c r="BX150" s="546"/>
      <c r="BY150" s="656">
        <f t="shared" si="267"/>
        <v>5.0505050505050504E-2</v>
      </c>
      <c r="BZ150" s="472">
        <f t="shared" si="233"/>
        <v>145.74007794952385</v>
      </c>
      <c r="CA150" s="179">
        <f t="shared" si="234"/>
        <v>0.34840061295740449</v>
      </c>
      <c r="CB150" s="6">
        <f t="shared" si="235"/>
        <v>2</v>
      </c>
      <c r="CC150" s="179">
        <f t="shared" si="236"/>
        <v>0.85164344999950659</v>
      </c>
      <c r="CD150" s="6">
        <f t="shared" si="237"/>
        <v>85.164344999950657</v>
      </c>
      <c r="CE150">
        <f t="shared" si="238"/>
        <v>40</v>
      </c>
      <c r="CG150" s="581">
        <f t="shared" si="268"/>
        <v>-50</v>
      </c>
      <c r="CH150">
        <f t="shared" si="269"/>
        <v>-50</v>
      </c>
    </row>
    <row r="151" spans="5:86" x14ac:dyDescent="0.2">
      <c r="E151" s="176">
        <v>41</v>
      </c>
      <c r="F151" s="223">
        <f t="shared" si="270"/>
        <v>0.20499999999999999</v>
      </c>
      <c r="G151" s="223">
        <f t="shared" si="246"/>
        <v>0.20499999999999999</v>
      </c>
      <c r="H151" s="223">
        <f t="shared" si="247"/>
        <v>1.0249999999999999</v>
      </c>
      <c r="I151" s="223">
        <f t="shared" si="248"/>
        <v>1.0249999999999999</v>
      </c>
      <c r="J151" s="559">
        <f t="shared" si="180"/>
        <v>15</v>
      </c>
      <c r="K151" s="454">
        <f t="shared" si="181"/>
        <v>15.75</v>
      </c>
      <c r="L151" s="454">
        <f t="shared" si="182"/>
        <v>30.75</v>
      </c>
      <c r="M151" s="454"/>
      <c r="N151" s="223">
        <f t="shared" si="183"/>
        <v>0.51219512195121952</v>
      </c>
      <c r="O151" s="178">
        <f t="shared" si="249"/>
        <v>1.2964939024390245</v>
      </c>
      <c r="P151" s="178">
        <f t="shared" si="250"/>
        <v>2.592987804878049</v>
      </c>
      <c r="Q151" s="223">
        <f t="shared" si="186"/>
        <v>0.25929878048780491</v>
      </c>
      <c r="R151" s="223">
        <f t="shared" si="251"/>
        <v>0.25929878048780491</v>
      </c>
      <c r="S151" s="223">
        <f t="shared" si="252"/>
        <v>5</v>
      </c>
      <c r="T151" s="223">
        <f t="shared" si="253"/>
        <v>0.59294532627865948</v>
      </c>
      <c r="U151" s="223">
        <f t="shared" si="190"/>
        <v>1.739306290417401</v>
      </c>
      <c r="V151" s="223">
        <f t="shared" si="191"/>
        <v>1.6564821813499058</v>
      </c>
      <c r="W151" s="203">
        <f t="shared" si="192"/>
        <v>350</v>
      </c>
      <c r="X151" s="454">
        <f t="shared" si="193"/>
        <v>294.48241794623891</v>
      </c>
      <c r="Z151" s="223">
        <f t="shared" si="194"/>
        <v>0.4988913525498892</v>
      </c>
      <c r="AA151" s="179">
        <f t="shared" si="195"/>
        <v>1.3937282229965158</v>
      </c>
      <c r="AB151" s="179">
        <f t="shared" si="254"/>
        <v>0.18252122654264241</v>
      </c>
      <c r="AC151" s="179"/>
      <c r="AD151" s="179">
        <f t="shared" si="197"/>
        <v>0.419047619047619</v>
      </c>
      <c r="AE151" s="563">
        <f t="shared" si="255"/>
        <v>2174.2424242424245</v>
      </c>
      <c r="AF151" s="546">
        <f t="shared" si="256"/>
        <v>3.2999999999999995E-2</v>
      </c>
      <c r="AH151" s="179">
        <f t="shared" si="257"/>
        <v>0.51597845520308905</v>
      </c>
      <c r="AI151" s="179">
        <f t="shared" si="258"/>
        <v>0.59294532627865948</v>
      </c>
      <c r="AJ151" s="179">
        <f t="shared" si="259"/>
        <v>1.5281076490953032</v>
      </c>
      <c r="AL151" s="563">
        <f t="shared" si="260"/>
        <v>205</v>
      </c>
      <c r="AM151" s="472">
        <f t="shared" si="261"/>
        <v>294.48241794623891</v>
      </c>
      <c r="AO151" s="472">
        <f t="shared" si="205"/>
        <v>205</v>
      </c>
      <c r="AP151" s="472">
        <f t="shared" si="206"/>
        <v>294.48241794623891</v>
      </c>
      <c r="AR151" s="6">
        <f t="shared" si="245"/>
        <v>3.395788471767307</v>
      </c>
      <c r="AS151" s="6">
        <f t="shared" si="242"/>
        <v>1.739306290417401</v>
      </c>
      <c r="AT151" s="6">
        <f t="shared" si="243"/>
        <v>1.656482181349906</v>
      </c>
      <c r="AU151" s="179">
        <f t="shared" si="244"/>
        <v>0.51219512195121952</v>
      </c>
      <c r="AW151" s="6">
        <f t="shared" si="262"/>
        <v>23.491111111111117</v>
      </c>
      <c r="AX151" s="472">
        <f t="shared" si="263"/>
        <v>4.8159104018912524</v>
      </c>
      <c r="AY151" s="6">
        <f t="shared" si="264"/>
        <v>23.491111111111117</v>
      </c>
      <c r="AZ151" s="472">
        <f t="shared" si="265"/>
        <v>9.5896722222222195</v>
      </c>
      <c r="BA151" s="6">
        <f t="shared" si="214"/>
        <v>0.10480828616565763</v>
      </c>
      <c r="BB151" s="6">
        <f t="shared" si="266"/>
        <v>25.91324793901709</v>
      </c>
      <c r="BC151" s="6"/>
      <c r="BD151" s="179">
        <f t="shared" si="216"/>
        <v>0.24500319160140879</v>
      </c>
      <c r="BE151" s="179">
        <f t="shared" si="217"/>
        <v>0.71729589766931479</v>
      </c>
      <c r="BF151" s="179">
        <f t="shared" si="218"/>
        <v>0.71729589766931479</v>
      </c>
      <c r="BG151" s="179"/>
      <c r="BH151" s="546">
        <f t="shared" si="219"/>
        <v>2.1009297363206818E-2</v>
      </c>
      <c r="BI151" s="546">
        <f t="shared" si="220"/>
        <v>4.0269886363636362E-2</v>
      </c>
      <c r="BJ151" s="546">
        <f t="shared" si="221"/>
        <v>3.6810302243279864E-3</v>
      </c>
      <c r="BK151" s="546">
        <f t="shared" si="222"/>
        <v>1.3922576565964528E-2</v>
      </c>
      <c r="BL151">
        <f t="shared" si="223"/>
        <v>4.3499999999999997E-3</v>
      </c>
      <c r="BN151" s="472">
        <f t="shared" si="224"/>
        <v>83.232790517135697</v>
      </c>
      <c r="BO151" s="179">
        <f t="shared" si="225"/>
        <v>6.1499999999999992E-2</v>
      </c>
      <c r="BP151" s="179">
        <f t="shared" si="226"/>
        <v>6.1499999999999992E-2</v>
      </c>
      <c r="BQ151" s="546"/>
      <c r="BS151" s="472">
        <f t="shared" si="227"/>
        <v>122.99999999999999</v>
      </c>
      <c r="BT151" s="546">
        <f t="shared" si="228"/>
        <v>1.2005312778975326E-2</v>
      </c>
      <c r="BU151" s="546">
        <f t="shared" si="229"/>
        <v>2.0580536192529128E-2</v>
      </c>
      <c r="BV151" s="546">
        <f t="shared" si="230"/>
        <v>4.6306206433190535E-2</v>
      </c>
      <c r="BW151" s="546">
        <f t="shared" si="231"/>
        <v>2.0144433365049168E-2</v>
      </c>
      <c r="BX151" s="546"/>
      <c r="BY151" s="656">
        <f t="shared" si="267"/>
        <v>5.1767676767676775E-2</v>
      </c>
      <c r="BZ151" s="472">
        <f t="shared" si="233"/>
        <v>150.80416553742094</v>
      </c>
      <c r="CA151" s="179">
        <f t="shared" si="234"/>
        <v>0.35703695605455665</v>
      </c>
      <c r="CB151" s="6">
        <f t="shared" si="235"/>
        <v>2.0499999999999998</v>
      </c>
      <c r="CC151" s="179">
        <f t="shared" si="236"/>
        <v>0.85166951626709286</v>
      </c>
      <c r="CD151" s="6">
        <f t="shared" si="237"/>
        <v>85.166951626709292</v>
      </c>
      <c r="CE151">
        <f t="shared" si="238"/>
        <v>41</v>
      </c>
      <c r="CG151" s="581">
        <f t="shared" si="268"/>
        <v>-50</v>
      </c>
      <c r="CH151">
        <f t="shared" si="269"/>
        <v>-50</v>
      </c>
    </row>
    <row r="152" spans="5:86" x14ac:dyDescent="0.2">
      <c r="E152" s="176">
        <v>42</v>
      </c>
      <c r="F152" s="223">
        <f t="shared" si="270"/>
        <v>0.21</v>
      </c>
      <c r="G152" s="223">
        <f t="shared" si="246"/>
        <v>0.21</v>
      </c>
      <c r="H152" s="223">
        <f t="shared" si="247"/>
        <v>1.05</v>
      </c>
      <c r="I152" s="223">
        <f t="shared" si="248"/>
        <v>1.05</v>
      </c>
      <c r="J152" s="559">
        <f t="shared" si="180"/>
        <v>15</v>
      </c>
      <c r="K152" s="454">
        <f t="shared" si="181"/>
        <v>15.75</v>
      </c>
      <c r="L152" s="454">
        <f t="shared" si="182"/>
        <v>30.75</v>
      </c>
      <c r="M152" s="454"/>
      <c r="N152" s="223">
        <f t="shared" si="183"/>
        <v>0.51219512195121952</v>
      </c>
      <c r="O152" s="178">
        <f t="shared" si="249"/>
        <v>1.2964939024390245</v>
      </c>
      <c r="P152" s="178">
        <f t="shared" si="250"/>
        <v>2.592987804878049</v>
      </c>
      <c r="Q152" s="223">
        <f t="shared" si="186"/>
        <v>0.25929878048780491</v>
      </c>
      <c r="R152" s="223">
        <f t="shared" si="251"/>
        <v>0.25929878048780491</v>
      </c>
      <c r="S152" s="223">
        <f t="shared" si="252"/>
        <v>5</v>
      </c>
      <c r="T152" s="223">
        <f t="shared" si="253"/>
        <v>0.6074074074074074</v>
      </c>
      <c r="U152" s="223">
        <f t="shared" si="190"/>
        <v>1.7817283950617282</v>
      </c>
      <c r="V152" s="223">
        <f t="shared" si="191"/>
        <v>1.6968841857730745</v>
      </c>
      <c r="W152" s="203">
        <f t="shared" si="192"/>
        <v>350</v>
      </c>
      <c r="X152" s="454">
        <f t="shared" si="193"/>
        <v>287.47093180466175</v>
      </c>
      <c r="Z152" s="223">
        <f t="shared" si="194"/>
        <v>0.4988913525498892</v>
      </c>
      <c r="AA152" s="179">
        <f t="shared" si="195"/>
        <v>1.3937282229965158</v>
      </c>
      <c r="AB152" s="179">
        <f t="shared" si="254"/>
        <v>0.18252122654264241</v>
      </c>
      <c r="AC152" s="179"/>
      <c r="AD152" s="179">
        <f t="shared" si="197"/>
        <v>0.419047619047619</v>
      </c>
      <c r="AE152" s="563">
        <f t="shared" si="255"/>
        <v>2227.2727272727275</v>
      </c>
      <c r="AF152" s="546">
        <f t="shared" si="256"/>
        <v>3.2999999999999995E-2</v>
      </c>
      <c r="AH152" s="179">
        <f t="shared" si="257"/>
        <v>0.5222329678670935</v>
      </c>
      <c r="AI152" s="179">
        <f t="shared" si="258"/>
        <v>0.6074074074074074</v>
      </c>
      <c r="AJ152" s="179">
        <f t="shared" si="259"/>
        <v>1.5388203017832647</v>
      </c>
      <c r="AL152" s="563">
        <f t="shared" si="260"/>
        <v>210</v>
      </c>
      <c r="AM152" s="472">
        <f t="shared" si="261"/>
        <v>287.47093180466175</v>
      </c>
      <c r="AO152" s="472">
        <f t="shared" si="205"/>
        <v>210</v>
      </c>
      <c r="AP152" s="472">
        <f t="shared" si="206"/>
        <v>287.47093180466175</v>
      </c>
      <c r="AR152" s="6">
        <f t="shared" si="245"/>
        <v>3.478612580834803</v>
      </c>
      <c r="AS152" s="6">
        <f t="shared" si="242"/>
        <v>1.7817283950617282</v>
      </c>
      <c r="AT152" s="6">
        <f t="shared" si="243"/>
        <v>1.6968841857730748</v>
      </c>
      <c r="AU152" s="179">
        <f t="shared" si="244"/>
        <v>0.51219512195121952</v>
      </c>
      <c r="AW152" s="6">
        <f t="shared" si="262"/>
        <v>23.491111111111117</v>
      </c>
      <c r="AX152" s="472">
        <f t="shared" si="263"/>
        <v>5.0383319148936172</v>
      </c>
      <c r="AY152" s="6">
        <f t="shared" si="264"/>
        <v>23.491111111111117</v>
      </c>
      <c r="AZ152" s="472">
        <f t="shared" si="265"/>
        <v>10.047800000000001</v>
      </c>
      <c r="BA152" s="6">
        <f t="shared" si="214"/>
        <v>0.10998323426306965</v>
      </c>
      <c r="BB152" s="6">
        <f t="shared" si="266"/>
        <v>27.173754000914496</v>
      </c>
      <c r="BC152" s="6"/>
      <c r="BD152" s="179">
        <f t="shared" si="216"/>
        <v>0.25097887920144318</v>
      </c>
      <c r="BE152" s="179">
        <f t="shared" si="217"/>
        <v>0.73479091956368847</v>
      </c>
      <c r="BF152" s="179">
        <f t="shared" si="218"/>
        <v>0.73479091956368847</v>
      </c>
      <c r="BG152" s="179"/>
      <c r="BH152" s="546">
        <f t="shared" si="219"/>
        <v>2.204663923182441E-2</v>
      </c>
      <c r="BI152" s="546">
        <f t="shared" si="220"/>
        <v>4.0269886363636362E-2</v>
      </c>
      <c r="BJ152" s="546">
        <f t="shared" si="221"/>
        <v>3.5933866475582714E-3</v>
      </c>
      <c r="BK152" s="546">
        <f t="shared" si="222"/>
        <v>1.3591086647727275E-2</v>
      </c>
      <c r="BL152">
        <f t="shared" si="223"/>
        <v>4.3499999999999997E-3</v>
      </c>
      <c r="BN152" s="472">
        <f t="shared" si="224"/>
        <v>83.850998890746325</v>
      </c>
      <c r="BO152" s="179">
        <f t="shared" si="225"/>
        <v>6.3E-2</v>
      </c>
      <c r="BP152" s="179">
        <f t="shared" si="226"/>
        <v>6.3E-2</v>
      </c>
      <c r="BQ152" s="546"/>
      <c r="BS152" s="472">
        <f t="shared" si="227"/>
        <v>126</v>
      </c>
      <c r="BT152" s="546">
        <f t="shared" si="228"/>
        <v>1.2598079561042523E-2</v>
      </c>
      <c r="BU152" s="546">
        <f t="shared" si="229"/>
        <v>2.1596707818930035E-2</v>
      </c>
      <c r="BV152" s="546">
        <f t="shared" si="230"/>
        <v>4.8592592592592576E-2</v>
      </c>
      <c r="BW152" s="546">
        <f t="shared" si="231"/>
        <v>2.0144433365049161E-2</v>
      </c>
      <c r="BX152" s="546"/>
      <c r="BY152" s="656">
        <f t="shared" si="267"/>
        <v>5.3030303030303039E-2</v>
      </c>
      <c r="BZ152" s="472">
        <f t="shared" si="233"/>
        <v>155.96211636791736</v>
      </c>
      <c r="CA152" s="179">
        <f t="shared" si="234"/>
        <v>0.36581311525866367</v>
      </c>
      <c r="CB152" s="6">
        <f t="shared" si="235"/>
        <v>2.1</v>
      </c>
      <c r="CC152" s="179">
        <f t="shared" si="236"/>
        <v>0.8516460501426566</v>
      </c>
      <c r="CD152" s="6">
        <f t="shared" si="237"/>
        <v>85.164605014265661</v>
      </c>
      <c r="CE152">
        <f t="shared" si="238"/>
        <v>42</v>
      </c>
      <c r="CG152" s="581">
        <f t="shared" si="268"/>
        <v>-50</v>
      </c>
      <c r="CH152">
        <f t="shared" si="269"/>
        <v>-50</v>
      </c>
    </row>
    <row r="153" spans="5:86" x14ac:dyDescent="0.2">
      <c r="E153" s="176">
        <v>43</v>
      </c>
      <c r="F153" s="223">
        <f t="shared" si="270"/>
        <v>0.215</v>
      </c>
      <c r="G153" s="223">
        <f t="shared" si="246"/>
        <v>0.215</v>
      </c>
      <c r="H153" s="223">
        <f t="shared" si="247"/>
        <v>1.075</v>
      </c>
      <c r="I153" s="223">
        <f t="shared" si="248"/>
        <v>1.075</v>
      </c>
      <c r="J153" s="559">
        <f t="shared" si="180"/>
        <v>15</v>
      </c>
      <c r="K153" s="454">
        <f t="shared" si="181"/>
        <v>15.75</v>
      </c>
      <c r="L153" s="454">
        <f t="shared" si="182"/>
        <v>30.75</v>
      </c>
      <c r="M153" s="454"/>
      <c r="N153" s="223">
        <f t="shared" si="183"/>
        <v>0.51219512195121952</v>
      </c>
      <c r="O153" s="178">
        <f t="shared" si="249"/>
        <v>1.2964939024390245</v>
      </c>
      <c r="P153" s="178">
        <f t="shared" si="250"/>
        <v>2.592987804878049</v>
      </c>
      <c r="Q153" s="223">
        <f t="shared" si="186"/>
        <v>0.25929878048780491</v>
      </c>
      <c r="R153" s="223">
        <f t="shared" si="251"/>
        <v>0.25929878048780491</v>
      </c>
      <c r="S153" s="223">
        <f t="shared" si="252"/>
        <v>5</v>
      </c>
      <c r="T153" s="223">
        <f t="shared" si="253"/>
        <v>0.62186948853615509</v>
      </c>
      <c r="U153" s="223">
        <f t="shared" si="190"/>
        <v>1.8241504997060549</v>
      </c>
      <c r="V153" s="223">
        <f t="shared" si="191"/>
        <v>1.7372861901962426</v>
      </c>
      <c r="W153" s="203">
        <f t="shared" si="192"/>
        <v>350</v>
      </c>
      <c r="X153" s="454">
        <f t="shared" si="193"/>
        <v>280.78556129757663</v>
      </c>
      <c r="Z153" s="223">
        <f t="shared" si="194"/>
        <v>0.4988913525498892</v>
      </c>
      <c r="AA153" s="179">
        <f t="shared" si="195"/>
        <v>1.3937282229965158</v>
      </c>
      <c r="AB153" s="179">
        <f t="shared" si="254"/>
        <v>0.18252122654264241</v>
      </c>
      <c r="AC153" s="179"/>
      <c r="AD153" s="179">
        <f t="shared" si="197"/>
        <v>0.419047619047619</v>
      </c>
      <c r="AE153" s="563">
        <f t="shared" si="255"/>
        <v>2280.3030303030309</v>
      </c>
      <c r="AF153" s="546">
        <f t="shared" si="256"/>
        <v>3.2999999999999995E-2</v>
      </c>
      <c r="AH153" s="179">
        <f t="shared" si="257"/>
        <v>0.52841345480672541</v>
      </c>
      <c r="AI153" s="179">
        <f t="shared" si="258"/>
        <v>0.62186948853615509</v>
      </c>
      <c r="AJ153" s="179">
        <f t="shared" si="259"/>
        <v>1.549532954471226</v>
      </c>
      <c r="AL153" s="563">
        <f t="shared" si="260"/>
        <v>215</v>
      </c>
      <c r="AM153" s="472">
        <f t="shared" si="261"/>
        <v>280.78556129757663</v>
      </c>
      <c r="AO153" s="472">
        <f t="shared" si="205"/>
        <v>215</v>
      </c>
      <c r="AP153" s="472">
        <f t="shared" si="206"/>
        <v>280.78556129757663</v>
      </c>
      <c r="AR153" s="6">
        <f t="shared" si="245"/>
        <v>3.5614366899022976</v>
      </c>
      <c r="AS153" s="6">
        <f t="shared" si="242"/>
        <v>1.8241504997060549</v>
      </c>
      <c r="AT153" s="6">
        <f t="shared" si="243"/>
        <v>1.7372861901962426</v>
      </c>
      <c r="AU153" s="179">
        <f t="shared" si="244"/>
        <v>0.51219512195121952</v>
      </c>
      <c r="AW153" s="6">
        <f t="shared" si="262"/>
        <v>23.491111111111117</v>
      </c>
      <c r="AX153" s="472">
        <f t="shared" si="263"/>
        <v>5.265751536643025</v>
      </c>
      <c r="AY153" s="6">
        <f t="shared" si="264"/>
        <v>23.491111111111117</v>
      </c>
      <c r="AZ153" s="472">
        <f t="shared" si="265"/>
        <v>10.516605555555554</v>
      </c>
      <c r="BA153" s="6">
        <f t="shared" si="214"/>
        <v>0.11528287990499757</v>
      </c>
      <c r="BB153" s="6">
        <f t="shared" si="266"/>
        <v>28.464187473495716</v>
      </c>
      <c r="BC153" s="6"/>
      <c r="BD153" s="179">
        <f t="shared" si="216"/>
        <v>0.25695456680147755</v>
      </c>
      <c r="BE153" s="179">
        <f t="shared" si="217"/>
        <v>0.75228594145806194</v>
      </c>
      <c r="BF153" s="179">
        <f t="shared" si="218"/>
        <v>0.75228594145806194</v>
      </c>
      <c r="BG153" s="179"/>
      <c r="BH153" s="546">
        <f t="shared" si="219"/>
        <v>2.3108977290047242E-2</v>
      </c>
      <c r="BI153" s="546">
        <f t="shared" si="220"/>
        <v>4.0269886363636362E-2</v>
      </c>
      <c r="BJ153" s="546">
        <f t="shared" si="221"/>
        <v>3.509819516219708E-3</v>
      </c>
      <c r="BK153" s="546">
        <f t="shared" si="222"/>
        <v>1.3275014865221991E-2</v>
      </c>
      <c r="BL153">
        <f t="shared" si="223"/>
        <v>4.3499999999999997E-3</v>
      </c>
      <c r="BN153" s="472">
        <f t="shared" si="224"/>
        <v>84.513698035125287</v>
      </c>
      <c r="BO153" s="179">
        <f t="shared" si="225"/>
        <v>6.4500000000000002E-2</v>
      </c>
      <c r="BP153" s="179">
        <f t="shared" si="226"/>
        <v>6.4500000000000002E-2</v>
      </c>
      <c r="BQ153" s="546"/>
      <c r="BS153" s="472">
        <f t="shared" si="227"/>
        <v>129</v>
      </c>
      <c r="BT153" s="546">
        <f t="shared" si="228"/>
        <v>1.3205129880026999E-2</v>
      </c>
      <c r="BU153" s="546">
        <f t="shared" si="229"/>
        <v>2.2637365508617703E-2</v>
      </c>
      <c r="BV153" s="546">
        <f t="shared" si="230"/>
        <v>5.093407239438983E-2</v>
      </c>
      <c r="BW153" s="546">
        <f t="shared" si="231"/>
        <v>2.0144433365049178E-2</v>
      </c>
      <c r="BX153" s="546"/>
      <c r="BY153" s="656">
        <f t="shared" si="267"/>
        <v>5.4292929292929289E-2</v>
      </c>
      <c r="BZ153" s="472">
        <f t="shared" si="233"/>
        <v>161.21393044101299</v>
      </c>
      <c r="CA153" s="179">
        <f t="shared" si="234"/>
        <v>0.37472762847613827</v>
      </c>
      <c r="CB153" s="6">
        <f t="shared" si="235"/>
        <v>2.15</v>
      </c>
      <c r="CC153" s="179">
        <f t="shared" si="236"/>
        <v>0.8515770080504429</v>
      </c>
      <c r="CD153" s="6">
        <f t="shared" si="237"/>
        <v>85.157700805044286</v>
      </c>
      <c r="CE153">
        <f t="shared" si="238"/>
        <v>43</v>
      </c>
      <c r="CG153" s="581">
        <f t="shared" si="268"/>
        <v>-50</v>
      </c>
      <c r="CH153">
        <f t="shared" si="269"/>
        <v>-50</v>
      </c>
    </row>
    <row r="154" spans="5:86" x14ac:dyDescent="0.2">
      <c r="E154" s="176">
        <v>44</v>
      </c>
      <c r="F154" s="223">
        <f t="shared" si="270"/>
        <v>0.22</v>
      </c>
      <c r="G154" s="223">
        <f t="shared" si="246"/>
        <v>0.22</v>
      </c>
      <c r="H154" s="223">
        <f t="shared" si="247"/>
        <v>1.1000000000000001</v>
      </c>
      <c r="I154" s="223">
        <f t="shared" si="248"/>
        <v>1.1000000000000001</v>
      </c>
      <c r="J154" s="559">
        <f t="shared" si="180"/>
        <v>15</v>
      </c>
      <c r="K154" s="454">
        <f t="shared" si="181"/>
        <v>15.75</v>
      </c>
      <c r="L154" s="454">
        <f t="shared" si="182"/>
        <v>30.75</v>
      </c>
      <c r="M154" s="454"/>
      <c r="N154" s="223">
        <f t="shared" si="183"/>
        <v>0.51219512195121952</v>
      </c>
      <c r="O154" s="178">
        <f t="shared" si="249"/>
        <v>1.2964939024390245</v>
      </c>
      <c r="P154" s="178">
        <f t="shared" si="250"/>
        <v>2.592987804878049</v>
      </c>
      <c r="Q154" s="223">
        <f t="shared" si="186"/>
        <v>0.25929878048780491</v>
      </c>
      <c r="R154" s="223">
        <f t="shared" si="251"/>
        <v>0.25929878048780491</v>
      </c>
      <c r="S154" s="223">
        <f t="shared" si="252"/>
        <v>5</v>
      </c>
      <c r="T154" s="223">
        <f t="shared" si="253"/>
        <v>0.63633156966490301</v>
      </c>
      <c r="U154" s="223">
        <f t="shared" si="190"/>
        <v>1.8665726043503821</v>
      </c>
      <c r="V154" s="223">
        <f t="shared" si="191"/>
        <v>1.7776881946194116</v>
      </c>
      <c r="W154" s="203">
        <f t="shared" si="192"/>
        <v>350</v>
      </c>
      <c r="X154" s="454">
        <f t="shared" si="193"/>
        <v>274.40407126808617</v>
      </c>
      <c r="Z154" s="223">
        <f t="shared" si="194"/>
        <v>0.4988913525498892</v>
      </c>
      <c r="AA154" s="179">
        <f t="shared" si="195"/>
        <v>1.3937282229965158</v>
      </c>
      <c r="AB154" s="179">
        <f t="shared" si="254"/>
        <v>0.18252122654264241</v>
      </c>
      <c r="AC154" s="179"/>
      <c r="AD154" s="179">
        <f t="shared" si="197"/>
        <v>0.419047619047619</v>
      </c>
      <c r="AE154" s="563">
        <f t="shared" si="255"/>
        <v>2333.3333333333339</v>
      </c>
      <c r="AF154" s="546">
        <f t="shared" si="256"/>
        <v>3.2999999999999995E-2</v>
      </c>
      <c r="AH154" s="179">
        <f t="shared" si="257"/>
        <v>0.53452248382484879</v>
      </c>
      <c r="AI154" s="179">
        <f t="shared" si="258"/>
        <v>0.63633156966490301</v>
      </c>
      <c r="AJ154" s="179">
        <f t="shared" si="259"/>
        <v>1.5602456071591875</v>
      </c>
      <c r="AL154" s="563">
        <f t="shared" si="260"/>
        <v>220</v>
      </c>
      <c r="AM154" s="472">
        <f t="shared" si="261"/>
        <v>274.40407126808617</v>
      </c>
      <c r="AO154" s="472">
        <f t="shared" si="205"/>
        <v>220</v>
      </c>
      <c r="AP154" s="472">
        <f t="shared" si="206"/>
        <v>274.40407126808617</v>
      </c>
      <c r="AR154" s="6">
        <f t="shared" si="245"/>
        <v>3.6442607989697939</v>
      </c>
      <c r="AS154" s="6">
        <f t="shared" si="242"/>
        <v>1.8665726043503821</v>
      </c>
      <c r="AT154" s="6">
        <f t="shared" si="243"/>
        <v>1.7776881946194119</v>
      </c>
      <c r="AU154" s="179">
        <f t="shared" si="244"/>
        <v>0.51219512195121941</v>
      </c>
      <c r="AW154" s="6">
        <f t="shared" si="262"/>
        <v>23.491111111111117</v>
      </c>
      <c r="AX154" s="472">
        <f t="shared" si="263"/>
        <v>5.4981692671394802</v>
      </c>
      <c r="AY154" s="6">
        <f t="shared" si="264"/>
        <v>23.491111111111117</v>
      </c>
      <c r="AZ154" s="472">
        <f t="shared" si="265"/>
        <v>10.99608888888889</v>
      </c>
      <c r="BA154" s="6">
        <f t="shared" si="214"/>
        <v>0.12070722309144154</v>
      </c>
      <c r="BB154" s="6">
        <f t="shared" si="266"/>
        <v>29.78454835676078</v>
      </c>
      <c r="BC154" s="6"/>
      <c r="BD154" s="179">
        <f t="shared" si="216"/>
        <v>0.26293025440151191</v>
      </c>
      <c r="BE154" s="179">
        <f t="shared" si="217"/>
        <v>0.76978096335243573</v>
      </c>
      <c r="BF154" s="179">
        <f t="shared" si="218"/>
        <v>0.76978096335243573</v>
      </c>
      <c r="BG154" s="179"/>
      <c r="BH154" s="546">
        <f t="shared" si="219"/>
        <v>2.4196311537875319E-2</v>
      </c>
      <c r="BI154" s="546">
        <f t="shared" si="220"/>
        <v>4.0269886363636355E-2</v>
      </c>
      <c r="BJ154" s="546">
        <f t="shared" si="221"/>
        <v>3.430050890851077E-3</v>
      </c>
      <c r="BK154" s="546">
        <f t="shared" si="222"/>
        <v>1.2973309981921489E-2</v>
      </c>
      <c r="BL154">
        <f t="shared" si="223"/>
        <v>4.3499999999999997E-3</v>
      </c>
      <c r="BN154" s="472">
        <f t="shared" si="224"/>
        <v>85.219558774284252</v>
      </c>
      <c r="BO154" s="179">
        <f t="shared" si="225"/>
        <v>6.6000000000000003E-2</v>
      </c>
      <c r="BP154" s="179">
        <f t="shared" si="226"/>
        <v>6.6000000000000003E-2</v>
      </c>
      <c r="BQ154" s="546"/>
      <c r="BS154" s="472">
        <f t="shared" si="227"/>
        <v>132</v>
      </c>
      <c r="BT154" s="546">
        <f t="shared" si="228"/>
        <v>1.3826463735928754E-2</v>
      </c>
      <c r="BU154" s="546">
        <f t="shared" si="229"/>
        <v>2.3702509261592161E-2</v>
      </c>
      <c r="BV154" s="546">
        <f t="shared" si="230"/>
        <v>5.3330645838582359E-2</v>
      </c>
      <c r="BW154" s="546">
        <f t="shared" si="231"/>
        <v>2.0144433365049126E-2</v>
      </c>
      <c r="BX154" s="546"/>
      <c r="BY154" s="656">
        <f t="shared" si="267"/>
        <v>5.5555555555555559E-2</v>
      </c>
      <c r="BZ154" s="472">
        <f t="shared" si="233"/>
        <v>166.55960775670795</v>
      </c>
      <c r="CA154" s="179">
        <f t="shared" si="234"/>
        <v>0.38377916653099226</v>
      </c>
      <c r="CB154" s="6">
        <f t="shared" si="235"/>
        <v>2.2000000000000002</v>
      </c>
      <c r="CC154" s="179">
        <f t="shared" si="236"/>
        <v>0.85146595672638004</v>
      </c>
      <c r="CD154" s="6">
        <f t="shared" si="237"/>
        <v>85.146595672638</v>
      </c>
      <c r="CE154">
        <f t="shared" si="238"/>
        <v>44</v>
      </c>
      <c r="CG154" s="581">
        <f t="shared" si="268"/>
        <v>-50</v>
      </c>
      <c r="CH154">
        <f t="shared" si="269"/>
        <v>-50</v>
      </c>
    </row>
    <row r="155" spans="5:86" x14ac:dyDescent="0.2">
      <c r="E155" s="176">
        <v>45</v>
      </c>
      <c r="F155" s="223">
        <f t="shared" si="270"/>
        <v>0.22500000000000001</v>
      </c>
      <c r="G155" s="223">
        <f t="shared" si="246"/>
        <v>0.22500000000000001</v>
      </c>
      <c r="H155" s="223">
        <f t="shared" si="247"/>
        <v>1.125</v>
      </c>
      <c r="I155" s="223">
        <f t="shared" si="248"/>
        <v>1.125</v>
      </c>
      <c r="J155" s="559">
        <f t="shared" si="180"/>
        <v>15</v>
      </c>
      <c r="K155" s="454">
        <f t="shared" si="181"/>
        <v>15.75</v>
      </c>
      <c r="L155" s="454">
        <f t="shared" si="182"/>
        <v>30.75</v>
      </c>
      <c r="M155" s="454"/>
      <c r="N155" s="223">
        <f t="shared" si="183"/>
        <v>0.51219512195121952</v>
      </c>
      <c r="O155" s="178">
        <f t="shared" si="249"/>
        <v>1.2964939024390245</v>
      </c>
      <c r="P155" s="178">
        <f t="shared" si="250"/>
        <v>2.592987804878049</v>
      </c>
      <c r="Q155" s="223">
        <f t="shared" si="186"/>
        <v>0.25929878048780491</v>
      </c>
      <c r="R155" s="223">
        <f t="shared" si="251"/>
        <v>0.25929878048780491</v>
      </c>
      <c r="S155" s="223">
        <f t="shared" si="252"/>
        <v>5</v>
      </c>
      <c r="T155" s="223">
        <f t="shared" si="253"/>
        <v>0.65079365079365081</v>
      </c>
      <c r="U155" s="223">
        <f t="shared" si="190"/>
        <v>1.908994708994709</v>
      </c>
      <c r="V155" s="223">
        <f t="shared" si="191"/>
        <v>1.81809019904258</v>
      </c>
      <c r="W155" s="203">
        <f t="shared" si="192"/>
        <v>350</v>
      </c>
      <c r="X155" s="454">
        <f t="shared" si="193"/>
        <v>268.30620301768425</v>
      </c>
      <c r="Z155" s="223">
        <f t="shared" si="194"/>
        <v>0.4988913525498892</v>
      </c>
      <c r="AA155" s="179">
        <f t="shared" si="195"/>
        <v>1.3937282229965158</v>
      </c>
      <c r="AB155" s="179">
        <f t="shared" si="254"/>
        <v>0.18252122654264241</v>
      </c>
      <c r="AC155" s="179"/>
      <c r="AD155" s="179">
        <f t="shared" si="197"/>
        <v>0.419047619047619</v>
      </c>
      <c r="AE155" s="563">
        <f t="shared" si="255"/>
        <v>2386.3636363636365</v>
      </c>
      <c r="AF155" s="546">
        <f t="shared" si="256"/>
        <v>3.2999999999999995E-2</v>
      </c>
      <c r="AH155" s="179">
        <f t="shared" si="257"/>
        <v>0.54056247761733534</v>
      </c>
      <c r="AI155" s="179">
        <f t="shared" si="258"/>
        <v>0.65079365079365081</v>
      </c>
      <c r="AJ155" s="179">
        <f t="shared" si="259"/>
        <v>1.5709582598471488</v>
      </c>
      <c r="AL155" s="563">
        <f t="shared" si="260"/>
        <v>225</v>
      </c>
      <c r="AM155" s="472">
        <f t="shared" si="261"/>
        <v>268.30620301768425</v>
      </c>
      <c r="AO155" s="472">
        <f t="shared" si="205"/>
        <v>225</v>
      </c>
      <c r="AP155" s="472">
        <f t="shared" si="206"/>
        <v>268.30620301768425</v>
      </c>
      <c r="AR155" s="6">
        <f t="shared" si="245"/>
        <v>3.7270849080372894</v>
      </c>
      <c r="AS155" s="6">
        <f t="shared" si="242"/>
        <v>1.908994708994709</v>
      </c>
      <c r="AT155" s="6">
        <f t="shared" si="243"/>
        <v>1.8180901990425804</v>
      </c>
      <c r="AU155" s="179">
        <f t="shared" si="244"/>
        <v>0.51219512195121941</v>
      </c>
      <c r="AW155" s="6">
        <f t="shared" si="262"/>
        <v>23.491111111111117</v>
      </c>
      <c r="AX155" s="472">
        <f t="shared" si="263"/>
        <v>5.7355851063829801</v>
      </c>
      <c r="AY155" s="6">
        <f t="shared" si="264"/>
        <v>23.491111111111117</v>
      </c>
      <c r="AZ155" s="472">
        <f t="shared" si="265"/>
        <v>11.486250000000004</v>
      </c>
      <c r="BA155" s="6">
        <f t="shared" si="214"/>
        <v>0.12625626382240138</v>
      </c>
      <c r="BB155" s="6">
        <f t="shared" si="266"/>
        <v>31.134836650709669</v>
      </c>
      <c r="BC155" s="6"/>
      <c r="BD155" s="179">
        <f t="shared" si="216"/>
        <v>0.26890594200154627</v>
      </c>
      <c r="BE155" s="179">
        <f t="shared" si="217"/>
        <v>0.78727598524680931</v>
      </c>
      <c r="BF155" s="179">
        <f t="shared" si="218"/>
        <v>0.78727598524680931</v>
      </c>
      <c r="BG155" s="179"/>
      <c r="BH155" s="546">
        <f t="shared" si="219"/>
        <v>2.5308641975308639E-2</v>
      </c>
      <c r="BI155" s="546">
        <f t="shared" si="220"/>
        <v>4.0269886363636362E-2</v>
      </c>
      <c r="BJ155" s="546">
        <f t="shared" si="221"/>
        <v>3.3538275377210532E-3</v>
      </c>
      <c r="BK155" s="546">
        <f t="shared" si="222"/>
        <v>1.2685014204545455E-2</v>
      </c>
      <c r="BL155">
        <f t="shared" si="223"/>
        <v>4.3499999999999997E-3</v>
      </c>
      <c r="BN155" s="472">
        <f t="shared" si="224"/>
        <v>85.967370081211527</v>
      </c>
      <c r="BO155" s="179">
        <f t="shared" si="225"/>
        <v>6.7500000000000004E-2</v>
      </c>
      <c r="BP155" s="179">
        <f t="shared" si="226"/>
        <v>6.7500000000000004E-2</v>
      </c>
      <c r="BQ155" s="546"/>
      <c r="BS155" s="472">
        <f t="shared" si="227"/>
        <v>135</v>
      </c>
      <c r="BT155" s="546">
        <f t="shared" si="228"/>
        <v>1.4462081128747795E-2</v>
      </c>
      <c r="BU155" s="546">
        <f t="shared" si="229"/>
        <v>2.4792139077853374E-2</v>
      </c>
      <c r="BV155" s="546">
        <f t="shared" si="230"/>
        <v>5.5782312925170087E-2</v>
      </c>
      <c r="BW155" s="546">
        <f t="shared" si="231"/>
        <v>2.0144433365049157E-2</v>
      </c>
      <c r="BX155" s="546"/>
      <c r="BY155" s="656">
        <f t="shared" si="267"/>
        <v>5.6818181818181823E-2</v>
      </c>
      <c r="BZ155" s="472">
        <f t="shared" si="233"/>
        <v>171.99914831500223</v>
      </c>
      <c r="CA155" s="179">
        <f t="shared" si="234"/>
        <v>0.39296651839621383</v>
      </c>
      <c r="CB155" s="6">
        <f t="shared" si="235"/>
        <v>2.25</v>
      </c>
      <c r="CC155" s="179">
        <f t="shared" si="236"/>
        <v>0.85131611934506424</v>
      </c>
      <c r="CD155" s="6">
        <f t="shared" si="237"/>
        <v>85.131611934506424</v>
      </c>
      <c r="CE155">
        <f t="shared" si="238"/>
        <v>45</v>
      </c>
      <c r="CG155" s="581">
        <f t="shared" si="268"/>
        <v>-50</v>
      </c>
      <c r="CH155">
        <f t="shared" si="269"/>
        <v>-50</v>
      </c>
    </row>
    <row r="156" spans="5:86" s="78" customFormat="1" x14ac:dyDescent="0.2">
      <c r="E156" s="195">
        <v>46</v>
      </c>
      <c r="F156" s="335">
        <f t="shared" si="270"/>
        <v>0.23</v>
      </c>
      <c r="G156" s="223">
        <f t="shared" si="246"/>
        <v>0.23</v>
      </c>
      <c r="H156" s="335">
        <f t="shared" si="247"/>
        <v>1.1500000000000001</v>
      </c>
      <c r="I156" s="223">
        <f t="shared" si="248"/>
        <v>1.1500000000000001</v>
      </c>
      <c r="J156" s="559">
        <f t="shared" si="180"/>
        <v>15</v>
      </c>
      <c r="K156" s="553">
        <f t="shared" si="181"/>
        <v>15.75</v>
      </c>
      <c r="L156" s="553">
        <f t="shared" si="182"/>
        <v>30.75</v>
      </c>
      <c r="M156" s="553"/>
      <c r="N156" s="335">
        <f t="shared" si="183"/>
        <v>0.51219512195121952</v>
      </c>
      <c r="O156" s="178">
        <f t="shared" si="249"/>
        <v>1.2964939024390245</v>
      </c>
      <c r="P156" s="178">
        <f t="shared" si="250"/>
        <v>2.592987804878049</v>
      </c>
      <c r="Q156" s="335">
        <f t="shared" si="186"/>
        <v>0.25929878048780491</v>
      </c>
      <c r="R156" s="223">
        <f t="shared" si="251"/>
        <v>0.25929878048780491</v>
      </c>
      <c r="S156" s="335">
        <f t="shared" si="252"/>
        <v>5</v>
      </c>
      <c r="T156" s="223">
        <f t="shared" si="253"/>
        <v>0.66525573192239862</v>
      </c>
      <c r="U156" s="335">
        <f t="shared" si="190"/>
        <v>1.951416813639036</v>
      </c>
      <c r="V156" s="335">
        <f t="shared" si="191"/>
        <v>1.8584922034657485</v>
      </c>
      <c r="W156" s="555">
        <f t="shared" si="192"/>
        <v>350</v>
      </c>
      <c r="X156" s="553">
        <f t="shared" si="193"/>
        <v>262.47345947382155</v>
      </c>
      <c r="Z156" s="335">
        <f t="shared" si="194"/>
        <v>0.4988913525498892</v>
      </c>
      <c r="AA156" s="556">
        <f t="shared" si="195"/>
        <v>1.3937282229965158</v>
      </c>
      <c r="AB156" s="179">
        <f t="shared" si="254"/>
        <v>0.18252122654264241</v>
      </c>
      <c r="AC156" s="556"/>
      <c r="AD156" s="556">
        <f t="shared" si="197"/>
        <v>0.419047619047619</v>
      </c>
      <c r="AE156" s="563">
        <f t="shared" si="255"/>
        <v>2439.3939393939399</v>
      </c>
      <c r="AF156" s="546">
        <f t="shared" si="256"/>
        <v>3.2999999999999995E-2</v>
      </c>
      <c r="AH156" s="179">
        <f t="shared" si="257"/>
        <v>0.54653572500002112</v>
      </c>
      <c r="AI156" s="556">
        <f t="shared" si="258"/>
        <v>0.66525573192239862</v>
      </c>
      <c r="AJ156" s="556">
        <f t="shared" si="259"/>
        <v>1.5816709125351101</v>
      </c>
      <c r="AL156" s="583">
        <f t="shared" si="260"/>
        <v>230</v>
      </c>
      <c r="AM156" s="584">
        <f t="shared" si="261"/>
        <v>262.47345947382155</v>
      </c>
      <c r="AO156" s="78">
        <f t="shared" si="205"/>
        <v>230</v>
      </c>
      <c r="AP156" s="78">
        <f t="shared" si="206"/>
        <v>262.47345947382155</v>
      </c>
      <c r="AR156" s="552">
        <f t="shared" si="245"/>
        <v>3.8099090171047849</v>
      </c>
      <c r="AS156" s="6">
        <f t="shared" si="242"/>
        <v>1.951416813639036</v>
      </c>
      <c r="AT156" s="6">
        <f t="shared" si="243"/>
        <v>1.8584922034657489</v>
      </c>
      <c r="AU156" s="179">
        <f t="shared" si="244"/>
        <v>0.51219512195121941</v>
      </c>
      <c r="AW156" s="6">
        <f t="shared" si="262"/>
        <v>23.491111111111117</v>
      </c>
      <c r="AX156" s="472">
        <f t="shared" si="263"/>
        <v>5.9779990543735231</v>
      </c>
      <c r="AY156" s="6">
        <f t="shared" si="264"/>
        <v>23.491111111111117</v>
      </c>
      <c r="AZ156" s="472">
        <f t="shared" si="265"/>
        <v>11.98708888888889</v>
      </c>
      <c r="BA156" s="6">
        <f t="shared" si="214"/>
        <v>0.13193000209787722</v>
      </c>
      <c r="BB156" s="6">
        <f t="shared" si="266"/>
        <v>32.515052355342398</v>
      </c>
      <c r="BC156" s="6"/>
      <c r="BD156" s="179">
        <f t="shared" si="216"/>
        <v>0.27488162960158063</v>
      </c>
      <c r="BE156" s="179">
        <f t="shared" si="217"/>
        <v>0.80477100714118288</v>
      </c>
      <c r="BF156" s="179">
        <f t="shared" si="218"/>
        <v>0.80477100714118288</v>
      </c>
      <c r="BG156" s="179"/>
      <c r="BH156" s="546">
        <f t="shared" si="219"/>
        <v>2.6445968602347197E-2</v>
      </c>
      <c r="BI156" s="546">
        <f t="shared" si="220"/>
        <v>4.0269886363636362E-2</v>
      </c>
      <c r="BJ156" s="546">
        <f t="shared" si="221"/>
        <v>3.2809182434227692E-3</v>
      </c>
      <c r="BK156" s="546">
        <f t="shared" si="222"/>
        <v>1.2409253026185771E-2</v>
      </c>
      <c r="BL156">
        <f t="shared" si="223"/>
        <v>4.3499999999999997E-3</v>
      </c>
      <c r="BM156"/>
      <c r="BN156" s="472">
        <f t="shared" si="224"/>
        <v>86.756026235592117</v>
      </c>
      <c r="BO156" s="179">
        <f t="shared" si="225"/>
        <v>6.9000000000000006E-2</v>
      </c>
      <c r="BP156" s="179">
        <f t="shared" si="226"/>
        <v>6.9000000000000006E-2</v>
      </c>
      <c r="BQ156" s="546"/>
      <c r="BR156"/>
      <c r="BS156" s="472">
        <f t="shared" si="227"/>
        <v>138</v>
      </c>
      <c r="BT156" s="546">
        <f t="shared" si="228"/>
        <v>1.5111982058484115E-2</v>
      </c>
      <c r="BU156" s="546">
        <f t="shared" si="229"/>
        <v>2.5906254957401353E-2</v>
      </c>
      <c r="BV156" s="546">
        <f t="shared" si="230"/>
        <v>5.8289073654153041E-2</v>
      </c>
      <c r="BW156" s="546">
        <f t="shared" si="231"/>
        <v>2.0144433365049143E-2</v>
      </c>
      <c r="BX156" s="546"/>
      <c r="BY156" s="656">
        <f t="shared" si="267"/>
        <v>5.8080808080808094E-2</v>
      </c>
      <c r="BZ156" s="472">
        <f t="shared" si="233"/>
        <v>177.53255211589575</v>
      </c>
      <c r="CA156" s="179">
        <f t="shared" si="234"/>
        <v>0.40228857835148779</v>
      </c>
      <c r="CB156" s="6">
        <f t="shared" si="235"/>
        <v>2.3000000000000003</v>
      </c>
      <c r="CC156" s="179">
        <f t="shared" si="236"/>
        <v>0.8511304153174859</v>
      </c>
      <c r="CD156" s="6">
        <f t="shared" si="237"/>
        <v>85.113041531748593</v>
      </c>
      <c r="CE156">
        <f t="shared" si="238"/>
        <v>46</v>
      </c>
      <c r="CG156" s="581">
        <f t="shared" si="268"/>
        <v>-50</v>
      </c>
      <c r="CH156">
        <f t="shared" si="269"/>
        <v>-50</v>
      </c>
    </row>
    <row r="157" spans="5:86" x14ac:dyDescent="0.2">
      <c r="E157" s="176">
        <v>47</v>
      </c>
      <c r="F157" s="223">
        <f t="shared" si="270"/>
        <v>0.23499999999999999</v>
      </c>
      <c r="G157" s="223">
        <f t="shared" si="246"/>
        <v>0.23499999999999999</v>
      </c>
      <c r="H157" s="223">
        <f t="shared" si="247"/>
        <v>1.1749999999999998</v>
      </c>
      <c r="I157" s="223">
        <f t="shared" si="248"/>
        <v>1.1749999999999998</v>
      </c>
      <c r="J157" s="559">
        <f t="shared" si="180"/>
        <v>15</v>
      </c>
      <c r="K157" s="454">
        <f t="shared" si="181"/>
        <v>15.75</v>
      </c>
      <c r="L157" s="454">
        <f t="shared" si="182"/>
        <v>30.75</v>
      </c>
      <c r="M157" s="454"/>
      <c r="N157" s="223">
        <f t="shared" si="183"/>
        <v>0.51219512195121952</v>
      </c>
      <c r="O157" s="178">
        <f t="shared" si="249"/>
        <v>1.2964939024390245</v>
      </c>
      <c r="P157" s="178">
        <f t="shared" si="250"/>
        <v>2.592987804878049</v>
      </c>
      <c r="Q157" s="223">
        <f t="shared" si="186"/>
        <v>0.25929878048780491</v>
      </c>
      <c r="R157" s="223">
        <f t="shared" si="251"/>
        <v>0.25929878048780491</v>
      </c>
      <c r="S157" s="223">
        <f t="shared" si="252"/>
        <v>5</v>
      </c>
      <c r="T157" s="223">
        <f t="shared" si="253"/>
        <v>0.6797178130511462</v>
      </c>
      <c r="U157" s="223">
        <f t="shared" si="190"/>
        <v>1.9938389182833625</v>
      </c>
      <c r="V157" s="223">
        <f t="shared" si="191"/>
        <v>1.8988942078889164</v>
      </c>
      <c r="W157" s="203">
        <f t="shared" si="192"/>
        <v>350</v>
      </c>
      <c r="X157" s="454">
        <f t="shared" si="193"/>
        <v>256.88891778288922</v>
      </c>
      <c r="Z157" s="223">
        <f t="shared" si="194"/>
        <v>0.4988913525498892</v>
      </c>
      <c r="AA157" s="179">
        <f t="shared" si="195"/>
        <v>1.3937282229965158</v>
      </c>
      <c r="AB157" s="179">
        <f t="shared" si="254"/>
        <v>0.18252122654264241</v>
      </c>
      <c r="AC157" s="179"/>
      <c r="AD157" s="179">
        <f t="shared" si="197"/>
        <v>0.419047619047619</v>
      </c>
      <c r="AE157" s="563">
        <f t="shared" si="255"/>
        <v>2492.4242424242425</v>
      </c>
      <c r="AF157" s="546">
        <f t="shared" si="256"/>
        <v>3.2999999999999995E-2</v>
      </c>
      <c r="AH157" s="179">
        <f t="shared" si="257"/>
        <v>0.5524443910429403</v>
      </c>
      <c r="AI157" s="179">
        <f t="shared" si="258"/>
        <v>0.6797178130511462</v>
      </c>
      <c r="AJ157" s="179">
        <f t="shared" si="259"/>
        <v>1.5923835652230711</v>
      </c>
      <c r="AL157" s="563">
        <f t="shared" si="260"/>
        <v>235</v>
      </c>
      <c r="AM157" s="472">
        <f t="shared" si="261"/>
        <v>256.88891778288922</v>
      </c>
      <c r="AO157">
        <f t="shared" si="205"/>
        <v>235</v>
      </c>
      <c r="AP157">
        <f t="shared" si="206"/>
        <v>256.88891778288922</v>
      </c>
      <c r="AR157" s="6">
        <f t="shared" si="245"/>
        <v>3.8927331261722795</v>
      </c>
      <c r="AS157" s="6">
        <f t="shared" si="242"/>
        <v>1.9938389182833625</v>
      </c>
      <c r="AT157" s="6">
        <f t="shared" si="243"/>
        <v>1.8988942078889171</v>
      </c>
      <c r="AU157" s="179">
        <f t="shared" si="244"/>
        <v>0.51219512195121941</v>
      </c>
      <c r="AW157" s="6">
        <f t="shared" si="262"/>
        <v>23.491111111111117</v>
      </c>
      <c r="AX157" s="472">
        <f t="shared" si="263"/>
        <v>6.2254111111111117</v>
      </c>
      <c r="AY157" s="6">
        <f t="shared" si="264"/>
        <v>23.491111111111117</v>
      </c>
      <c r="AZ157" s="472">
        <f t="shared" si="265"/>
        <v>12.498605555555557</v>
      </c>
      <c r="BA157" s="6">
        <f t="shared" si="214"/>
        <v>0.13772843791786893</v>
      </c>
      <c r="BB157" s="6">
        <f t="shared" si="266"/>
        <v>33.92519547065892</v>
      </c>
      <c r="BC157" s="6"/>
      <c r="BD157" s="179">
        <f t="shared" si="216"/>
        <v>0.28085731720161489</v>
      </c>
      <c r="BE157" s="179">
        <f t="shared" si="217"/>
        <v>0.82226602903555612</v>
      </c>
      <c r="BF157" s="179">
        <f t="shared" si="218"/>
        <v>0.82226602903555612</v>
      </c>
      <c r="BG157" s="179"/>
      <c r="BH157" s="546">
        <f t="shared" si="219"/>
        <v>2.7608291418990981E-2</v>
      </c>
      <c r="BI157" s="546">
        <f t="shared" si="220"/>
        <v>4.0269886363636348E-2</v>
      </c>
      <c r="BJ157" s="546">
        <f t="shared" si="221"/>
        <v>3.2111114722861152E-3</v>
      </c>
      <c r="BK157" s="546">
        <f t="shared" si="222"/>
        <v>1.2145226366054161E-2</v>
      </c>
      <c r="BL157">
        <f t="shared" si="223"/>
        <v>4.3499999999999997E-3</v>
      </c>
      <c r="BN157" s="472">
        <f t="shared" si="224"/>
        <v>87.584515620967608</v>
      </c>
      <c r="BO157" s="179">
        <f t="shared" si="225"/>
        <v>7.0499999999999993E-2</v>
      </c>
      <c r="BP157" s="179">
        <f t="shared" si="226"/>
        <v>7.0499999999999993E-2</v>
      </c>
      <c r="BQ157" s="546"/>
      <c r="BS157" s="472">
        <f t="shared" si="227"/>
        <v>141</v>
      </c>
      <c r="BT157" s="546">
        <f t="shared" si="228"/>
        <v>1.5776166525137705E-2</v>
      </c>
      <c r="BU157" s="546">
        <f t="shared" si="229"/>
        <v>2.7044856900236083E-2</v>
      </c>
      <c r="BV157" s="546">
        <f t="shared" si="230"/>
        <v>6.085092802553118E-2</v>
      </c>
      <c r="BW157" s="546">
        <f t="shared" si="231"/>
        <v>2.0144433365049147E-2</v>
      </c>
      <c r="BX157" s="546"/>
      <c r="BY157" s="656">
        <f t="shared" si="267"/>
        <v>5.9343434343434323E-2</v>
      </c>
      <c r="BZ157" s="472">
        <f t="shared" si="233"/>
        <v>183.15981915938846</v>
      </c>
      <c r="CA157" s="179">
        <f t="shared" si="234"/>
        <v>0.41174433478035594</v>
      </c>
      <c r="CB157" s="6">
        <f t="shared" si="235"/>
        <v>2.3499999999999996</v>
      </c>
      <c r="CC157" s="179">
        <f t="shared" si="236"/>
        <v>0.85091149474084016</v>
      </c>
      <c r="CD157" s="6">
        <f t="shared" si="237"/>
        <v>85.09114947408402</v>
      </c>
      <c r="CE157">
        <f t="shared" si="238"/>
        <v>47</v>
      </c>
      <c r="CG157" s="581">
        <f t="shared" si="268"/>
        <v>-50</v>
      </c>
      <c r="CH157">
        <f t="shared" si="269"/>
        <v>-50</v>
      </c>
    </row>
    <row r="158" spans="5:86" x14ac:dyDescent="0.2">
      <c r="E158" s="176">
        <v>48</v>
      </c>
      <c r="F158" s="223">
        <f t="shared" si="270"/>
        <v>0.24</v>
      </c>
      <c r="G158" s="223">
        <f t="shared" si="246"/>
        <v>0.24</v>
      </c>
      <c r="H158" s="223">
        <f t="shared" si="247"/>
        <v>1.2</v>
      </c>
      <c r="I158" s="223">
        <f t="shared" si="248"/>
        <v>1.2</v>
      </c>
      <c r="J158" s="559">
        <f t="shared" si="180"/>
        <v>15</v>
      </c>
      <c r="K158" s="454">
        <f t="shared" si="181"/>
        <v>15.75</v>
      </c>
      <c r="L158" s="454">
        <f t="shared" si="182"/>
        <v>30.75</v>
      </c>
      <c r="M158" s="454"/>
      <c r="N158" s="223">
        <f t="shared" si="183"/>
        <v>0.51219512195121952</v>
      </c>
      <c r="O158" s="178">
        <f t="shared" si="249"/>
        <v>1.2964939024390245</v>
      </c>
      <c r="P158" s="178">
        <f t="shared" si="250"/>
        <v>2.592987804878049</v>
      </c>
      <c r="Q158" s="223">
        <f t="shared" si="186"/>
        <v>0.25929878048780491</v>
      </c>
      <c r="R158" s="223">
        <f t="shared" si="251"/>
        <v>0.25929878048780491</v>
      </c>
      <c r="S158" s="223">
        <f t="shared" si="252"/>
        <v>5</v>
      </c>
      <c r="T158" s="223">
        <f t="shared" si="253"/>
        <v>0.69417989417989412</v>
      </c>
      <c r="U158" s="223">
        <f t="shared" si="190"/>
        <v>2.0362610229276892</v>
      </c>
      <c r="V158" s="223">
        <f t="shared" si="191"/>
        <v>1.9392962123120852</v>
      </c>
      <c r="W158" s="203">
        <f t="shared" si="192"/>
        <v>350</v>
      </c>
      <c r="X158" s="454">
        <f t="shared" si="193"/>
        <v>251.53706532907904</v>
      </c>
      <c r="Z158" s="223">
        <f t="shared" si="194"/>
        <v>0.4988913525498892</v>
      </c>
      <c r="AA158" s="179">
        <f t="shared" si="195"/>
        <v>1.3937282229965158</v>
      </c>
      <c r="AB158" s="179">
        <f t="shared" si="254"/>
        <v>0.18252122654264241</v>
      </c>
      <c r="AC158" s="179"/>
      <c r="AD158" s="179">
        <f t="shared" si="197"/>
        <v>0.419047619047619</v>
      </c>
      <c r="AE158" s="563">
        <f t="shared" si="255"/>
        <v>2545.454545454546</v>
      </c>
      <c r="AF158" s="546">
        <f t="shared" si="256"/>
        <v>3.2999999999999995E-2</v>
      </c>
      <c r="AH158" s="179">
        <f t="shared" si="257"/>
        <v>0.55829052623908249</v>
      </c>
      <c r="AI158" s="179">
        <f t="shared" si="258"/>
        <v>0.69417989417989412</v>
      </c>
      <c r="AJ158" s="179">
        <f t="shared" si="259"/>
        <v>1.6030962179110326</v>
      </c>
      <c r="AL158" s="563">
        <f t="shared" si="260"/>
        <v>240</v>
      </c>
      <c r="AM158" s="472">
        <f t="shared" si="261"/>
        <v>251.53706532907904</v>
      </c>
      <c r="AO158">
        <f t="shared" si="205"/>
        <v>240</v>
      </c>
      <c r="AP158">
        <f t="shared" si="206"/>
        <v>251.53706532907904</v>
      </c>
      <c r="AR158" s="6">
        <f t="shared" si="245"/>
        <v>3.9755572352397741</v>
      </c>
      <c r="AS158" s="6">
        <f t="shared" si="242"/>
        <v>2.0362610229276892</v>
      </c>
      <c r="AT158" s="6">
        <f t="shared" si="243"/>
        <v>1.9392962123120849</v>
      </c>
      <c r="AU158" s="179">
        <f t="shared" si="244"/>
        <v>0.51219512195121952</v>
      </c>
      <c r="AW158" s="6">
        <f t="shared" si="262"/>
        <v>23.491111111111117</v>
      </c>
      <c r="AX158" s="472">
        <f t="shared" si="263"/>
        <v>6.4778212765957441</v>
      </c>
      <c r="AY158" s="6">
        <f t="shared" si="264"/>
        <v>23.491111111111117</v>
      </c>
      <c r="AZ158" s="472">
        <f t="shared" si="265"/>
        <v>13.020800000000003</v>
      </c>
      <c r="BA158" s="6">
        <f t="shared" si="214"/>
        <v>0.14365157128237663</v>
      </c>
      <c r="BB158" s="6">
        <f t="shared" si="266"/>
        <v>35.365265996659289</v>
      </c>
      <c r="BC158" s="6"/>
      <c r="BD158" s="179">
        <f t="shared" si="216"/>
        <v>0.28683300480164936</v>
      </c>
      <c r="BE158" s="179">
        <f t="shared" si="217"/>
        <v>0.83976105092992959</v>
      </c>
      <c r="BF158" s="179">
        <f t="shared" si="218"/>
        <v>0.83976105092992959</v>
      </c>
      <c r="BG158" s="179"/>
      <c r="BH158" s="546">
        <f t="shared" si="219"/>
        <v>2.8795610425240047E-2</v>
      </c>
      <c r="BI158" s="546">
        <f t="shared" si="220"/>
        <v>4.0269886363636362E-2</v>
      </c>
      <c r="BJ158" s="546">
        <f t="shared" si="221"/>
        <v>3.1442133166134875E-3</v>
      </c>
      <c r="BK158" s="546">
        <f t="shared" si="222"/>
        <v>1.1892200816761367E-2</v>
      </c>
      <c r="BL158">
        <f t="shared" si="223"/>
        <v>4.3499999999999997E-3</v>
      </c>
      <c r="BN158" s="472">
        <f t="shared" si="224"/>
        <v>88.451910922251272</v>
      </c>
      <c r="BO158" s="179">
        <f t="shared" si="225"/>
        <v>7.1999999999999995E-2</v>
      </c>
      <c r="BP158" s="179">
        <f t="shared" si="226"/>
        <v>7.1999999999999995E-2</v>
      </c>
      <c r="BQ158" s="546"/>
      <c r="BS158" s="472">
        <f t="shared" si="227"/>
        <v>144</v>
      </c>
      <c r="BT158" s="546">
        <f t="shared" si="228"/>
        <v>1.64546345287086E-2</v>
      </c>
      <c r="BU158" s="546">
        <f t="shared" si="229"/>
        <v>2.8207944906357595E-2</v>
      </c>
      <c r="BV158" s="546">
        <f t="shared" si="230"/>
        <v>6.346787603930458E-2</v>
      </c>
      <c r="BW158" s="546">
        <f t="shared" si="231"/>
        <v>2.014443336504915E-2</v>
      </c>
      <c r="BX158" s="546"/>
      <c r="BY158" s="656">
        <f t="shared" si="267"/>
        <v>6.0606060606060608E-2</v>
      </c>
      <c r="BZ158" s="472">
        <f t="shared" si="233"/>
        <v>188.88094944548052</v>
      </c>
      <c r="CA158" s="179">
        <f t="shared" si="234"/>
        <v>0.42133286036773182</v>
      </c>
      <c r="CB158" s="6">
        <f t="shared" si="235"/>
        <v>2.4</v>
      </c>
      <c r="CC158" s="179">
        <f t="shared" si="236"/>
        <v>0.85066176831300389</v>
      </c>
      <c r="CD158" s="6">
        <f t="shared" si="237"/>
        <v>85.066176831300382</v>
      </c>
      <c r="CE158">
        <f t="shared" si="238"/>
        <v>48</v>
      </c>
      <c r="CG158" s="581">
        <f t="shared" si="268"/>
        <v>-50</v>
      </c>
      <c r="CH158">
        <f t="shared" si="269"/>
        <v>-50</v>
      </c>
    </row>
    <row r="159" spans="5:86" x14ac:dyDescent="0.2">
      <c r="E159" s="176">
        <v>49</v>
      </c>
      <c r="F159" s="223">
        <f t="shared" si="270"/>
        <v>0.245</v>
      </c>
      <c r="G159" s="223">
        <f t="shared" si="246"/>
        <v>0.245</v>
      </c>
      <c r="H159" s="223">
        <f t="shared" si="247"/>
        <v>1.2250000000000001</v>
      </c>
      <c r="I159" s="223">
        <f t="shared" si="248"/>
        <v>1.2250000000000001</v>
      </c>
      <c r="J159" s="559">
        <f t="shared" si="180"/>
        <v>15</v>
      </c>
      <c r="K159" s="454">
        <f t="shared" si="181"/>
        <v>15.75</v>
      </c>
      <c r="L159" s="454">
        <f t="shared" si="182"/>
        <v>30.75</v>
      </c>
      <c r="M159" s="454"/>
      <c r="N159" s="223">
        <f t="shared" si="183"/>
        <v>0.51219512195121952</v>
      </c>
      <c r="O159" s="178">
        <f t="shared" si="249"/>
        <v>1.2964939024390245</v>
      </c>
      <c r="P159" s="178">
        <f t="shared" si="250"/>
        <v>2.592987804878049</v>
      </c>
      <c r="Q159" s="223">
        <f t="shared" si="186"/>
        <v>0.25929878048780491</v>
      </c>
      <c r="R159" s="223">
        <f t="shared" si="251"/>
        <v>0.25929878048780491</v>
      </c>
      <c r="S159" s="223">
        <f t="shared" si="252"/>
        <v>5</v>
      </c>
      <c r="T159" s="223">
        <f t="shared" si="253"/>
        <v>0.70864197530864204</v>
      </c>
      <c r="U159" s="223">
        <f t="shared" si="190"/>
        <v>2.0786831275720168</v>
      </c>
      <c r="V159" s="223">
        <f t="shared" si="191"/>
        <v>1.9796982167352539</v>
      </c>
      <c r="W159" s="203">
        <f t="shared" si="192"/>
        <v>350</v>
      </c>
      <c r="X159" s="454">
        <f t="shared" si="193"/>
        <v>246.40365583256718</v>
      </c>
      <c r="Z159" s="223">
        <f t="shared" si="194"/>
        <v>0.4988913525498892</v>
      </c>
      <c r="AA159" s="179">
        <f t="shared" si="195"/>
        <v>1.3937282229965158</v>
      </c>
      <c r="AB159" s="179">
        <f t="shared" si="254"/>
        <v>0.18252122654264241</v>
      </c>
      <c r="AC159" s="179"/>
      <c r="AD159" s="179">
        <f t="shared" si="197"/>
        <v>0.419047619047619</v>
      </c>
      <c r="AE159" s="563">
        <f t="shared" si="255"/>
        <v>2598.484848484849</v>
      </c>
      <c r="AF159" s="546">
        <f t="shared" si="256"/>
        <v>3.2999999999999995E-2</v>
      </c>
      <c r="AH159" s="179">
        <f t="shared" si="257"/>
        <v>0.56407607481776623</v>
      </c>
      <c r="AI159" s="179">
        <f t="shared" si="258"/>
        <v>0.70864197530864204</v>
      </c>
      <c r="AJ159" s="179">
        <f t="shared" si="259"/>
        <v>1.6138088705989941</v>
      </c>
      <c r="AL159" s="563">
        <f t="shared" si="260"/>
        <v>245</v>
      </c>
      <c r="AM159" s="472">
        <f t="shared" si="261"/>
        <v>246.40365583256718</v>
      </c>
      <c r="AO159">
        <f t="shared" si="205"/>
        <v>245</v>
      </c>
      <c r="AP159">
        <f t="shared" si="206"/>
        <v>246.40365583256718</v>
      </c>
      <c r="AR159" s="6">
        <f t="shared" si="245"/>
        <v>4.0583813443072705</v>
      </c>
      <c r="AS159" s="6">
        <f t="shared" si="242"/>
        <v>2.0786831275720168</v>
      </c>
      <c r="AT159" s="6">
        <f t="shared" si="243"/>
        <v>1.9796982167352537</v>
      </c>
      <c r="AU159" s="179">
        <f t="shared" si="244"/>
        <v>0.51219512195121952</v>
      </c>
      <c r="AW159" s="6">
        <f t="shared" si="262"/>
        <v>23.491111111111117</v>
      </c>
      <c r="AX159" s="472">
        <f t="shared" si="263"/>
        <v>6.7352295508274231</v>
      </c>
      <c r="AY159" s="6">
        <f t="shared" si="264"/>
        <v>23.491111111111117</v>
      </c>
      <c r="AZ159" s="472">
        <f t="shared" si="265"/>
        <v>13.553672222222222</v>
      </c>
      <c r="BA159" s="6">
        <f t="shared" si="214"/>
        <v>0.14969940219140035</v>
      </c>
      <c r="BB159" s="6">
        <f t="shared" si="266"/>
        <v>36.835263933343491</v>
      </c>
      <c r="BC159" s="6"/>
      <c r="BD159" s="179">
        <f t="shared" si="216"/>
        <v>0.29280869240168378</v>
      </c>
      <c r="BE159" s="179">
        <f t="shared" si="217"/>
        <v>0.85725607282430338</v>
      </c>
      <c r="BF159" s="179">
        <f t="shared" si="218"/>
        <v>0.85725607282430338</v>
      </c>
      <c r="BG159" s="179"/>
      <c r="BH159" s="546">
        <f t="shared" si="219"/>
        <v>3.0007925621094351E-2</v>
      </c>
      <c r="BI159" s="546">
        <f t="shared" si="220"/>
        <v>4.0269886363636362E-2</v>
      </c>
      <c r="BJ159" s="546">
        <f t="shared" si="221"/>
        <v>3.0800456979070893E-3</v>
      </c>
      <c r="BK159" s="546">
        <f t="shared" si="222"/>
        <v>1.1649502840909091E-2</v>
      </c>
      <c r="BL159">
        <f t="shared" si="223"/>
        <v>4.3499999999999997E-3</v>
      </c>
      <c r="BN159" s="472">
        <f t="shared" si="224"/>
        <v>89.357360523546873</v>
      </c>
      <c r="BO159" s="179">
        <f t="shared" si="225"/>
        <v>7.3499999999999996E-2</v>
      </c>
      <c r="BP159" s="179">
        <f t="shared" si="226"/>
        <v>7.3499999999999996E-2</v>
      </c>
      <c r="BQ159" s="546"/>
      <c r="BS159" s="472">
        <f t="shared" si="227"/>
        <v>147</v>
      </c>
      <c r="BT159" s="546">
        <f t="shared" si="228"/>
        <v>1.7147386069196774E-2</v>
      </c>
      <c r="BU159" s="546">
        <f t="shared" si="229"/>
        <v>2.9395518975765894E-2</v>
      </c>
      <c r="BV159" s="546">
        <f t="shared" si="230"/>
        <v>6.6139917695473255E-2</v>
      </c>
      <c r="BW159" s="546">
        <f t="shared" si="231"/>
        <v>2.0144433365049116E-2</v>
      </c>
      <c r="BX159" s="546"/>
      <c r="BY159" s="656">
        <f t="shared" si="267"/>
        <v>6.1868686868686885E-2</v>
      </c>
      <c r="BZ159" s="472">
        <f t="shared" si="233"/>
        <v>194.69594297417191</v>
      </c>
      <c r="CA159" s="179">
        <f t="shared" si="234"/>
        <v>0.43105330349771881</v>
      </c>
      <c r="CB159" s="6">
        <f t="shared" si="235"/>
        <v>2.4500000000000002</v>
      </c>
      <c r="CC159" s="179">
        <f t="shared" si="236"/>
        <v>0.85038343338722611</v>
      </c>
      <c r="CD159" s="6">
        <f t="shared" si="237"/>
        <v>85.038343338722612</v>
      </c>
      <c r="CE159">
        <f t="shared" si="238"/>
        <v>49</v>
      </c>
      <c r="CG159" s="581">
        <f t="shared" si="268"/>
        <v>-50</v>
      </c>
      <c r="CH159">
        <f t="shared" si="269"/>
        <v>-50</v>
      </c>
    </row>
    <row r="160" spans="5:86" x14ac:dyDescent="0.2">
      <c r="E160" s="176">
        <v>50</v>
      </c>
      <c r="F160" s="223">
        <f t="shared" si="270"/>
        <v>0.25</v>
      </c>
      <c r="G160" s="223">
        <f t="shared" si="246"/>
        <v>0.25</v>
      </c>
      <c r="H160" s="223">
        <f t="shared" si="247"/>
        <v>1.25</v>
      </c>
      <c r="I160" s="223">
        <f t="shared" si="248"/>
        <v>1.25</v>
      </c>
      <c r="J160" s="559">
        <f t="shared" si="180"/>
        <v>15</v>
      </c>
      <c r="K160" s="454">
        <f t="shared" si="181"/>
        <v>15.75</v>
      </c>
      <c r="L160" s="454">
        <f t="shared" si="182"/>
        <v>30.75</v>
      </c>
      <c r="M160" s="454"/>
      <c r="N160" s="223">
        <f t="shared" si="183"/>
        <v>0.51219512195121952</v>
      </c>
      <c r="O160" s="178">
        <f t="shared" si="249"/>
        <v>1.2964939024390245</v>
      </c>
      <c r="P160" s="178">
        <f t="shared" si="250"/>
        <v>2.592987804878049</v>
      </c>
      <c r="Q160" s="223">
        <f t="shared" si="186"/>
        <v>0.25929878048780491</v>
      </c>
      <c r="R160" s="223">
        <f t="shared" si="251"/>
        <v>0.25929878048780491</v>
      </c>
      <c r="S160" s="223">
        <f t="shared" si="252"/>
        <v>5</v>
      </c>
      <c r="T160" s="223">
        <f t="shared" si="253"/>
        <v>0.72310405643738973</v>
      </c>
      <c r="U160" s="223">
        <f t="shared" si="190"/>
        <v>2.1211052322163431</v>
      </c>
      <c r="V160" s="223">
        <f t="shared" si="191"/>
        <v>2.020100221158422</v>
      </c>
      <c r="W160" s="203">
        <f t="shared" si="192"/>
        <v>350</v>
      </c>
      <c r="X160" s="454">
        <f t="shared" si="193"/>
        <v>241.47558271591589</v>
      </c>
      <c r="Z160" s="223">
        <f t="shared" si="194"/>
        <v>0.4988913525498892</v>
      </c>
      <c r="AA160" s="179">
        <f t="shared" si="195"/>
        <v>1.3937282229965158</v>
      </c>
      <c r="AB160" s="179">
        <f t="shared" si="254"/>
        <v>0.18252122654264241</v>
      </c>
      <c r="AC160" s="179"/>
      <c r="AD160" s="179">
        <f t="shared" si="197"/>
        <v>0.419047619047619</v>
      </c>
      <c r="AE160" s="563">
        <f t="shared" si="255"/>
        <v>2651.515151515152</v>
      </c>
      <c r="AF160" s="546">
        <f t="shared" si="256"/>
        <v>3.2999999999999995E-2</v>
      </c>
      <c r="AH160" s="179">
        <f t="shared" si="257"/>
        <v>0.56980288229818976</v>
      </c>
      <c r="AI160" s="179">
        <f t="shared" si="258"/>
        <v>0.72310405643738973</v>
      </c>
      <c r="AJ160" s="179">
        <f t="shared" si="259"/>
        <v>1.6245215232869552</v>
      </c>
      <c r="AL160" s="563">
        <f t="shared" si="260"/>
        <v>250</v>
      </c>
      <c r="AM160" s="472">
        <f t="shared" si="261"/>
        <v>241.47558271591589</v>
      </c>
      <c r="AO160">
        <f t="shared" si="205"/>
        <v>250</v>
      </c>
      <c r="AP160">
        <f t="shared" si="206"/>
        <v>241.47558271591589</v>
      </c>
      <c r="AR160" s="6">
        <f t="shared" si="245"/>
        <v>4.1412054533747646</v>
      </c>
      <c r="AS160" s="6">
        <f t="shared" si="242"/>
        <v>2.1211052322163431</v>
      </c>
      <c r="AT160" s="6">
        <f t="shared" si="243"/>
        <v>2.0201002211584216</v>
      </c>
      <c r="AU160" s="179">
        <f t="shared" si="244"/>
        <v>0.51219512195121952</v>
      </c>
      <c r="AW160" s="6">
        <f t="shared" si="262"/>
        <v>23.491111111111117</v>
      </c>
      <c r="AX160" s="472">
        <f t="shared" si="263"/>
        <v>6.9976359338061478</v>
      </c>
      <c r="AY160" s="6">
        <f t="shared" si="264"/>
        <v>23.491111111111117</v>
      </c>
      <c r="AZ160" s="472">
        <f t="shared" si="265"/>
        <v>14.097222222222223</v>
      </c>
      <c r="BA160" s="6">
        <f t="shared" si="214"/>
        <v>0.1558719306449399</v>
      </c>
      <c r="BB160" s="6">
        <f t="shared" si="266"/>
        <v>38.335189280711511</v>
      </c>
      <c r="BC160" s="6"/>
      <c r="BD160" s="179">
        <f t="shared" si="216"/>
        <v>0.29878438000171809</v>
      </c>
      <c r="BE160" s="179">
        <f t="shared" si="217"/>
        <v>0.87475109471867685</v>
      </c>
      <c r="BF160" s="179">
        <f t="shared" si="218"/>
        <v>0.87475109471867685</v>
      </c>
      <c r="BG160" s="179"/>
      <c r="BH160" s="546">
        <f t="shared" si="219"/>
        <v>3.1245237006553874E-2</v>
      </c>
      <c r="BI160" s="546">
        <f t="shared" si="220"/>
        <v>4.0269886363636362E-2</v>
      </c>
      <c r="BJ160" s="546">
        <f t="shared" si="221"/>
        <v>3.0184447839489486E-3</v>
      </c>
      <c r="BK160" s="546">
        <f t="shared" si="222"/>
        <v>1.1416512784090912E-2</v>
      </c>
      <c r="BL160">
        <f t="shared" si="223"/>
        <v>4.3499999999999997E-3</v>
      </c>
      <c r="BN160" s="472">
        <f t="shared" si="224"/>
        <v>90.300080938230082</v>
      </c>
      <c r="BO160" s="179">
        <f t="shared" si="225"/>
        <v>7.4999999999999997E-2</v>
      </c>
      <c r="BP160" s="179">
        <f t="shared" si="226"/>
        <v>7.4999999999999997E-2</v>
      </c>
      <c r="BQ160" s="546"/>
      <c r="BS160" s="472">
        <f t="shared" si="227"/>
        <v>150</v>
      </c>
      <c r="BT160" s="546">
        <f t="shared" si="228"/>
        <v>1.7854421146602215E-2</v>
      </c>
      <c r="BU160" s="546">
        <f t="shared" si="229"/>
        <v>3.0607579108460944E-2</v>
      </c>
      <c r="BV160" s="546">
        <f t="shared" si="230"/>
        <v>6.8867052994037115E-2</v>
      </c>
      <c r="BW160" s="546">
        <f t="shared" si="231"/>
        <v>2.0144433365049178E-2</v>
      </c>
      <c r="BX160" s="546"/>
      <c r="BY160" s="656">
        <f t="shared" si="267"/>
        <v>6.3131313131313149E-2</v>
      </c>
      <c r="BZ160" s="472">
        <f t="shared" si="233"/>
        <v>200.6047997454626</v>
      </c>
      <c r="CA160" s="179">
        <f t="shared" si="234"/>
        <v>0.44090488068369271</v>
      </c>
      <c r="CB160" s="6">
        <f t="shared" si="235"/>
        <v>2.5</v>
      </c>
      <c r="CC160" s="179">
        <f t="shared" si="236"/>
        <v>0.85007849673084546</v>
      </c>
      <c r="CD160" s="6">
        <f t="shared" si="237"/>
        <v>85.00784967308455</v>
      </c>
      <c r="CE160">
        <f t="shared" si="238"/>
        <v>50</v>
      </c>
      <c r="CG160" s="581">
        <f t="shared" si="268"/>
        <v>-50</v>
      </c>
      <c r="CH160">
        <f t="shared" si="269"/>
        <v>-50</v>
      </c>
    </row>
    <row r="161" spans="5:86" x14ac:dyDescent="0.2">
      <c r="E161" s="176">
        <v>51</v>
      </c>
      <c r="F161" s="223">
        <f t="shared" si="270"/>
        <v>0.255</v>
      </c>
      <c r="G161" s="223">
        <f t="shared" si="246"/>
        <v>0.255</v>
      </c>
      <c r="H161" s="223">
        <f t="shared" si="247"/>
        <v>1.2749999999999999</v>
      </c>
      <c r="I161" s="223">
        <f t="shared" si="248"/>
        <v>1.2749999999999999</v>
      </c>
      <c r="J161" s="559">
        <f t="shared" si="180"/>
        <v>15</v>
      </c>
      <c r="K161" s="454">
        <f t="shared" si="181"/>
        <v>15.75</v>
      </c>
      <c r="L161" s="454">
        <f t="shared" si="182"/>
        <v>30.75</v>
      </c>
      <c r="M161" s="454"/>
      <c r="N161" s="223">
        <f t="shared" si="183"/>
        <v>0.51219512195121952</v>
      </c>
      <c r="O161" s="178">
        <f t="shared" si="249"/>
        <v>1.2964939024390245</v>
      </c>
      <c r="P161" s="178">
        <f t="shared" si="250"/>
        <v>2.592987804878049</v>
      </c>
      <c r="Q161" s="223">
        <f t="shared" si="186"/>
        <v>0.25929878048780491</v>
      </c>
      <c r="R161" s="223">
        <f t="shared" si="251"/>
        <v>0.25929878048780491</v>
      </c>
      <c r="S161" s="223">
        <f t="shared" si="252"/>
        <v>5</v>
      </c>
      <c r="T161" s="223">
        <f t="shared" si="253"/>
        <v>0.73756613756613743</v>
      </c>
      <c r="U161" s="223">
        <f t="shared" si="190"/>
        <v>2.1635273368606693</v>
      </c>
      <c r="V161" s="223">
        <f t="shared" si="191"/>
        <v>2.0605022255815899</v>
      </c>
      <c r="W161" s="203">
        <f t="shared" si="192"/>
        <v>350</v>
      </c>
      <c r="X161" s="454">
        <f t="shared" si="193"/>
        <v>236.74076736854502</v>
      </c>
      <c r="Z161" s="223">
        <f t="shared" si="194"/>
        <v>0.4988913525498892</v>
      </c>
      <c r="AA161" s="179">
        <f t="shared" si="195"/>
        <v>1.3937282229965158</v>
      </c>
      <c r="AB161" s="179">
        <f t="shared" si="254"/>
        <v>0.18252122654264241</v>
      </c>
      <c r="AC161" s="179"/>
      <c r="AD161" s="179">
        <f t="shared" si="197"/>
        <v>0.419047619047619</v>
      </c>
      <c r="AE161" s="563">
        <f t="shared" si="255"/>
        <v>2704.545454545455</v>
      </c>
      <c r="AF161" s="546">
        <f t="shared" si="256"/>
        <v>3.2999999999999995E-2</v>
      </c>
      <c r="AH161" s="179">
        <f t="shared" si="257"/>
        <v>0.57547270236635129</v>
      </c>
      <c r="AI161" s="179">
        <f t="shared" si="258"/>
        <v>0.73756613756613743</v>
      </c>
      <c r="AJ161" s="179">
        <f t="shared" si="259"/>
        <v>1.6352341759749165</v>
      </c>
      <c r="AL161" s="563">
        <f t="shared" si="260"/>
        <v>255</v>
      </c>
      <c r="AM161" s="472">
        <f t="shared" si="261"/>
        <v>236.74076736854502</v>
      </c>
      <c r="AO161">
        <f t="shared" si="205"/>
        <v>255</v>
      </c>
      <c r="AP161">
        <f t="shared" si="206"/>
        <v>236.74076736854502</v>
      </c>
      <c r="AR161" s="6">
        <f t="shared" si="245"/>
        <v>4.2240295624422588</v>
      </c>
      <c r="AS161" s="6">
        <f t="shared" si="242"/>
        <v>2.1635273368606693</v>
      </c>
      <c r="AT161" s="6">
        <f t="shared" si="243"/>
        <v>2.0605022255815895</v>
      </c>
      <c r="AU161" s="179">
        <f t="shared" si="244"/>
        <v>0.51219512195121952</v>
      </c>
      <c r="AW161" s="6">
        <f t="shared" si="262"/>
        <v>23.491111111111117</v>
      </c>
      <c r="AX161" s="472">
        <f t="shared" si="263"/>
        <v>7.2650404255319154</v>
      </c>
      <c r="AY161" s="6">
        <f t="shared" si="264"/>
        <v>23.491111111111117</v>
      </c>
      <c r="AZ161" s="472">
        <f t="shared" si="265"/>
        <v>14.651450000000002</v>
      </c>
      <c r="BA161" s="6">
        <f t="shared" si="214"/>
        <v>0.16216915664299542</v>
      </c>
      <c r="BB161" s="6">
        <f t="shared" si="266"/>
        <v>39.865042038763349</v>
      </c>
      <c r="BC161" s="6"/>
      <c r="BD161" s="179">
        <f t="shared" si="216"/>
        <v>0.30476006760175239</v>
      </c>
      <c r="BE161" s="179">
        <f t="shared" si="217"/>
        <v>0.8922461166130502</v>
      </c>
      <c r="BF161" s="179">
        <f t="shared" si="218"/>
        <v>0.8922461166130502</v>
      </c>
      <c r="BG161" s="179"/>
      <c r="BH161" s="546">
        <f t="shared" si="219"/>
        <v>3.2507544581618635E-2</v>
      </c>
      <c r="BI161" s="546">
        <f t="shared" si="220"/>
        <v>4.0269886363636369E-2</v>
      </c>
      <c r="BJ161" s="546">
        <f t="shared" si="221"/>
        <v>2.9592595921068129E-3</v>
      </c>
      <c r="BK161" s="546">
        <f t="shared" si="222"/>
        <v>1.1192659592245994E-2</v>
      </c>
      <c r="BL161">
        <f t="shared" si="223"/>
        <v>4.3499999999999997E-3</v>
      </c>
      <c r="BN161" s="472">
        <f t="shared" si="224"/>
        <v>91.279350129607806</v>
      </c>
      <c r="BO161" s="179">
        <f t="shared" si="225"/>
        <v>7.6499999999999999E-2</v>
      </c>
      <c r="BP161" s="179">
        <f t="shared" si="226"/>
        <v>7.6499999999999999E-2</v>
      </c>
      <c r="BQ161" s="546"/>
      <c r="BS161" s="472">
        <f t="shared" si="227"/>
        <v>153</v>
      </c>
      <c r="BT161" s="546">
        <f t="shared" si="228"/>
        <v>1.8575739760924938E-2</v>
      </c>
      <c r="BU161" s="546">
        <f t="shared" si="229"/>
        <v>3.184412530444275E-2</v>
      </c>
      <c r="BV161" s="546">
        <f t="shared" si="230"/>
        <v>7.1649281934996187E-2</v>
      </c>
      <c r="BW161" s="546">
        <f t="shared" si="231"/>
        <v>2.0144433365049168E-2</v>
      </c>
      <c r="BX161" s="546"/>
      <c r="BY161" s="656">
        <f t="shared" si="267"/>
        <v>6.4393939393939392E-2</v>
      </c>
      <c r="BZ161" s="472">
        <f t="shared" si="233"/>
        <v>206.60751975935244</v>
      </c>
      <c r="CA161" s="179">
        <f t="shared" si="234"/>
        <v>0.45088686988896026</v>
      </c>
      <c r="CB161" s="6">
        <f t="shared" si="235"/>
        <v>2.5499999999999998</v>
      </c>
      <c r="CC161" s="179">
        <f t="shared" si="236"/>
        <v>0.84974879446033769</v>
      </c>
      <c r="CD161" s="6">
        <f t="shared" si="237"/>
        <v>84.974879446033768</v>
      </c>
      <c r="CE161">
        <f t="shared" si="238"/>
        <v>51</v>
      </c>
      <c r="CG161" s="581">
        <f t="shared" si="268"/>
        <v>-50</v>
      </c>
      <c r="CH161">
        <f t="shared" si="269"/>
        <v>-50</v>
      </c>
    </row>
    <row r="162" spans="5:86" x14ac:dyDescent="0.2">
      <c r="E162" s="176">
        <v>52</v>
      </c>
      <c r="F162" s="223">
        <f t="shared" si="270"/>
        <v>0.26</v>
      </c>
      <c r="G162" s="223">
        <f t="shared" si="246"/>
        <v>0.26</v>
      </c>
      <c r="H162" s="223">
        <f t="shared" si="247"/>
        <v>1.3</v>
      </c>
      <c r="I162" s="223">
        <f t="shared" si="248"/>
        <v>1.3</v>
      </c>
      <c r="J162" s="559">
        <f t="shared" si="180"/>
        <v>15</v>
      </c>
      <c r="K162" s="454">
        <f t="shared" si="181"/>
        <v>15.709545028142589</v>
      </c>
      <c r="L162" s="454">
        <f t="shared" si="182"/>
        <v>30.75</v>
      </c>
      <c r="M162" s="454"/>
      <c r="N162" s="223">
        <f t="shared" si="183"/>
        <v>0.51219512195121952</v>
      </c>
      <c r="O162" s="178">
        <f t="shared" si="249"/>
        <v>1.2964939024390245</v>
      </c>
      <c r="P162" s="178">
        <f t="shared" si="250"/>
        <v>2.592987804878049</v>
      </c>
      <c r="Q162" s="223">
        <f t="shared" si="186"/>
        <v>0.25929878048780491</v>
      </c>
      <c r="R162" s="223">
        <f t="shared" si="251"/>
        <v>0.25929878048780491</v>
      </c>
      <c r="S162" s="223">
        <f t="shared" si="252"/>
        <v>4.986515009380863</v>
      </c>
      <c r="T162" s="223">
        <f t="shared" si="253"/>
        <v>0.75</v>
      </c>
      <c r="U162" s="223">
        <f t="shared" si="190"/>
        <v>2.2000000000000002</v>
      </c>
      <c r="V162" s="223">
        <f t="shared" si="191"/>
        <v>2.1006337192377456</v>
      </c>
      <c r="W162" s="203">
        <f t="shared" si="192"/>
        <v>350</v>
      </c>
      <c r="X162" s="454">
        <f t="shared" si="193"/>
        <v>232.52387096505447</v>
      </c>
      <c r="Z162" s="223">
        <f t="shared" si="194"/>
        <v>0.49826543778225957</v>
      </c>
      <c r="AA162" s="179">
        <f t="shared" si="195"/>
        <v>1.3955642396482284</v>
      </c>
      <c r="AB162" s="179">
        <f t="shared" si="254"/>
        <v>0.18253237454066756</v>
      </c>
      <c r="AC162" s="179"/>
      <c r="AD162" s="179">
        <f t="shared" si="197"/>
        <v>0.42012674384754911</v>
      </c>
      <c r="AE162" s="563">
        <f t="shared" si="255"/>
        <v>2750.4927322000494</v>
      </c>
      <c r="AF162" s="546">
        <f t="shared" si="256"/>
        <v>3.3084981077994492E-2</v>
      </c>
      <c r="AH162" s="179">
        <f t="shared" si="257"/>
        <v>0.58108720314797646</v>
      </c>
      <c r="AI162" s="179">
        <f t="shared" si="258"/>
        <v>0.75</v>
      </c>
      <c r="AJ162" s="179">
        <f t="shared" si="259"/>
        <v>1.6444444444444444</v>
      </c>
      <c r="AL162" s="563">
        <f t="shared" si="260"/>
        <v>260</v>
      </c>
      <c r="AM162" s="472">
        <f t="shared" si="261"/>
        <v>232.52387096505447</v>
      </c>
      <c r="AO162" t="str">
        <f t="shared" si="205"/>
        <v/>
      </c>
      <c r="AP162" t="str">
        <f t="shared" si="206"/>
        <v/>
      </c>
      <c r="AR162" s="6">
        <f t="shared" si="245"/>
        <v>4.3006337192377462</v>
      </c>
      <c r="AS162" s="6">
        <f t="shared" si="242"/>
        <v>2.2000000000000002</v>
      </c>
      <c r="AT162" s="6">
        <f t="shared" si="243"/>
        <v>2.100633719237746</v>
      </c>
      <c r="AU162" s="179">
        <f t="shared" si="244"/>
        <v>0.51155251612311992</v>
      </c>
      <c r="AW162" s="6">
        <f t="shared" si="262"/>
        <v>23.491111111111117</v>
      </c>
      <c r="AX162" s="472">
        <f t="shared" si="263"/>
        <v>7.5374430260047296</v>
      </c>
      <c r="AY162" s="6">
        <f t="shared" si="264"/>
        <v>23.491111111111117</v>
      </c>
      <c r="AZ162" s="472">
        <f t="shared" si="265"/>
        <v>15.216355555555557</v>
      </c>
      <c r="BA162" s="6">
        <f t="shared" si="214"/>
        <v>0.16856937253142404</v>
      </c>
      <c r="BB162" s="6">
        <f t="shared" si="266"/>
        <v>41.419612370504737</v>
      </c>
      <c r="BC162" s="6"/>
      <c r="BD162" s="179">
        <f t="shared" si="216"/>
        <v>0.30970323984919013</v>
      </c>
      <c r="BE162" s="179">
        <f t="shared" si="217"/>
        <v>0.9078849756672015</v>
      </c>
      <c r="BF162" s="179">
        <f t="shared" si="218"/>
        <v>0.9078849756672015</v>
      </c>
      <c r="BG162" s="179"/>
      <c r="BH162" s="546">
        <f t="shared" si="219"/>
        <v>3.3570633870579743E-2</v>
      </c>
      <c r="BI162" s="546">
        <f t="shared" si="220"/>
        <v>4.0219363305986765E-2</v>
      </c>
      <c r="BJ162" s="546">
        <f t="shared" si="221"/>
        <v>2.9065483870631811E-3</v>
      </c>
      <c r="BK162" s="546">
        <f t="shared" si="222"/>
        <v>1.0993292636969717E-2</v>
      </c>
      <c r="BL162">
        <f t="shared" si="223"/>
        <v>4.3499999999999997E-3</v>
      </c>
      <c r="BN162" s="472">
        <f t="shared" si="224"/>
        <v>92.039838200599405</v>
      </c>
      <c r="BO162" s="179">
        <f t="shared" si="225"/>
        <v>7.8E-2</v>
      </c>
      <c r="BP162" s="179">
        <f t="shared" si="226"/>
        <v>7.8E-2</v>
      </c>
      <c r="BQ162" s="546"/>
      <c r="BS162" s="472">
        <f t="shared" si="227"/>
        <v>156</v>
      </c>
      <c r="BT162" s="546">
        <f t="shared" si="228"/>
        <v>1.9183219354617E-2</v>
      </c>
      <c r="BU162" s="546">
        <f t="shared" si="229"/>
        <v>3.29702051616894E-2</v>
      </c>
      <c r="BV162" s="546">
        <f t="shared" si="230"/>
        <v>7.4182961613801154E-2</v>
      </c>
      <c r="BW162" s="546">
        <f t="shared" si="231"/>
        <v>2.0081309217460399E-2</v>
      </c>
      <c r="BX162" s="546"/>
      <c r="BY162" s="656">
        <f t="shared" si="267"/>
        <v>6.5397338708921587E-2</v>
      </c>
      <c r="BZ162" s="472">
        <f t="shared" si="233"/>
        <v>211.81503405648954</v>
      </c>
      <c r="CA162" s="179">
        <f t="shared" si="234"/>
        <v>0.45985487225708899</v>
      </c>
      <c r="CB162" s="6">
        <f t="shared" si="235"/>
        <v>2.6</v>
      </c>
      <c r="CC162" s="179">
        <f t="shared" si="236"/>
        <v>0.84971350228846665</v>
      </c>
      <c r="CD162" s="6">
        <f t="shared" si="237"/>
        <v>84.97135022884666</v>
      </c>
      <c r="CE162">
        <f t="shared" si="238"/>
        <v>52</v>
      </c>
      <c r="CG162" s="581">
        <f t="shared" si="268"/>
        <v>232.52387096505447</v>
      </c>
      <c r="CH162">
        <f t="shared" si="269"/>
        <v>3.304945123611315</v>
      </c>
    </row>
    <row r="163" spans="5:86" x14ac:dyDescent="0.2">
      <c r="E163" s="176">
        <v>53</v>
      </c>
      <c r="F163" s="223">
        <f t="shared" si="270"/>
        <v>0.26500000000000001</v>
      </c>
      <c r="G163" s="223">
        <f t="shared" si="246"/>
        <v>0.26500000000000001</v>
      </c>
      <c r="H163" s="223">
        <f t="shared" si="247"/>
        <v>1.3250000000000002</v>
      </c>
      <c r="I163" s="223">
        <f t="shared" si="248"/>
        <v>1.3250000000000002</v>
      </c>
      <c r="J163" s="559">
        <f t="shared" si="180"/>
        <v>15</v>
      </c>
      <c r="K163" s="454">
        <f t="shared" si="181"/>
        <v>15.427289461573862</v>
      </c>
      <c r="L163" s="454">
        <f t="shared" si="182"/>
        <v>30.75</v>
      </c>
      <c r="M163" s="454"/>
      <c r="N163" s="223">
        <f t="shared" si="183"/>
        <v>0.51219512195121952</v>
      </c>
      <c r="O163" s="178">
        <f t="shared" si="249"/>
        <v>1.2964939024390245</v>
      </c>
      <c r="P163" s="178">
        <f t="shared" si="250"/>
        <v>2.592987804878049</v>
      </c>
      <c r="Q163" s="223">
        <f t="shared" si="186"/>
        <v>0.25929878048780491</v>
      </c>
      <c r="R163" s="223">
        <f t="shared" si="251"/>
        <v>0.25929878048780491</v>
      </c>
      <c r="S163" s="223">
        <f t="shared" si="252"/>
        <v>4.8924298205246206</v>
      </c>
      <c r="T163" s="223">
        <f t="shared" si="253"/>
        <v>0.75</v>
      </c>
      <c r="U163" s="223">
        <f t="shared" si="190"/>
        <v>2.2000000000000002</v>
      </c>
      <c r="V163" s="223">
        <f t="shared" si="191"/>
        <v>2.1390666249049177</v>
      </c>
      <c r="W163" s="203">
        <f t="shared" si="192"/>
        <v>350</v>
      </c>
      <c r="X163" s="454">
        <f t="shared" si="193"/>
        <v>230.46431097884167</v>
      </c>
      <c r="Z163" s="223">
        <f t="shared" si="194"/>
        <v>0.49385209495466087</v>
      </c>
      <c r="AA163" s="179">
        <f t="shared" si="195"/>
        <v>1.4085100452758523</v>
      </c>
      <c r="AB163" s="179">
        <f t="shared" si="254"/>
        <v>0.182593854613843</v>
      </c>
      <c r="AC163" s="179"/>
      <c r="AD163" s="179">
        <f t="shared" si="197"/>
        <v>0.42781332498098346</v>
      </c>
      <c r="AE163" s="563">
        <f t="shared" si="255"/>
        <v>2753.0179847253025</v>
      </c>
      <c r="AF163" s="546">
        <f t="shared" si="256"/>
        <v>3.3690299342252442E-2</v>
      </c>
      <c r="AH163" s="179">
        <f t="shared" si="257"/>
        <v>0.58664797294105109</v>
      </c>
      <c r="AI163" s="179">
        <f t="shared" si="258"/>
        <v>0.75</v>
      </c>
      <c r="AJ163" s="179">
        <f t="shared" si="259"/>
        <v>1.6444444444444444</v>
      </c>
      <c r="AL163" s="563">
        <f t="shared" si="260"/>
        <v>265</v>
      </c>
      <c r="AM163" s="472">
        <f t="shared" si="261"/>
        <v>230.46431097884167</v>
      </c>
      <c r="AO163" t="str">
        <f t="shared" si="205"/>
        <v/>
      </c>
      <c r="AP163" t="str">
        <f t="shared" si="206"/>
        <v/>
      </c>
      <c r="AR163" s="6">
        <f t="shared" si="245"/>
        <v>4.3390666249049188</v>
      </c>
      <c r="AS163" s="6">
        <f t="shared" si="242"/>
        <v>2.2000000000000002</v>
      </c>
      <c r="AT163" s="6">
        <f t="shared" si="243"/>
        <v>2.1390666249049186</v>
      </c>
      <c r="AU163" s="179">
        <f t="shared" si="244"/>
        <v>0.50702148415345161</v>
      </c>
      <c r="AW163" s="6">
        <f t="shared" si="262"/>
        <v>23.491111111111117</v>
      </c>
      <c r="AX163" s="472">
        <f t="shared" si="263"/>
        <v>7.8148437352245876</v>
      </c>
      <c r="AY163" s="6">
        <f t="shared" si="264"/>
        <v>23.491111111111117</v>
      </c>
      <c r="AZ163" s="472">
        <f t="shared" si="265"/>
        <v>15.791938888888891</v>
      </c>
      <c r="BA163" s="6">
        <f t="shared" si="214"/>
        <v>0.17495452333327266</v>
      </c>
      <c r="BB163" s="6">
        <f t="shared" si="266"/>
        <v>42.970567081466925</v>
      </c>
      <c r="BC163" s="6"/>
      <c r="BD163" s="179">
        <f t="shared" si="216"/>
        <v>0.30832860437976262</v>
      </c>
      <c r="BE163" s="179">
        <f t="shared" si="217"/>
        <v>0.9120862050766092</v>
      </c>
      <c r="BF163" s="179">
        <f t="shared" si="218"/>
        <v>0.9120862050766092</v>
      </c>
      <c r="BG163" s="179"/>
      <c r="BH163" s="546">
        <f t="shared" si="219"/>
        <v>3.3273284897570254E-2</v>
      </c>
      <c r="BI163" s="546">
        <f t="shared" si="220"/>
        <v>3.9863123789621521E-2</v>
      </c>
      <c r="BJ163" s="546">
        <f t="shared" si="221"/>
        <v>2.8808038872355207E-3</v>
      </c>
      <c r="BK163" s="546">
        <f t="shared" si="222"/>
        <v>1.0895920502496549E-2</v>
      </c>
      <c r="BL163">
        <f t="shared" si="223"/>
        <v>4.3499999999999997E-3</v>
      </c>
      <c r="BN163" s="472">
        <f t="shared" si="224"/>
        <v>91.26313307692385</v>
      </c>
      <c r="BO163" s="179">
        <f t="shared" si="225"/>
        <v>7.9500000000000001E-2</v>
      </c>
      <c r="BP163" s="179">
        <f t="shared" si="226"/>
        <v>7.9500000000000001E-2</v>
      </c>
      <c r="BQ163" s="546"/>
      <c r="BS163" s="472">
        <f t="shared" si="227"/>
        <v>159</v>
      </c>
      <c r="BT163" s="546">
        <f t="shared" si="228"/>
        <v>1.9013305655754435E-2</v>
      </c>
      <c r="BU163" s="546">
        <f t="shared" si="229"/>
        <v>3.3276049819642016E-2</v>
      </c>
      <c r="BV163" s="546">
        <f t="shared" si="230"/>
        <v>7.4871112094194531E-2</v>
      </c>
      <c r="BW163" s="546">
        <f t="shared" si="231"/>
        <v>1.9639587699277792E-2</v>
      </c>
      <c r="BX163" s="546"/>
      <c r="BY163" s="656">
        <f t="shared" si="267"/>
        <v>6.481808746279924E-2</v>
      </c>
      <c r="BZ163" s="472">
        <f t="shared" si="233"/>
        <v>211.618142731668</v>
      </c>
      <c r="CA163" s="179">
        <f t="shared" si="234"/>
        <v>0.46188127580859184</v>
      </c>
      <c r="CB163" s="6">
        <f t="shared" si="235"/>
        <v>2.6500000000000004</v>
      </c>
      <c r="CC163" s="179">
        <f t="shared" si="236"/>
        <v>0.85157490441579375</v>
      </c>
      <c r="CD163" s="6">
        <f t="shared" si="237"/>
        <v>85.15749044157937</v>
      </c>
      <c r="CE163">
        <f t="shared" si="238"/>
        <v>53</v>
      </c>
      <c r="CG163" s="581">
        <f t="shared" si="268"/>
        <v>-50</v>
      </c>
      <c r="CH163">
        <f t="shared" si="269"/>
        <v>-50</v>
      </c>
    </row>
    <row r="164" spans="5:86" x14ac:dyDescent="0.2">
      <c r="E164" s="176">
        <v>54</v>
      </c>
      <c r="F164" s="223">
        <f t="shared" si="270"/>
        <v>0.27</v>
      </c>
      <c r="G164" s="223">
        <f t="shared" si="246"/>
        <v>0.27</v>
      </c>
      <c r="H164" s="223">
        <f t="shared" si="247"/>
        <v>1.35</v>
      </c>
      <c r="I164" s="223">
        <f t="shared" si="248"/>
        <v>1.35</v>
      </c>
      <c r="J164" s="559">
        <f t="shared" si="180"/>
        <v>15</v>
      </c>
      <c r="K164" s="454">
        <f t="shared" si="181"/>
        <v>15.155487804878049</v>
      </c>
      <c r="L164" s="454">
        <f t="shared" si="182"/>
        <v>30.75</v>
      </c>
      <c r="M164" s="454"/>
      <c r="N164" s="223">
        <f t="shared" si="183"/>
        <v>0.51219512195121952</v>
      </c>
      <c r="O164" s="178">
        <f t="shared" si="249"/>
        <v>1.2964939024390245</v>
      </c>
      <c r="P164" s="178">
        <f t="shared" si="250"/>
        <v>2.592987804878049</v>
      </c>
      <c r="Q164" s="223">
        <f t="shared" si="186"/>
        <v>0.25929878048780491</v>
      </c>
      <c r="R164" s="223">
        <f t="shared" si="251"/>
        <v>0.25929878048780491</v>
      </c>
      <c r="S164" s="223">
        <f t="shared" si="252"/>
        <v>4.8018292682926829</v>
      </c>
      <c r="T164" s="223">
        <f t="shared" si="253"/>
        <v>0.75</v>
      </c>
      <c r="U164" s="223">
        <f t="shared" si="190"/>
        <v>2.2000000000000002</v>
      </c>
      <c r="V164" s="223">
        <f t="shared" si="191"/>
        <v>2.1774290887145447</v>
      </c>
      <c r="W164" s="203">
        <f t="shared" si="192"/>
        <v>350</v>
      </c>
      <c r="X164" s="454">
        <f t="shared" si="193"/>
        <v>228.44459150191634</v>
      </c>
      <c r="Z164" s="223">
        <f t="shared" si="194"/>
        <v>0.48952412464696365</v>
      </c>
      <c r="AA164" s="179">
        <f t="shared" si="195"/>
        <v>1.4212054248450976</v>
      </c>
      <c r="AB164" s="179">
        <f t="shared" si="254"/>
        <v>0.18262501465446329</v>
      </c>
      <c r="AC164" s="179"/>
      <c r="AD164" s="179">
        <f t="shared" si="197"/>
        <v>0.43548581774290884</v>
      </c>
      <c r="AE164" s="563">
        <f t="shared" si="255"/>
        <v>2755.5432372505547</v>
      </c>
      <c r="AF164" s="546">
        <f t="shared" si="256"/>
        <v>3.4294508147254071E-2</v>
      </c>
      <c r="AH164" s="179">
        <f t="shared" si="257"/>
        <v>0.59215652546379205</v>
      </c>
      <c r="AI164" s="179">
        <f t="shared" si="258"/>
        <v>0.75</v>
      </c>
      <c r="AJ164" s="179">
        <f t="shared" si="259"/>
        <v>1.6444444444444444</v>
      </c>
      <c r="AL164" s="563">
        <f t="shared" si="260"/>
        <v>270</v>
      </c>
      <c r="AM164" s="472">
        <f t="shared" si="261"/>
        <v>228.44459150191634</v>
      </c>
      <c r="AO164" t="str">
        <f t="shared" si="205"/>
        <v/>
      </c>
      <c r="AP164" t="str">
        <f t="shared" si="206"/>
        <v/>
      </c>
      <c r="AR164" s="6">
        <f t="shared" si="245"/>
        <v>4.3774290887145444</v>
      </c>
      <c r="AS164" s="6">
        <f t="shared" si="242"/>
        <v>2.2000000000000002</v>
      </c>
      <c r="AT164" s="6">
        <f t="shared" si="243"/>
        <v>2.1774290887145442</v>
      </c>
      <c r="AU164" s="179">
        <f t="shared" si="244"/>
        <v>0.50257810130421599</v>
      </c>
      <c r="AW164" s="6">
        <f t="shared" si="262"/>
        <v>23.491111111111117</v>
      </c>
      <c r="AX164" s="472">
        <f t="shared" si="263"/>
        <v>8.0972425531914904</v>
      </c>
      <c r="AY164" s="6">
        <f t="shared" si="264"/>
        <v>23.491111111111117</v>
      </c>
      <c r="AZ164" s="472">
        <f t="shared" si="265"/>
        <v>16.3782</v>
      </c>
      <c r="BA164" s="6">
        <f t="shared" si="214"/>
        <v>0.18145242405954531</v>
      </c>
      <c r="BB164" s="6">
        <f t="shared" si="266"/>
        <v>44.548581774290888</v>
      </c>
      <c r="BC164" s="6"/>
      <c r="BD164" s="179">
        <f t="shared" si="216"/>
        <v>0.30697458200075867</v>
      </c>
      <c r="BE164" s="179">
        <f t="shared" si="217"/>
        <v>0.91618745573661697</v>
      </c>
      <c r="BF164" s="179">
        <f t="shared" si="218"/>
        <v>0.91618745573661697</v>
      </c>
      <c r="BG164" s="179"/>
      <c r="BH164" s="546">
        <f t="shared" si="219"/>
        <v>3.2981687898089175E-2</v>
      </c>
      <c r="BI164" s="546">
        <f t="shared" si="220"/>
        <v>3.9513775436347084E-2</v>
      </c>
      <c r="BJ164" s="546">
        <f t="shared" si="221"/>
        <v>2.8555573937739539E-3</v>
      </c>
      <c r="BK164" s="546">
        <f t="shared" si="222"/>
        <v>1.0800431952601539E-2</v>
      </c>
      <c r="BL164">
        <f t="shared" si="223"/>
        <v>4.3499999999999997E-3</v>
      </c>
      <c r="BN164" s="472">
        <f t="shared" si="224"/>
        <v>90.501452680811752</v>
      </c>
      <c r="BO164" s="179">
        <f t="shared" si="225"/>
        <v>8.1000000000000003E-2</v>
      </c>
      <c r="BP164" s="179">
        <f t="shared" si="226"/>
        <v>8.1000000000000003E-2</v>
      </c>
      <c r="BQ164" s="546"/>
      <c r="BS164" s="472">
        <f t="shared" si="227"/>
        <v>162</v>
      </c>
      <c r="BT164" s="546">
        <f t="shared" si="228"/>
        <v>1.8846678798908102E-2</v>
      </c>
      <c r="BU164" s="546">
        <f t="shared" si="229"/>
        <v>3.357597816196542E-2</v>
      </c>
      <c r="BV164" s="546">
        <f t="shared" si="230"/>
        <v>7.5545950864422187E-2</v>
      </c>
      <c r="BW164" s="546">
        <f t="shared" si="231"/>
        <v>1.921212324467577E-2</v>
      </c>
      <c r="BX164" s="546"/>
      <c r="BY164" s="656">
        <f t="shared" si="267"/>
        <v>6.4250041359913981E-2</v>
      </c>
      <c r="BZ164" s="472">
        <f t="shared" si="233"/>
        <v>211.43077242988545</v>
      </c>
      <c r="CA164" s="179">
        <f t="shared" si="234"/>
        <v>0.46393222511069715</v>
      </c>
      <c r="CB164" s="6">
        <f t="shared" si="235"/>
        <v>2.7</v>
      </c>
      <c r="CC164" s="179">
        <f t="shared" si="236"/>
        <v>0.85336846932792143</v>
      </c>
      <c r="CD164" s="6">
        <f t="shared" si="237"/>
        <v>85.336846932792142</v>
      </c>
      <c r="CE164">
        <f t="shared" si="238"/>
        <v>54</v>
      </c>
      <c r="CG164" s="581">
        <f t="shared" si="268"/>
        <v>-50</v>
      </c>
      <c r="CH164">
        <f t="shared" si="269"/>
        <v>-50</v>
      </c>
    </row>
    <row r="165" spans="5:86" x14ac:dyDescent="0.2">
      <c r="E165" s="176">
        <v>55</v>
      </c>
      <c r="F165" s="223">
        <f t="shared" si="270"/>
        <v>0.27500000000000002</v>
      </c>
      <c r="G165" s="223">
        <f t="shared" si="246"/>
        <v>0.27500000000000002</v>
      </c>
      <c r="H165" s="223">
        <f t="shared" si="247"/>
        <v>1.375</v>
      </c>
      <c r="I165" s="223">
        <f t="shared" si="248"/>
        <v>1.375</v>
      </c>
      <c r="J165" s="559">
        <f t="shared" si="180"/>
        <v>15</v>
      </c>
      <c r="K165" s="454">
        <f t="shared" si="181"/>
        <v>14.893569844789358</v>
      </c>
      <c r="L165" s="454">
        <f t="shared" si="182"/>
        <v>30.75</v>
      </c>
      <c r="M165" s="454"/>
      <c r="N165" s="223">
        <f t="shared" si="183"/>
        <v>0.51219512195121952</v>
      </c>
      <c r="O165" s="178">
        <f t="shared" si="249"/>
        <v>1.2964939024390245</v>
      </c>
      <c r="P165" s="178">
        <f t="shared" si="250"/>
        <v>2.592987804878049</v>
      </c>
      <c r="Q165" s="223">
        <f t="shared" si="186"/>
        <v>0.25929878048780491</v>
      </c>
      <c r="R165" s="223">
        <f t="shared" si="251"/>
        <v>0.25929878048780491</v>
      </c>
      <c r="S165" s="223">
        <f t="shared" si="252"/>
        <v>4.7145232815964526</v>
      </c>
      <c r="T165" s="223">
        <f t="shared" si="253"/>
        <v>0.75</v>
      </c>
      <c r="U165" s="223">
        <f t="shared" si="190"/>
        <v>2.2000000000000002</v>
      </c>
      <c r="V165" s="223">
        <f t="shared" si="191"/>
        <v>2.2157213041536399</v>
      </c>
      <c r="W165" s="203">
        <f t="shared" si="192"/>
        <v>350</v>
      </c>
      <c r="X165" s="454">
        <f t="shared" si="193"/>
        <v>226.46356758506289</v>
      </c>
      <c r="Z165" s="223">
        <f t="shared" si="194"/>
        <v>0.48527907339656345</v>
      </c>
      <c r="AA165" s="179">
        <f t="shared" si="195"/>
        <v>1.4336575751796048</v>
      </c>
      <c r="AB165" s="179">
        <f t="shared" si="254"/>
        <v>0.18262755515841969</v>
      </c>
      <c r="AC165" s="179"/>
      <c r="AD165" s="179">
        <f t="shared" si="197"/>
        <v>0.44314426083072794</v>
      </c>
      <c r="AE165" s="563">
        <f t="shared" si="255"/>
        <v>2758.0684897758074</v>
      </c>
      <c r="AF165" s="546">
        <f t="shared" si="256"/>
        <v>3.4897610540419823E-2</v>
      </c>
      <c r="AH165" s="179">
        <f t="shared" si="257"/>
        <v>0.59761430466719678</v>
      </c>
      <c r="AI165" s="179">
        <f t="shared" si="258"/>
        <v>0.75</v>
      </c>
      <c r="AJ165" s="179">
        <f t="shared" si="259"/>
        <v>1.6444444444444444</v>
      </c>
      <c r="AL165" s="563">
        <f t="shared" si="260"/>
        <v>275</v>
      </c>
      <c r="AM165" s="472">
        <f t="shared" si="261"/>
        <v>226.46356758506289</v>
      </c>
      <c r="AO165" t="str">
        <f t="shared" si="205"/>
        <v/>
      </c>
      <c r="AP165" t="str">
        <f t="shared" si="206"/>
        <v/>
      </c>
      <c r="AR165" s="6">
        <f t="shared" si="245"/>
        <v>4.4157213041536405</v>
      </c>
      <c r="AS165" s="6">
        <f t="shared" si="242"/>
        <v>2.2000000000000002</v>
      </c>
      <c r="AT165" s="6">
        <f t="shared" si="243"/>
        <v>2.2157213041536403</v>
      </c>
      <c r="AU165" s="179">
        <f t="shared" si="244"/>
        <v>0.49821984868713837</v>
      </c>
      <c r="AW165" s="6">
        <f t="shared" si="262"/>
        <v>23.491111111111117</v>
      </c>
      <c r="AX165" s="472">
        <f t="shared" si="263"/>
        <v>8.3846394799054398</v>
      </c>
      <c r="AY165" s="6">
        <f t="shared" si="264"/>
        <v>23.491111111111117</v>
      </c>
      <c r="AZ165" s="472">
        <f t="shared" si="265"/>
        <v>16.975138888888893</v>
      </c>
      <c r="BA165" s="6">
        <f t="shared" si="214"/>
        <v>0.18806276501304042</v>
      </c>
      <c r="BB165" s="6">
        <f t="shared" si="266"/>
        <v>46.153582121648228</v>
      </c>
      <c r="BC165" s="6"/>
      <c r="BD165" s="179">
        <f t="shared" si="216"/>
        <v>0.30564067404198425</v>
      </c>
      <c r="BE165" s="179">
        <f t="shared" si="217"/>
        <v>0.92019237409383825</v>
      </c>
      <c r="BF165" s="179">
        <f t="shared" si="218"/>
        <v>0.92019237409383825</v>
      </c>
      <c r="BG165" s="179"/>
      <c r="BH165" s="546">
        <f t="shared" si="219"/>
        <v>3.2695677570093458E-2</v>
      </c>
      <c r="BI165" s="546">
        <f t="shared" si="220"/>
        <v>3.917112020572884E-2</v>
      </c>
      <c r="BJ165" s="546">
        <f t="shared" si="221"/>
        <v>2.8307945948132861E-3</v>
      </c>
      <c r="BK165" s="546">
        <f t="shared" si="222"/>
        <v>1.0706772856232552E-2</v>
      </c>
      <c r="BL165">
        <f t="shared" si="223"/>
        <v>4.3499999999999997E-3</v>
      </c>
      <c r="BN165" s="472">
        <f t="shared" si="224"/>
        <v>89.754365226868131</v>
      </c>
      <c r="BO165" s="179">
        <f t="shared" si="225"/>
        <v>8.2500000000000004E-2</v>
      </c>
      <c r="BP165" s="179">
        <f t="shared" si="226"/>
        <v>8.2500000000000004E-2</v>
      </c>
      <c r="BQ165" s="546"/>
      <c r="BS165" s="472">
        <f t="shared" si="227"/>
        <v>165</v>
      </c>
      <c r="BT165" s="546">
        <f t="shared" si="228"/>
        <v>1.8683244325767692E-2</v>
      </c>
      <c r="BU165" s="546">
        <f t="shared" si="229"/>
        <v>3.3870160213618175E-2</v>
      </c>
      <c r="BV165" s="546">
        <f t="shared" si="230"/>
        <v>7.620786048064089E-2</v>
      </c>
      <c r="BW165" s="546">
        <f t="shared" si="231"/>
        <v>1.879831940544684E-2</v>
      </c>
      <c r="BX165" s="546"/>
      <c r="BY165" s="656">
        <f t="shared" si="267"/>
        <v>6.3692878383298956E-2</v>
      </c>
      <c r="BZ165" s="472">
        <f t="shared" si="233"/>
        <v>211.25246280877258</v>
      </c>
      <c r="CA165" s="179">
        <f t="shared" si="234"/>
        <v>0.4660068280356407</v>
      </c>
      <c r="CB165" s="6">
        <f t="shared" si="235"/>
        <v>2.75</v>
      </c>
      <c r="CC165" s="179">
        <f t="shared" si="236"/>
        <v>0.85509768699083244</v>
      </c>
      <c r="CD165" s="6">
        <f t="shared" si="237"/>
        <v>85.509768699083239</v>
      </c>
      <c r="CE165">
        <f t="shared" si="238"/>
        <v>55.000000000000007</v>
      </c>
      <c r="CG165" s="581">
        <f t="shared" si="268"/>
        <v>-50</v>
      </c>
      <c r="CH165">
        <f t="shared" si="269"/>
        <v>-50</v>
      </c>
    </row>
    <row r="166" spans="5:86" x14ac:dyDescent="0.2">
      <c r="E166" s="176">
        <v>56</v>
      </c>
      <c r="F166" s="223">
        <f t="shared" si="270"/>
        <v>0.28000000000000003</v>
      </c>
      <c r="G166" s="223">
        <f t="shared" si="246"/>
        <v>0.28000000000000003</v>
      </c>
      <c r="H166" s="223">
        <f t="shared" si="247"/>
        <v>1.4000000000000001</v>
      </c>
      <c r="I166" s="223">
        <f t="shared" si="248"/>
        <v>1.4000000000000001</v>
      </c>
      <c r="J166" s="559">
        <f t="shared" si="180"/>
        <v>15</v>
      </c>
      <c r="K166" s="454">
        <f t="shared" si="181"/>
        <v>14.641006097560975</v>
      </c>
      <c r="L166" s="454">
        <f t="shared" si="182"/>
        <v>30.75</v>
      </c>
      <c r="M166" s="454"/>
      <c r="N166" s="223">
        <f t="shared" si="183"/>
        <v>0.51219512195121952</v>
      </c>
      <c r="O166" s="178">
        <f t="shared" si="249"/>
        <v>1.2964939024390245</v>
      </c>
      <c r="P166" s="178">
        <f t="shared" si="250"/>
        <v>2.592987804878049</v>
      </c>
      <c r="Q166" s="223">
        <f t="shared" si="186"/>
        <v>0.25929878048780491</v>
      </c>
      <c r="R166" s="223">
        <f t="shared" si="251"/>
        <v>0.25929878048780491</v>
      </c>
      <c r="S166" s="223">
        <f t="shared" si="252"/>
        <v>4.6303353658536581</v>
      </c>
      <c r="T166" s="223">
        <f t="shared" si="253"/>
        <v>0.75</v>
      </c>
      <c r="U166" s="223">
        <f t="shared" si="190"/>
        <v>2.2000000000000002</v>
      </c>
      <c r="V166" s="223">
        <f t="shared" si="191"/>
        <v>2.2539434640012495</v>
      </c>
      <c r="W166" s="203">
        <f t="shared" si="192"/>
        <v>350</v>
      </c>
      <c r="X166" s="454">
        <f t="shared" si="193"/>
        <v>224.52013773467138</v>
      </c>
      <c r="Z166" s="223">
        <f t="shared" si="194"/>
        <v>0.48111458086001019</v>
      </c>
      <c r="AA166" s="179">
        <f t="shared" si="195"/>
        <v>1.4458734199534942</v>
      </c>
      <c r="AB166" s="179">
        <f t="shared" si="254"/>
        <v>0.18260308090960817</v>
      </c>
      <c r="AC166" s="179"/>
      <c r="AD166" s="179">
        <f t="shared" si="197"/>
        <v>0.45078869280024986</v>
      </c>
      <c r="AE166" s="563">
        <f t="shared" si="255"/>
        <v>2760.59374230106</v>
      </c>
      <c r="AF166" s="546">
        <f t="shared" si="256"/>
        <v>3.5499609558019674E-2</v>
      </c>
      <c r="AH166" s="179">
        <f t="shared" si="257"/>
        <v>0.60302268915552726</v>
      </c>
      <c r="AI166" s="179">
        <f t="shared" si="258"/>
        <v>0.75</v>
      </c>
      <c r="AJ166" s="179">
        <f t="shared" si="259"/>
        <v>1.6444444444444444</v>
      </c>
      <c r="AL166" s="563">
        <f t="shared" si="260"/>
        <v>280</v>
      </c>
      <c r="AM166" s="472">
        <f t="shared" si="261"/>
        <v>224.52013773467138</v>
      </c>
      <c r="AO166" t="str">
        <f t="shared" si="205"/>
        <v/>
      </c>
      <c r="AP166" t="str">
        <f t="shared" si="206"/>
        <v/>
      </c>
      <c r="AR166" s="6">
        <f t="shared" si="245"/>
        <v>4.4539434640012496</v>
      </c>
      <c r="AS166" s="6">
        <f t="shared" si="242"/>
        <v>2.2000000000000002</v>
      </c>
      <c r="AT166" s="6">
        <f t="shared" si="243"/>
        <v>2.2539434640012495</v>
      </c>
      <c r="AU166" s="179">
        <f t="shared" si="244"/>
        <v>0.49394430301627712</v>
      </c>
      <c r="AW166" s="6">
        <f t="shared" si="262"/>
        <v>23.491111111111117</v>
      </c>
      <c r="AX166" s="472">
        <f t="shared" si="263"/>
        <v>8.6770345153664312</v>
      </c>
      <c r="AY166" s="6">
        <f t="shared" si="264"/>
        <v>23.491111111111117</v>
      </c>
      <c r="AZ166" s="472">
        <f t="shared" si="265"/>
        <v>17.582755555555558</v>
      </c>
      <c r="BA166" s="6">
        <f t="shared" si="214"/>
        <v>0.19478523762973757</v>
      </c>
      <c r="BB166" s="6">
        <f t="shared" si="266"/>
        <v>47.78549406817406</v>
      </c>
      <c r="BC166" s="6"/>
      <c r="BD166" s="179">
        <f t="shared" si="216"/>
        <v>0.30432639848615162</v>
      </c>
      <c r="BE166" s="179">
        <f t="shared" si="217"/>
        <v>0.92410442519232228</v>
      </c>
      <c r="BF166" s="179">
        <f t="shared" si="218"/>
        <v>0.92410442519232228</v>
      </c>
      <c r="BG166" s="179"/>
      <c r="BH166" s="546">
        <f t="shared" si="219"/>
        <v>3.2415094885443183E-2</v>
      </c>
      <c r="BI166" s="546">
        <f t="shared" si="220"/>
        <v>3.8834967573793941E-2</v>
      </c>
      <c r="BJ166" s="546">
        <f t="shared" si="221"/>
        <v>2.8065017216833922E-3</v>
      </c>
      <c r="BK166" s="546">
        <f t="shared" si="222"/>
        <v>1.0614891136837012E-2</v>
      </c>
      <c r="BL166">
        <f t="shared" si="223"/>
        <v>4.3499999999999997E-3</v>
      </c>
      <c r="BN166" s="472">
        <f t="shared" si="224"/>
        <v>89.021455317757543</v>
      </c>
      <c r="BO166" s="179">
        <f t="shared" si="225"/>
        <v>8.4000000000000005E-2</v>
      </c>
      <c r="BP166" s="179">
        <f t="shared" si="226"/>
        <v>8.4000000000000005E-2</v>
      </c>
      <c r="BQ166" s="546"/>
      <c r="BS166" s="472">
        <f t="shared" si="227"/>
        <v>168</v>
      </c>
      <c r="BT166" s="546">
        <f t="shared" si="228"/>
        <v>1.8522911363110389E-2</v>
      </c>
      <c r="BU166" s="546">
        <f t="shared" si="229"/>
        <v>3.4158759546401296E-2</v>
      </c>
      <c r="BV166" s="546">
        <f t="shared" si="230"/>
        <v>7.6857208979402902E-2</v>
      </c>
      <c r="BW166" s="546">
        <f t="shared" si="231"/>
        <v>1.8397610189532166E-2</v>
      </c>
      <c r="BX166" s="546"/>
      <c r="BY166" s="656">
        <f t="shared" si="267"/>
        <v>6.3146288737876338E-2</v>
      </c>
      <c r="BZ166" s="472">
        <f t="shared" si="233"/>
        <v>211.08277881632313</v>
      </c>
      <c r="CA166" s="179">
        <f t="shared" si="234"/>
        <v>0.46810423413408064</v>
      </c>
      <c r="CB166" s="6">
        <f t="shared" si="235"/>
        <v>2.8000000000000003</v>
      </c>
      <c r="CC166" s="179">
        <f t="shared" si="236"/>
        <v>0.85676581877502145</v>
      </c>
      <c r="CD166" s="6">
        <f t="shared" si="237"/>
        <v>85.676581877502144</v>
      </c>
      <c r="CE166">
        <f t="shared" si="238"/>
        <v>56.000000000000007</v>
      </c>
      <c r="CG166" s="581">
        <f t="shared" si="268"/>
        <v>-50</v>
      </c>
      <c r="CH166">
        <f t="shared" si="269"/>
        <v>-50</v>
      </c>
    </row>
    <row r="167" spans="5:86" x14ac:dyDescent="0.2">
      <c r="E167" s="176">
        <v>57</v>
      </c>
      <c r="F167" s="223">
        <f t="shared" si="270"/>
        <v>0.28499999999999998</v>
      </c>
      <c r="G167" s="223">
        <f t="shared" si="246"/>
        <v>0.28499999999999998</v>
      </c>
      <c r="H167" s="223">
        <f t="shared" si="247"/>
        <v>1.4249999999999998</v>
      </c>
      <c r="I167" s="223">
        <f t="shared" si="248"/>
        <v>1.4249999999999998</v>
      </c>
      <c r="J167" s="559">
        <f t="shared" si="180"/>
        <v>15</v>
      </c>
      <c r="K167" s="454">
        <f t="shared" si="181"/>
        <v>14.397304236200259</v>
      </c>
      <c r="L167" s="454">
        <f t="shared" si="182"/>
        <v>30.75</v>
      </c>
      <c r="M167" s="454"/>
      <c r="N167" s="223">
        <f t="shared" si="183"/>
        <v>0.51219512195121952</v>
      </c>
      <c r="O167" s="178">
        <f t="shared" si="249"/>
        <v>1.2964939024390245</v>
      </c>
      <c r="P167" s="178">
        <f t="shared" si="250"/>
        <v>2.592987804878049</v>
      </c>
      <c r="Q167" s="223">
        <f t="shared" si="186"/>
        <v>0.25929878048780491</v>
      </c>
      <c r="R167" s="223">
        <f t="shared" si="251"/>
        <v>0.25929878048780491</v>
      </c>
      <c r="S167" s="223">
        <f t="shared" si="252"/>
        <v>4.5491014120667534</v>
      </c>
      <c r="T167" s="223">
        <f t="shared" si="253"/>
        <v>0.75</v>
      </c>
      <c r="U167" s="223">
        <f t="shared" si="190"/>
        <v>2.2000000000000002</v>
      </c>
      <c r="V167" s="223">
        <f t="shared" si="191"/>
        <v>2.2920957603316836</v>
      </c>
      <c r="W167" s="203">
        <f t="shared" si="192"/>
        <v>350</v>
      </c>
      <c r="X167" s="454">
        <f t="shared" si="193"/>
        <v>222.61324187046333</v>
      </c>
      <c r="Z167" s="223">
        <f t="shared" si="194"/>
        <v>0.47702837543670717</v>
      </c>
      <c r="AA167" s="179">
        <f t="shared" si="195"/>
        <v>1.4578596225285161</v>
      </c>
      <c r="AB167" s="179">
        <f t="shared" si="254"/>
        <v>0.18255310692925664</v>
      </c>
      <c r="AC167" s="179"/>
      <c r="AD167" s="179">
        <f t="shared" si="197"/>
        <v>0.45841915206633665</v>
      </c>
      <c r="AE167" s="563">
        <f t="shared" si="255"/>
        <v>2763.1189948263127</v>
      </c>
      <c r="AF167" s="546">
        <f t="shared" si="256"/>
        <v>3.6100508225224009E-2</v>
      </c>
      <c r="AH167" s="179">
        <f t="shared" si="257"/>
        <v>0.60838299625307579</v>
      </c>
      <c r="AI167" s="179">
        <f t="shared" si="258"/>
        <v>0.75</v>
      </c>
      <c r="AJ167" s="179">
        <f t="shared" si="259"/>
        <v>1.6444444444444444</v>
      </c>
      <c r="AL167" s="563">
        <f t="shared" si="260"/>
        <v>285</v>
      </c>
      <c r="AM167" s="472">
        <f t="shared" si="261"/>
        <v>222.61324187046333</v>
      </c>
      <c r="AO167" t="str">
        <f t="shared" si="205"/>
        <v/>
      </c>
      <c r="AP167" t="str">
        <f t="shared" si="206"/>
        <v/>
      </c>
      <c r="AR167" s="6">
        <f t="shared" si="245"/>
        <v>4.4920957603316838</v>
      </c>
      <c r="AS167" s="6">
        <f t="shared" si="242"/>
        <v>2.2000000000000002</v>
      </c>
      <c r="AT167" s="6">
        <f t="shared" si="243"/>
        <v>2.2920957603316836</v>
      </c>
      <c r="AU167" s="179">
        <f t="shared" si="244"/>
        <v>0.48974913211501936</v>
      </c>
      <c r="AW167" s="6">
        <f t="shared" si="262"/>
        <v>23.491111111111117</v>
      </c>
      <c r="AX167" s="472">
        <f t="shared" si="263"/>
        <v>8.9744276595744683</v>
      </c>
      <c r="AY167" s="6">
        <f t="shared" si="264"/>
        <v>23.491111111111117</v>
      </c>
      <c r="AZ167" s="472">
        <f t="shared" si="265"/>
        <v>18.201049999999999</v>
      </c>
      <c r="BA167" s="6">
        <f t="shared" si="214"/>
        <v>0.20161953447362024</v>
      </c>
      <c r="BB167" s="6">
        <f t="shared" si="266"/>
        <v>49.444243829224419</v>
      </c>
      <c r="BC167" s="6"/>
      <c r="BD167" s="179">
        <f t="shared" si="216"/>
        <v>0.30303128926163075</v>
      </c>
      <c r="BE167" s="179">
        <f t="shared" si="217"/>
        <v>0.92792690420954216</v>
      </c>
      <c r="BF167" s="179">
        <f t="shared" si="218"/>
        <v>0.92792690420954216</v>
      </c>
      <c r="BG167" s="179"/>
      <c r="BH167" s="546">
        <f t="shared" si="219"/>
        <v>3.2139786795048142E-2</v>
      </c>
      <c r="BI167" s="546">
        <f t="shared" si="220"/>
        <v>3.85051341797817E-2</v>
      </c>
      <c r="BJ167" s="546">
        <f t="shared" si="221"/>
        <v>2.7826655233807911E-3</v>
      </c>
      <c r="BK167" s="546">
        <f t="shared" si="222"/>
        <v>1.0524736675807E-2</v>
      </c>
      <c r="BL167">
        <f t="shared" si="223"/>
        <v>4.3499999999999997E-3</v>
      </c>
      <c r="BN167" s="472">
        <f t="shared" si="224"/>
        <v>88.302323174017616</v>
      </c>
      <c r="BO167" s="179">
        <f t="shared" si="225"/>
        <v>8.5499999999999993E-2</v>
      </c>
      <c r="BP167" s="179">
        <f t="shared" si="226"/>
        <v>8.5499999999999993E-2</v>
      </c>
      <c r="BQ167" s="546"/>
      <c r="BS167" s="472">
        <f t="shared" si="227"/>
        <v>170.99999999999997</v>
      </c>
      <c r="BT167" s="546">
        <f t="shared" si="228"/>
        <v>1.8365592454313226E-2</v>
      </c>
      <c r="BU167" s="546">
        <f t="shared" si="229"/>
        <v>3.4441933582236198E-2</v>
      </c>
      <c r="BV167" s="546">
        <f t="shared" si="230"/>
        <v>7.7494350560031441E-2</v>
      </c>
      <c r="BW167" s="546">
        <f t="shared" si="231"/>
        <v>1.8009458232205046E-2</v>
      </c>
      <c r="BX167" s="546"/>
      <c r="BY167" s="656">
        <f t="shared" si="267"/>
        <v>6.260997427606782E-2</v>
      </c>
      <c r="BZ167" s="472">
        <f t="shared" si="233"/>
        <v>210.92130910485375</v>
      </c>
      <c r="CA167" s="179">
        <f t="shared" si="234"/>
        <v>0.47022363227887132</v>
      </c>
      <c r="CB167" s="6">
        <f t="shared" si="235"/>
        <v>2.8499999999999996</v>
      </c>
      <c r="CC167" s="179">
        <f t="shared" si="236"/>
        <v>0.85837591549334036</v>
      </c>
      <c r="CD167" s="6">
        <f t="shared" si="237"/>
        <v>85.837591549334036</v>
      </c>
      <c r="CE167">
        <f t="shared" si="238"/>
        <v>56.999999999999993</v>
      </c>
      <c r="CG167" s="581">
        <f t="shared" si="268"/>
        <v>-50</v>
      </c>
      <c r="CH167">
        <f t="shared" si="269"/>
        <v>-50</v>
      </c>
    </row>
    <row r="168" spans="5:86" x14ac:dyDescent="0.2">
      <c r="E168" s="176">
        <v>58</v>
      </c>
      <c r="F168" s="223">
        <f t="shared" si="270"/>
        <v>0.28999999999999998</v>
      </c>
      <c r="G168" s="223">
        <f t="shared" si="246"/>
        <v>0.28999999999999998</v>
      </c>
      <c r="H168" s="223">
        <f t="shared" si="247"/>
        <v>1.45</v>
      </c>
      <c r="I168" s="223">
        <f t="shared" si="248"/>
        <v>1.45</v>
      </c>
      <c r="J168" s="559">
        <f t="shared" si="180"/>
        <v>15</v>
      </c>
      <c r="K168" s="454">
        <f t="shared" si="181"/>
        <v>14.162005887300253</v>
      </c>
      <c r="L168" s="454">
        <f t="shared" si="182"/>
        <v>30.75</v>
      </c>
      <c r="M168" s="454"/>
      <c r="N168" s="223">
        <f t="shared" si="183"/>
        <v>0.51219512195121952</v>
      </c>
      <c r="O168" s="178">
        <f t="shared" si="249"/>
        <v>1.2964939024390245</v>
      </c>
      <c r="P168" s="178">
        <f t="shared" si="250"/>
        <v>2.592987804878049</v>
      </c>
      <c r="Q168" s="223">
        <f t="shared" si="186"/>
        <v>0.25929878048780491</v>
      </c>
      <c r="R168" s="223">
        <f t="shared" si="251"/>
        <v>0.25929878048780491</v>
      </c>
      <c r="S168" s="223">
        <f t="shared" si="252"/>
        <v>4.4706686291000848</v>
      </c>
      <c r="T168" s="223">
        <f t="shared" si="253"/>
        <v>0.75</v>
      </c>
      <c r="U168" s="223">
        <f t="shared" si="190"/>
        <v>2.2000000000000002</v>
      </c>
      <c r="V168" s="223">
        <f t="shared" si="191"/>
        <v>2.3301783845177382</v>
      </c>
      <c r="W168" s="203">
        <f t="shared" si="192"/>
        <v>350</v>
      </c>
      <c r="X168" s="454">
        <f t="shared" si="193"/>
        <v>220.7418593973216</v>
      </c>
      <c r="Z168" s="223">
        <f t="shared" si="194"/>
        <v>0.47301827013711761</v>
      </c>
      <c r="AA168" s="179">
        <f t="shared" si="195"/>
        <v>1.4696225980739783</v>
      </c>
      <c r="AB168" s="179">
        <f t="shared" si="254"/>
        <v>0.18247906401253455</v>
      </c>
      <c r="AC168" s="179"/>
      <c r="AD168" s="179">
        <f t="shared" si="197"/>
        <v>0.46603567690354758</v>
      </c>
      <c r="AE168" s="563">
        <f t="shared" si="255"/>
        <v>2765.6442473515649</v>
      </c>
      <c r="AF168" s="546">
        <f t="shared" si="256"/>
        <v>3.6700309556154366E-2</v>
      </c>
      <c r="AH168" s="179">
        <f t="shared" si="257"/>
        <v>0.61369648575120306</v>
      </c>
      <c r="AI168" s="179">
        <f t="shared" si="258"/>
        <v>0.75</v>
      </c>
      <c r="AJ168" s="179">
        <f t="shared" si="259"/>
        <v>1.6444444444444444</v>
      </c>
      <c r="AL168" s="563">
        <f t="shared" si="260"/>
        <v>290</v>
      </c>
      <c r="AM168" s="472">
        <f t="shared" si="261"/>
        <v>220.7418593973216</v>
      </c>
      <c r="AO168" t="str">
        <f t="shared" si="205"/>
        <v/>
      </c>
      <c r="AP168" t="str">
        <f t="shared" si="206"/>
        <v/>
      </c>
      <c r="AR168" s="6">
        <f t="shared" si="245"/>
        <v>4.5301783845177379</v>
      </c>
      <c r="AS168" s="6">
        <f t="shared" si="242"/>
        <v>2.2000000000000002</v>
      </c>
      <c r="AT168" s="6">
        <f t="shared" si="243"/>
        <v>2.3301783845177377</v>
      </c>
      <c r="AU168" s="179">
        <f t="shared" si="244"/>
        <v>0.48563209067410756</v>
      </c>
      <c r="AW168" s="6">
        <f t="shared" si="262"/>
        <v>23.491111111111117</v>
      </c>
      <c r="AX168" s="472">
        <f t="shared" si="263"/>
        <v>9.276818912529551</v>
      </c>
      <c r="AY168" s="6">
        <f t="shared" si="264"/>
        <v>23.491111111111117</v>
      </c>
      <c r="AZ168" s="472">
        <f t="shared" si="265"/>
        <v>18.830022222222226</v>
      </c>
      <c r="BA168" s="6">
        <f t="shared" si="214"/>
        <v>0.20856534923152584</v>
      </c>
      <c r="BB168" s="6">
        <f t="shared" si="266"/>
        <v>51.129757889640281</v>
      </c>
      <c r="BC168" s="6"/>
      <c r="BD168" s="179">
        <f t="shared" si="216"/>
        <v>0.30175489557154689</v>
      </c>
      <c r="BE168" s="179">
        <f t="shared" si="217"/>
        <v>0.93166294709376707</v>
      </c>
      <c r="BF168" s="179">
        <f t="shared" si="218"/>
        <v>0.93166294709376707</v>
      </c>
      <c r="BG168" s="179"/>
      <c r="BH168" s="546">
        <f t="shared" si="219"/>
        <v>3.1869605950488308E-2</v>
      </c>
      <c r="BI168" s="546">
        <f t="shared" si="220"/>
        <v>3.8181443492630467E-2</v>
      </c>
      <c r="BJ168" s="546">
        <f t="shared" si="221"/>
        <v>2.75927324246652E-3</v>
      </c>
      <c r="BK168" s="546">
        <f t="shared" si="222"/>
        <v>1.0436261221318997E-2</v>
      </c>
      <c r="BL168">
        <f t="shared" si="223"/>
        <v>4.3499999999999997E-3</v>
      </c>
      <c r="BN168" s="472">
        <f t="shared" si="224"/>
        <v>87.596583906904286</v>
      </c>
      <c r="BO168" s="179">
        <f t="shared" si="225"/>
        <v>8.6999999999999994E-2</v>
      </c>
      <c r="BP168" s="179">
        <f t="shared" si="226"/>
        <v>8.6999999999999994E-2</v>
      </c>
      <c r="BQ168" s="546"/>
      <c r="BS168" s="472">
        <f t="shared" si="227"/>
        <v>174</v>
      </c>
      <c r="BT168" s="546">
        <f t="shared" si="228"/>
        <v>1.8211203400279034E-2</v>
      </c>
      <c r="BU168" s="546">
        <f t="shared" si="229"/>
        <v>3.4719833879497737E-2</v>
      </c>
      <c r="BV168" s="546">
        <f t="shared" si="230"/>
        <v>7.8119626228869907E-2</v>
      </c>
      <c r="BW168" s="546">
        <f t="shared" si="231"/>
        <v>1.7633353093129033E-2</v>
      </c>
      <c r="BX168" s="546"/>
      <c r="BY168" s="656">
        <f t="shared" si="267"/>
        <v>6.2083647955496722E-2</v>
      </c>
      <c r="BZ168" s="472">
        <f t="shared" si="233"/>
        <v>210.76766455727244</v>
      </c>
      <c r="CA168" s="179">
        <f t="shared" si="234"/>
        <v>0.47236424846417668</v>
      </c>
      <c r="CB168" s="6">
        <f t="shared" si="235"/>
        <v>2.9</v>
      </c>
      <c r="CC168" s="179">
        <f t="shared" si="236"/>
        <v>0.85993083378247226</v>
      </c>
      <c r="CD168" s="6">
        <f t="shared" si="237"/>
        <v>85.993083378247221</v>
      </c>
      <c r="CE168">
        <f t="shared" si="238"/>
        <v>57.999999999999993</v>
      </c>
      <c r="CG168" s="581">
        <f t="shared" si="268"/>
        <v>-50</v>
      </c>
      <c r="CH168">
        <f t="shared" si="269"/>
        <v>-50</v>
      </c>
    </row>
    <row r="169" spans="5:86" x14ac:dyDescent="0.2">
      <c r="E169" s="176">
        <v>59</v>
      </c>
      <c r="F169" s="223">
        <f t="shared" si="270"/>
        <v>0.29499999999999998</v>
      </c>
      <c r="G169" s="223">
        <f t="shared" si="246"/>
        <v>0.29499999999999998</v>
      </c>
      <c r="H169" s="223">
        <f t="shared" si="247"/>
        <v>1.4749999999999999</v>
      </c>
      <c r="I169" s="223">
        <f t="shared" si="248"/>
        <v>1.4749999999999999</v>
      </c>
      <c r="J169" s="559">
        <f t="shared" si="180"/>
        <v>15</v>
      </c>
      <c r="K169" s="454">
        <f t="shared" si="181"/>
        <v>13.9346837536172</v>
      </c>
      <c r="L169" s="454">
        <f t="shared" si="182"/>
        <v>30.75</v>
      </c>
      <c r="M169" s="454"/>
      <c r="N169" s="223">
        <f t="shared" si="183"/>
        <v>0.51219512195121952</v>
      </c>
      <c r="O169" s="178">
        <f t="shared" si="249"/>
        <v>1.2964939024390245</v>
      </c>
      <c r="P169" s="178">
        <f t="shared" si="250"/>
        <v>2.592987804878049</v>
      </c>
      <c r="Q169" s="223">
        <f t="shared" si="186"/>
        <v>0.25929878048780491</v>
      </c>
      <c r="R169" s="223">
        <f t="shared" si="251"/>
        <v>0.25929878048780491</v>
      </c>
      <c r="S169" s="223">
        <f t="shared" si="252"/>
        <v>4.3948945845390668</v>
      </c>
      <c r="T169" s="223">
        <f t="shared" si="253"/>
        <v>0.75</v>
      </c>
      <c r="U169" s="223">
        <f t="shared" si="190"/>
        <v>2.2000000000000002</v>
      </c>
      <c r="V169" s="223">
        <f t="shared" si="191"/>
        <v>2.3681915272338907</v>
      </c>
      <c r="W169" s="203">
        <f t="shared" si="192"/>
        <v>350</v>
      </c>
      <c r="X169" s="454">
        <f t="shared" si="193"/>
        <v>218.90500738385526</v>
      </c>
      <c r="Z169" s="223">
        <f t="shared" si="194"/>
        <v>0.46908215867968989</v>
      </c>
      <c r="AA169" s="179">
        <f t="shared" si="195"/>
        <v>1.4811685250157667</v>
      </c>
      <c r="AB169" s="179">
        <f t="shared" si="254"/>
        <v>0.18238230388423712</v>
      </c>
      <c r="AC169" s="179"/>
      <c r="AD169" s="179">
        <f t="shared" si="197"/>
        <v>0.47363830544677804</v>
      </c>
      <c r="AE169" s="563">
        <f t="shared" si="255"/>
        <v>2768.1694998768176</v>
      </c>
      <c r="AF169" s="546">
        <f t="shared" si="256"/>
        <v>3.7299016553933771E-2</v>
      </c>
      <c r="AH169" s="179">
        <f t="shared" si="257"/>
        <v>0.61896436336584282</v>
      </c>
      <c r="AI169" s="179">
        <f t="shared" si="258"/>
        <v>0.75</v>
      </c>
      <c r="AJ169" s="179">
        <f t="shared" si="259"/>
        <v>1.6444444444444444</v>
      </c>
      <c r="AL169" s="563">
        <f t="shared" si="260"/>
        <v>295</v>
      </c>
      <c r="AM169" s="472">
        <f t="shared" si="261"/>
        <v>218.90500738385526</v>
      </c>
      <c r="AO169" t="str">
        <f t="shared" si="205"/>
        <v/>
      </c>
      <c r="AP169" t="str">
        <f t="shared" si="206"/>
        <v/>
      </c>
      <c r="AR169" s="6">
        <f t="shared" si="245"/>
        <v>4.5681915272338909</v>
      </c>
      <c r="AS169" s="6">
        <f t="shared" si="242"/>
        <v>2.2000000000000002</v>
      </c>
      <c r="AT169" s="6">
        <f t="shared" si="243"/>
        <v>2.3681915272338907</v>
      </c>
      <c r="AU169" s="179">
        <f t="shared" si="244"/>
        <v>0.48159101624448164</v>
      </c>
      <c r="AW169" s="6">
        <f t="shared" si="262"/>
        <v>23.491111111111117</v>
      </c>
      <c r="AX169" s="472">
        <f t="shared" si="263"/>
        <v>9.5842082742316776</v>
      </c>
      <c r="AY169" s="6">
        <f t="shared" si="264"/>
        <v>23.491111111111117</v>
      </c>
      <c r="AZ169" s="472">
        <f t="shared" si="265"/>
        <v>19.469672222222222</v>
      </c>
      <c r="BA169" s="6">
        <f t="shared" si="214"/>
        <v>0.21562237670802395</v>
      </c>
      <c r="BB169" s="6">
        <f t="shared" si="266"/>
        <v>52.841963002518348</v>
      </c>
      <c r="BC169" s="6"/>
      <c r="BD169" s="179">
        <f t="shared" si="216"/>
        <v>0.30049678125703827</v>
      </c>
      <c r="BE169" s="179">
        <f t="shared" si="217"/>
        <v>0.93531554038593701</v>
      </c>
      <c r="BF169" s="179">
        <f t="shared" si="218"/>
        <v>0.93531554038593701</v>
      </c>
      <c r="BG169" s="179"/>
      <c r="BH169" s="546">
        <f t="shared" si="219"/>
        <v>3.1604410441044103E-2</v>
      </c>
      <c r="BI169" s="546">
        <f t="shared" si="220"/>
        <v>3.7863725495926211E-2</v>
      </c>
      <c r="BJ169" s="546">
        <f t="shared" si="221"/>
        <v>2.7363125922981908E-3</v>
      </c>
      <c r="BK169" s="546">
        <f t="shared" si="222"/>
        <v>1.0349418302219833E-2</v>
      </c>
      <c r="BL169">
        <f t="shared" si="223"/>
        <v>4.3499999999999997E-3</v>
      </c>
      <c r="BN169" s="472">
        <f t="shared" si="224"/>
        <v>86.903866831488344</v>
      </c>
      <c r="BO169" s="179">
        <f t="shared" si="225"/>
        <v>8.8499999999999995E-2</v>
      </c>
      <c r="BP169" s="179">
        <f t="shared" si="226"/>
        <v>8.8499999999999995E-2</v>
      </c>
      <c r="BQ169" s="546"/>
      <c r="BS169" s="472">
        <f t="shared" si="227"/>
        <v>177</v>
      </c>
      <c r="BT169" s="546">
        <f t="shared" si="228"/>
        <v>1.8059663109168064E-2</v>
      </c>
      <c r="BU169" s="546">
        <f t="shared" si="229"/>
        <v>3.4992606403497495E-2</v>
      </c>
      <c r="BV169" s="546">
        <f t="shared" si="230"/>
        <v>7.873336440786935E-2</v>
      </c>
      <c r="BW169" s="546">
        <f t="shared" si="231"/>
        <v>1.7268809669543736E-2</v>
      </c>
      <c r="BX169" s="546"/>
      <c r="BY169" s="656">
        <f t="shared" si="267"/>
        <v>6.1567033326709299E-2</v>
      </c>
      <c r="BZ169" s="472">
        <f t="shared" si="233"/>
        <v>210.62147691678791</v>
      </c>
      <c r="CA169" s="179">
        <f t="shared" si="234"/>
        <v>0.47452534374827632</v>
      </c>
      <c r="CB169" s="6">
        <f t="shared" si="235"/>
        <v>2.9499999999999997</v>
      </c>
      <c r="CC169" s="179">
        <f t="shared" si="236"/>
        <v>0.86143325100088475</v>
      </c>
      <c r="CD169" s="6">
        <f t="shared" si="237"/>
        <v>86.143325100088475</v>
      </c>
      <c r="CE169">
        <f t="shared" si="238"/>
        <v>59</v>
      </c>
      <c r="CG169" s="581">
        <f t="shared" si="268"/>
        <v>-50</v>
      </c>
      <c r="CH169">
        <f t="shared" si="269"/>
        <v>-50</v>
      </c>
    </row>
    <row r="170" spans="5:86" x14ac:dyDescent="0.2">
      <c r="E170" s="176">
        <v>60</v>
      </c>
      <c r="F170" s="223">
        <f t="shared" si="270"/>
        <v>0.3</v>
      </c>
      <c r="G170" s="223">
        <f t="shared" si="246"/>
        <v>0.3</v>
      </c>
      <c r="H170" s="223">
        <f t="shared" si="247"/>
        <v>1.5</v>
      </c>
      <c r="I170" s="223">
        <f t="shared" si="248"/>
        <v>1.5</v>
      </c>
      <c r="J170" s="559">
        <f t="shared" si="180"/>
        <v>15</v>
      </c>
      <c r="K170" s="454">
        <f t="shared" si="181"/>
        <v>13.714939024390246</v>
      </c>
      <c r="L170" s="454">
        <f t="shared" si="182"/>
        <v>30.75</v>
      </c>
      <c r="M170" s="454"/>
      <c r="N170" s="223">
        <f t="shared" si="183"/>
        <v>0.51219512195121952</v>
      </c>
      <c r="O170" s="178">
        <f t="shared" si="249"/>
        <v>1.2964939024390245</v>
      </c>
      <c r="P170" s="178">
        <f t="shared" si="250"/>
        <v>2.592987804878049</v>
      </c>
      <c r="Q170" s="223">
        <f t="shared" si="186"/>
        <v>0.25929878048780491</v>
      </c>
      <c r="R170" s="223">
        <f t="shared" si="251"/>
        <v>0.25929878048780491</v>
      </c>
      <c r="S170" s="223">
        <f t="shared" si="252"/>
        <v>4.3216463414634152</v>
      </c>
      <c r="T170" s="223">
        <f t="shared" si="253"/>
        <v>0.75</v>
      </c>
      <c r="U170" s="223">
        <f t="shared" si="190"/>
        <v>2.2000000000000002</v>
      </c>
      <c r="V170" s="223">
        <f t="shared" si="191"/>
        <v>2.4061353784594863</v>
      </c>
      <c r="W170" s="203">
        <f t="shared" si="192"/>
        <v>350</v>
      </c>
      <c r="X170" s="454">
        <f t="shared" si="193"/>
        <v>217.1017388408693</v>
      </c>
      <c r="Z170" s="223">
        <f t="shared" si="194"/>
        <v>0.46521801180186273</v>
      </c>
      <c r="AA170" s="179">
        <f t="shared" si="195"/>
        <v>1.4925033558573928</v>
      </c>
      <c r="AB170" s="179">
        <f t="shared" si="254"/>
        <v>0.1822641040026409</v>
      </c>
      <c r="AC170" s="179"/>
      <c r="AD170" s="179">
        <f t="shared" si="197"/>
        <v>0.48122707569189715</v>
      </c>
      <c r="AE170" s="563">
        <f t="shared" si="255"/>
        <v>2770.6947524020707</v>
      </c>
      <c r="AF170" s="546">
        <f t="shared" si="256"/>
        <v>3.78966322107369E-2</v>
      </c>
      <c r="AH170" s="179">
        <f t="shared" si="257"/>
        <v>0.6241877839323593</v>
      </c>
      <c r="AI170" s="179">
        <f t="shared" si="258"/>
        <v>0.75</v>
      </c>
      <c r="AJ170" s="179">
        <f t="shared" si="259"/>
        <v>1.6444444444444444</v>
      </c>
      <c r="AL170" s="563">
        <f t="shared" si="260"/>
        <v>300</v>
      </c>
      <c r="AM170" s="472">
        <f t="shared" si="261"/>
        <v>217.1017388408693</v>
      </c>
      <c r="AO170" t="str">
        <f t="shared" si="205"/>
        <v/>
      </c>
      <c r="AP170" t="str">
        <f t="shared" si="206"/>
        <v/>
      </c>
      <c r="AR170" s="6">
        <f t="shared" si="245"/>
        <v>4.6061353784594861</v>
      </c>
      <c r="AS170" s="6">
        <f t="shared" si="242"/>
        <v>2.2000000000000002</v>
      </c>
      <c r="AT170" s="6">
        <f t="shared" si="243"/>
        <v>2.4061353784594859</v>
      </c>
      <c r="AU170" s="179">
        <f t="shared" si="244"/>
        <v>0.4776238254499125</v>
      </c>
      <c r="AW170" s="6">
        <f t="shared" si="262"/>
        <v>23.491111111111117</v>
      </c>
      <c r="AX170" s="472">
        <f t="shared" si="263"/>
        <v>9.8965957446808517</v>
      </c>
      <c r="AY170" s="6">
        <f t="shared" si="264"/>
        <v>23.491111111111117</v>
      </c>
      <c r="AZ170" s="472">
        <f t="shared" si="265"/>
        <v>20.119999999999997</v>
      </c>
      <c r="BA170" s="6">
        <f t="shared" ref="BA170:BA210" si="271">H170/Efficiency/J170*AT170/Vinripple1</f>
        <v>0.22279031282032274</v>
      </c>
      <c r="BB170" s="6">
        <f t="shared" si="266"/>
        <v>54.580786187988572</v>
      </c>
      <c r="BC170" s="6"/>
      <c r="BD170" s="179">
        <f t="shared" ref="BD170:BD210" si="272">AI170*SQRT(AU170/3)</f>
        <v>0.29925652419263743</v>
      </c>
      <c r="BE170" s="179">
        <f t="shared" ref="BE170:BE210" si="273">AI170*Npri_sec1*SQRT((1-AU170)/3)*(Pout/Pout_total)</f>
        <v>0.93888753030023386</v>
      </c>
      <c r="BF170" s="179">
        <f t="shared" ref="BF170:BF210" si="274">AI170*Npri_sec2*SQRT((1-AU170)/3)*(Pout2/Pout_total)</f>
        <v>0.93888753030023386</v>
      </c>
      <c r="BG170" s="179"/>
      <c r="BH170" s="546">
        <f t="shared" ref="BH170:BH210" si="275">Rdson*BD170^2</f>
        <v>3.1344063545150506E-2</v>
      </c>
      <c r="BI170" s="546">
        <f t="shared" ref="BI170:BI210" si="276">0.5*L170*AI170*AM170*1000*Trise</f>
        <v>3.7551816390131609E-2</v>
      </c>
      <c r="BJ170" s="546">
        <f t="shared" ref="BJ170:BJ210" si="277">Qg*Vdd*AM170*1000</f>
        <v>2.713771735510866E-3</v>
      </c>
      <c r="BK170" s="546">
        <f t="shared" ref="BK170:BK210" si="278">0.5*(Coss+Csw)*L170^2*AM170*1000</f>
        <v>1.0264163146635976E-2</v>
      </c>
      <c r="BL170">
        <f t="shared" ref="BL170:BL210" si="279">J170*IQ</f>
        <v>4.3499999999999997E-3</v>
      </c>
      <c r="BN170" s="472">
        <f t="shared" ref="BN170:BN210" si="280">SUM(BH170:BL170)*1000</f>
        <v>86.223814817428973</v>
      </c>
      <c r="BO170" s="179">
        <f t="shared" ref="BO170:BO210" si="281">Vfwd2*F170</f>
        <v>0.09</v>
      </c>
      <c r="BP170" s="179">
        <f t="shared" ref="BP170:BP210" si="282">Vfwd2*G170</f>
        <v>0.09</v>
      </c>
      <c r="BQ170" s="546"/>
      <c r="BS170" s="472">
        <f t="shared" ref="BS170:BS210" si="283">SUM(BO170:BR170)*1000</f>
        <v>180</v>
      </c>
      <c r="BT170" s="546">
        <f t="shared" ref="BT170:BT210" si="284">Rdcr_pri*BD170^2</f>
        <v>1.7910893454371718E-2</v>
      </c>
      <c r="BU170" s="546">
        <f t="shared" ref="BU170:BU210" si="285">Rdcr_sec*BE170^2</f>
        <v>3.5260391782130904E-2</v>
      </c>
      <c r="BV170" s="546">
        <f t="shared" ref="BV170:BV210" si="286">Rdcr_sec2*BF170^2</f>
        <v>7.9335881509794537E-2</v>
      </c>
      <c r="BW170" s="546">
        <f t="shared" ref="BW170:BW210" si="287">AI170^2.5*AM170^2.5*k_core</f>
        <v>1.6915366716670072E-2</v>
      </c>
      <c r="BX170" s="546"/>
      <c r="BY170" s="656">
        <f t="shared" si="267"/>
        <v>6.1059864048994501E-2</v>
      </c>
      <c r="BZ170" s="472">
        <f t="shared" ref="BZ170:BZ192" si="288">SUM(BT170:BY170)*1000</f>
        <v>210.48239751196172</v>
      </c>
      <c r="CA170" s="179">
        <f t="shared" ref="CA170:CA192" si="289">SUM(BH170:BL170,BO170:BR170,BT170:BY170)</f>
        <v>0.47670621232939064</v>
      </c>
      <c r="CB170" s="6">
        <f t="shared" ref="CB170:CB192" si="290">MIN(H170+I170,O170+P170)</f>
        <v>3</v>
      </c>
      <c r="CC170" s="179">
        <f t="shared" ref="CC170:CC192" si="291">CB170/(CB170+CA170)</f>
        <v>0.86288567879596656</v>
      </c>
      <c r="CD170" s="6">
        <f t="shared" ref="CD170:CD192" si="292">CC170*100</f>
        <v>86.288567879596656</v>
      </c>
      <c r="CE170">
        <f t="shared" ref="CE170:CE192" si="293">F170/Iout*100</f>
        <v>60</v>
      </c>
      <c r="CG170" s="581">
        <f t="shared" si="268"/>
        <v>-50</v>
      </c>
      <c r="CH170">
        <f t="shared" si="269"/>
        <v>-50</v>
      </c>
    </row>
    <row r="171" spans="5:86" x14ac:dyDescent="0.2">
      <c r="E171" s="176">
        <v>61</v>
      </c>
      <c r="F171" s="223">
        <f t="shared" si="270"/>
        <v>0.30499999999999999</v>
      </c>
      <c r="G171" s="223">
        <f t="shared" si="246"/>
        <v>0.30499999999999999</v>
      </c>
      <c r="H171" s="223">
        <f t="shared" si="247"/>
        <v>1.5249999999999999</v>
      </c>
      <c r="I171" s="223">
        <f t="shared" si="248"/>
        <v>1.5249999999999999</v>
      </c>
      <c r="J171" s="559">
        <f t="shared" si="180"/>
        <v>15</v>
      </c>
      <c r="K171" s="454">
        <f t="shared" si="181"/>
        <v>13.502399040383848</v>
      </c>
      <c r="L171" s="454">
        <f t="shared" si="182"/>
        <v>30.75</v>
      </c>
      <c r="M171" s="454"/>
      <c r="N171" s="223">
        <f t="shared" si="183"/>
        <v>0.51219512195121952</v>
      </c>
      <c r="O171" s="178">
        <f t="shared" si="249"/>
        <v>1.2964939024390245</v>
      </c>
      <c r="P171" s="178">
        <f t="shared" si="250"/>
        <v>2.592987804878049</v>
      </c>
      <c r="Q171" s="223">
        <f t="shared" si="186"/>
        <v>0.25929878048780491</v>
      </c>
      <c r="R171" s="223">
        <f t="shared" si="251"/>
        <v>0.25929878048780491</v>
      </c>
      <c r="S171" s="223">
        <f t="shared" si="252"/>
        <v>4.2507996801279493</v>
      </c>
      <c r="T171" s="223">
        <f t="shared" si="253"/>
        <v>0.75</v>
      </c>
      <c r="U171" s="223">
        <f t="shared" si="190"/>
        <v>2.2000000000000002</v>
      </c>
      <c r="V171" s="223">
        <f t="shared" si="191"/>
        <v>2.4440101274818993</v>
      </c>
      <c r="W171" s="203">
        <f t="shared" si="192"/>
        <v>350</v>
      </c>
      <c r="X171" s="454">
        <f t="shared" si="193"/>
        <v>215.33114109340357</v>
      </c>
      <c r="Z171" s="223">
        <f t="shared" si="194"/>
        <v>0.46142387377157912</v>
      </c>
      <c r="AA171" s="179">
        <f t="shared" si="195"/>
        <v>1.5036328274128918</v>
      </c>
      <c r="AB171" s="179">
        <f t="shared" si="254"/>
        <v>0.18212567203817934</v>
      </c>
      <c r="AC171" s="179"/>
      <c r="AD171" s="179">
        <f t="shared" si="197"/>
        <v>0.48880202549637974</v>
      </c>
      <c r="AE171" s="563">
        <f t="shared" si="255"/>
        <v>2773.2200049273229</v>
      </c>
      <c r="AF171" s="546">
        <f t="shared" si="256"/>
        <v>3.8493159507839908E-2</v>
      </c>
      <c r="AH171" s="179">
        <f t="shared" si="257"/>
        <v>0.62936785436173659</v>
      </c>
      <c r="AI171" s="179">
        <f t="shared" si="258"/>
        <v>0.75</v>
      </c>
      <c r="AJ171" s="179">
        <f t="shared" si="259"/>
        <v>1.6444444444444444</v>
      </c>
      <c r="AL171" s="563">
        <f t="shared" si="260"/>
        <v>305</v>
      </c>
      <c r="AM171" s="472">
        <f t="shared" si="261"/>
        <v>215.33114109340357</v>
      </c>
      <c r="AO171" t="str">
        <f t="shared" si="205"/>
        <v/>
      </c>
      <c r="AP171" t="str">
        <f t="shared" si="206"/>
        <v/>
      </c>
      <c r="AR171" s="6">
        <f t="shared" si="245"/>
        <v>4.6440101274818995</v>
      </c>
      <c r="AS171" s="6">
        <f t="shared" si="242"/>
        <v>2.2000000000000002</v>
      </c>
      <c r="AT171" s="6">
        <f t="shared" si="243"/>
        <v>2.4440101274818993</v>
      </c>
      <c r="AU171" s="179">
        <f t="shared" si="244"/>
        <v>0.47372851040548791</v>
      </c>
      <c r="AW171" s="6">
        <f t="shared" si="262"/>
        <v>23.491111111111117</v>
      </c>
      <c r="AX171" s="472">
        <f t="shared" si="263"/>
        <v>10.213981323877068</v>
      </c>
      <c r="AY171" s="6">
        <f t="shared" si="264"/>
        <v>23.491111111111117</v>
      </c>
      <c r="AZ171" s="472">
        <f t="shared" si="265"/>
        <v>20.781005555555556</v>
      </c>
      <c r="BA171" s="6">
        <f t="shared" si="271"/>
        <v>0.23006885459320342</v>
      </c>
      <c r="BB171" s="6">
        <f t="shared" si="266"/>
        <v>56.34615473199846</v>
      </c>
      <c r="BC171" s="6"/>
      <c r="BD171" s="179">
        <f t="shared" si="272"/>
        <v>0.29803371571187875</v>
      </c>
      <c r="BE171" s="179">
        <f t="shared" si="273"/>
        <v>0.94238163112973461</v>
      </c>
      <c r="BF171" s="179">
        <f t="shared" si="274"/>
        <v>0.94238163112973461</v>
      </c>
      <c r="BG171" s="179"/>
      <c r="BH171" s="546">
        <f t="shared" si="275"/>
        <v>3.1088433495360134E-2</v>
      </c>
      <c r="BI171" s="546">
        <f t="shared" si="276"/>
        <v>3.7245558310999641E-2</v>
      </c>
      <c r="BJ171" s="546">
        <f t="shared" si="277"/>
        <v>2.6916392636675444E-3</v>
      </c>
      <c r="BK171" s="546">
        <f t="shared" si="278"/>
        <v>1.0180452605006572E-2</v>
      </c>
      <c r="BL171">
        <f t="shared" si="279"/>
        <v>4.3499999999999997E-3</v>
      </c>
      <c r="BN171" s="472">
        <f t="shared" si="280"/>
        <v>85.556083675033861</v>
      </c>
      <c r="BO171" s="179">
        <f t="shared" si="281"/>
        <v>9.1499999999999998E-2</v>
      </c>
      <c r="BP171" s="179">
        <f t="shared" si="282"/>
        <v>9.1499999999999998E-2</v>
      </c>
      <c r="BQ171" s="546"/>
      <c r="BS171" s="472">
        <f t="shared" si="283"/>
        <v>183</v>
      </c>
      <c r="BT171" s="546">
        <f t="shared" si="284"/>
        <v>1.7764819140205793E-2</v>
      </c>
      <c r="BU171" s="546">
        <f t="shared" si="285"/>
        <v>3.5523325547629568E-2</v>
      </c>
      <c r="BV171" s="546">
        <f t="shared" si="286"/>
        <v>7.9927482482166523E-2</v>
      </c>
      <c r="BW171" s="546">
        <f t="shared" si="287"/>
        <v>1.6572585467183407E-2</v>
      </c>
      <c r="BX171" s="546"/>
      <c r="BY171" s="656">
        <f t="shared" si="267"/>
        <v>6.0561883432519767E-2</v>
      </c>
      <c r="BZ171" s="472">
        <f t="shared" si="288"/>
        <v>210.35009606970507</v>
      </c>
      <c r="CA171" s="179">
        <f t="shared" si="289"/>
        <v>0.47890617974473892</v>
      </c>
      <c r="CB171" s="6">
        <f t="shared" si="290"/>
        <v>3.05</v>
      </c>
      <c r="CC171" s="179">
        <f t="shared" si="291"/>
        <v>0.86429047547549698</v>
      </c>
      <c r="CD171" s="6">
        <f t="shared" si="292"/>
        <v>86.4290475475497</v>
      </c>
      <c r="CE171">
        <f t="shared" si="293"/>
        <v>61</v>
      </c>
      <c r="CG171" s="581">
        <f t="shared" si="268"/>
        <v>-50</v>
      </c>
      <c r="CH171">
        <f t="shared" si="269"/>
        <v>-50</v>
      </c>
    </row>
    <row r="172" spans="5:86" x14ac:dyDescent="0.2">
      <c r="E172" s="176">
        <v>62</v>
      </c>
      <c r="F172" s="223">
        <f t="shared" si="270"/>
        <v>0.31</v>
      </c>
      <c r="G172" s="223">
        <f t="shared" si="246"/>
        <v>0.31</v>
      </c>
      <c r="H172" s="223">
        <f t="shared" si="247"/>
        <v>1.55</v>
      </c>
      <c r="I172" s="223">
        <f t="shared" si="248"/>
        <v>1.55</v>
      </c>
      <c r="J172" s="559">
        <f t="shared" si="180"/>
        <v>15</v>
      </c>
      <c r="K172" s="454">
        <f t="shared" si="181"/>
        <v>13.296715184893785</v>
      </c>
      <c r="L172" s="454">
        <f t="shared" si="182"/>
        <v>30.75</v>
      </c>
      <c r="M172" s="454"/>
      <c r="N172" s="223">
        <f t="shared" si="183"/>
        <v>0.51219512195121952</v>
      </c>
      <c r="O172" s="178">
        <f t="shared" si="249"/>
        <v>1.2964939024390245</v>
      </c>
      <c r="P172" s="178">
        <f t="shared" si="250"/>
        <v>2.592987804878049</v>
      </c>
      <c r="Q172" s="223">
        <f t="shared" si="186"/>
        <v>0.25929878048780491</v>
      </c>
      <c r="R172" s="223">
        <f t="shared" si="251"/>
        <v>0.25929878048780491</v>
      </c>
      <c r="S172" s="223">
        <f t="shared" si="252"/>
        <v>4.1822383949645952</v>
      </c>
      <c r="T172" s="223">
        <f t="shared" si="253"/>
        <v>0.75</v>
      </c>
      <c r="U172" s="223">
        <f t="shared" si="190"/>
        <v>2.2000000000000002</v>
      </c>
      <c r="V172" s="223">
        <f t="shared" si="191"/>
        <v>2.4818159628996832</v>
      </c>
      <c r="W172" s="203">
        <f t="shared" si="192"/>
        <v>350</v>
      </c>
      <c r="X172" s="454">
        <f t="shared" si="193"/>
        <v>213.59233424046207</v>
      </c>
      <c r="Z172" s="223">
        <f t="shared" si="194"/>
        <v>0.45769785908670441</v>
      </c>
      <c r="AA172" s="179">
        <f t="shared" si="195"/>
        <v>1.5145624704885232</v>
      </c>
      <c r="AB172" s="179">
        <f t="shared" si="254"/>
        <v>0.18196815005136258</v>
      </c>
      <c r="AC172" s="179"/>
      <c r="AD172" s="179">
        <f t="shared" si="197"/>
        <v>0.4963631925799365</v>
      </c>
      <c r="AE172" s="563">
        <f t="shared" si="255"/>
        <v>2775.7452574525751</v>
      </c>
      <c r="AF172" s="546">
        <f t="shared" si="256"/>
        <v>3.9088601415669992E-2</v>
      </c>
      <c r="AH172" s="179">
        <f t="shared" si="257"/>
        <v>0.63450563637953805</v>
      </c>
      <c r="AI172" s="179">
        <f t="shared" si="258"/>
        <v>0.75</v>
      </c>
      <c r="AJ172" s="179">
        <f t="shared" si="259"/>
        <v>1.6444444444444444</v>
      </c>
      <c r="AL172" s="563">
        <f t="shared" si="260"/>
        <v>310</v>
      </c>
      <c r="AM172" s="472">
        <f t="shared" si="261"/>
        <v>213.59233424046207</v>
      </c>
      <c r="AO172" t="str">
        <f t="shared" si="205"/>
        <v/>
      </c>
      <c r="AP172" t="str">
        <f t="shared" si="206"/>
        <v/>
      </c>
      <c r="AR172" s="6">
        <f t="shared" si="245"/>
        <v>4.6818159628996829</v>
      </c>
      <c r="AS172" s="6">
        <f t="shared" si="242"/>
        <v>2.2000000000000002</v>
      </c>
      <c r="AT172" s="6">
        <f t="shared" si="243"/>
        <v>2.4818159628996828</v>
      </c>
      <c r="AU172" s="179">
        <f t="shared" si="244"/>
        <v>0.46990313532901667</v>
      </c>
      <c r="AW172" s="6">
        <f t="shared" si="262"/>
        <v>23.491111111111117</v>
      </c>
      <c r="AX172" s="472">
        <f t="shared" si="263"/>
        <v>10.536365011820331</v>
      </c>
      <c r="AY172" s="6">
        <f t="shared" si="264"/>
        <v>23.491111111111117</v>
      </c>
      <c r="AZ172" s="472">
        <f t="shared" si="265"/>
        <v>21.452688888888893</v>
      </c>
      <c r="BA172" s="6">
        <f t="shared" si="271"/>
        <v>0.23745770015398196</v>
      </c>
      <c r="BB172" s="6">
        <f t="shared" si="266"/>
        <v>58.13799618510383</v>
      </c>
      <c r="BC172" s="6"/>
      <c r="BD172" s="179">
        <f t="shared" si="272"/>
        <v>0.29682796006136392</v>
      </c>
      <c r="BE172" s="179">
        <f t="shared" si="273"/>
        <v>0.94580043303663397</v>
      </c>
      <c r="BF172" s="179">
        <f t="shared" si="274"/>
        <v>0.94580043303663397</v>
      </c>
      <c r="BG172" s="179"/>
      <c r="BH172" s="546">
        <f t="shared" si="275"/>
        <v>3.0837393255966728E-2</v>
      </c>
      <c r="BI172" s="546">
        <f t="shared" si="276"/>
        <v>3.6944799063154919E-2</v>
      </c>
      <c r="BJ172" s="546">
        <f t="shared" si="277"/>
        <v>2.6699041780057758E-3</v>
      </c>
      <c r="BK172" s="546">
        <f t="shared" si="278"/>
        <v>1.0098245077262346E-2</v>
      </c>
      <c r="BL172">
        <f t="shared" si="279"/>
        <v>4.3499999999999997E-3</v>
      </c>
      <c r="BN172" s="472">
        <f t="shared" si="280"/>
        <v>84.90034157438977</v>
      </c>
      <c r="BO172" s="179">
        <f t="shared" si="281"/>
        <v>9.2999999999999999E-2</v>
      </c>
      <c r="BP172" s="179">
        <f t="shared" si="282"/>
        <v>9.2999999999999999E-2</v>
      </c>
      <c r="BQ172" s="546"/>
      <c r="BS172" s="472">
        <f t="shared" si="283"/>
        <v>186</v>
      </c>
      <c r="BT172" s="546">
        <f t="shared" si="284"/>
        <v>1.7621367574838131E-2</v>
      </c>
      <c r="BU172" s="546">
        <f t="shared" si="285"/>
        <v>3.5781538365291375E-2</v>
      </c>
      <c r="BV172" s="546">
        <f t="shared" si="286"/>
        <v>8.0508461321905589E-2</v>
      </c>
      <c r="BW172" s="546">
        <f t="shared" si="287"/>
        <v>1.6240048342290637E-2</v>
      </c>
      <c r="BX172" s="546"/>
      <c r="BY172" s="656">
        <f t="shared" si="267"/>
        <v>6.0072844005129966E-2</v>
      </c>
      <c r="BZ172" s="472">
        <f t="shared" si="288"/>
        <v>210.22425960945571</v>
      </c>
      <c r="CA172" s="179">
        <f t="shared" si="289"/>
        <v>0.48112460118384548</v>
      </c>
      <c r="CB172" s="6">
        <f t="shared" si="290"/>
        <v>3.1</v>
      </c>
      <c r="CC172" s="179">
        <f t="shared" si="291"/>
        <v>0.86564985730326283</v>
      </c>
      <c r="CD172" s="6">
        <f t="shared" si="292"/>
        <v>86.564985730326285</v>
      </c>
      <c r="CE172">
        <f t="shared" si="293"/>
        <v>62</v>
      </c>
      <c r="CG172" s="581">
        <f t="shared" si="268"/>
        <v>-50</v>
      </c>
      <c r="CH172">
        <f t="shared" si="269"/>
        <v>-50</v>
      </c>
    </row>
    <row r="173" spans="5:86" x14ac:dyDescent="0.2">
      <c r="E173" s="176">
        <v>63</v>
      </c>
      <c r="F173" s="223">
        <f t="shared" si="270"/>
        <v>0.315</v>
      </c>
      <c r="G173" s="223">
        <f t="shared" si="246"/>
        <v>0.315</v>
      </c>
      <c r="H173" s="223">
        <f t="shared" si="247"/>
        <v>1.575</v>
      </c>
      <c r="I173" s="223">
        <f t="shared" si="248"/>
        <v>1.575</v>
      </c>
      <c r="J173" s="559">
        <f t="shared" si="180"/>
        <v>15</v>
      </c>
      <c r="K173" s="454">
        <f t="shared" si="181"/>
        <v>13.097560975609756</v>
      </c>
      <c r="L173" s="454">
        <f t="shared" si="182"/>
        <v>30.75</v>
      </c>
      <c r="M173" s="454"/>
      <c r="N173" s="223">
        <f t="shared" si="183"/>
        <v>0.51219512195121952</v>
      </c>
      <c r="O173" s="178">
        <f t="shared" si="249"/>
        <v>1.2964939024390245</v>
      </c>
      <c r="P173" s="178">
        <f t="shared" si="250"/>
        <v>2.592987804878049</v>
      </c>
      <c r="Q173" s="223">
        <f t="shared" si="186"/>
        <v>0.25929878048780491</v>
      </c>
      <c r="R173" s="223">
        <f t="shared" si="251"/>
        <v>0.25929878048780491</v>
      </c>
      <c r="S173" s="223">
        <f t="shared" si="252"/>
        <v>4.1158536585365857</v>
      </c>
      <c r="T173" s="223">
        <f t="shared" si="253"/>
        <v>0.75</v>
      </c>
      <c r="U173" s="223">
        <f t="shared" si="190"/>
        <v>2.2000000000000002</v>
      </c>
      <c r="V173" s="223">
        <f t="shared" si="191"/>
        <v>2.5195530726256985</v>
      </c>
      <c r="W173" s="203">
        <f t="shared" si="192"/>
        <v>350</v>
      </c>
      <c r="X173" s="454">
        <f t="shared" si="193"/>
        <v>211.88446969696966</v>
      </c>
      <c r="Z173" s="223">
        <f t="shared" si="194"/>
        <v>0.45403814935064929</v>
      </c>
      <c r="AA173" s="179">
        <f t="shared" si="195"/>
        <v>1.5252976190476188</v>
      </c>
      <c r="AB173" s="179">
        <f t="shared" si="254"/>
        <v>0.18179261839234978</v>
      </c>
      <c r="AC173" s="179"/>
      <c r="AD173" s="179">
        <f t="shared" si="197"/>
        <v>0.50391061452513963</v>
      </c>
      <c r="AE173" s="563">
        <f t="shared" si="255"/>
        <v>2778.2705099778273</v>
      </c>
      <c r="AF173" s="546">
        <f t="shared" si="256"/>
        <v>3.9682960893854743E-2</v>
      </c>
      <c r="AH173" s="179">
        <f t="shared" si="257"/>
        <v>0.63960214906683133</v>
      </c>
      <c r="AI173" s="179">
        <f t="shared" si="258"/>
        <v>0.75</v>
      </c>
      <c r="AJ173" s="179">
        <f t="shared" si="259"/>
        <v>1.6444444444444444</v>
      </c>
      <c r="AL173" s="563">
        <f t="shared" si="260"/>
        <v>315</v>
      </c>
      <c r="AM173" s="472">
        <f t="shared" si="261"/>
        <v>211.88446969696966</v>
      </c>
      <c r="AO173" t="str">
        <f t="shared" si="205"/>
        <v/>
      </c>
      <c r="AP173" t="str">
        <f t="shared" si="206"/>
        <v/>
      </c>
      <c r="AR173" s="6">
        <f t="shared" si="245"/>
        <v>4.7195530726256996</v>
      </c>
      <c r="AS173" s="6">
        <f t="shared" si="242"/>
        <v>2.2000000000000002</v>
      </c>
      <c r="AT173" s="6">
        <f t="shared" si="243"/>
        <v>2.5195530726256994</v>
      </c>
      <c r="AU173" s="179">
        <f t="shared" si="244"/>
        <v>0.46614583333333326</v>
      </c>
      <c r="AW173" s="6">
        <f t="shared" si="262"/>
        <v>23.491111111111117</v>
      </c>
      <c r="AX173" s="472">
        <f t="shared" si="263"/>
        <v>10.863746808510639</v>
      </c>
      <c r="AY173" s="6">
        <f t="shared" si="264"/>
        <v>23.491111111111117</v>
      </c>
      <c r="AZ173" s="472">
        <f t="shared" si="265"/>
        <v>22.135050000000003</v>
      </c>
      <c r="BA173" s="6">
        <f t="shared" si="271"/>
        <v>0.2449565487274985</v>
      </c>
      <c r="BB173" s="6">
        <f t="shared" si="266"/>
        <v>59.956238361266315</v>
      </c>
      <c r="BC173" s="6"/>
      <c r="BD173" s="179">
        <f t="shared" si="272"/>
        <v>0.29563887388163279</v>
      </c>
      <c r="BE173" s="179">
        <f t="shared" si="273"/>
        <v>0.94914640928046512</v>
      </c>
      <c r="BF173" s="179">
        <f t="shared" si="274"/>
        <v>0.94914640928046512</v>
      </c>
      <c r="BG173" s="179"/>
      <c r="BH173" s="546">
        <f t="shared" si="275"/>
        <v>3.0590820312499992E-2</v>
      </c>
      <c r="BI173" s="546">
        <f t="shared" si="276"/>
        <v>3.6649391867897722E-2</v>
      </c>
      <c r="BJ173" s="546">
        <f t="shared" si="277"/>
        <v>2.648555871212121E-3</v>
      </c>
      <c r="BK173" s="546">
        <f t="shared" si="278"/>
        <v>1.0017500443892045E-2</v>
      </c>
      <c r="BL173">
        <f t="shared" si="279"/>
        <v>4.3499999999999997E-3</v>
      </c>
      <c r="BN173" s="472">
        <f t="shared" si="280"/>
        <v>84.256268495501885</v>
      </c>
      <c r="BO173" s="179">
        <f t="shared" si="281"/>
        <v>9.4500000000000001E-2</v>
      </c>
      <c r="BP173" s="179">
        <f t="shared" si="282"/>
        <v>9.4500000000000001E-2</v>
      </c>
      <c r="BQ173" s="546"/>
      <c r="BS173" s="472">
        <f t="shared" si="283"/>
        <v>189</v>
      </c>
      <c r="BT173" s="546">
        <f t="shared" si="284"/>
        <v>1.7480468749999999E-2</v>
      </c>
      <c r="BU173" s="546">
        <f t="shared" si="285"/>
        <v>3.6035156250000012E-2</v>
      </c>
      <c r="BV173" s="546">
        <f t="shared" si="286"/>
        <v>8.1079101562500019E-2</v>
      </c>
      <c r="BW173" s="546">
        <f t="shared" si="287"/>
        <v>1.5917357747571498E-2</v>
      </c>
      <c r="BX173" s="546"/>
      <c r="BY173" s="656">
        <f t="shared" si="267"/>
        <v>5.9592507102272735E-2</v>
      </c>
      <c r="BZ173" s="472">
        <f t="shared" si="288"/>
        <v>210.10459141234429</v>
      </c>
      <c r="CA173" s="179">
        <f t="shared" si="289"/>
        <v>0.48336085990784616</v>
      </c>
      <c r="CB173" s="6">
        <f t="shared" si="290"/>
        <v>3.15</v>
      </c>
      <c r="CC173" s="179">
        <f t="shared" si="291"/>
        <v>0.86696590882522317</v>
      </c>
      <c r="CD173" s="6">
        <f t="shared" si="292"/>
        <v>86.696590882522315</v>
      </c>
      <c r="CE173">
        <f t="shared" si="293"/>
        <v>63</v>
      </c>
      <c r="CG173" s="581">
        <f t="shared" si="268"/>
        <v>-50</v>
      </c>
      <c r="CH173">
        <f t="shared" si="269"/>
        <v>-50</v>
      </c>
    </row>
    <row r="174" spans="5:86" x14ac:dyDescent="0.2">
      <c r="E174" s="176">
        <v>64</v>
      </c>
      <c r="F174" s="223">
        <f t="shared" si="270"/>
        <v>0.32</v>
      </c>
      <c r="G174" s="223">
        <f t="shared" ref="G174:G210" si="294">IF(PLOT_TYPE=1, E174/100*Iout2, min_I*EXP(Q174*rr/100))</f>
        <v>0.32</v>
      </c>
      <c r="H174" s="223">
        <f t="shared" ref="H174:H210" si="295">F174*Vout</f>
        <v>1.6</v>
      </c>
      <c r="I174" s="223">
        <f t="shared" ref="I174:I210" si="296">Vout2*G174</f>
        <v>1.6</v>
      </c>
      <c r="J174" s="559">
        <f t="shared" ref="J174:J210" si="297">VIN_min</f>
        <v>15</v>
      </c>
      <c r="K174" s="454">
        <f t="shared" ref="K174:K210" si="298">(S174+Vfwd1)*Nps</f>
        <v>12.904630335365855</v>
      </c>
      <c r="L174" s="454">
        <f t="shared" ref="L174:L210" si="299">(Vout+Vfwd1)*Nps+J174</f>
        <v>30.75</v>
      </c>
      <c r="M174" s="454"/>
      <c r="N174" s="223">
        <f t="shared" ref="N174:N210" si="300">(Vout+Vfwd1)*Nps/((Vout+Vfwd1)*Nps+J174)</f>
        <v>0.51219512195121952</v>
      </c>
      <c r="O174" s="178">
        <f t="shared" ref="O174:O205" si="301">N174*J174*Isw_max*0.5*Efficiency*Pout/(Pout+Pout2)</f>
        <v>1.2964939024390245</v>
      </c>
      <c r="P174" s="178">
        <f t="shared" ref="P174:P210" si="302">N174*J174*Isw_max*0.5*Efficiency*(Pout2/Pout_total)</f>
        <v>2.592987804878049</v>
      </c>
      <c r="Q174" s="223">
        <f t="shared" ref="Q174:Q210" si="303">O174/Vout</f>
        <v>0.25929878048780491</v>
      </c>
      <c r="R174" s="223">
        <f t="shared" ref="R174:R210" si="304">O174/Vout2</f>
        <v>0.25929878048780491</v>
      </c>
      <c r="S174" s="223">
        <f t="shared" ref="S174:S210" si="305">MIN(Vout,O174/F174)</f>
        <v>4.0515434451219514</v>
      </c>
      <c r="T174" s="223">
        <f t="shared" ref="T174:T210" si="306">MIN(2*(Vout*F174+Vout2*G174)/(Efficiency*J174*N174), Isw_max)</f>
        <v>0.75</v>
      </c>
      <c r="U174" s="223">
        <f t="shared" ref="U174:U210" si="307">L*T174/J174*1000000</f>
        <v>2.2000000000000002</v>
      </c>
      <c r="V174" s="223">
        <f t="shared" ref="V174:V210" si="308">L*T174/K174*1000000</f>
        <v>2.5572216438902302</v>
      </c>
      <c r="W174" s="203">
        <f t="shared" ref="W174:W210" si="309">IF(1/((350000*L)*(1/J174+1/K174))&gt;Isw_min, 350, 0.001/((Isw_min*L)*(1/J174+1/K174)))</f>
        <v>350</v>
      </c>
      <c r="X174" s="454">
        <f t="shared" ref="X174:X210" si="310">MIN(1/(U174+V174)*1000, 350)</f>
        <v>210.20672881288067</v>
      </c>
      <c r="Z174" s="223">
        <f t="shared" ref="Z174:Z210" si="311">1/((W174*1000*L)*(1/J174+1/K174))</f>
        <v>0.45044299031331581</v>
      </c>
      <c r="AA174" s="179">
        <f t="shared" ref="AA174:AA210" si="312">L*Z174/K174*1000000</f>
        <v>1.5358434188904644</v>
      </c>
      <c r="AB174" s="179">
        <f t="shared" ref="AB174:AB205" si="313">0.5*AA174*Z174*Nps*W174/1000*(Pout/(Pout+Pout2))</f>
        <v>0.18160009934273741</v>
      </c>
      <c r="AC174" s="179"/>
      <c r="AD174" s="179">
        <f t="shared" ref="AD174:AD210" si="314">L*Isw_min/K174*1000000</f>
        <v>0.51144432877804591</v>
      </c>
      <c r="AE174" s="563">
        <f t="shared" ref="AE174:AE205" si="315">MAX(10, F174/(0.5*AD174/1000000*Isw_min*Nps)/1000*Pout_total/Pout)</f>
        <v>2780.7957625030799</v>
      </c>
      <c r="AF174" s="546">
        <f t="shared" ref="AF174:AF210" si="316">0.5*AD174/1000000*Isw_min*Nps*W174*1000*(Pout/Pout_total)</f>
        <v>4.0276240891271117E-2</v>
      </c>
      <c r="AH174" s="179">
        <f t="shared" ref="AH174:AH210" si="317">SQRT((H174+I174)/(0.5*L*Fsw_DCM))</f>
        <v>0.64465837122030423</v>
      </c>
      <c r="AI174" s="179">
        <f t="shared" ref="AI174:AI205" si="318">MAX(IF(F174&gt;AB174,T174,AH174),Isw_min)</f>
        <v>0.75</v>
      </c>
      <c r="AJ174" s="179">
        <f t="shared" ref="AJ174:AJ205" si="319">IF(F174&gt;AF174, (AI174-Isw_min)/1.08*0.8+1.2, AE174*0.2/350+1)</f>
        <v>1.6444444444444444</v>
      </c>
      <c r="AL174" s="563">
        <f t="shared" ref="AL174:AL210" si="320">F174*1000</f>
        <v>320</v>
      </c>
      <c r="AM174" s="472">
        <f t="shared" ref="AM174:AM210" si="321">IF(F174&gt;AF174, X174, AE174)</f>
        <v>210.20672881288067</v>
      </c>
      <c r="AO174" t="str">
        <f t="shared" ref="AO174:AO210" si="322">IF(H174&gt;O174, "",AL174)</f>
        <v/>
      </c>
      <c r="AP174" t="str">
        <f t="shared" ref="AP174:AP210" si="323">IF(H174&gt;O174, "",AM174)</f>
        <v/>
      </c>
      <c r="AR174" s="6">
        <f t="shared" si="245"/>
        <v>4.7572216438902304</v>
      </c>
      <c r="AS174" s="6">
        <f t="shared" si="242"/>
        <v>2.2000000000000002</v>
      </c>
      <c r="AT174" s="6">
        <f t="shared" si="243"/>
        <v>2.5572216438902302</v>
      </c>
      <c r="AU174" s="179">
        <f t="shared" si="244"/>
        <v>0.4624548033883375</v>
      </c>
      <c r="AW174" s="6">
        <f t="shared" ref="AW174:AW210" si="324">L*Iout^2/(2*Vripple1_spec*Vout*Npri_sec1^2)*1000000000*((1+N174)/(1-N174))^2</f>
        <v>23.491111111111117</v>
      </c>
      <c r="AX174" s="472">
        <f t="shared" ref="AX174:AX210" si="325">L*F174^2/(2*Cout*Vout*Nps^2)*1000000000*((1+N174)/(1-N174))^2+F174*RCoutEsr</f>
        <v>11.19612671394799</v>
      </c>
      <c r="AY174" s="6">
        <f t="shared" ref="AY174:AY210" si="326">L*Iout2^2/(2*Vripple2_spec*Vout2*Npri_sec2^2)*1000000000*((1+N174)/(1-N174))^2</f>
        <v>23.491111111111117</v>
      </c>
      <c r="AZ174" s="472">
        <f t="shared" ref="AZ174:AZ210" si="327">L*G174^2/(2*Cout2*Vout2*Npri_sec2^2)*1000000000*((1+N174)/(1-N174))^2+G174*CoutEsr2</f>
        <v>22.828088888888889</v>
      </c>
      <c r="BA174" s="6">
        <f t="shared" si="271"/>
        <v>0.2525651006311338</v>
      </c>
      <c r="BB174" s="6">
        <f t="shared" ref="BB174:BB210" si="328">((CB174/J174/Efficiency)*AT174/Cin+(CB174/J174/Efficiency)*RCinEsr)*1000</f>
        <v>61.800809336657309</v>
      </c>
      <c r="BC174" s="6"/>
      <c r="BD174" s="179">
        <f t="shared" si="272"/>
        <v>0.2944660857133013</v>
      </c>
      <c r="BE174" s="179">
        <f t="shared" si="273"/>
        <v>0.95242192293236316</v>
      </c>
      <c r="BF174" s="179">
        <f t="shared" si="274"/>
        <v>0.95242192293236316</v>
      </c>
      <c r="BG174" s="179"/>
      <c r="BH174" s="546">
        <f t="shared" si="275"/>
        <v>3.0348596472359653E-2</v>
      </c>
      <c r="BI174" s="546">
        <f t="shared" si="276"/>
        <v>3.6359195124352948E-2</v>
      </c>
      <c r="BJ174" s="546">
        <f t="shared" si="277"/>
        <v>2.627584110161008E-3</v>
      </c>
      <c r="BK174" s="546">
        <f t="shared" si="278"/>
        <v>9.9381800006564762E-3</v>
      </c>
      <c r="BL174">
        <f t="shared" si="279"/>
        <v>4.3499999999999997E-3</v>
      </c>
      <c r="BN174" s="472">
        <f t="shared" si="280"/>
        <v>83.623555707530073</v>
      </c>
      <c r="BO174" s="179">
        <f t="shared" si="281"/>
        <v>9.6000000000000002E-2</v>
      </c>
      <c r="BP174" s="179">
        <f t="shared" si="282"/>
        <v>9.6000000000000002E-2</v>
      </c>
      <c r="BQ174" s="546"/>
      <c r="BS174" s="472">
        <f t="shared" si="283"/>
        <v>192</v>
      </c>
      <c r="BT174" s="546">
        <f t="shared" si="284"/>
        <v>1.7342055127062661E-2</v>
      </c>
      <c r="BU174" s="546">
        <f t="shared" si="285"/>
        <v>3.6284300771287213E-2</v>
      </c>
      <c r="BV174" s="546">
        <f t="shared" si="286"/>
        <v>8.1639676735396224E-2</v>
      </c>
      <c r="BW174" s="546">
        <f t="shared" si="287"/>
        <v>1.5604134947309835E-2</v>
      </c>
      <c r="BX174" s="546"/>
      <c r="BY174" s="656">
        <f t="shared" ref="BY174:BY210" si="329">0.5*Lleak*0.000000001*AI174^2*AM174*1000</f>
        <v>5.9120642478622705E-2</v>
      </c>
      <c r="BZ174" s="472">
        <f t="shared" si="288"/>
        <v>209.99081005967864</v>
      </c>
      <c r="CA174" s="179">
        <f t="shared" si="289"/>
        <v>0.48561436576720868</v>
      </c>
      <c r="CB174" s="6">
        <f t="shared" si="290"/>
        <v>3.2</v>
      </c>
      <c r="CC174" s="179">
        <f t="shared" si="291"/>
        <v>0.86824059232086226</v>
      </c>
      <c r="CD174" s="6">
        <f t="shared" si="292"/>
        <v>86.824059232086228</v>
      </c>
      <c r="CE174">
        <f t="shared" si="293"/>
        <v>64</v>
      </c>
      <c r="CG174" s="581">
        <f t="shared" ref="CG174:CG210" si="330">IF(ABS(F174-Ioutmax_Vinmin)&lt;Iout/200, AM174, -50)</f>
        <v>-50</v>
      </c>
      <c r="CH174">
        <f t="shared" ref="CH174:CH210" si="331">IF(ABS(F174-Ioutmax_Vinmin)&lt;Iout/200, (O174+P174)*CC174, -50)</f>
        <v>-50</v>
      </c>
    </row>
    <row r="175" spans="5:86" x14ac:dyDescent="0.2">
      <c r="E175" s="176">
        <v>65</v>
      </c>
      <c r="F175" s="223">
        <f t="shared" ref="F175:F206" si="332">IF(PLOT_TYPE=1, E175/100*Iout_max, min_I*EXP(O175*rr/100))</f>
        <v>0.32500000000000001</v>
      </c>
      <c r="G175" s="223">
        <f t="shared" si="294"/>
        <v>0.32500000000000001</v>
      </c>
      <c r="H175" s="223">
        <f t="shared" si="295"/>
        <v>1.625</v>
      </c>
      <c r="I175" s="223">
        <f t="shared" si="296"/>
        <v>1.625</v>
      </c>
      <c r="J175" s="559">
        <f t="shared" si="297"/>
        <v>15</v>
      </c>
      <c r="K175" s="454">
        <f t="shared" si="298"/>
        <v>12.717636022514071</v>
      </c>
      <c r="L175" s="454">
        <f t="shared" si="299"/>
        <v>30.75</v>
      </c>
      <c r="M175" s="454"/>
      <c r="N175" s="223">
        <f t="shared" si="300"/>
        <v>0.51219512195121952</v>
      </c>
      <c r="O175" s="178">
        <f t="shared" si="301"/>
        <v>1.2964939024390245</v>
      </c>
      <c r="P175" s="178">
        <f t="shared" si="302"/>
        <v>2.592987804878049</v>
      </c>
      <c r="Q175" s="223">
        <f t="shared" si="303"/>
        <v>0.25929878048780491</v>
      </c>
      <c r="R175" s="223">
        <f t="shared" si="304"/>
        <v>0.25929878048780491</v>
      </c>
      <c r="S175" s="223">
        <f t="shared" si="305"/>
        <v>3.9892120075046908</v>
      </c>
      <c r="T175" s="223">
        <f t="shared" si="306"/>
        <v>0.75</v>
      </c>
      <c r="U175" s="223">
        <f t="shared" si="307"/>
        <v>2.2000000000000002</v>
      </c>
      <c r="V175" s="223">
        <f t="shared" si="308"/>
        <v>2.5948218632440812</v>
      </c>
      <c r="W175" s="203">
        <f t="shared" si="309"/>
        <v>350</v>
      </c>
      <c r="X175" s="454">
        <f t="shared" si="310"/>
        <v>208.55832156471811</v>
      </c>
      <c r="Z175" s="223">
        <f t="shared" si="311"/>
        <v>0.44691068906725318</v>
      </c>
      <c r="AA175" s="179">
        <f t="shared" si="312"/>
        <v>1.5462048358789144</v>
      </c>
      <c r="AB175" s="179">
        <f t="shared" si="313"/>
        <v>0.18139156051846325</v>
      </c>
      <c r="AC175" s="179"/>
      <c r="AD175" s="179">
        <f t="shared" si="314"/>
        <v>0.51896437264881612</v>
      </c>
      <c r="AE175" s="563">
        <f t="shared" si="315"/>
        <v>2783.321015028333</v>
      </c>
      <c r="AF175" s="546">
        <f t="shared" si="316"/>
        <v>4.0868444346094254E-2</v>
      </c>
      <c r="AH175" s="179">
        <f t="shared" si="317"/>
        <v>0.64967524354705253</v>
      </c>
      <c r="AI175" s="179">
        <f t="shared" si="318"/>
        <v>0.75</v>
      </c>
      <c r="AJ175" s="179">
        <f t="shared" si="319"/>
        <v>1.6444444444444444</v>
      </c>
      <c r="AL175" s="563">
        <f t="shared" si="320"/>
        <v>325</v>
      </c>
      <c r="AM175" s="472">
        <f t="shared" si="321"/>
        <v>208.55832156471811</v>
      </c>
      <c r="AO175" t="str">
        <f t="shared" si="322"/>
        <v/>
      </c>
      <c r="AP175" t="str">
        <f t="shared" si="323"/>
        <v/>
      </c>
      <c r="AR175" s="6">
        <f t="shared" si="245"/>
        <v>4.7948218632440813</v>
      </c>
      <c r="AS175" s="6">
        <f t="shared" si="242"/>
        <v>2.2000000000000002</v>
      </c>
      <c r="AT175" s="6">
        <f t="shared" si="243"/>
        <v>2.5948218632440812</v>
      </c>
      <c r="AU175" s="179">
        <f t="shared" si="244"/>
        <v>0.4588283074423799</v>
      </c>
      <c r="AW175" s="6">
        <f t="shared" si="324"/>
        <v>23.491111111111117</v>
      </c>
      <c r="AX175" s="472">
        <f t="shared" si="325"/>
        <v>11.533504728132389</v>
      </c>
      <c r="AY175" s="6">
        <f t="shared" si="326"/>
        <v>23.491111111111117</v>
      </c>
      <c r="AZ175" s="472">
        <f t="shared" si="327"/>
        <v>23.531805555555557</v>
      </c>
      <c r="BA175" s="6">
        <f t="shared" si="271"/>
        <v>0.26028305726985379</v>
      </c>
      <c r="BB175" s="6">
        <f t="shared" si="328"/>
        <v>63.67163744846863</v>
      </c>
      <c r="BC175" s="6"/>
      <c r="BD175" s="179">
        <f t="shared" si="272"/>
        <v>0.29330923552702226</v>
      </c>
      <c r="BE175" s="179">
        <f t="shared" si="273"/>
        <v>0.95562923311867343</v>
      </c>
      <c r="BF175" s="179">
        <f t="shared" si="274"/>
        <v>0.95562923311867343</v>
      </c>
      <c r="BG175" s="179"/>
      <c r="BH175" s="546">
        <f t="shared" si="275"/>
        <v>3.0110607675906172E-2</v>
      </c>
      <c r="BI175" s="546">
        <f t="shared" si="276"/>
        <v>3.6074072183147329E-2</v>
      </c>
      <c r="BJ175" s="546">
        <f t="shared" si="277"/>
        <v>2.6069790195589761E-3</v>
      </c>
      <c r="BK175" s="546">
        <f t="shared" si="278"/>
        <v>9.8602463967269391E-3</v>
      </c>
      <c r="BL175">
        <f t="shared" si="279"/>
        <v>4.3499999999999997E-3</v>
      </c>
      <c r="BN175" s="472">
        <f t="shared" si="280"/>
        <v>83.001905275339411</v>
      </c>
      <c r="BO175" s="179">
        <f t="shared" si="281"/>
        <v>9.7500000000000003E-2</v>
      </c>
      <c r="BP175" s="179">
        <f t="shared" si="282"/>
        <v>9.7500000000000003E-2</v>
      </c>
      <c r="BQ175" s="546"/>
      <c r="BS175" s="472">
        <f t="shared" si="283"/>
        <v>195</v>
      </c>
      <c r="BT175" s="546">
        <f t="shared" si="284"/>
        <v>1.7206061529089243E-2</v>
      </c>
      <c r="BU175" s="546">
        <f t="shared" si="285"/>
        <v>3.6529089247639361E-2</v>
      </c>
      <c r="BV175" s="546">
        <f t="shared" si="286"/>
        <v>8.219045080718855E-2</v>
      </c>
      <c r="BW175" s="546">
        <f t="shared" si="287"/>
        <v>1.5300019011556807E-2</v>
      </c>
      <c r="BX175" s="546"/>
      <c r="BY175" s="656">
        <f t="shared" si="329"/>
        <v>5.8657027940076982E-2</v>
      </c>
      <c r="BZ175" s="472">
        <f t="shared" si="288"/>
        <v>209.88264853555094</v>
      </c>
      <c r="CA175" s="179">
        <f t="shared" si="289"/>
        <v>0.48788455381089041</v>
      </c>
      <c r="CB175" s="6">
        <f t="shared" si="290"/>
        <v>3.25</v>
      </c>
      <c r="CC175" s="179">
        <f t="shared" si="291"/>
        <v>0.86947575646404685</v>
      </c>
      <c r="CD175" s="6">
        <f t="shared" si="292"/>
        <v>86.947575646404687</v>
      </c>
      <c r="CE175">
        <f t="shared" si="293"/>
        <v>65</v>
      </c>
      <c r="CG175" s="581">
        <f t="shared" si="330"/>
        <v>-50</v>
      </c>
      <c r="CH175">
        <f t="shared" si="331"/>
        <v>-50</v>
      </c>
    </row>
    <row r="176" spans="5:86" x14ac:dyDescent="0.2">
      <c r="E176" s="176">
        <v>66</v>
      </c>
      <c r="F176" s="223">
        <f t="shared" si="332"/>
        <v>0.33</v>
      </c>
      <c r="G176" s="223">
        <f t="shared" si="294"/>
        <v>0.33</v>
      </c>
      <c r="H176" s="223">
        <f t="shared" si="295"/>
        <v>1.6500000000000001</v>
      </c>
      <c r="I176" s="223">
        <f t="shared" si="296"/>
        <v>1.6500000000000001</v>
      </c>
      <c r="J176" s="559">
        <f t="shared" si="297"/>
        <v>15</v>
      </c>
      <c r="K176" s="454">
        <f t="shared" si="298"/>
        <v>12.536308203991133</v>
      </c>
      <c r="L176" s="454">
        <f t="shared" si="299"/>
        <v>30.75</v>
      </c>
      <c r="M176" s="454"/>
      <c r="N176" s="223">
        <f t="shared" si="300"/>
        <v>0.51219512195121952</v>
      </c>
      <c r="O176" s="178">
        <f t="shared" si="301"/>
        <v>1.2964939024390245</v>
      </c>
      <c r="P176" s="178">
        <f t="shared" si="302"/>
        <v>2.592987804878049</v>
      </c>
      <c r="Q176" s="223">
        <f t="shared" si="303"/>
        <v>0.25929878048780491</v>
      </c>
      <c r="R176" s="223">
        <f t="shared" si="304"/>
        <v>0.25929878048780491</v>
      </c>
      <c r="S176" s="223">
        <f t="shared" si="305"/>
        <v>3.9287694013303773</v>
      </c>
      <c r="T176" s="223">
        <f t="shared" si="306"/>
        <v>0.75</v>
      </c>
      <c r="U176" s="223">
        <f t="shared" si="307"/>
        <v>2.2000000000000002</v>
      </c>
      <c r="V176" s="223">
        <f t="shared" si="308"/>
        <v>2.6323539165616499</v>
      </c>
      <c r="W176" s="203">
        <f t="shared" si="309"/>
        <v>350</v>
      </c>
      <c r="X176" s="454">
        <f t="shared" si="310"/>
        <v>206.93848531514988</v>
      </c>
      <c r="Z176" s="223">
        <f t="shared" si="311"/>
        <v>0.44343961138960691</v>
      </c>
      <c r="AA176" s="179">
        <f t="shared" si="312"/>
        <v>1.5563866637333437</v>
      </c>
      <c r="AB176" s="179">
        <f t="shared" si="313"/>
        <v>0.18116791805119367</v>
      </c>
      <c r="AC176" s="179"/>
      <c r="AD176" s="179">
        <f t="shared" si="314"/>
        <v>0.52647078331232988</v>
      </c>
      <c r="AE176" s="563">
        <f t="shared" si="315"/>
        <v>2785.8462675535857</v>
      </c>
      <c r="AF176" s="546">
        <f t="shared" si="316"/>
        <v>4.1459574185845983E-2</v>
      </c>
      <c r="AH176" s="179">
        <f t="shared" si="317"/>
        <v>0.6546536707079772</v>
      </c>
      <c r="AI176" s="179">
        <f t="shared" si="318"/>
        <v>0.75</v>
      </c>
      <c r="AJ176" s="179">
        <f t="shared" si="319"/>
        <v>1.6444444444444444</v>
      </c>
      <c r="AL176" s="563">
        <f t="shared" si="320"/>
        <v>330</v>
      </c>
      <c r="AM176" s="472">
        <f t="shared" si="321"/>
        <v>206.93848531514988</v>
      </c>
      <c r="AO176" t="str">
        <f t="shared" si="322"/>
        <v/>
      </c>
      <c r="AP176" t="str">
        <f t="shared" si="323"/>
        <v/>
      </c>
      <c r="AR176" s="6">
        <f t="shared" si="245"/>
        <v>4.83235391656165</v>
      </c>
      <c r="AS176" s="6">
        <f t="shared" si="242"/>
        <v>2.2000000000000002</v>
      </c>
      <c r="AT176" s="6">
        <f t="shared" si="243"/>
        <v>2.6323539165616499</v>
      </c>
      <c r="AU176" s="179">
        <f t="shared" si="244"/>
        <v>0.45526466769332974</v>
      </c>
      <c r="AW176" s="6">
        <f t="shared" si="324"/>
        <v>23.491111111111117</v>
      </c>
      <c r="AX176" s="472">
        <f t="shared" si="325"/>
        <v>11.875880851063831</v>
      </c>
      <c r="AY176" s="6">
        <f t="shared" si="326"/>
        <v>23.491111111111117</v>
      </c>
      <c r="AZ176" s="472">
        <f t="shared" si="327"/>
        <v>24.246200000000002</v>
      </c>
      <c r="BA176" s="6">
        <f t="shared" si="271"/>
        <v>0.26811012113127913</v>
      </c>
      <c r="BB176" s="6">
        <f t="shared" si="328"/>
        <v>65.568651293729232</v>
      </c>
      <c r="BC176" s="6"/>
      <c r="BD176" s="179">
        <f t="shared" si="272"/>
        <v>0.292167974275928</v>
      </c>
      <c r="BE176" s="179">
        <f t="shared" si="273"/>
        <v>0.95877050083297111</v>
      </c>
      <c r="BF176" s="179">
        <f t="shared" si="274"/>
        <v>0.95877050083297111</v>
      </c>
      <c r="BG176" s="179"/>
      <c r="BH176" s="546">
        <f t="shared" si="275"/>
        <v>2.9876743817374759E-2</v>
      </c>
      <c r="BI176" s="546">
        <f t="shared" si="276"/>
        <v>3.5793891131854827E-2</v>
      </c>
      <c r="BJ176" s="546">
        <f t="shared" si="277"/>
        <v>2.5867310664393732E-3</v>
      </c>
      <c r="BK176" s="546">
        <f t="shared" si="278"/>
        <v>9.7836635760403211E-3</v>
      </c>
      <c r="BL176">
        <f t="shared" si="279"/>
        <v>4.3499999999999997E-3</v>
      </c>
      <c r="BN176" s="472">
        <f t="shared" si="280"/>
        <v>82.391029591709298</v>
      </c>
      <c r="BO176" s="179">
        <f t="shared" si="281"/>
        <v>9.9000000000000005E-2</v>
      </c>
      <c r="BP176" s="179">
        <f t="shared" si="282"/>
        <v>9.9000000000000005E-2</v>
      </c>
      <c r="BQ176" s="546"/>
      <c r="BS176" s="472">
        <f t="shared" si="283"/>
        <v>198</v>
      </c>
      <c r="BT176" s="546">
        <f t="shared" si="284"/>
        <v>1.7072425038499865E-2</v>
      </c>
      <c r="BU176" s="546">
        <f t="shared" si="285"/>
        <v>3.6769634930700248E-2</v>
      </c>
      <c r="BV176" s="546">
        <f t="shared" si="286"/>
        <v>8.2731678594075556E-2</v>
      </c>
      <c r="BW176" s="546">
        <f t="shared" si="287"/>
        <v>1.5004665830635698E-2</v>
      </c>
      <c r="BX176" s="546"/>
      <c r="BY176" s="656">
        <f t="shared" si="329"/>
        <v>5.8201448994885913E-2</v>
      </c>
      <c r="BZ176" s="472">
        <f t="shared" si="288"/>
        <v>209.77985338879728</v>
      </c>
      <c r="CA176" s="179">
        <f t="shared" si="289"/>
        <v>0.49017088298050659</v>
      </c>
      <c r="CB176" s="6">
        <f t="shared" si="290"/>
        <v>3.3000000000000003</v>
      </c>
      <c r="CC176" s="179">
        <f t="shared" si="291"/>
        <v>0.87067314426861753</v>
      </c>
      <c r="CD176" s="6">
        <f t="shared" si="292"/>
        <v>87.067314426861756</v>
      </c>
      <c r="CE176">
        <f t="shared" si="293"/>
        <v>66</v>
      </c>
      <c r="CG176" s="581">
        <f t="shared" si="330"/>
        <v>-50</v>
      </c>
      <c r="CH176">
        <f t="shared" si="331"/>
        <v>-50</v>
      </c>
    </row>
    <row r="177" spans="5:86" x14ac:dyDescent="0.2">
      <c r="E177" s="176">
        <v>67</v>
      </c>
      <c r="F177" s="223">
        <f t="shared" si="332"/>
        <v>0.33500000000000002</v>
      </c>
      <c r="G177" s="223">
        <f t="shared" si="294"/>
        <v>0.33500000000000002</v>
      </c>
      <c r="H177" s="223">
        <f t="shared" si="295"/>
        <v>1.675</v>
      </c>
      <c r="I177" s="223">
        <f t="shared" si="296"/>
        <v>1.675</v>
      </c>
      <c r="J177" s="559">
        <f t="shared" si="297"/>
        <v>15</v>
      </c>
      <c r="K177" s="454">
        <f t="shared" si="298"/>
        <v>12.360393156170369</v>
      </c>
      <c r="L177" s="454">
        <f t="shared" si="299"/>
        <v>30.75</v>
      </c>
      <c r="M177" s="454"/>
      <c r="N177" s="223">
        <f t="shared" si="300"/>
        <v>0.51219512195121952</v>
      </c>
      <c r="O177" s="178">
        <f t="shared" si="301"/>
        <v>1.2964939024390245</v>
      </c>
      <c r="P177" s="178">
        <f t="shared" si="302"/>
        <v>2.592987804878049</v>
      </c>
      <c r="Q177" s="223">
        <f t="shared" si="303"/>
        <v>0.25929878048780491</v>
      </c>
      <c r="R177" s="223">
        <f t="shared" si="304"/>
        <v>0.25929878048780491</v>
      </c>
      <c r="S177" s="223">
        <f t="shared" si="305"/>
        <v>3.8701310520567893</v>
      </c>
      <c r="T177" s="223">
        <f t="shared" si="306"/>
        <v>0.75</v>
      </c>
      <c r="U177" s="223">
        <f t="shared" si="307"/>
        <v>2.2000000000000002</v>
      </c>
      <c r="V177" s="223">
        <f t="shared" si="308"/>
        <v>2.6698179890440006</v>
      </c>
      <c r="W177" s="203">
        <f t="shared" si="309"/>
        <v>350</v>
      </c>
      <c r="X177" s="454">
        <f t="shared" si="310"/>
        <v>205.34648363650879</v>
      </c>
      <c r="Z177" s="223">
        <f t="shared" si="311"/>
        <v>0.44002817922109022</v>
      </c>
      <c r="AA177" s="179">
        <f t="shared" si="312"/>
        <v>1.5663935314276587</v>
      </c>
      <c r="AB177" s="179">
        <f t="shared" si="313"/>
        <v>0.18093003956417414</v>
      </c>
      <c r="AC177" s="179"/>
      <c r="AD177" s="179">
        <f t="shared" si="314"/>
        <v>0.53396359780880009</v>
      </c>
      <c r="AE177" s="563">
        <f t="shared" si="315"/>
        <v>2788.3715200788379</v>
      </c>
      <c r="AF177" s="546">
        <f t="shared" si="316"/>
        <v>4.2049633327443006E-2</v>
      </c>
      <c r="AH177" s="179">
        <f t="shared" si="317"/>
        <v>0.65959452322236201</v>
      </c>
      <c r="AI177" s="179">
        <f t="shared" si="318"/>
        <v>0.75</v>
      </c>
      <c r="AJ177" s="179">
        <f t="shared" si="319"/>
        <v>1.6444444444444444</v>
      </c>
      <c r="AL177" s="563">
        <f t="shared" si="320"/>
        <v>335</v>
      </c>
      <c r="AM177" s="472">
        <f t="shared" si="321"/>
        <v>205.34648363650879</v>
      </c>
      <c r="AO177" t="str">
        <f t="shared" si="322"/>
        <v/>
      </c>
      <c r="AP177" t="str">
        <f t="shared" si="323"/>
        <v/>
      </c>
      <c r="AR177" s="6">
        <f t="shared" si="245"/>
        <v>4.8698179890440008</v>
      </c>
      <c r="AS177" s="6">
        <f t="shared" si="242"/>
        <v>2.2000000000000002</v>
      </c>
      <c r="AT177" s="6">
        <f t="shared" si="243"/>
        <v>2.6698179890440006</v>
      </c>
      <c r="AU177" s="179">
        <f t="shared" si="244"/>
        <v>0.45176226400031938</v>
      </c>
      <c r="AW177" s="6">
        <f t="shared" si="324"/>
        <v>23.491111111111117</v>
      </c>
      <c r="AX177" s="472">
        <f t="shared" si="325"/>
        <v>12.22325508274232</v>
      </c>
      <c r="AY177" s="6">
        <f t="shared" si="326"/>
        <v>23.491111111111117</v>
      </c>
      <c r="AZ177" s="472">
        <f t="shared" si="327"/>
        <v>24.971272222222222</v>
      </c>
      <c r="BA177" s="6">
        <f t="shared" si="271"/>
        <v>0.27604599578078398</v>
      </c>
      <c r="BB177" s="6">
        <f t="shared" si="328"/>
        <v>67.491779728128904</v>
      </c>
      <c r="BC177" s="6"/>
      <c r="BD177" s="179">
        <f t="shared" si="272"/>
        <v>0.29104196346929057</v>
      </c>
      <c r="BE177" s="179">
        <f t="shared" si="273"/>
        <v>0.96184779435182</v>
      </c>
      <c r="BF177" s="179">
        <f t="shared" si="274"/>
        <v>0.96184779435182</v>
      </c>
      <c r="BG177" s="179"/>
      <c r="BH177" s="546">
        <f t="shared" si="275"/>
        <v>2.9646898575020952E-2</v>
      </c>
      <c r="BI177" s="546">
        <f t="shared" si="276"/>
        <v>3.5518524591502378E-2</v>
      </c>
      <c r="BJ177" s="546">
        <f t="shared" si="277"/>
        <v>2.5668310454563599E-3</v>
      </c>
      <c r="BK177" s="546">
        <f t="shared" si="278"/>
        <v>9.7083967216773179E-3</v>
      </c>
      <c r="BL177">
        <f t="shared" si="279"/>
        <v>4.3499999999999997E-3</v>
      </c>
      <c r="BN177" s="472">
        <f t="shared" si="280"/>
        <v>81.790650933657005</v>
      </c>
      <c r="BO177" s="179">
        <f t="shared" si="281"/>
        <v>0.10050000000000001</v>
      </c>
      <c r="BP177" s="179">
        <f t="shared" si="282"/>
        <v>0.10050000000000001</v>
      </c>
      <c r="BQ177" s="546"/>
      <c r="BS177" s="472">
        <f t="shared" si="283"/>
        <v>201</v>
      </c>
      <c r="BT177" s="546">
        <f t="shared" si="284"/>
        <v>1.6941084900011973E-2</v>
      </c>
      <c r="BU177" s="546">
        <f t="shared" si="285"/>
        <v>3.7006047179978442E-2</v>
      </c>
      <c r="BV177" s="546">
        <f t="shared" si="286"/>
        <v>8.3263606154951486E-2</v>
      </c>
      <c r="BW177" s="546">
        <f t="shared" si="287"/>
        <v>1.4717747192225945E-2</v>
      </c>
      <c r="BX177" s="546"/>
      <c r="BY177" s="656">
        <f t="shared" si="329"/>
        <v>5.7753698522768113E-2</v>
      </c>
      <c r="BZ177" s="472">
        <f t="shared" si="288"/>
        <v>209.68218394993593</v>
      </c>
      <c r="CA177" s="179">
        <f t="shared" si="289"/>
        <v>0.492472834883593</v>
      </c>
      <c r="CB177" s="6">
        <f t="shared" si="290"/>
        <v>3.35</v>
      </c>
      <c r="CC177" s="179">
        <f t="shared" si="291"/>
        <v>0.87183440038593985</v>
      </c>
      <c r="CD177" s="6">
        <f t="shared" si="292"/>
        <v>87.183440038593986</v>
      </c>
      <c r="CE177">
        <f t="shared" si="293"/>
        <v>67</v>
      </c>
      <c r="CG177" s="581">
        <f t="shared" si="330"/>
        <v>-50</v>
      </c>
      <c r="CH177">
        <f t="shared" si="331"/>
        <v>-50</v>
      </c>
    </row>
    <row r="178" spans="5:86" x14ac:dyDescent="0.2">
      <c r="E178" s="176">
        <v>68</v>
      </c>
      <c r="F178" s="223">
        <f t="shared" si="332"/>
        <v>0.34</v>
      </c>
      <c r="G178" s="223">
        <f t="shared" si="294"/>
        <v>0.34</v>
      </c>
      <c r="H178" s="223">
        <f t="shared" si="295"/>
        <v>1.7000000000000002</v>
      </c>
      <c r="I178" s="223">
        <f t="shared" si="296"/>
        <v>1.7000000000000002</v>
      </c>
      <c r="J178" s="559">
        <f t="shared" si="297"/>
        <v>15</v>
      </c>
      <c r="K178" s="454">
        <f t="shared" si="298"/>
        <v>12.189652080344334</v>
      </c>
      <c r="L178" s="454">
        <f t="shared" si="299"/>
        <v>30.75</v>
      </c>
      <c r="M178" s="454"/>
      <c r="N178" s="223">
        <f t="shared" si="300"/>
        <v>0.51219512195121952</v>
      </c>
      <c r="O178" s="178">
        <f t="shared" si="301"/>
        <v>1.2964939024390245</v>
      </c>
      <c r="P178" s="178">
        <f t="shared" si="302"/>
        <v>2.592987804878049</v>
      </c>
      <c r="Q178" s="223">
        <f t="shared" si="303"/>
        <v>0.25929878048780491</v>
      </c>
      <c r="R178" s="223">
        <f t="shared" si="304"/>
        <v>0.25929878048780491</v>
      </c>
      <c r="S178" s="223">
        <f t="shared" si="305"/>
        <v>3.8132173601147779</v>
      </c>
      <c r="T178" s="223">
        <f t="shared" si="306"/>
        <v>0.75</v>
      </c>
      <c r="U178" s="223">
        <f t="shared" si="307"/>
        <v>2.2000000000000002</v>
      </c>
      <c r="V178" s="223">
        <f t="shared" si="308"/>
        <v>2.7072142652219009</v>
      </c>
      <c r="W178" s="203">
        <f t="shared" si="309"/>
        <v>350</v>
      </c>
      <c r="X178" s="454">
        <f t="shared" si="310"/>
        <v>203.7816051944454</v>
      </c>
      <c r="Z178" s="223">
        <f t="shared" si="311"/>
        <v>0.43667486827381158</v>
      </c>
      <c r="AA178" s="179">
        <f t="shared" si="312"/>
        <v>1.5762299102063426</v>
      </c>
      <c r="AB178" s="179">
        <f t="shared" si="313"/>
        <v>0.18067874695725658</v>
      </c>
      <c r="AC178" s="179"/>
      <c r="AD178" s="179">
        <f t="shared" si="314"/>
        <v>0.54144285304438011</v>
      </c>
      <c r="AE178" s="563">
        <f t="shared" si="315"/>
        <v>2790.8967726040901</v>
      </c>
      <c r="AF178" s="546">
        <f t="shared" si="316"/>
        <v>4.2638624677244934E-2</v>
      </c>
      <c r="AH178" s="179">
        <f t="shared" si="317"/>
        <v>0.66449863924498864</v>
      </c>
      <c r="AI178" s="179">
        <f t="shared" si="318"/>
        <v>0.75</v>
      </c>
      <c r="AJ178" s="179">
        <f t="shared" si="319"/>
        <v>1.6444444444444444</v>
      </c>
      <c r="AL178" s="563">
        <f t="shared" si="320"/>
        <v>340</v>
      </c>
      <c r="AM178" s="472">
        <f t="shared" si="321"/>
        <v>203.7816051944454</v>
      </c>
      <c r="AO178" t="str">
        <f t="shared" si="322"/>
        <v/>
      </c>
      <c r="AP178" t="str">
        <f t="shared" si="323"/>
        <v/>
      </c>
      <c r="AR178" s="6">
        <f t="shared" si="245"/>
        <v>4.907214265221902</v>
      </c>
      <c r="AS178" s="6">
        <f t="shared" si="242"/>
        <v>2.2000000000000002</v>
      </c>
      <c r="AT178" s="6">
        <f t="shared" si="243"/>
        <v>2.7072142652219018</v>
      </c>
      <c r="AU178" s="179">
        <f t="shared" si="244"/>
        <v>0.44831953142777986</v>
      </c>
      <c r="AW178" s="6">
        <f t="shared" si="324"/>
        <v>23.491111111111117</v>
      </c>
      <c r="AX178" s="472">
        <f t="shared" si="325"/>
        <v>12.575627423167854</v>
      </c>
      <c r="AY178" s="6">
        <f t="shared" si="326"/>
        <v>23.491111111111117</v>
      </c>
      <c r="AZ178" s="472">
        <f t="shared" si="327"/>
        <v>25.707022222222232</v>
      </c>
      <c r="BA178" s="6">
        <f t="shared" si="271"/>
        <v>0.28409038585661933</v>
      </c>
      <c r="BB178" s="6">
        <f t="shared" si="328"/>
        <v>69.440951864847918</v>
      </c>
      <c r="BC178" s="6"/>
      <c r="BD178" s="179">
        <f t="shared" si="272"/>
        <v>0.28993087476622548</v>
      </c>
      <c r="BE178" s="179">
        <f t="shared" si="273"/>
        <v>0.96486309428624195</v>
      </c>
      <c r="BF178" s="179">
        <f t="shared" si="274"/>
        <v>0.96486309428624195</v>
      </c>
      <c r="BG178" s="179"/>
      <c r="BH178" s="546">
        <f t="shared" si="275"/>
        <v>2.942096924994805E-2</v>
      </c>
      <c r="BI178" s="546">
        <f t="shared" si="276"/>
        <v>3.5247849523476732E-2</v>
      </c>
      <c r="BJ178" s="546">
        <f t="shared" si="277"/>
        <v>2.5472700649305673E-3</v>
      </c>
      <c r="BK178" s="546">
        <f t="shared" si="278"/>
        <v>9.6344122030836404E-3</v>
      </c>
      <c r="BL178">
        <f t="shared" si="279"/>
        <v>4.3499999999999997E-3</v>
      </c>
      <c r="BN178" s="472">
        <f t="shared" si="280"/>
        <v>81.200501041438997</v>
      </c>
      <c r="BO178" s="179">
        <f t="shared" si="281"/>
        <v>0.10200000000000001</v>
      </c>
      <c r="BP178" s="179">
        <f t="shared" si="282"/>
        <v>0.10200000000000001</v>
      </c>
      <c r="BQ178" s="546"/>
      <c r="BS178" s="472">
        <f t="shared" si="283"/>
        <v>204.00000000000003</v>
      </c>
      <c r="BT178" s="546">
        <f t="shared" si="284"/>
        <v>1.6811982428541743E-2</v>
      </c>
      <c r="BU178" s="546">
        <f t="shared" si="285"/>
        <v>3.7238431628624856E-2</v>
      </c>
      <c r="BV178" s="546">
        <f t="shared" si="286"/>
        <v>8.3786471164405921E-2</v>
      </c>
      <c r="BW178" s="546">
        <f t="shared" si="287"/>
        <v>1.4438949916551987E-2</v>
      </c>
      <c r="BX178" s="546"/>
      <c r="BY178" s="656">
        <f t="shared" si="329"/>
        <v>5.7313576460937779E-2</v>
      </c>
      <c r="BZ178" s="472">
        <f t="shared" si="288"/>
        <v>209.58941159906226</v>
      </c>
      <c r="CA178" s="179">
        <f t="shared" si="289"/>
        <v>0.49478991264050126</v>
      </c>
      <c r="CB178" s="6">
        <f t="shared" si="290"/>
        <v>3.4000000000000004</v>
      </c>
      <c r="CC178" s="179">
        <f t="shared" si="291"/>
        <v>0.87296107781457855</v>
      </c>
      <c r="CD178" s="6">
        <f t="shared" si="292"/>
        <v>87.296107781457849</v>
      </c>
      <c r="CE178">
        <f t="shared" si="293"/>
        <v>68</v>
      </c>
      <c r="CG178" s="581">
        <f t="shared" si="330"/>
        <v>-50</v>
      </c>
      <c r="CH178">
        <f t="shared" si="331"/>
        <v>-50</v>
      </c>
    </row>
    <row r="179" spans="5:86" x14ac:dyDescent="0.2">
      <c r="E179" s="176">
        <v>69</v>
      </c>
      <c r="F179" s="223">
        <f t="shared" si="332"/>
        <v>0.34499999999999997</v>
      </c>
      <c r="G179" s="223">
        <f t="shared" si="294"/>
        <v>0.34499999999999997</v>
      </c>
      <c r="H179" s="223">
        <f t="shared" si="295"/>
        <v>1.7249999999999999</v>
      </c>
      <c r="I179" s="223">
        <f t="shared" si="296"/>
        <v>1.7249999999999999</v>
      </c>
      <c r="J179" s="559">
        <f t="shared" si="297"/>
        <v>15</v>
      </c>
      <c r="K179" s="454">
        <f t="shared" si="298"/>
        <v>12.023860021208911</v>
      </c>
      <c r="L179" s="454">
        <f t="shared" si="299"/>
        <v>30.75</v>
      </c>
      <c r="M179" s="454"/>
      <c r="N179" s="223">
        <f t="shared" si="300"/>
        <v>0.51219512195121952</v>
      </c>
      <c r="O179" s="178">
        <f t="shared" si="301"/>
        <v>1.2964939024390245</v>
      </c>
      <c r="P179" s="178">
        <f t="shared" si="302"/>
        <v>2.592987804878049</v>
      </c>
      <c r="Q179" s="223">
        <f t="shared" si="303"/>
        <v>0.25929878048780491</v>
      </c>
      <c r="R179" s="223">
        <f t="shared" si="304"/>
        <v>0.25929878048780491</v>
      </c>
      <c r="S179" s="223">
        <f t="shared" si="305"/>
        <v>3.7579533404029699</v>
      </c>
      <c r="T179" s="223">
        <f t="shared" si="306"/>
        <v>0.75</v>
      </c>
      <c r="U179" s="223">
        <f t="shared" si="307"/>
        <v>2.2000000000000002</v>
      </c>
      <c r="V179" s="223">
        <f t="shared" si="308"/>
        <v>2.7445429289588565</v>
      </c>
      <c r="W179" s="203">
        <f t="shared" si="309"/>
        <v>350</v>
      </c>
      <c r="X179" s="454">
        <f t="shared" si="310"/>
        <v>202.2431626881565</v>
      </c>
      <c r="Z179" s="223">
        <f t="shared" si="311"/>
        <v>0.43337820576033542</v>
      </c>
      <c r="AA179" s="179">
        <f t="shared" si="312"/>
        <v>1.5859001202458733</v>
      </c>
      <c r="AB179" s="179">
        <f t="shared" si="313"/>
        <v>0.18041481901465489</v>
      </c>
      <c r="AC179" s="179"/>
      <c r="AD179" s="179">
        <f t="shared" si="314"/>
        <v>0.54890858579177115</v>
      </c>
      <c r="AE179" s="563">
        <f t="shared" si="315"/>
        <v>2793.4220251293432</v>
      </c>
      <c r="AF179" s="546">
        <f t="shared" si="316"/>
        <v>4.3226551131101978E-2</v>
      </c>
      <c r="AH179" s="179">
        <f t="shared" si="317"/>
        <v>0.6693668262260597</v>
      </c>
      <c r="AI179" s="179">
        <f t="shared" si="318"/>
        <v>0.75</v>
      </c>
      <c r="AJ179" s="179">
        <f t="shared" si="319"/>
        <v>1.6444444444444444</v>
      </c>
      <c r="AL179" s="563">
        <f t="shared" si="320"/>
        <v>345</v>
      </c>
      <c r="AM179" s="472">
        <f t="shared" si="321"/>
        <v>202.2431626881565</v>
      </c>
      <c r="AO179" t="str">
        <f t="shared" si="322"/>
        <v/>
      </c>
      <c r="AP179" t="str">
        <f t="shared" si="323"/>
        <v/>
      </c>
      <c r="AR179" s="6">
        <f t="shared" si="245"/>
        <v>4.9445429289588576</v>
      </c>
      <c r="AS179" s="6">
        <f t="shared" ref="AS179:AS242" si="333">L*AI179/J179*1000000</f>
        <v>2.2000000000000002</v>
      </c>
      <c r="AT179" s="6">
        <f t="shared" ref="AT179:AT242" si="334">AR179-AS179</f>
        <v>2.7445429289588574</v>
      </c>
      <c r="AU179" s="179">
        <f t="shared" ref="AU179:AU242" si="335">AS179/AR179</f>
        <v>0.44493495791394427</v>
      </c>
      <c r="AW179" s="6">
        <f t="shared" si="324"/>
        <v>23.491111111111117</v>
      </c>
      <c r="AX179" s="472">
        <f t="shared" si="325"/>
        <v>12.932997872340422</v>
      </c>
      <c r="AY179" s="6">
        <f t="shared" si="326"/>
        <v>23.491111111111117</v>
      </c>
      <c r="AZ179" s="472">
        <f t="shared" si="327"/>
        <v>26.45345</v>
      </c>
      <c r="BA179" s="6">
        <f t="shared" si="271"/>
        <v>0.29224299706506346</v>
      </c>
      <c r="BB179" s="6">
        <f t="shared" si="328"/>
        <v>71.416097073393018</v>
      </c>
      <c r="BC179" s="6"/>
      <c r="BD179" s="179">
        <f t="shared" si="272"/>
        <v>0.28883438958833235</v>
      </c>
      <c r="BE179" s="179">
        <f t="shared" si="273"/>
        <v>0.96781829829788757</v>
      </c>
      <c r="BF179" s="179">
        <f t="shared" si="274"/>
        <v>0.96781829829788757</v>
      </c>
      <c r="BG179" s="179"/>
      <c r="BH179" s="546">
        <f t="shared" si="275"/>
        <v>2.9198856613102588E-2</v>
      </c>
      <c r="BI179" s="546">
        <f t="shared" si="276"/>
        <v>3.4981747046217065E-2</v>
      </c>
      <c r="BJ179" s="546">
        <f t="shared" si="277"/>
        <v>2.5280395336019562E-3</v>
      </c>
      <c r="BK179" s="546">
        <f t="shared" si="278"/>
        <v>9.561677525966001E-3</v>
      </c>
      <c r="BL179">
        <f t="shared" si="279"/>
        <v>4.3499999999999997E-3</v>
      </c>
      <c r="BN179" s="472">
        <f t="shared" si="280"/>
        <v>80.620320718887612</v>
      </c>
      <c r="BO179" s="179">
        <f t="shared" si="281"/>
        <v>0.10349999999999999</v>
      </c>
      <c r="BP179" s="179">
        <f t="shared" si="282"/>
        <v>0.10349999999999999</v>
      </c>
      <c r="BQ179" s="546"/>
      <c r="BS179" s="472">
        <f t="shared" si="283"/>
        <v>207</v>
      </c>
      <c r="BT179" s="546">
        <f t="shared" si="284"/>
        <v>1.668506092177291E-2</v>
      </c>
      <c r="BU179" s="546">
        <f t="shared" si="285"/>
        <v>3.7466890340808752E-2</v>
      </c>
      <c r="BV179" s="546">
        <f t="shared" si="286"/>
        <v>8.430050326681969E-2</v>
      </c>
      <c r="BW179" s="546">
        <f t="shared" si="287"/>
        <v>1.4167975045558161E-2</v>
      </c>
      <c r="BX179" s="546"/>
      <c r="BY179" s="656">
        <f t="shared" si="329"/>
        <v>5.688088950604403E-2</v>
      </c>
      <c r="BZ179" s="472">
        <f t="shared" si="288"/>
        <v>209.50131908100354</v>
      </c>
      <c r="CA179" s="179">
        <f t="shared" si="289"/>
        <v>0.49712163979989116</v>
      </c>
      <c r="CB179" s="6">
        <f t="shared" si="290"/>
        <v>3.4499999999999997</v>
      </c>
      <c r="CC179" s="179">
        <f t="shared" si="291"/>
        <v>0.87405464407600719</v>
      </c>
      <c r="CD179" s="6">
        <f t="shared" si="292"/>
        <v>87.405464407600718</v>
      </c>
      <c r="CE179">
        <f t="shared" si="293"/>
        <v>69</v>
      </c>
      <c r="CG179" s="581">
        <f t="shared" si="330"/>
        <v>-50</v>
      </c>
      <c r="CH179">
        <f t="shared" si="331"/>
        <v>-50</v>
      </c>
    </row>
    <row r="180" spans="5:86" x14ac:dyDescent="0.2">
      <c r="E180" s="176">
        <v>70</v>
      </c>
      <c r="F180" s="223">
        <f t="shared" si="332"/>
        <v>0.35</v>
      </c>
      <c r="G180" s="223">
        <f t="shared" si="294"/>
        <v>0.35</v>
      </c>
      <c r="H180" s="223">
        <f t="shared" si="295"/>
        <v>1.75</v>
      </c>
      <c r="I180" s="223">
        <f t="shared" si="296"/>
        <v>1.75</v>
      </c>
      <c r="J180" s="559">
        <f t="shared" si="297"/>
        <v>15</v>
      </c>
      <c r="K180" s="454">
        <f t="shared" si="298"/>
        <v>11.862804878048783</v>
      </c>
      <c r="L180" s="454">
        <f t="shared" si="299"/>
        <v>30.75</v>
      </c>
      <c r="M180" s="454"/>
      <c r="N180" s="223">
        <f t="shared" si="300"/>
        <v>0.51219512195121952</v>
      </c>
      <c r="O180" s="178">
        <f t="shared" si="301"/>
        <v>1.2964939024390245</v>
      </c>
      <c r="P180" s="178">
        <f t="shared" si="302"/>
        <v>2.592987804878049</v>
      </c>
      <c r="Q180" s="223">
        <f t="shared" si="303"/>
        <v>0.25929878048780491</v>
      </c>
      <c r="R180" s="223">
        <f t="shared" si="304"/>
        <v>0.25929878048780491</v>
      </c>
      <c r="S180" s="223">
        <f t="shared" si="305"/>
        <v>3.7042682926829276</v>
      </c>
      <c r="T180" s="223">
        <f t="shared" si="306"/>
        <v>0.75</v>
      </c>
      <c r="U180" s="223">
        <f t="shared" si="307"/>
        <v>2.2000000000000002</v>
      </c>
      <c r="V180" s="223">
        <f t="shared" si="308"/>
        <v>2.7818041634541246</v>
      </c>
      <c r="W180" s="203">
        <f t="shared" si="309"/>
        <v>350</v>
      </c>
      <c r="X180" s="454">
        <f t="shared" si="310"/>
        <v>200.73049184387284</v>
      </c>
      <c r="Z180" s="223">
        <f t="shared" si="311"/>
        <v>0.43013676823687041</v>
      </c>
      <c r="AA180" s="179">
        <f t="shared" si="312"/>
        <v>1.5954083369813705</v>
      </c>
      <c r="AB180" s="179">
        <f t="shared" si="313"/>
        <v>0.18013899384792326</v>
      </c>
      <c r="AC180" s="179"/>
      <c r="AD180" s="179">
        <f t="shared" si="314"/>
        <v>0.55636083269082481</v>
      </c>
      <c r="AE180" s="563">
        <f t="shared" si="315"/>
        <v>2795.9472776545954</v>
      </c>
      <c r="AF180" s="546">
        <f t="shared" si="316"/>
        <v>4.3813415574402464E-2</v>
      </c>
      <c r="AH180" s="179">
        <f t="shared" si="317"/>
        <v>0.67419986246324204</v>
      </c>
      <c r="AI180" s="179">
        <f t="shared" si="318"/>
        <v>0.75</v>
      </c>
      <c r="AJ180" s="179">
        <f t="shared" si="319"/>
        <v>1.6444444444444444</v>
      </c>
      <c r="AL180" s="563">
        <f t="shared" si="320"/>
        <v>350</v>
      </c>
      <c r="AM180" s="472">
        <f t="shared" si="321"/>
        <v>200.73049184387284</v>
      </c>
      <c r="AO180" t="str">
        <f t="shared" si="322"/>
        <v/>
      </c>
      <c r="AP180" t="str">
        <f t="shared" si="323"/>
        <v/>
      </c>
      <c r="AR180" s="6">
        <f t="shared" si="245"/>
        <v>4.9818041634541244</v>
      </c>
      <c r="AS180" s="6">
        <f t="shared" si="333"/>
        <v>2.2000000000000002</v>
      </c>
      <c r="AT180" s="6">
        <f t="shared" si="334"/>
        <v>2.7818041634541242</v>
      </c>
      <c r="AU180" s="179">
        <f t="shared" si="335"/>
        <v>0.44160708205652033</v>
      </c>
      <c r="AW180" s="6">
        <f t="shared" si="324"/>
        <v>23.491111111111117</v>
      </c>
      <c r="AX180" s="472">
        <f t="shared" si="325"/>
        <v>13.295366430260046</v>
      </c>
      <c r="AY180" s="6">
        <f t="shared" si="326"/>
        <v>23.491111111111117</v>
      </c>
      <c r="AZ180" s="472">
        <f t="shared" si="327"/>
        <v>27.210555555555551</v>
      </c>
      <c r="BA180" s="6">
        <f t="shared" si="271"/>
        <v>0.30050353617559977</v>
      </c>
      <c r="BB180" s="6">
        <f t="shared" si="328"/>
        <v>73.417144978440248</v>
      </c>
      <c r="BC180" s="6"/>
      <c r="BD180" s="179">
        <f t="shared" si="272"/>
        <v>0.28775219875023988</v>
      </c>
      <c r="BE180" s="179">
        <f t="shared" si="273"/>
        <v>0.97071522550623568</v>
      </c>
      <c r="BF180" s="179">
        <f t="shared" si="274"/>
        <v>0.97071522550623568</v>
      </c>
      <c r="BG180" s="179"/>
      <c r="BH180" s="546">
        <f t="shared" si="275"/>
        <v>2.8980464759959145E-2</v>
      </c>
      <c r="BI180" s="546">
        <f t="shared" si="276"/>
        <v>3.4720102261119878E-2</v>
      </c>
      <c r="BJ180" s="546">
        <f t="shared" si="277"/>
        <v>2.5091311480484103E-3</v>
      </c>
      <c r="BK180" s="546">
        <f t="shared" si="278"/>
        <v>9.4901612847061011E-3</v>
      </c>
      <c r="BL180">
        <f t="shared" si="279"/>
        <v>4.3499999999999997E-3</v>
      </c>
      <c r="BN180" s="472">
        <f t="shared" si="280"/>
        <v>80.049859453833534</v>
      </c>
      <c r="BO180" s="179">
        <f t="shared" si="281"/>
        <v>0.105</v>
      </c>
      <c r="BP180" s="179">
        <f t="shared" si="282"/>
        <v>0.105</v>
      </c>
      <c r="BQ180" s="546"/>
      <c r="BS180" s="472">
        <f t="shared" si="283"/>
        <v>210</v>
      </c>
      <c r="BT180" s="546">
        <f t="shared" si="284"/>
        <v>1.6560265577119513E-2</v>
      </c>
      <c r="BU180" s="546">
        <f t="shared" si="285"/>
        <v>3.769152196118488E-2</v>
      </c>
      <c r="BV180" s="546">
        <f t="shared" si="286"/>
        <v>8.4805924412665976E-2</v>
      </c>
      <c r="BW180" s="546">
        <f t="shared" si="287"/>
        <v>1.390453708227498E-2</v>
      </c>
      <c r="BX180" s="546"/>
      <c r="BY180" s="656">
        <f t="shared" si="329"/>
        <v>5.645545083108925E-2</v>
      </c>
      <c r="BZ180" s="472">
        <f t="shared" si="288"/>
        <v>209.41769986433462</v>
      </c>
      <c r="CA180" s="179">
        <f t="shared" si="289"/>
        <v>0.49946755931816811</v>
      </c>
      <c r="CB180" s="6">
        <f t="shared" si="290"/>
        <v>3.5</v>
      </c>
      <c r="CC180" s="179">
        <f t="shared" si="291"/>
        <v>0.87511648690474253</v>
      </c>
      <c r="CD180" s="6">
        <f t="shared" si="292"/>
        <v>87.51164869047426</v>
      </c>
      <c r="CE180">
        <f t="shared" si="293"/>
        <v>70</v>
      </c>
      <c r="CG180" s="581">
        <f t="shared" si="330"/>
        <v>-50</v>
      </c>
      <c r="CH180">
        <f t="shared" si="331"/>
        <v>-50</v>
      </c>
    </row>
    <row r="181" spans="5:86" x14ac:dyDescent="0.2">
      <c r="E181" s="176">
        <v>71</v>
      </c>
      <c r="F181" s="223">
        <f t="shared" si="332"/>
        <v>0.35499999999999998</v>
      </c>
      <c r="G181" s="223">
        <f t="shared" si="294"/>
        <v>0.35499999999999998</v>
      </c>
      <c r="H181" s="223">
        <f t="shared" si="295"/>
        <v>1.7749999999999999</v>
      </c>
      <c r="I181" s="223">
        <f t="shared" si="296"/>
        <v>1.7749999999999999</v>
      </c>
      <c r="J181" s="559">
        <f t="shared" si="297"/>
        <v>15</v>
      </c>
      <c r="K181" s="454">
        <f t="shared" si="298"/>
        <v>11.706286499484715</v>
      </c>
      <c r="L181" s="454">
        <f t="shared" si="299"/>
        <v>30.75</v>
      </c>
      <c r="M181" s="454"/>
      <c r="N181" s="223">
        <f t="shared" si="300"/>
        <v>0.51219512195121952</v>
      </c>
      <c r="O181" s="178">
        <f t="shared" si="301"/>
        <v>1.2964939024390245</v>
      </c>
      <c r="P181" s="178">
        <f t="shared" si="302"/>
        <v>2.592987804878049</v>
      </c>
      <c r="Q181" s="223">
        <f t="shared" si="303"/>
        <v>0.25929878048780491</v>
      </c>
      <c r="R181" s="223">
        <f t="shared" si="304"/>
        <v>0.25929878048780491</v>
      </c>
      <c r="S181" s="223">
        <f t="shared" si="305"/>
        <v>3.6520954998282384</v>
      </c>
      <c r="T181" s="223">
        <f t="shared" si="306"/>
        <v>0.75</v>
      </c>
      <c r="U181" s="223">
        <f t="shared" si="307"/>
        <v>2.2000000000000002</v>
      </c>
      <c r="V181" s="223">
        <f t="shared" si="308"/>
        <v>2.8189981512457081</v>
      </c>
      <c r="W181" s="203">
        <f t="shared" si="309"/>
        <v>350</v>
      </c>
      <c r="X181" s="454">
        <f t="shared" si="310"/>
        <v>199.24295045850963</v>
      </c>
      <c r="Z181" s="223">
        <f t="shared" si="311"/>
        <v>0.42694917955394923</v>
      </c>
      <c r="AA181" s="179">
        <f t="shared" si="312"/>
        <v>1.6047585971179394</v>
      </c>
      <c r="AB181" s="179">
        <f t="shared" si="313"/>
        <v>0.17985197118568333</v>
      </c>
      <c r="AC181" s="179"/>
      <c r="AD181" s="179">
        <f t="shared" si="314"/>
        <v>0.56379963024914159</v>
      </c>
      <c r="AE181" s="563">
        <f t="shared" si="315"/>
        <v>2798.4725301798476</v>
      </c>
      <c r="AF181" s="546">
        <f t="shared" si="316"/>
        <v>4.4399220882119901E-2</v>
      </c>
      <c r="AH181" s="179">
        <f t="shared" si="317"/>
        <v>0.67899849855427596</v>
      </c>
      <c r="AI181" s="179">
        <f t="shared" si="318"/>
        <v>0.75</v>
      </c>
      <c r="AJ181" s="179">
        <f t="shared" si="319"/>
        <v>1.6444444444444444</v>
      </c>
      <c r="AL181" s="563">
        <f t="shared" si="320"/>
        <v>355</v>
      </c>
      <c r="AM181" s="472">
        <f t="shared" si="321"/>
        <v>199.24295045850963</v>
      </c>
      <c r="AO181" t="str">
        <f t="shared" si="322"/>
        <v/>
      </c>
      <c r="AP181" t="str">
        <f t="shared" si="323"/>
        <v/>
      </c>
      <c r="AR181" s="6">
        <f t="shared" si="245"/>
        <v>5.0189981512457083</v>
      </c>
      <c r="AS181" s="6">
        <f t="shared" si="333"/>
        <v>2.2000000000000002</v>
      </c>
      <c r="AT181" s="6">
        <f t="shared" si="334"/>
        <v>2.8189981512457081</v>
      </c>
      <c r="AU181" s="179">
        <f t="shared" si="335"/>
        <v>0.43833449100872118</v>
      </c>
      <c r="AW181" s="6">
        <f t="shared" si="324"/>
        <v>23.491111111111117</v>
      </c>
      <c r="AX181" s="472">
        <f t="shared" si="325"/>
        <v>13.662733096926715</v>
      </c>
      <c r="AY181" s="6">
        <f t="shared" si="326"/>
        <v>23.491111111111117</v>
      </c>
      <c r="AZ181" s="472">
        <f t="shared" si="327"/>
        <v>27.978338888888892</v>
      </c>
      <c r="BA181" s="6">
        <f t="shared" si="271"/>
        <v>0.30887171101611921</v>
      </c>
      <c r="BB181" s="6">
        <f t="shared" si="328"/>
        <v>75.444025458683427</v>
      </c>
      <c r="BC181" s="6"/>
      <c r="BD181" s="179">
        <f t="shared" si="272"/>
        <v>0.28668400210708522</v>
      </c>
      <c r="BE181" s="179">
        <f t="shared" si="273"/>
        <v>0.97355562061075007</v>
      </c>
      <c r="BF181" s="179">
        <f t="shared" si="274"/>
        <v>0.97355562061075007</v>
      </c>
      <c r="BG181" s="179"/>
      <c r="BH181" s="546">
        <f t="shared" si="275"/>
        <v>2.8765700972447333E-2</v>
      </c>
      <c r="BI181" s="546">
        <f t="shared" si="276"/>
        <v>3.4462804087120331E-2</v>
      </c>
      <c r="BJ181" s="546">
        <f t="shared" si="277"/>
        <v>2.4905368807313704E-3</v>
      </c>
      <c r="BK181" s="546">
        <f t="shared" si="278"/>
        <v>9.4198331171462257E-3</v>
      </c>
      <c r="BL181">
        <f t="shared" si="279"/>
        <v>4.3499999999999997E-3</v>
      </c>
      <c r="BN181" s="472">
        <f t="shared" si="280"/>
        <v>79.488875057445256</v>
      </c>
      <c r="BO181" s="179">
        <f t="shared" si="281"/>
        <v>0.1065</v>
      </c>
      <c r="BP181" s="179">
        <f t="shared" si="282"/>
        <v>0.1065</v>
      </c>
      <c r="BQ181" s="546"/>
      <c r="BS181" s="472">
        <f t="shared" si="283"/>
        <v>213</v>
      </c>
      <c r="BT181" s="546">
        <f t="shared" si="284"/>
        <v>1.6437543412827049E-2</v>
      </c>
      <c r="BU181" s="546">
        <f t="shared" si="285"/>
        <v>3.7912421856911308E-2</v>
      </c>
      <c r="BV181" s="546">
        <f t="shared" si="286"/>
        <v>8.5302949178050438E-2</v>
      </c>
      <c r="BW181" s="546">
        <f t="shared" si="287"/>
        <v>1.3648363276877455E-2</v>
      </c>
      <c r="BX181" s="546"/>
      <c r="BY181" s="656">
        <f t="shared" si="329"/>
        <v>5.6037079816455844E-2</v>
      </c>
      <c r="BZ181" s="472">
        <f t="shared" si="288"/>
        <v>209.33835754112209</v>
      </c>
      <c r="CA181" s="179">
        <f t="shared" si="289"/>
        <v>0.50182723259856732</v>
      </c>
      <c r="CB181" s="6">
        <f t="shared" si="290"/>
        <v>3.55</v>
      </c>
      <c r="CC181" s="179">
        <f t="shared" si="291"/>
        <v>0.8761479194963776</v>
      </c>
      <c r="CD181" s="6">
        <f t="shared" si="292"/>
        <v>87.614791949637763</v>
      </c>
      <c r="CE181">
        <f t="shared" si="293"/>
        <v>71</v>
      </c>
      <c r="CG181" s="581">
        <f t="shared" si="330"/>
        <v>-50</v>
      </c>
      <c r="CH181">
        <f t="shared" si="331"/>
        <v>-50</v>
      </c>
    </row>
    <row r="182" spans="5:86" x14ac:dyDescent="0.2">
      <c r="E182" s="176">
        <v>72</v>
      </c>
      <c r="F182" s="223">
        <f t="shared" si="332"/>
        <v>0.36</v>
      </c>
      <c r="G182" s="223">
        <f t="shared" si="294"/>
        <v>0.36</v>
      </c>
      <c r="H182" s="223">
        <f t="shared" si="295"/>
        <v>1.7999999999999998</v>
      </c>
      <c r="I182" s="223">
        <f t="shared" si="296"/>
        <v>1.7999999999999998</v>
      </c>
      <c r="J182" s="559">
        <f t="shared" si="297"/>
        <v>15</v>
      </c>
      <c r="K182" s="454">
        <f t="shared" si="298"/>
        <v>11.554115853658539</v>
      </c>
      <c r="L182" s="454">
        <f t="shared" si="299"/>
        <v>30.75</v>
      </c>
      <c r="M182" s="454"/>
      <c r="N182" s="223">
        <f t="shared" si="300"/>
        <v>0.51219512195121952</v>
      </c>
      <c r="O182" s="178">
        <f t="shared" si="301"/>
        <v>1.2964939024390245</v>
      </c>
      <c r="P182" s="178">
        <f t="shared" si="302"/>
        <v>2.592987804878049</v>
      </c>
      <c r="Q182" s="223">
        <f t="shared" si="303"/>
        <v>0.25929878048780491</v>
      </c>
      <c r="R182" s="223">
        <f t="shared" si="304"/>
        <v>0.25929878048780491</v>
      </c>
      <c r="S182" s="223">
        <f t="shared" si="305"/>
        <v>3.6013719512195128</v>
      </c>
      <c r="T182" s="223">
        <f t="shared" si="306"/>
        <v>0.75</v>
      </c>
      <c r="U182" s="223">
        <f t="shared" si="307"/>
        <v>2.2000000000000002</v>
      </c>
      <c r="V182" s="223">
        <f t="shared" si="308"/>
        <v>2.8561250742133382</v>
      </c>
      <c r="W182" s="203">
        <f t="shared" si="309"/>
        <v>350</v>
      </c>
      <c r="X182" s="454">
        <f t="shared" si="310"/>
        <v>197.77991749058657</v>
      </c>
      <c r="Z182" s="223">
        <f t="shared" si="311"/>
        <v>0.42381410890839988</v>
      </c>
      <c r="AA182" s="179">
        <f t="shared" si="312"/>
        <v>1.6139548043448844</v>
      </c>
      <c r="AB182" s="179">
        <f t="shared" si="313"/>
        <v>0.17955441452073773</v>
      </c>
      <c r="AC182" s="179"/>
      <c r="AD182" s="179">
        <f t="shared" si="314"/>
        <v>0.57122501484266763</v>
      </c>
      <c r="AE182" s="563">
        <f t="shared" si="315"/>
        <v>2800.9977827051002</v>
      </c>
      <c r="AF182" s="546">
        <f t="shared" si="316"/>
        <v>4.498396991886007E-2</v>
      </c>
      <c r="AH182" s="179">
        <f t="shared" si="317"/>
        <v>0.68376345875782762</v>
      </c>
      <c r="AI182" s="179">
        <f t="shared" si="318"/>
        <v>0.75</v>
      </c>
      <c r="AJ182" s="179">
        <f t="shared" si="319"/>
        <v>1.6444444444444444</v>
      </c>
      <c r="AL182" s="563">
        <f t="shared" si="320"/>
        <v>360</v>
      </c>
      <c r="AM182" s="472">
        <f t="shared" si="321"/>
        <v>197.77991749058657</v>
      </c>
      <c r="AO182" t="str">
        <f t="shared" si="322"/>
        <v/>
      </c>
      <c r="AP182" t="str">
        <f t="shared" si="323"/>
        <v/>
      </c>
      <c r="AR182" s="6">
        <f t="shared" si="245"/>
        <v>5.0561250742133383</v>
      </c>
      <c r="AS182" s="6">
        <f t="shared" si="333"/>
        <v>2.2000000000000002</v>
      </c>
      <c r="AT182" s="6">
        <f t="shared" si="334"/>
        <v>2.8561250742133382</v>
      </c>
      <c r="AU182" s="179">
        <f t="shared" si="335"/>
        <v>0.43511581847929048</v>
      </c>
      <c r="AW182" s="6">
        <f t="shared" si="324"/>
        <v>23.491111111111117</v>
      </c>
      <c r="AX182" s="472">
        <f t="shared" si="325"/>
        <v>14.035097872340426</v>
      </c>
      <c r="AY182" s="6">
        <f t="shared" si="326"/>
        <v>23.491111111111117</v>
      </c>
      <c r="AZ182" s="472">
        <f t="shared" si="327"/>
        <v>28.756800000000005</v>
      </c>
      <c r="BA182" s="6">
        <f t="shared" si="271"/>
        <v>0.31734723046814861</v>
      </c>
      <c r="BB182" s="6">
        <f t="shared" si="328"/>
        <v>77.496668645689013</v>
      </c>
      <c r="BC182" s="6"/>
      <c r="BD182" s="179">
        <f t="shared" si="272"/>
        <v>0.2856295082180183</v>
      </c>
      <c r="BE182" s="179">
        <f t="shared" si="273"/>
        <v>0.97634115774978847</v>
      </c>
      <c r="BF182" s="179">
        <f t="shared" si="274"/>
        <v>0.97634115774978847</v>
      </c>
      <c r="BG182" s="179"/>
      <c r="BH182" s="546">
        <f t="shared" si="275"/>
        <v>2.8554475587703441E-2</v>
      </c>
      <c r="BI182" s="546">
        <f t="shared" si="276"/>
        <v>3.4209745103449887E-2</v>
      </c>
      <c r="BJ182" s="546">
        <f t="shared" si="277"/>
        <v>2.4722489686323321E-3</v>
      </c>
      <c r="BK182" s="546">
        <f t="shared" si="278"/>
        <v>9.350663661609639E-3</v>
      </c>
      <c r="BL182">
        <f t="shared" si="279"/>
        <v>4.3499999999999997E-3</v>
      </c>
      <c r="BN182" s="472">
        <f t="shared" si="280"/>
        <v>78.937133321395294</v>
      </c>
      <c r="BO182" s="179">
        <f t="shared" si="281"/>
        <v>0.108</v>
      </c>
      <c r="BP182" s="179">
        <f t="shared" si="282"/>
        <v>0.108</v>
      </c>
      <c r="BQ182" s="546"/>
      <c r="BS182" s="472">
        <f t="shared" si="283"/>
        <v>216</v>
      </c>
      <c r="BT182" s="546">
        <f t="shared" si="284"/>
        <v>1.6316843192973395E-2</v>
      </c>
      <c r="BU182" s="546">
        <f t="shared" si="285"/>
        <v>3.8129682252647894E-2</v>
      </c>
      <c r="BV182" s="546">
        <f t="shared" si="286"/>
        <v>8.5791785068457749E-2</v>
      </c>
      <c r="BW182" s="546">
        <f t="shared" si="287"/>
        <v>1.3399192956207779E-2</v>
      </c>
      <c r="BX182" s="546"/>
      <c r="BY182" s="656">
        <f t="shared" si="329"/>
        <v>5.5625601794227486E-2</v>
      </c>
      <c r="BZ182" s="472">
        <f t="shared" si="288"/>
        <v>209.26310526451431</v>
      </c>
      <c r="CA182" s="179">
        <f t="shared" si="289"/>
        <v>0.50420023858590957</v>
      </c>
      <c r="CB182" s="6">
        <f t="shared" si="290"/>
        <v>3.5999999999999996</v>
      </c>
      <c r="CC182" s="179">
        <f t="shared" si="291"/>
        <v>0.877150185352645</v>
      </c>
      <c r="CD182" s="6">
        <f t="shared" si="292"/>
        <v>87.715018535264505</v>
      </c>
      <c r="CE182">
        <f t="shared" si="293"/>
        <v>72</v>
      </c>
      <c r="CG182" s="581">
        <f t="shared" si="330"/>
        <v>-50</v>
      </c>
      <c r="CH182">
        <f t="shared" si="331"/>
        <v>-50</v>
      </c>
    </row>
    <row r="183" spans="5:86" x14ac:dyDescent="0.2">
      <c r="E183" s="176">
        <v>73</v>
      </c>
      <c r="F183" s="223">
        <f t="shared" si="332"/>
        <v>0.36499999999999999</v>
      </c>
      <c r="G183" s="223">
        <f t="shared" si="294"/>
        <v>0.36499999999999999</v>
      </c>
      <c r="H183" s="223">
        <f t="shared" si="295"/>
        <v>1.825</v>
      </c>
      <c r="I183" s="223">
        <f t="shared" si="296"/>
        <v>1.825</v>
      </c>
      <c r="J183" s="559">
        <f t="shared" si="297"/>
        <v>15</v>
      </c>
      <c r="K183" s="454">
        <f t="shared" si="298"/>
        <v>11.406114266622119</v>
      </c>
      <c r="L183" s="454">
        <f t="shared" si="299"/>
        <v>30.75</v>
      </c>
      <c r="M183" s="454"/>
      <c r="N183" s="223">
        <f t="shared" si="300"/>
        <v>0.51219512195121952</v>
      </c>
      <c r="O183" s="178">
        <f t="shared" si="301"/>
        <v>1.2964939024390245</v>
      </c>
      <c r="P183" s="178">
        <f t="shared" si="302"/>
        <v>2.592987804878049</v>
      </c>
      <c r="Q183" s="223">
        <f t="shared" si="303"/>
        <v>0.25929878048780491</v>
      </c>
      <c r="R183" s="223">
        <f t="shared" si="304"/>
        <v>0.25929878048780491</v>
      </c>
      <c r="S183" s="223">
        <f t="shared" si="305"/>
        <v>3.5520380888740397</v>
      </c>
      <c r="T183" s="223">
        <f t="shared" si="306"/>
        <v>0.75</v>
      </c>
      <c r="U183" s="223">
        <f t="shared" si="307"/>
        <v>2.2000000000000002</v>
      </c>
      <c r="V183" s="223">
        <f t="shared" si="308"/>
        <v>2.8931851135814406</v>
      </c>
      <c r="W183" s="203">
        <f t="shared" si="309"/>
        <v>350</v>
      </c>
      <c r="X183" s="454">
        <f t="shared" si="310"/>
        <v>196.34079219571444</v>
      </c>
      <c r="Z183" s="223">
        <f t="shared" si="311"/>
        <v>0.42073026899081672</v>
      </c>
      <c r="AA183" s="179">
        <f t="shared" si="312"/>
        <v>1.6230007347697946</v>
      </c>
      <c r="AB183" s="179">
        <f t="shared" si="313"/>
        <v>0.17924695312439703</v>
      </c>
      <c r="AC183" s="179"/>
      <c r="AD183" s="179">
        <f t="shared" si="314"/>
        <v>0.57863702271628803</v>
      </c>
      <c r="AE183" s="563">
        <f t="shared" si="315"/>
        <v>2803.5230352303524</v>
      </c>
      <c r="AF183" s="546">
        <f t="shared" si="316"/>
        <v>4.5567665538907683E-2</v>
      </c>
      <c r="AH183" s="179">
        <f t="shared" si="317"/>
        <v>0.68849544226957238</v>
      </c>
      <c r="AI183" s="179">
        <f t="shared" si="318"/>
        <v>0.75</v>
      </c>
      <c r="AJ183" s="179">
        <f t="shared" si="319"/>
        <v>1.6444444444444444</v>
      </c>
      <c r="AL183" s="563">
        <f t="shared" si="320"/>
        <v>365</v>
      </c>
      <c r="AM183" s="472">
        <f t="shared" si="321"/>
        <v>196.34079219571444</v>
      </c>
      <c r="AO183" t="str">
        <f t="shared" si="322"/>
        <v/>
      </c>
      <c r="AP183" t="str">
        <f t="shared" si="323"/>
        <v/>
      </c>
      <c r="AR183" s="6">
        <f t="shared" si="245"/>
        <v>5.0931851135814412</v>
      </c>
      <c r="AS183" s="6">
        <f t="shared" si="333"/>
        <v>2.2000000000000002</v>
      </c>
      <c r="AT183" s="6">
        <f t="shared" si="334"/>
        <v>2.893185113581441</v>
      </c>
      <c r="AU183" s="179">
        <f t="shared" si="335"/>
        <v>0.4319497428305718</v>
      </c>
      <c r="AW183" s="6">
        <f t="shared" si="324"/>
        <v>23.491111111111117</v>
      </c>
      <c r="AX183" s="472">
        <f t="shared" si="325"/>
        <v>14.412460756501181</v>
      </c>
      <c r="AY183" s="6">
        <f t="shared" si="326"/>
        <v>23.491111111111117</v>
      </c>
      <c r="AZ183" s="472">
        <f t="shared" si="327"/>
        <v>29.545938888888884</v>
      </c>
      <c r="BA183" s="6">
        <f t="shared" si="271"/>
        <v>0.32592980446210673</v>
      </c>
      <c r="BB183" s="6">
        <f t="shared" si="328"/>
        <v>79.575004922757486</v>
      </c>
      <c r="BC183" s="6"/>
      <c r="BD183" s="179">
        <f t="shared" si="272"/>
        <v>0.28458843402487777</v>
      </c>
      <c r="BE183" s="179">
        <f t="shared" si="273"/>
        <v>0.97907344411612451</v>
      </c>
      <c r="BF183" s="179">
        <f t="shared" si="274"/>
        <v>0.97907344411612451</v>
      </c>
      <c r="BG183" s="179"/>
      <c r="BH183" s="546">
        <f t="shared" si="275"/>
        <v>2.8346701873256271E-2</v>
      </c>
      <c r="BI183" s="546">
        <f t="shared" si="276"/>
        <v>3.3960821400102474E-2</v>
      </c>
      <c r="BJ183" s="546">
        <f t="shared" si="277"/>
        <v>2.4542599024464304E-3</v>
      </c>
      <c r="BK183" s="546">
        <f t="shared" si="278"/>
        <v>9.2826245160280135E-3</v>
      </c>
      <c r="BL183">
        <f t="shared" si="279"/>
        <v>4.3499999999999997E-3</v>
      </c>
      <c r="BN183" s="472">
        <f t="shared" si="280"/>
        <v>78.39440769183318</v>
      </c>
      <c r="BO183" s="179">
        <f t="shared" si="281"/>
        <v>0.1095</v>
      </c>
      <c r="BP183" s="179">
        <f t="shared" si="282"/>
        <v>0.1095</v>
      </c>
      <c r="BQ183" s="546"/>
      <c r="BS183" s="472">
        <f t="shared" si="283"/>
        <v>219</v>
      </c>
      <c r="BT183" s="546">
        <f t="shared" si="284"/>
        <v>1.6198115356146441E-2</v>
      </c>
      <c r="BU183" s="546">
        <f t="shared" si="285"/>
        <v>3.8343392358936405E-2</v>
      </c>
      <c r="BV183" s="546">
        <f t="shared" si="286"/>
        <v>8.62726328076069E-2</v>
      </c>
      <c r="BW183" s="546">
        <f t="shared" si="287"/>
        <v>1.3156776893781866E-2</v>
      </c>
      <c r="BX183" s="546"/>
      <c r="BY183" s="656">
        <f t="shared" si="329"/>
        <v>5.5220847805044694E-2</v>
      </c>
      <c r="BZ183" s="472">
        <f t="shared" si="288"/>
        <v>209.19176522151631</v>
      </c>
      <c r="CA183" s="179">
        <f t="shared" si="289"/>
        <v>0.50658617291334951</v>
      </c>
      <c r="CB183" s="6">
        <f t="shared" si="290"/>
        <v>3.65</v>
      </c>
      <c r="CC183" s="179">
        <f t="shared" si="291"/>
        <v>0.87812446275875389</v>
      </c>
      <c r="CD183" s="6">
        <f t="shared" si="292"/>
        <v>87.812446275875388</v>
      </c>
      <c r="CE183">
        <f t="shared" si="293"/>
        <v>73</v>
      </c>
      <c r="CG183" s="581">
        <f t="shared" si="330"/>
        <v>-50</v>
      </c>
      <c r="CH183">
        <f t="shared" si="331"/>
        <v>-50</v>
      </c>
    </row>
    <row r="184" spans="5:86" x14ac:dyDescent="0.2">
      <c r="E184" s="176">
        <v>74</v>
      </c>
      <c r="F184" s="223">
        <f t="shared" si="332"/>
        <v>0.37</v>
      </c>
      <c r="G184" s="223">
        <f t="shared" si="294"/>
        <v>0.37</v>
      </c>
      <c r="H184" s="223">
        <f t="shared" si="295"/>
        <v>1.85</v>
      </c>
      <c r="I184" s="223">
        <f t="shared" si="296"/>
        <v>1.85</v>
      </c>
      <c r="J184" s="559">
        <f t="shared" si="297"/>
        <v>15</v>
      </c>
      <c r="K184" s="454">
        <f t="shared" si="298"/>
        <v>11.262112722478577</v>
      </c>
      <c r="L184" s="454">
        <f t="shared" si="299"/>
        <v>30.75</v>
      </c>
      <c r="M184" s="454"/>
      <c r="N184" s="223">
        <f t="shared" si="300"/>
        <v>0.51219512195121952</v>
      </c>
      <c r="O184" s="178">
        <f t="shared" si="301"/>
        <v>1.2964939024390245</v>
      </c>
      <c r="P184" s="178">
        <f t="shared" si="302"/>
        <v>2.592987804878049</v>
      </c>
      <c r="Q184" s="223">
        <f t="shared" si="303"/>
        <v>0.25929878048780491</v>
      </c>
      <c r="R184" s="223">
        <f t="shared" si="304"/>
        <v>0.25929878048780491</v>
      </c>
      <c r="S184" s="223">
        <f t="shared" si="305"/>
        <v>3.5040375741595255</v>
      </c>
      <c r="T184" s="223">
        <f t="shared" si="306"/>
        <v>0.75</v>
      </c>
      <c r="U184" s="223">
        <f t="shared" si="307"/>
        <v>2.2000000000000002</v>
      </c>
      <c r="V184" s="223">
        <f t="shared" si="308"/>
        <v>2.9301784499220793</v>
      </c>
      <c r="W184" s="203">
        <f t="shared" si="309"/>
        <v>350</v>
      </c>
      <c r="X184" s="454">
        <f t="shared" si="310"/>
        <v>194.9249933041196</v>
      </c>
      <c r="Z184" s="223">
        <f t="shared" si="311"/>
        <v>0.41769641422311343</v>
      </c>
      <c r="AA184" s="179">
        <f t="shared" si="312"/>
        <v>1.6319000420883907</v>
      </c>
      <c r="AB184" s="179">
        <f t="shared" si="313"/>
        <v>0.178930183937103</v>
      </c>
      <c r="AC184" s="179"/>
      <c r="AD184" s="179">
        <f t="shared" si="314"/>
        <v>0.58603568998441569</v>
      </c>
      <c r="AE184" s="563">
        <f t="shared" si="315"/>
        <v>2806.0482877556051</v>
      </c>
      <c r="AF184" s="546">
        <f t="shared" si="316"/>
        <v>4.6150310586272739E-2</v>
      </c>
      <c r="AH184" s="179">
        <f t="shared" si="317"/>
        <v>0.69319512441987108</v>
      </c>
      <c r="AI184" s="179">
        <f t="shared" si="318"/>
        <v>0.75</v>
      </c>
      <c r="AJ184" s="179">
        <f t="shared" si="319"/>
        <v>1.6444444444444444</v>
      </c>
      <c r="AL184" s="563">
        <f t="shared" si="320"/>
        <v>370</v>
      </c>
      <c r="AM184" s="472">
        <f t="shared" si="321"/>
        <v>194.9249933041196</v>
      </c>
      <c r="AO184" t="str">
        <f t="shared" si="322"/>
        <v/>
      </c>
      <c r="AP184" t="str">
        <f t="shared" si="323"/>
        <v/>
      </c>
      <c r="AR184" s="6">
        <f t="shared" si="245"/>
        <v>5.1301784499220799</v>
      </c>
      <c r="AS184" s="6">
        <f t="shared" si="333"/>
        <v>2.2000000000000002</v>
      </c>
      <c r="AT184" s="6">
        <f t="shared" si="334"/>
        <v>2.9301784499220798</v>
      </c>
      <c r="AU184" s="179">
        <f t="shared" si="335"/>
        <v>0.42883498526906311</v>
      </c>
      <c r="AW184" s="6">
        <f t="shared" si="324"/>
        <v>23.491111111111117</v>
      </c>
      <c r="AX184" s="472">
        <f t="shared" si="325"/>
        <v>14.794821749408982</v>
      </c>
      <c r="AY184" s="6">
        <f t="shared" si="326"/>
        <v>23.491111111111117</v>
      </c>
      <c r="AZ184" s="472">
        <f t="shared" si="327"/>
        <v>30.345755555555552</v>
      </c>
      <c r="BA184" s="6">
        <f t="shared" si="271"/>
        <v>0.33461914397258313</v>
      </c>
      <c r="BB184" s="6">
        <f t="shared" si="328"/>
        <v>81.678964923790332</v>
      </c>
      <c r="BC184" s="6"/>
      <c r="BD184" s="179">
        <f t="shared" si="272"/>
        <v>0.2835605045452369</v>
      </c>
      <c r="BE184" s="179">
        <f t="shared" si="273"/>
        <v>0.98175402334722106</v>
      </c>
      <c r="BF184" s="179">
        <f t="shared" si="274"/>
        <v>0.98175402334722106</v>
      </c>
      <c r="BG184" s="179"/>
      <c r="BH184" s="546">
        <f t="shared" si="275"/>
        <v>2.814229590828226E-2</v>
      </c>
      <c r="BI184" s="546">
        <f t="shared" si="276"/>
        <v>3.371593243557193E-2</v>
      </c>
      <c r="BJ184" s="546">
        <f t="shared" si="277"/>
        <v>2.4365624163014948E-3</v>
      </c>
      <c r="BK184" s="546">
        <f t="shared" si="278"/>
        <v>9.2156881990563301E-3</v>
      </c>
      <c r="BL184">
        <f t="shared" si="279"/>
        <v>4.3499999999999997E-3</v>
      </c>
      <c r="BN184" s="472">
        <f t="shared" si="280"/>
        <v>77.860478959212003</v>
      </c>
      <c r="BO184" s="179">
        <f t="shared" si="281"/>
        <v>0.111</v>
      </c>
      <c r="BP184" s="179">
        <f t="shared" si="282"/>
        <v>0.111</v>
      </c>
      <c r="BQ184" s="546"/>
      <c r="BS184" s="472">
        <f t="shared" si="283"/>
        <v>222</v>
      </c>
      <c r="BT184" s="546">
        <f t="shared" si="284"/>
        <v>1.6081311947589865E-2</v>
      </c>
      <c r="BU184" s="546">
        <f t="shared" si="285"/>
        <v>3.8553638494338231E-2</v>
      </c>
      <c r="BV184" s="546">
        <f t="shared" si="286"/>
        <v>8.6745686612261022E-2</v>
      </c>
      <c r="BW184" s="546">
        <f t="shared" si="287"/>
        <v>1.2920876717526354E-2</v>
      </c>
      <c r="BX184" s="546"/>
      <c r="BY184" s="656">
        <f t="shared" si="329"/>
        <v>5.4822654366783651E-2</v>
      </c>
      <c r="BZ184" s="472">
        <f t="shared" si="288"/>
        <v>209.12416813849913</v>
      </c>
      <c r="CA184" s="179">
        <f t="shared" si="289"/>
        <v>0.50898464709771107</v>
      </c>
      <c r="CB184" s="6">
        <f t="shared" si="290"/>
        <v>3.7</v>
      </c>
      <c r="CC184" s="179">
        <f t="shared" si="291"/>
        <v>0.87907186892480593</v>
      </c>
      <c r="CD184" s="6">
        <f t="shared" si="292"/>
        <v>87.907186892480595</v>
      </c>
      <c r="CE184">
        <f t="shared" si="293"/>
        <v>74</v>
      </c>
      <c r="CG184" s="581">
        <f t="shared" si="330"/>
        <v>-50</v>
      </c>
      <c r="CH184">
        <f t="shared" si="331"/>
        <v>-50</v>
      </c>
    </row>
    <row r="185" spans="5:86" x14ac:dyDescent="0.2">
      <c r="E185" s="176">
        <v>75</v>
      </c>
      <c r="F185" s="223">
        <f t="shared" si="332"/>
        <v>0.375</v>
      </c>
      <c r="G185" s="223">
        <f t="shared" si="294"/>
        <v>0.375</v>
      </c>
      <c r="H185" s="223">
        <f t="shared" si="295"/>
        <v>1.875</v>
      </c>
      <c r="I185" s="223">
        <f t="shared" si="296"/>
        <v>1.875</v>
      </c>
      <c r="J185" s="559">
        <f t="shared" si="297"/>
        <v>15</v>
      </c>
      <c r="K185" s="454">
        <f t="shared" si="298"/>
        <v>11.121951219512196</v>
      </c>
      <c r="L185" s="454">
        <f t="shared" si="299"/>
        <v>30.75</v>
      </c>
      <c r="M185" s="454"/>
      <c r="N185" s="223">
        <f t="shared" si="300"/>
        <v>0.51219512195121952</v>
      </c>
      <c r="O185" s="178">
        <f t="shared" si="301"/>
        <v>1.2964939024390245</v>
      </c>
      <c r="P185" s="178">
        <f t="shared" si="302"/>
        <v>2.592987804878049</v>
      </c>
      <c r="Q185" s="223">
        <f t="shared" si="303"/>
        <v>0.25929878048780491</v>
      </c>
      <c r="R185" s="223">
        <f t="shared" si="304"/>
        <v>0.25929878048780491</v>
      </c>
      <c r="S185" s="223">
        <f t="shared" si="305"/>
        <v>3.4573170731707319</v>
      </c>
      <c r="T185" s="223">
        <f t="shared" si="306"/>
        <v>0.75</v>
      </c>
      <c r="U185" s="223">
        <f t="shared" si="307"/>
        <v>2.2000000000000002</v>
      </c>
      <c r="V185" s="223">
        <f t="shared" si="308"/>
        <v>2.9671052631578947</v>
      </c>
      <c r="W185" s="203">
        <f t="shared" si="309"/>
        <v>350</v>
      </c>
      <c r="X185" s="454">
        <f t="shared" si="310"/>
        <v>193.5319582378406</v>
      </c>
      <c r="Z185" s="223">
        <f t="shared" si="311"/>
        <v>0.41471133908108704</v>
      </c>
      <c r="AA185" s="179">
        <f t="shared" si="312"/>
        <v>1.6406562625050021</v>
      </c>
      <c r="AB185" s="179">
        <f t="shared" si="313"/>
        <v>0.17860467334374547</v>
      </c>
      <c r="AC185" s="179"/>
      <c r="AD185" s="179">
        <f t="shared" si="314"/>
        <v>0.59342105263157885</v>
      </c>
      <c r="AE185" s="563">
        <f t="shared" si="315"/>
        <v>2808.5735402808587</v>
      </c>
      <c r="AF185" s="546">
        <f t="shared" si="316"/>
        <v>4.6731907894736822E-2</v>
      </c>
      <c r="AH185" s="179">
        <f t="shared" si="317"/>
        <v>0.69786315779885311</v>
      </c>
      <c r="AI185" s="179">
        <f t="shared" si="318"/>
        <v>0.75</v>
      </c>
      <c r="AJ185" s="179">
        <f t="shared" si="319"/>
        <v>1.6444444444444444</v>
      </c>
      <c r="AL185" s="563">
        <f t="shared" si="320"/>
        <v>375</v>
      </c>
      <c r="AM185" s="472">
        <f t="shared" si="321"/>
        <v>193.5319582378406</v>
      </c>
      <c r="AO185" t="str">
        <f t="shared" si="322"/>
        <v/>
      </c>
      <c r="AP185" t="str">
        <f t="shared" si="323"/>
        <v/>
      </c>
      <c r="AR185" s="6">
        <f t="shared" si="245"/>
        <v>5.1671052631578949</v>
      </c>
      <c r="AS185" s="6">
        <f t="shared" si="333"/>
        <v>2.2000000000000002</v>
      </c>
      <c r="AT185" s="6">
        <f t="shared" si="334"/>
        <v>2.9671052631578947</v>
      </c>
      <c r="AU185" s="179">
        <f t="shared" si="335"/>
        <v>0.42577030812324934</v>
      </c>
      <c r="AW185" s="6">
        <f t="shared" si="324"/>
        <v>23.491111111111117</v>
      </c>
      <c r="AX185" s="472">
        <f t="shared" si="325"/>
        <v>15.182180851063832</v>
      </c>
      <c r="AY185" s="6">
        <f t="shared" si="326"/>
        <v>23.491111111111117</v>
      </c>
      <c r="AZ185" s="472">
        <f t="shared" si="327"/>
        <v>31.156250000000004</v>
      </c>
      <c r="BA185" s="6">
        <f t="shared" si="271"/>
        <v>0.34341496101364516</v>
      </c>
      <c r="BB185" s="6">
        <f t="shared" si="328"/>
        <v>83.80847953216373</v>
      </c>
      <c r="BC185" s="6"/>
      <c r="BD185" s="179">
        <f t="shared" si="272"/>
        <v>0.28254545257906605</v>
      </c>
      <c r="BE185" s="179">
        <f t="shared" si="273"/>
        <v>0.98438437870682238</v>
      </c>
      <c r="BF185" s="179">
        <f t="shared" si="274"/>
        <v>0.98438437870682238</v>
      </c>
      <c r="BG185" s="179"/>
      <c r="BH185" s="546">
        <f t="shared" si="275"/>
        <v>2.794117647058824E-2</v>
      </c>
      <c r="BI185" s="546">
        <f t="shared" si="276"/>
        <v>3.3474980901451484E-2</v>
      </c>
      <c r="BJ185" s="546">
        <f t="shared" si="277"/>
        <v>2.4191494779730077E-3</v>
      </c>
      <c r="BK185" s="546">
        <f t="shared" si="278"/>
        <v>9.1498281130634081E-3</v>
      </c>
      <c r="BL185">
        <f t="shared" si="279"/>
        <v>4.3499999999999997E-3</v>
      </c>
      <c r="BN185" s="472">
        <f t="shared" si="280"/>
        <v>77.335134963076143</v>
      </c>
      <c r="BO185" s="179">
        <f t="shared" si="281"/>
        <v>0.11249999999999999</v>
      </c>
      <c r="BP185" s="179">
        <f t="shared" si="282"/>
        <v>0.11249999999999999</v>
      </c>
      <c r="BQ185" s="546"/>
      <c r="BS185" s="472">
        <f t="shared" si="283"/>
        <v>224.99999999999997</v>
      </c>
      <c r="BT185" s="546">
        <f t="shared" si="284"/>
        <v>1.5966386554621854E-2</v>
      </c>
      <c r="BU185" s="546">
        <f t="shared" si="285"/>
        <v>3.8760504201680666E-2</v>
      </c>
      <c r="BV185" s="546">
        <f t="shared" si="286"/>
        <v>8.7211134453781494E-2</v>
      </c>
      <c r="BW185" s="546">
        <f t="shared" si="287"/>
        <v>1.2691264352699915E-2</v>
      </c>
      <c r="BX185" s="546"/>
      <c r="BY185" s="656">
        <f t="shared" si="329"/>
        <v>5.4430863254392677E-2</v>
      </c>
      <c r="BZ185" s="472">
        <f t="shared" si="288"/>
        <v>209.0601528171766</v>
      </c>
      <c r="CA185" s="179">
        <f t="shared" si="289"/>
        <v>0.51139528778025267</v>
      </c>
      <c r="CB185" s="6">
        <f t="shared" si="290"/>
        <v>3.75</v>
      </c>
      <c r="CC185" s="179">
        <f t="shared" si="291"/>
        <v>0.87999346382000709</v>
      </c>
      <c r="CD185" s="6">
        <f t="shared" si="292"/>
        <v>87.999346382000709</v>
      </c>
      <c r="CE185">
        <f t="shared" si="293"/>
        <v>75</v>
      </c>
      <c r="CG185" s="581">
        <f t="shared" si="330"/>
        <v>-50</v>
      </c>
      <c r="CH185">
        <f t="shared" si="331"/>
        <v>-50</v>
      </c>
    </row>
    <row r="186" spans="5:86" x14ac:dyDescent="0.2">
      <c r="E186" s="176">
        <v>76</v>
      </c>
      <c r="F186" s="223">
        <f t="shared" si="332"/>
        <v>0.38</v>
      </c>
      <c r="G186" s="223">
        <f t="shared" si="294"/>
        <v>0.38</v>
      </c>
      <c r="H186" s="223">
        <f t="shared" si="295"/>
        <v>1.9</v>
      </c>
      <c r="I186" s="223">
        <f t="shared" si="296"/>
        <v>1.9</v>
      </c>
      <c r="J186" s="559">
        <f t="shared" si="297"/>
        <v>15</v>
      </c>
      <c r="K186" s="454">
        <f t="shared" si="298"/>
        <v>10.985478177150194</v>
      </c>
      <c r="L186" s="454">
        <f t="shared" si="299"/>
        <v>30.75</v>
      </c>
      <c r="M186" s="454"/>
      <c r="N186" s="223">
        <f t="shared" si="300"/>
        <v>0.51219512195121952</v>
      </c>
      <c r="O186" s="178">
        <f t="shared" si="301"/>
        <v>1.2964939024390245</v>
      </c>
      <c r="P186" s="178">
        <f t="shared" si="302"/>
        <v>2.592987804878049</v>
      </c>
      <c r="Q186" s="223">
        <f t="shared" si="303"/>
        <v>0.25929878048780491</v>
      </c>
      <c r="R186" s="223">
        <f t="shared" si="304"/>
        <v>0.25929878048780491</v>
      </c>
      <c r="S186" s="223">
        <f t="shared" si="305"/>
        <v>3.4118260590500644</v>
      </c>
      <c r="T186" s="223">
        <f t="shared" si="306"/>
        <v>0.75</v>
      </c>
      <c r="U186" s="223">
        <f t="shared" si="307"/>
        <v>2.2000000000000002</v>
      </c>
      <c r="V186" s="223">
        <f t="shared" si="308"/>
        <v>3.003965732565018</v>
      </c>
      <c r="W186" s="203">
        <f t="shared" si="309"/>
        <v>350</v>
      </c>
      <c r="X186" s="454">
        <f t="shared" si="310"/>
        <v>192.16114236538277</v>
      </c>
      <c r="Z186" s="223">
        <f t="shared" si="311"/>
        <v>0.41177387649724878</v>
      </c>
      <c r="AA186" s="179">
        <f t="shared" si="312"/>
        <v>1.6492728194175936</v>
      </c>
      <c r="AB186" s="179">
        <f t="shared" si="313"/>
        <v>0.17827095884144648</v>
      </c>
      <c r="AC186" s="179"/>
      <c r="AD186" s="179">
        <f t="shared" si="314"/>
        <v>0.60079314651300353</v>
      </c>
      <c r="AE186" s="563">
        <f t="shared" si="315"/>
        <v>2811.0987928061104</v>
      </c>
      <c r="AF186" s="546">
        <f t="shared" si="316"/>
        <v>4.7312460287899025E-2</v>
      </c>
      <c r="AH186" s="179">
        <f t="shared" si="317"/>
        <v>0.70250017331420889</v>
      </c>
      <c r="AI186" s="179">
        <f t="shared" si="318"/>
        <v>0.75</v>
      </c>
      <c r="AJ186" s="179">
        <f t="shared" si="319"/>
        <v>1.6444444444444444</v>
      </c>
      <c r="AL186" s="563">
        <f t="shared" si="320"/>
        <v>380</v>
      </c>
      <c r="AM186" s="472">
        <f t="shared" si="321"/>
        <v>192.16114236538277</v>
      </c>
      <c r="AO186" t="str">
        <f t="shared" si="322"/>
        <v/>
      </c>
      <c r="AP186" t="str">
        <f t="shared" si="323"/>
        <v/>
      </c>
      <c r="AR186" s="6">
        <f t="shared" si="245"/>
        <v>5.2039657325650186</v>
      </c>
      <c r="AS186" s="6">
        <f t="shared" si="333"/>
        <v>2.2000000000000002</v>
      </c>
      <c r="AT186" s="6">
        <f t="shared" si="334"/>
        <v>3.0039657325650184</v>
      </c>
      <c r="AU186" s="179">
        <f t="shared" si="335"/>
        <v>0.42275451320384216</v>
      </c>
      <c r="AW186" s="6">
        <f t="shared" si="324"/>
        <v>23.491111111111117</v>
      </c>
      <c r="AX186" s="472">
        <f t="shared" si="325"/>
        <v>15.574538061465722</v>
      </c>
      <c r="AY186" s="6">
        <f t="shared" si="326"/>
        <v>23.491111111111117</v>
      </c>
      <c r="AZ186" s="472">
        <f t="shared" si="327"/>
        <v>31.977422222222224</v>
      </c>
      <c r="BA186" s="6">
        <f t="shared" si="271"/>
        <v>0.35231696863416884</v>
      </c>
      <c r="BB186" s="6">
        <f t="shared" si="328"/>
        <v>85.963479879607917</v>
      </c>
      <c r="BC186" s="6"/>
      <c r="BD186" s="179">
        <f t="shared" si="272"/>
        <v>0.28154301842830409</v>
      </c>
      <c r="BE186" s="179">
        <f t="shared" si="273"/>
        <v>0.98696593607303207</v>
      </c>
      <c r="BF186" s="179">
        <f t="shared" si="274"/>
        <v>0.98696593607303207</v>
      </c>
      <c r="BG186" s="179"/>
      <c r="BH186" s="546">
        <f t="shared" si="275"/>
        <v>2.7743264929002129E-2</v>
      </c>
      <c r="BI186" s="546">
        <f t="shared" si="276"/>
        <v>3.3237872593512297E-2</v>
      </c>
      <c r="BJ186" s="546">
        <f t="shared" si="277"/>
        <v>2.4020142795672843E-3</v>
      </c>
      <c r="BK186" s="546">
        <f t="shared" si="278"/>
        <v>9.0850185088933635E-3</v>
      </c>
      <c r="BL186">
        <f t="shared" si="279"/>
        <v>4.3499999999999997E-3</v>
      </c>
      <c r="BN186" s="472">
        <f t="shared" si="280"/>
        <v>76.818170310975077</v>
      </c>
      <c r="BO186" s="179">
        <f t="shared" si="281"/>
        <v>0.11399999999999999</v>
      </c>
      <c r="BP186" s="179">
        <f t="shared" si="282"/>
        <v>0.11399999999999999</v>
      </c>
      <c r="BQ186" s="546"/>
      <c r="BS186" s="472">
        <f t="shared" si="283"/>
        <v>227.99999999999997</v>
      </c>
      <c r="BT186" s="546">
        <f t="shared" si="284"/>
        <v>1.5853294245144076E-2</v>
      </c>
      <c r="BU186" s="546">
        <f t="shared" si="285"/>
        <v>3.8964070358740659E-2</v>
      </c>
      <c r="BV186" s="546">
        <f t="shared" si="286"/>
        <v>8.7669158307166484E-2</v>
      </c>
      <c r="BW186" s="546">
        <f t="shared" si="287"/>
        <v>1.2467721497645124E-2</v>
      </c>
      <c r="BX186" s="546"/>
      <c r="BY186" s="656">
        <f t="shared" si="329"/>
        <v>5.404532129026391E-2</v>
      </c>
      <c r="BZ186" s="472">
        <f t="shared" si="288"/>
        <v>208.99956569896025</v>
      </c>
      <c r="CA186" s="179">
        <f t="shared" si="289"/>
        <v>0.5138177360099353</v>
      </c>
      <c r="CB186" s="6">
        <f t="shared" si="290"/>
        <v>3.8</v>
      </c>
      <c r="CC186" s="179">
        <f t="shared" si="291"/>
        <v>0.88089025372564977</v>
      </c>
      <c r="CD186" s="6">
        <f t="shared" si="292"/>
        <v>88.089025372564976</v>
      </c>
      <c r="CE186">
        <f t="shared" si="293"/>
        <v>76</v>
      </c>
      <c r="CG186" s="581">
        <f t="shared" si="330"/>
        <v>-50</v>
      </c>
      <c r="CH186">
        <f t="shared" si="331"/>
        <v>-50</v>
      </c>
    </row>
    <row r="187" spans="5:86" x14ac:dyDescent="0.2">
      <c r="E187" s="176">
        <v>77</v>
      </c>
      <c r="F187" s="223">
        <f t="shared" si="332"/>
        <v>0.38500000000000001</v>
      </c>
      <c r="G187" s="223">
        <f t="shared" si="294"/>
        <v>0.38500000000000001</v>
      </c>
      <c r="H187" s="223">
        <f t="shared" si="295"/>
        <v>1.925</v>
      </c>
      <c r="I187" s="223">
        <f t="shared" si="296"/>
        <v>1.925</v>
      </c>
      <c r="J187" s="559">
        <f t="shared" si="297"/>
        <v>15</v>
      </c>
      <c r="K187" s="454">
        <f t="shared" si="298"/>
        <v>10.852549889135256</v>
      </c>
      <c r="L187" s="454">
        <f t="shared" si="299"/>
        <v>30.75</v>
      </c>
      <c r="M187" s="454"/>
      <c r="N187" s="223">
        <f t="shared" si="300"/>
        <v>0.51219512195121952</v>
      </c>
      <c r="O187" s="178">
        <f t="shared" si="301"/>
        <v>1.2964939024390245</v>
      </c>
      <c r="P187" s="178">
        <f t="shared" si="302"/>
        <v>2.592987804878049</v>
      </c>
      <c r="Q187" s="223">
        <f t="shared" si="303"/>
        <v>0.25929878048780491</v>
      </c>
      <c r="R187" s="223">
        <f t="shared" si="304"/>
        <v>0.25929878048780491</v>
      </c>
      <c r="S187" s="223">
        <f t="shared" si="305"/>
        <v>3.3675166297117518</v>
      </c>
      <c r="T187" s="223">
        <f t="shared" si="306"/>
        <v>0.75</v>
      </c>
      <c r="U187" s="223">
        <f t="shared" si="307"/>
        <v>2.2000000000000002</v>
      </c>
      <c r="V187" s="223">
        <f t="shared" si="308"/>
        <v>3.0407600367759731</v>
      </c>
      <c r="W187" s="203">
        <f t="shared" si="309"/>
        <v>350</v>
      </c>
      <c r="X187" s="454">
        <f t="shared" si="310"/>
        <v>190.81201829175583</v>
      </c>
      <c r="Z187" s="223">
        <f t="shared" si="311"/>
        <v>0.40888289633947683</v>
      </c>
      <c r="AA187" s="179">
        <f t="shared" si="312"/>
        <v>1.6577530278803916</v>
      </c>
      <c r="AB187" s="179">
        <f t="shared" si="313"/>
        <v>0.17792955060700891</v>
      </c>
      <c r="AC187" s="179"/>
      <c r="AD187" s="179">
        <f t="shared" si="314"/>
        <v>0.60815200735519448</v>
      </c>
      <c r="AE187" s="563">
        <f t="shared" si="315"/>
        <v>2813.624045331363</v>
      </c>
      <c r="AF187" s="546">
        <f t="shared" si="316"/>
        <v>4.7891970579221566E-2</v>
      </c>
      <c r="AH187" s="179">
        <f t="shared" si="317"/>
        <v>0.70710678118654757</v>
      </c>
      <c r="AI187" s="179">
        <f t="shared" si="318"/>
        <v>0.75</v>
      </c>
      <c r="AJ187" s="179">
        <f t="shared" si="319"/>
        <v>1.6444444444444444</v>
      </c>
      <c r="AL187" s="563">
        <f t="shared" si="320"/>
        <v>385</v>
      </c>
      <c r="AM187" s="472">
        <f t="shared" si="321"/>
        <v>190.81201829175583</v>
      </c>
      <c r="AO187" t="str">
        <f t="shared" si="322"/>
        <v/>
      </c>
      <c r="AP187" t="str">
        <f t="shared" si="323"/>
        <v/>
      </c>
      <c r="AR187" s="6">
        <f t="shared" si="245"/>
        <v>5.2407600367759732</v>
      </c>
      <c r="AS187" s="6">
        <f t="shared" si="333"/>
        <v>2.2000000000000002</v>
      </c>
      <c r="AT187" s="6">
        <f t="shared" si="334"/>
        <v>3.0407600367759731</v>
      </c>
      <c r="AU187" s="179">
        <f t="shared" si="335"/>
        <v>0.4197864402418629</v>
      </c>
      <c r="AW187" s="6">
        <f t="shared" si="324"/>
        <v>23.491111111111117</v>
      </c>
      <c r="AX187" s="472">
        <f t="shared" si="325"/>
        <v>15.971893380614658</v>
      </c>
      <c r="AY187" s="6">
        <f t="shared" si="326"/>
        <v>23.491111111111117</v>
      </c>
      <c r="AZ187" s="472">
        <f t="shared" si="327"/>
        <v>32.809272222222226</v>
      </c>
      <c r="BA187" s="6">
        <f t="shared" si="271"/>
        <v>0.36132488091319426</v>
      </c>
      <c r="BB187" s="6">
        <f t="shared" si="328"/>
        <v>88.143897345092554</v>
      </c>
      <c r="BC187" s="6"/>
      <c r="BD187" s="179">
        <f t="shared" si="272"/>
        <v>0.280552949628674</v>
      </c>
      <c r="BE187" s="179">
        <f t="shared" si="273"/>
        <v>0.98950006674676694</v>
      </c>
      <c r="BF187" s="179">
        <f t="shared" si="274"/>
        <v>0.98950006674676694</v>
      </c>
      <c r="BG187" s="179"/>
      <c r="BH187" s="546">
        <f t="shared" si="275"/>
        <v>2.7548485140872249E-2</v>
      </c>
      <c r="BI187" s="546">
        <f t="shared" si="276"/>
        <v>3.3004516288902136E-2</v>
      </c>
      <c r="BJ187" s="546">
        <f t="shared" si="277"/>
        <v>2.3851502286469481E-3</v>
      </c>
      <c r="BK187" s="546">
        <f t="shared" si="278"/>
        <v>9.0212344522999192E-3</v>
      </c>
      <c r="BL187">
        <f t="shared" si="279"/>
        <v>4.3499999999999997E-3</v>
      </c>
      <c r="BN187" s="472">
        <f t="shared" si="280"/>
        <v>76.309386110721249</v>
      </c>
      <c r="BO187" s="179">
        <f t="shared" si="281"/>
        <v>0.11549999999999999</v>
      </c>
      <c r="BP187" s="179">
        <f t="shared" si="282"/>
        <v>0.11549999999999999</v>
      </c>
      <c r="BQ187" s="546"/>
      <c r="BS187" s="472">
        <f t="shared" si="283"/>
        <v>230.99999999999997</v>
      </c>
      <c r="BT187" s="546">
        <f t="shared" si="284"/>
        <v>1.574199150906986E-2</v>
      </c>
      <c r="BU187" s="546">
        <f t="shared" si="285"/>
        <v>3.9164415283674252E-2</v>
      </c>
      <c r="BV187" s="546">
        <f t="shared" si="286"/>
        <v>8.8119934388267054E-2</v>
      </c>
      <c r="BW187" s="546">
        <f t="shared" si="287"/>
        <v>1.2250039130189756E-2</v>
      </c>
      <c r="BX187" s="546"/>
      <c r="BY187" s="656">
        <f t="shared" si="329"/>
        <v>5.3665880144556338E-2</v>
      </c>
      <c r="BZ187" s="472">
        <f t="shared" si="288"/>
        <v>208.94226045575726</v>
      </c>
      <c r="CA187" s="179">
        <f t="shared" si="289"/>
        <v>0.51625164656647848</v>
      </c>
      <c r="CB187" s="6">
        <f t="shared" si="290"/>
        <v>3.85</v>
      </c>
      <c r="CC187" s="179">
        <f t="shared" si="291"/>
        <v>0.88176319453038232</v>
      </c>
      <c r="CD187" s="6">
        <f t="shared" si="292"/>
        <v>88.176319453038232</v>
      </c>
      <c r="CE187">
        <f t="shared" si="293"/>
        <v>77</v>
      </c>
      <c r="CG187" s="581">
        <f t="shared" si="330"/>
        <v>-50</v>
      </c>
      <c r="CH187">
        <f t="shared" si="331"/>
        <v>-50</v>
      </c>
    </row>
    <row r="188" spans="5:86" x14ac:dyDescent="0.2">
      <c r="E188" s="176">
        <v>78</v>
      </c>
      <c r="F188" s="223">
        <f t="shared" si="332"/>
        <v>0.39</v>
      </c>
      <c r="G188" s="223">
        <f t="shared" si="294"/>
        <v>0.39</v>
      </c>
      <c r="H188" s="223">
        <f t="shared" si="295"/>
        <v>1.9500000000000002</v>
      </c>
      <c r="I188" s="223">
        <f t="shared" si="296"/>
        <v>1.9500000000000002</v>
      </c>
      <c r="J188" s="559">
        <f t="shared" si="297"/>
        <v>15</v>
      </c>
      <c r="K188" s="454">
        <f t="shared" si="298"/>
        <v>10.723030018761726</v>
      </c>
      <c r="L188" s="454">
        <f t="shared" si="299"/>
        <v>30.75</v>
      </c>
      <c r="M188" s="454"/>
      <c r="N188" s="223">
        <f t="shared" si="300"/>
        <v>0.51219512195121952</v>
      </c>
      <c r="O188" s="178">
        <f t="shared" si="301"/>
        <v>1.2964939024390245</v>
      </c>
      <c r="P188" s="178">
        <f t="shared" si="302"/>
        <v>2.592987804878049</v>
      </c>
      <c r="Q188" s="223">
        <f t="shared" si="303"/>
        <v>0.25929878048780491</v>
      </c>
      <c r="R188" s="223">
        <f t="shared" si="304"/>
        <v>0.25929878048780491</v>
      </c>
      <c r="S188" s="223">
        <f t="shared" si="305"/>
        <v>3.3243433395872422</v>
      </c>
      <c r="T188" s="223">
        <f t="shared" si="306"/>
        <v>0.75</v>
      </c>
      <c r="U188" s="223">
        <f t="shared" si="307"/>
        <v>2.2000000000000002</v>
      </c>
      <c r="V188" s="223">
        <f t="shared" si="308"/>
        <v>3.0774883537825604</v>
      </c>
      <c r="W188" s="203">
        <f t="shared" si="309"/>
        <v>350</v>
      </c>
      <c r="X188" s="454">
        <f t="shared" si="310"/>
        <v>189.48407518194995</v>
      </c>
      <c r="Z188" s="223">
        <f t="shared" si="311"/>
        <v>0.40603730396132137</v>
      </c>
      <c r="AA188" s="179">
        <f t="shared" si="312"/>
        <v>1.6661000988563144</v>
      </c>
      <c r="AB188" s="179">
        <f t="shared" si="313"/>
        <v>0.17758093297069358</v>
      </c>
      <c r="AC188" s="179"/>
      <c r="AD188" s="179">
        <f t="shared" si="314"/>
        <v>0.61549767075651196</v>
      </c>
      <c r="AE188" s="563">
        <f t="shared" si="315"/>
        <v>2816.1492978566152</v>
      </c>
      <c r="AF188" s="546">
        <f t="shared" si="316"/>
        <v>4.8470441572075321E-2</v>
      </c>
      <c r="AH188" s="179">
        <f t="shared" si="317"/>
        <v>0.71168357188676667</v>
      </c>
      <c r="AI188" s="179">
        <f t="shared" si="318"/>
        <v>0.75</v>
      </c>
      <c r="AJ188" s="179">
        <f t="shared" si="319"/>
        <v>1.6444444444444444</v>
      </c>
      <c r="AL188" s="563">
        <f t="shared" si="320"/>
        <v>390</v>
      </c>
      <c r="AM188" s="472">
        <f t="shared" si="321"/>
        <v>189.48407518194995</v>
      </c>
      <c r="AO188" t="str">
        <f t="shared" si="322"/>
        <v/>
      </c>
      <c r="AP188" t="str">
        <f t="shared" si="323"/>
        <v/>
      </c>
      <c r="AR188" s="6">
        <f t="shared" si="245"/>
        <v>5.2774883537825605</v>
      </c>
      <c r="AS188" s="6">
        <f t="shared" si="333"/>
        <v>2.2000000000000002</v>
      </c>
      <c r="AT188" s="6">
        <f t="shared" si="334"/>
        <v>3.0774883537825604</v>
      </c>
      <c r="AU188" s="179">
        <f t="shared" si="335"/>
        <v>0.41686496540028994</v>
      </c>
      <c r="AW188" s="6">
        <f t="shared" si="324"/>
        <v>23.491111111111117</v>
      </c>
      <c r="AX188" s="472">
        <f t="shared" si="325"/>
        <v>16.374246808510641</v>
      </c>
      <c r="AY188" s="6">
        <f t="shared" si="326"/>
        <v>23.491111111111117</v>
      </c>
      <c r="AZ188" s="472">
        <f t="shared" si="327"/>
        <v>33.651800000000009</v>
      </c>
      <c r="BA188" s="6">
        <f t="shared" si="271"/>
        <v>0.37043841295530816</v>
      </c>
      <c r="BB188" s="6">
        <f t="shared" si="328"/>
        <v>90.105990680625595</v>
      </c>
      <c r="BC188" s="6"/>
      <c r="BD188" s="179">
        <f t="shared" si="272"/>
        <v>0.27957500069311342</v>
      </c>
      <c r="BE188" s="179">
        <f t="shared" si="273"/>
        <v>0.99198809009332911</v>
      </c>
      <c r="BF188" s="179">
        <f t="shared" si="274"/>
        <v>0.99198809009332911</v>
      </c>
      <c r="BG188" s="179"/>
      <c r="BH188" s="546">
        <f t="shared" si="275"/>
        <v>2.7356763354394027E-2</v>
      </c>
      <c r="BI188" s="546">
        <f t="shared" si="276"/>
        <v>3.2774823629127904E-2</v>
      </c>
      <c r="BJ188" s="546">
        <f t="shared" si="277"/>
        <v>2.3685509397743743E-3</v>
      </c>
      <c r="BK188" s="546">
        <f t="shared" si="278"/>
        <v>8.9584517919616274E-3</v>
      </c>
      <c r="BL188">
        <f t="shared" si="279"/>
        <v>4.3499999999999997E-3</v>
      </c>
      <c r="BN188" s="472">
        <f t="shared" si="280"/>
        <v>75.808589715257952</v>
      </c>
      <c r="BO188" s="179">
        <f t="shared" si="281"/>
        <v>0.11699999999999999</v>
      </c>
      <c r="BP188" s="179">
        <f t="shared" si="282"/>
        <v>0.11699999999999999</v>
      </c>
      <c r="BQ188" s="546"/>
      <c r="BS188" s="472">
        <f t="shared" si="283"/>
        <v>234</v>
      </c>
      <c r="BT188" s="546">
        <f t="shared" si="284"/>
        <v>1.5632436202510876E-2</v>
      </c>
      <c r="BU188" s="546">
        <f t="shared" si="285"/>
        <v>3.9361614835480431E-2</v>
      </c>
      <c r="BV188" s="546">
        <f t="shared" si="286"/>
        <v>8.8563633379830975E-2</v>
      </c>
      <c r="BW188" s="546">
        <f t="shared" si="287"/>
        <v>1.2038017042679365E-2</v>
      </c>
      <c r="BX188" s="546"/>
      <c r="BY188" s="656">
        <f t="shared" si="329"/>
        <v>5.3292396144923433E-2</v>
      </c>
      <c r="BZ188" s="472">
        <f t="shared" si="288"/>
        <v>208.88809760542509</v>
      </c>
      <c r="CA188" s="179">
        <f t="shared" si="289"/>
        <v>0.51869668732068308</v>
      </c>
      <c r="CB188" s="6">
        <f t="shared" si="290"/>
        <v>3.8894817073170733</v>
      </c>
      <c r="CC188" s="179">
        <f t="shared" si="291"/>
        <v>0.88233309977843866</v>
      </c>
      <c r="CD188" s="6">
        <f t="shared" si="292"/>
        <v>88.233309977843859</v>
      </c>
      <c r="CE188">
        <f t="shared" si="293"/>
        <v>78</v>
      </c>
      <c r="CG188" s="581">
        <f t="shared" si="330"/>
        <v>-50</v>
      </c>
      <c r="CH188">
        <f t="shared" si="331"/>
        <v>-50</v>
      </c>
    </row>
    <row r="189" spans="5:86" x14ac:dyDescent="0.2">
      <c r="E189" s="176">
        <v>79</v>
      </c>
      <c r="F189" s="223">
        <f t="shared" si="332"/>
        <v>0.39500000000000002</v>
      </c>
      <c r="G189" s="223">
        <f t="shared" si="294"/>
        <v>0.39500000000000002</v>
      </c>
      <c r="H189" s="223">
        <f t="shared" si="295"/>
        <v>1.9750000000000001</v>
      </c>
      <c r="I189" s="223">
        <f t="shared" si="296"/>
        <v>1.9750000000000001</v>
      </c>
      <c r="J189" s="559">
        <f t="shared" si="297"/>
        <v>15</v>
      </c>
      <c r="K189" s="454">
        <f t="shared" si="298"/>
        <v>10.596789132448286</v>
      </c>
      <c r="L189" s="454">
        <f t="shared" si="299"/>
        <v>30.75</v>
      </c>
      <c r="M189" s="454"/>
      <c r="N189" s="223">
        <f t="shared" si="300"/>
        <v>0.51219512195121952</v>
      </c>
      <c r="O189" s="178">
        <f t="shared" si="301"/>
        <v>1.2964939024390245</v>
      </c>
      <c r="P189" s="178">
        <f t="shared" si="302"/>
        <v>2.592987804878049</v>
      </c>
      <c r="Q189" s="223">
        <f t="shared" si="303"/>
        <v>0.25929878048780491</v>
      </c>
      <c r="R189" s="223">
        <f t="shared" si="304"/>
        <v>0.25929878048780491</v>
      </c>
      <c r="S189" s="223">
        <f t="shared" si="305"/>
        <v>3.2822630441494289</v>
      </c>
      <c r="T189" s="223">
        <f t="shared" si="306"/>
        <v>0.75</v>
      </c>
      <c r="U189" s="223">
        <f t="shared" si="307"/>
        <v>2.2000000000000002</v>
      </c>
      <c r="V189" s="223">
        <f t="shared" si="308"/>
        <v>3.1141508609387296</v>
      </c>
      <c r="W189" s="203">
        <f t="shared" si="309"/>
        <v>350</v>
      </c>
      <c r="X189" s="454">
        <f t="shared" si="310"/>
        <v>188.17681811602782</v>
      </c>
      <c r="Z189" s="223">
        <f t="shared" si="311"/>
        <v>0.40323603882005971</v>
      </c>
      <c r="AA189" s="179">
        <f t="shared" si="312"/>
        <v>1.6743171432706823</v>
      </c>
      <c r="AB189" s="179">
        <f t="shared" si="313"/>
        <v>0.17722556580250942</v>
      </c>
      <c r="AC189" s="179"/>
      <c r="AD189" s="179">
        <f t="shared" si="314"/>
        <v>0.62283017218774572</v>
      </c>
      <c r="AE189" s="563">
        <f t="shared" si="315"/>
        <v>2818.6745503818679</v>
      </c>
      <c r="AF189" s="546">
        <f t="shared" si="316"/>
        <v>4.904787605978498E-2</v>
      </c>
      <c r="AH189" s="179">
        <f t="shared" si="317"/>
        <v>0.71623111701950859</v>
      </c>
      <c r="AI189" s="179">
        <f t="shared" si="318"/>
        <v>0.75</v>
      </c>
      <c r="AJ189" s="179">
        <f t="shared" si="319"/>
        <v>1.6444444444444444</v>
      </c>
      <c r="AL189" s="563">
        <f t="shared" si="320"/>
        <v>395</v>
      </c>
      <c r="AM189" s="472">
        <f t="shared" si="321"/>
        <v>188.17681811602782</v>
      </c>
      <c r="AO189" t="str">
        <f t="shared" si="322"/>
        <v/>
      </c>
      <c r="AP189" t="str">
        <f t="shared" si="323"/>
        <v/>
      </c>
      <c r="AR189" s="6">
        <f t="shared" si="245"/>
        <v>5.3141508609387298</v>
      </c>
      <c r="AS189" s="6">
        <f t="shared" si="333"/>
        <v>2.2000000000000002</v>
      </c>
      <c r="AT189" s="6">
        <f t="shared" si="334"/>
        <v>3.1141508609387296</v>
      </c>
      <c r="AU189" s="179">
        <f t="shared" si="335"/>
        <v>0.41398899985526122</v>
      </c>
      <c r="AW189" s="6">
        <f t="shared" si="324"/>
        <v>23.491111111111117</v>
      </c>
      <c r="AX189" s="472">
        <f t="shared" si="325"/>
        <v>16.781598345153668</v>
      </c>
      <c r="AY189" s="6">
        <f t="shared" si="326"/>
        <v>23.491111111111117</v>
      </c>
      <c r="AZ189" s="472">
        <f t="shared" si="327"/>
        <v>34.50500555555557</v>
      </c>
      <c r="BA189" s="6">
        <f t="shared" si="271"/>
        <v>0.37965728088604883</v>
      </c>
      <c r="BB189" s="6">
        <f t="shared" si="328"/>
        <v>91.16227328009451</v>
      </c>
      <c r="BC189" s="6"/>
      <c r="BD189" s="179">
        <f t="shared" si="272"/>
        <v>0.27860893286623362</v>
      </c>
      <c r="BE189" s="179">
        <f t="shared" si="273"/>
        <v>0.99443127602878956</v>
      </c>
      <c r="BF189" s="179">
        <f t="shared" si="274"/>
        <v>0.99443127602878956</v>
      </c>
      <c r="BG189" s="179"/>
      <c r="BH189" s="546">
        <f t="shared" si="275"/>
        <v>2.7168028115501515E-2</v>
      </c>
      <c r="BI189" s="546">
        <f t="shared" si="276"/>
        <v>3.254870900850669E-2</v>
      </c>
      <c r="BJ189" s="546">
        <f t="shared" si="277"/>
        <v>2.3522102264503476E-3</v>
      </c>
      <c r="BK189" s="546">
        <f t="shared" si="278"/>
        <v>8.89664712899183E-3</v>
      </c>
      <c r="BL189">
        <f t="shared" si="279"/>
        <v>4.3499999999999997E-3</v>
      </c>
      <c r="BN189" s="472">
        <f t="shared" si="280"/>
        <v>75.315594479450382</v>
      </c>
      <c r="BO189" s="179">
        <f t="shared" si="281"/>
        <v>0.11849999999999999</v>
      </c>
      <c r="BP189" s="179">
        <f t="shared" si="282"/>
        <v>0.11849999999999999</v>
      </c>
      <c r="BQ189" s="546"/>
      <c r="BS189" s="472">
        <f t="shared" si="283"/>
        <v>237</v>
      </c>
      <c r="BT189" s="546">
        <f t="shared" si="284"/>
        <v>1.5524587494572296E-2</v>
      </c>
      <c r="BU189" s="546">
        <f t="shared" si="285"/>
        <v>3.955574250976987E-2</v>
      </c>
      <c r="BV189" s="546">
        <f t="shared" si="286"/>
        <v>8.9000420646982201E-2</v>
      </c>
      <c r="BW189" s="546">
        <f t="shared" si="287"/>
        <v>1.1831463403769026E-2</v>
      </c>
      <c r="BX189" s="546"/>
      <c r="BY189" s="656">
        <f t="shared" si="329"/>
        <v>5.2924730095132835E-2</v>
      </c>
      <c r="BZ189" s="472">
        <f t="shared" si="288"/>
        <v>208.83694415022626</v>
      </c>
      <c r="CA189" s="179">
        <f t="shared" si="289"/>
        <v>0.52115253862967659</v>
      </c>
      <c r="CB189" s="6">
        <f t="shared" si="290"/>
        <v>3.8894817073170733</v>
      </c>
      <c r="CC189" s="179">
        <f t="shared" si="291"/>
        <v>0.88184181467583689</v>
      </c>
      <c r="CD189" s="6">
        <f t="shared" si="292"/>
        <v>88.184181467583684</v>
      </c>
      <c r="CE189">
        <f t="shared" si="293"/>
        <v>79</v>
      </c>
      <c r="CG189" s="581">
        <f t="shared" si="330"/>
        <v>-50</v>
      </c>
      <c r="CH189">
        <f t="shared" si="331"/>
        <v>-50</v>
      </c>
    </row>
    <row r="190" spans="5:86" x14ac:dyDescent="0.2">
      <c r="E190" s="176">
        <v>80</v>
      </c>
      <c r="F190" s="223">
        <f t="shared" si="332"/>
        <v>0.4</v>
      </c>
      <c r="G190" s="223">
        <f t="shared" si="294"/>
        <v>0.4</v>
      </c>
      <c r="H190" s="223">
        <f t="shared" si="295"/>
        <v>2</v>
      </c>
      <c r="I190" s="223">
        <f t="shared" si="296"/>
        <v>2</v>
      </c>
      <c r="J190" s="559">
        <f t="shared" si="297"/>
        <v>15</v>
      </c>
      <c r="K190" s="454">
        <f t="shared" si="298"/>
        <v>10.473704268292682</v>
      </c>
      <c r="L190" s="454">
        <f t="shared" si="299"/>
        <v>30.75</v>
      </c>
      <c r="M190" s="454"/>
      <c r="N190" s="223">
        <f t="shared" si="300"/>
        <v>0.51219512195121952</v>
      </c>
      <c r="O190" s="178">
        <f t="shared" si="301"/>
        <v>1.2964939024390245</v>
      </c>
      <c r="P190" s="178">
        <f t="shared" si="302"/>
        <v>2.592987804878049</v>
      </c>
      <c r="Q190" s="223">
        <f t="shared" si="303"/>
        <v>0.25929878048780491</v>
      </c>
      <c r="R190" s="223">
        <f t="shared" si="304"/>
        <v>0.25929878048780491</v>
      </c>
      <c r="S190" s="223">
        <f t="shared" si="305"/>
        <v>3.241234756097561</v>
      </c>
      <c r="T190" s="223">
        <f t="shared" si="306"/>
        <v>0.75</v>
      </c>
      <c r="U190" s="223">
        <f t="shared" si="307"/>
        <v>2.2000000000000002</v>
      </c>
      <c r="V190" s="223">
        <f t="shared" si="308"/>
        <v>3.1507477349634327</v>
      </c>
      <c r="W190" s="203">
        <f t="shared" si="309"/>
        <v>350</v>
      </c>
      <c r="X190" s="454">
        <f t="shared" si="310"/>
        <v>186.88976747412184</v>
      </c>
      <c r="Z190" s="223">
        <f t="shared" si="311"/>
        <v>0.40047807315883255</v>
      </c>
      <c r="AA190" s="179">
        <f t="shared" si="312"/>
        <v>1.6824071758769483</v>
      </c>
      <c r="AB190" s="179">
        <f t="shared" si="313"/>
        <v>0.17686388581674575</v>
      </c>
      <c r="AC190" s="179"/>
      <c r="AD190" s="179">
        <f t="shared" si="314"/>
        <v>0.63014954699268633</v>
      </c>
      <c r="AE190" s="563">
        <f t="shared" si="315"/>
        <v>2821.1998029071206</v>
      </c>
      <c r="AF190" s="546">
        <f t="shared" si="316"/>
        <v>4.9624276825674052E-2</v>
      </c>
      <c r="AH190" s="179">
        <f t="shared" si="317"/>
        <v>0.72074997015644715</v>
      </c>
      <c r="AI190" s="179">
        <f t="shared" si="318"/>
        <v>0.75</v>
      </c>
      <c r="AJ190" s="179">
        <f t="shared" si="319"/>
        <v>1.6444444444444444</v>
      </c>
      <c r="AL190" s="563">
        <f t="shared" si="320"/>
        <v>400</v>
      </c>
      <c r="AM190" s="472">
        <f t="shared" si="321"/>
        <v>186.88976747412184</v>
      </c>
      <c r="AO190" t="str">
        <f t="shared" si="322"/>
        <v/>
      </c>
      <c r="AP190" t="str">
        <f t="shared" si="323"/>
        <v/>
      </c>
      <c r="AR190" s="6">
        <f t="shared" si="245"/>
        <v>5.3507477349634325</v>
      </c>
      <c r="AS190" s="6">
        <f t="shared" si="333"/>
        <v>2.2000000000000002</v>
      </c>
      <c r="AT190" s="6">
        <f t="shared" si="334"/>
        <v>3.1507477349634323</v>
      </c>
      <c r="AU190" s="179">
        <f t="shared" si="335"/>
        <v>0.4111574884430681</v>
      </c>
      <c r="AW190" s="6">
        <f t="shared" si="324"/>
        <v>23.491111111111117</v>
      </c>
      <c r="AX190" s="472">
        <f t="shared" si="325"/>
        <v>17.193947990543741</v>
      </c>
      <c r="AY190" s="6">
        <f t="shared" si="326"/>
        <v>23.491111111111117</v>
      </c>
      <c r="AZ190" s="472">
        <f t="shared" si="327"/>
        <v>35.368888888888904</v>
      </c>
      <c r="BA190" s="6">
        <f t="shared" si="271"/>
        <v>0.38898120184733731</v>
      </c>
      <c r="BB190" s="6">
        <f t="shared" si="328"/>
        <v>92.216664925013532</v>
      </c>
      <c r="BC190" s="6"/>
      <c r="BD190" s="179">
        <f t="shared" si="272"/>
        <v>0.27765451388924922</v>
      </c>
      <c r="BE190" s="179">
        <f t="shared" si="273"/>
        <v>0.99683084736193961</v>
      </c>
      <c r="BF190" s="179">
        <f t="shared" si="274"/>
        <v>0.99683084736193961</v>
      </c>
      <c r="BG190" s="179"/>
      <c r="BH190" s="546">
        <f t="shared" si="275"/>
        <v>2.698221017907635E-2</v>
      </c>
      <c r="BI190" s="546">
        <f t="shared" si="276"/>
        <v>3.2326089467789511E-2</v>
      </c>
      <c r="BJ190" s="546">
        <f t="shared" si="277"/>
        <v>2.336122093426523E-3</v>
      </c>
      <c r="BK190" s="546">
        <f t="shared" si="278"/>
        <v>8.8357977878624674E-3</v>
      </c>
      <c r="BL190">
        <f t="shared" si="279"/>
        <v>4.3499999999999997E-3</v>
      </c>
      <c r="BN190" s="472">
        <f t="shared" si="280"/>
        <v>74.830219528154856</v>
      </c>
      <c r="BO190" s="179">
        <f t="shared" si="281"/>
        <v>0.12</v>
      </c>
      <c r="BP190" s="179">
        <f t="shared" si="282"/>
        <v>0.12</v>
      </c>
      <c r="BQ190" s="546"/>
      <c r="BS190" s="472">
        <f t="shared" si="283"/>
        <v>240</v>
      </c>
      <c r="BT190" s="546">
        <f t="shared" si="284"/>
        <v>1.5418405816615058E-2</v>
      </c>
      <c r="BU190" s="546">
        <f t="shared" si="285"/>
        <v>3.9746869530092904E-2</v>
      </c>
      <c r="BV190" s="546">
        <f t="shared" si="286"/>
        <v>8.9430456442709028E-2</v>
      </c>
      <c r="BW190" s="546">
        <f t="shared" si="287"/>
        <v>1.1630194345239118E-2</v>
      </c>
      <c r="BX190" s="546"/>
      <c r="BY190" s="656">
        <f t="shared" si="329"/>
        <v>5.2562747102096775E-2</v>
      </c>
      <c r="BZ190" s="472">
        <f t="shared" si="288"/>
        <v>208.78867323675289</v>
      </c>
      <c r="CA190" s="179">
        <f t="shared" si="289"/>
        <v>0.5236188927649077</v>
      </c>
      <c r="CB190" s="6">
        <f t="shared" si="290"/>
        <v>3.8894817073170733</v>
      </c>
      <c r="CC190" s="179">
        <f t="shared" si="291"/>
        <v>0.88134897882110819</v>
      </c>
      <c r="CD190" s="6">
        <f t="shared" si="292"/>
        <v>88.13489788211082</v>
      </c>
      <c r="CE190">
        <f t="shared" si="293"/>
        <v>80</v>
      </c>
      <c r="CG190" s="581">
        <f t="shared" si="330"/>
        <v>-50</v>
      </c>
      <c r="CH190">
        <f t="shared" si="331"/>
        <v>-50</v>
      </c>
    </row>
    <row r="191" spans="5:86" x14ac:dyDescent="0.2">
      <c r="E191" s="176">
        <v>81</v>
      </c>
      <c r="F191" s="223">
        <f t="shared" si="332"/>
        <v>0.40500000000000003</v>
      </c>
      <c r="G191" s="223">
        <f t="shared" si="294"/>
        <v>0.40500000000000003</v>
      </c>
      <c r="H191" s="223">
        <f t="shared" si="295"/>
        <v>2.0250000000000004</v>
      </c>
      <c r="I191" s="223">
        <f t="shared" si="296"/>
        <v>2.0250000000000004</v>
      </c>
      <c r="J191" s="559">
        <f t="shared" si="297"/>
        <v>15</v>
      </c>
      <c r="K191" s="454">
        <f t="shared" si="298"/>
        <v>10.353658536585366</v>
      </c>
      <c r="L191" s="454">
        <f t="shared" si="299"/>
        <v>30.75</v>
      </c>
      <c r="M191" s="454"/>
      <c r="N191" s="223">
        <f t="shared" si="300"/>
        <v>0.51219512195121952</v>
      </c>
      <c r="O191" s="178">
        <f t="shared" si="301"/>
        <v>1.2964939024390245</v>
      </c>
      <c r="P191" s="178">
        <f t="shared" si="302"/>
        <v>2.592987804878049</v>
      </c>
      <c r="Q191" s="223">
        <f t="shared" si="303"/>
        <v>0.25929878048780491</v>
      </c>
      <c r="R191" s="223">
        <f t="shared" si="304"/>
        <v>0.25929878048780491</v>
      </c>
      <c r="S191" s="223">
        <f t="shared" si="305"/>
        <v>3.2012195121951219</v>
      </c>
      <c r="T191" s="223">
        <f t="shared" si="306"/>
        <v>0.75</v>
      </c>
      <c r="U191" s="223">
        <f t="shared" si="307"/>
        <v>2.2000000000000002</v>
      </c>
      <c r="V191" s="223">
        <f t="shared" si="308"/>
        <v>3.1872791519434633</v>
      </c>
      <c r="W191" s="203">
        <f t="shared" si="309"/>
        <v>350</v>
      </c>
      <c r="X191" s="454">
        <f t="shared" si="310"/>
        <v>185.62245834973106</v>
      </c>
      <c r="Z191" s="223">
        <f t="shared" si="311"/>
        <v>0.3977624107494237</v>
      </c>
      <c r="AA191" s="179">
        <f t="shared" si="312"/>
        <v>1.6903731189445474</v>
      </c>
      <c r="AB191" s="179">
        <f t="shared" si="313"/>
        <v>0.17649630780006897</v>
      </c>
      <c r="AC191" s="179"/>
      <c r="AD191" s="179">
        <f t="shared" si="314"/>
        <v>0.63745583038869247</v>
      </c>
      <c r="AE191" s="563">
        <f t="shared" si="315"/>
        <v>2823.7250554323732</v>
      </c>
      <c r="AF191" s="546">
        <f t="shared" si="316"/>
        <v>5.0199646643109531E-2</v>
      </c>
      <c r="AH191" s="179">
        <f t="shared" si="317"/>
        <v>0.72524066762284234</v>
      </c>
      <c r="AI191" s="179">
        <f t="shared" si="318"/>
        <v>0.75</v>
      </c>
      <c r="AJ191" s="179">
        <f t="shared" si="319"/>
        <v>1.6444444444444444</v>
      </c>
      <c r="AL191" s="563">
        <f t="shared" si="320"/>
        <v>405</v>
      </c>
      <c r="AM191" s="472">
        <f t="shared" si="321"/>
        <v>185.62245834973106</v>
      </c>
      <c r="AO191" t="str">
        <f t="shared" si="322"/>
        <v/>
      </c>
      <c r="AP191" t="str">
        <f t="shared" si="323"/>
        <v/>
      </c>
      <c r="AR191" s="6">
        <f t="shared" si="245"/>
        <v>5.3872791519434626</v>
      </c>
      <c r="AS191" s="6">
        <f t="shared" si="333"/>
        <v>2.2000000000000002</v>
      </c>
      <c r="AT191" s="6">
        <f t="shared" si="334"/>
        <v>3.1872791519434625</v>
      </c>
      <c r="AU191" s="179">
        <f t="shared" si="335"/>
        <v>0.40836940836940844</v>
      </c>
      <c r="AW191" s="6">
        <f t="shared" si="324"/>
        <v>23.491111111111117</v>
      </c>
      <c r="AX191" s="472">
        <f t="shared" si="325"/>
        <v>17.611295744680856</v>
      </c>
      <c r="AY191" s="6">
        <f t="shared" si="326"/>
        <v>23.491111111111117</v>
      </c>
      <c r="AZ191" s="472">
        <f t="shared" si="327"/>
        <v>36.243450000000017</v>
      </c>
      <c r="BA191" s="6">
        <f t="shared" si="271"/>
        <v>0.39840989399293281</v>
      </c>
      <c r="BB191" s="6">
        <f t="shared" si="328"/>
        <v>93.269170688615006</v>
      </c>
      <c r="BC191" s="6"/>
      <c r="BD191" s="179">
        <f t="shared" si="272"/>
        <v>0.27671151777485531</v>
      </c>
      <c r="BE191" s="179">
        <f t="shared" si="273"/>
        <v>0.99918798200169678</v>
      </c>
      <c r="BF191" s="179">
        <f t="shared" si="274"/>
        <v>0.99918798200169678</v>
      </c>
      <c r="BG191" s="179"/>
      <c r="BH191" s="546">
        <f t="shared" si="275"/>
        <v>2.679924242424242E-2</v>
      </c>
      <c r="BI191" s="546">
        <f t="shared" si="276"/>
        <v>3.2106884592680039E-2</v>
      </c>
      <c r="BJ191" s="546">
        <f t="shared" si="277"/>
        <v>2.3202807293716383E-3</v>
      </c>
      <c r="BK191" s="546">
        <f t="shared" si="278"/>
        <v>8.7758817886658801E-3</v>
      </c>
      <c r="BL191">
        <f t="shared" si="279"/>
        <v>4.3499999999999997E-3</v>
      </c>
      <c r="BN191" s="472">
        <f t="shared" si="280"/>
        <v>74.352289534959979</v>
      </c>
      <c r="BO191" s="179">
        <f t="shared" si="281"/>
        <v>0.1215</v>
      </c>
      <c r="BP191" s="179">
        <f t="shared" si="282"/>
        <v>0.1215</v>
      </c>
      <c r="BQ191" s="546"/>
      <c r="BS191" s="472">
        <f t="shared" si="283"/>
        <v>243</v>
      </c>
      <c r="BT191" s="546">
        <f t="shared" si="284"/>
        <v>1.5313852813852814E-2</v>
      </c>
      <c r="BU191" s="546">
        <f t="shared" si="285"/>
        <v>3.9935064935064928E-2</v>
      </c>
      <c r="BV191" s="546">
        <f t="shared" si="286"/>
        <v>8.9853896103896075E-2</v>
      </c>
      <c r="BW191" s="546">
        <f t="shared" si="287"/>
        <v>1.1434033572224419E-2</v>
      </c>
      <c r="BX191" s="546"/>
      <c r="BY191" s="656">
        <f t="shared" si="329"/>
        <v>5.2206316410861875E-2</v>
      </c>
      <c r="BZ191" s="472">
        <f t="shared" si="288"/>
        <v>208.74316383590011</v>
      </c>
      <c r="CA191" s="179">
        <f t="shared" si="289"/>
        <v>0.52609545337086017</v>
      </c>
      <c r="CB191" s="6">
        <f t="shared" si="290"/>
        <v>3.8894817073170733</v>
      </c>
      <c r="CC191" s="179">
        <f t="shared" si="291"/>
        <v>0.88085465744892666</v>
      </c>
      <c r="CD191" s="6">
        <f t="shared" si="292"/>
        <v>88.085465744892673</v>
      </c>
      <c r="CE191">
        <f t="shared" si="293"/>
        <v>81</v>
      </c>
      <c r="CG191" s="581">
        <f t="shared" si="330"/>
        <v>-50</v>
      </c>
      <c r="CH191">
        <f t="shared" si="331"/>
        <v>-50</v>
      </c>
    </row>
    <row r="192" spans="5:86" x14ac:dyDescent="0.2">
      <c r="E192" s="176">
        <v>82</v>
      </c>
      <c r="F192" s="223">
        <f t="shared" si="332"/>
        <v>0.41</v>
      </c>
      <c r="G192" s="223">
        <f t="shared" si="294"/>
        <v>0.41</v>
      </c>
      <c r="H192" s="223">
        <f t="shared" si="295"/>
        <v>2.0499999999999998</v>
      </c>
      <c r="I192" s="223">
        <f t="shared" si="296"/>
        <v>2.0499999999999998</v>
      </c>
      <c r="J192" s="559">
        <f t="shared" si="297"/>
        <v>15</v>
      </c>
      <c r="K192" s="454">
        <f t="shared" si="298"/>
        <v>10.236540749553839</v>
      </c>
      <c r="L192" s="454">
        <f t="shared" si="299"/>
        <v>30.75</v>
      </c>
      <c r="M192" s="454"/>
      <c r="N192" s="223">
        <f t="shared" si="300"/>
        <v>0.51219512195121952</v>
      </c>
      <c r="O192" s="178">
        <f t="shared" si="301"/>
        <v>1.2964939024390245</v>
      </c>
      <c r="P192" s="178">
        <f t="shared" si="302"/>
        <v>2.592987804878049</v>
      </c>
      <c r="Q192" s="223">
        <f t="shared" si="303"/>
        <v>0.25929878048780491</v>
      </c>
      <c r="R192" s="223">
        <f t="shared" si="304"/>
        <v>0.25929878048780491</v>
      </c>
      <c r="S192" s="223">
        <f t="shared" si="305"/>
        <v>3.1621802498512794</v>
      </c>
      <c r="T192" s="223">
        <f t="shared" si="306"/>
        <v>0.75</v>
      </c>
      <c r="U192" s="223">
        <f t="shared" si="307"/>
        <v>2.2000000000000002</v>
      </c>
      <c r="V192" s="223">
        <f t="shared" si="308"/>
        <v>3.223745287336282</v>
      </c>
      <c r="W192" s="203">
        <f t="shared" si="309"/>
        <v>350</v>
      </c>
      <c r="X192" s="454">
        <f t="shared" si="310"/>
        <v>184.37443998981036</v>
      </c>
      <c r="Z192" s="223">
        <f t="shared" si="311"/>
        <v>0.3950880856924508</v>
      </c>
      <c r="AA192" s="179">
        <f t="shared" si="312"/>
        <v>1.698217805778335</v>
      </c>
      <c r="AB192" s="179">
        <f t="shared" si="313"/>
        <v>0.17612322576812162</v>
      </c>
      <c r="AC192" s="179"/>
      <c r="AD192" s="179">
        <f t="shared" si="314"/>
        <v>0.6447490574672563</v>
      </c>
      <c r="AE192" s="563">
        <f t="shared" si="315"/>
        <v>2826.2503079576259</v>
      </c>
      <c r="AF192" s="546">
        <f t="shared" si="316"/>
        <v>5.0773988275546432E-2</v>
      </c>
      <c r="AH192" s="179">
        <f t="shared" si="317"/>
        <v>0.72970372924052707</v>
      </c>
      <c r="AI192" s="179">
        <f t="shared" si="318"/>
        <v>0.75</v>
      </c>
      <c r="AJ192" s="179">
        <f t="shared" si="319"/>
        <v>1.6444444444444444</v>
      </c>
      <c r="AL192" s="563">
        <f t="shared" si="320"/>
        <v>410</v>
      </c>
      <c r="AM192" s="472">
        <f t="shared" si="321"/>
        <v>184.37443998981036</v>
      </c>
      <c r="AO192" t="str">
        <f t="shared" si="322"/>
        <v/>
      </c>
      <c r="AP192" t="str">
        <f t="shared" si="323"/>
        <v/>
      </c>
      <c r="AR192" s="6">
        <f t="shared" si="245"/>
        <v>5.4237452873362821</v>
      </c>
      <c r="AS192" s="6">
        <f t="shared" si="333"/>
        <v>2.2000000000000002</v>
      </c>
      <c r="AT192" s="6">
        <f t="shared" si="334"/>
        <v>3.223745287336282</v>
      </c>
      <c r="AU192" s="179">
        <f t="shared" si="335"/>
        <v>0.40562376797758276</v>
      </c>
      <c r="AW192" s="6">
        <f t="shared" si="324"/>
        <v>23.491111111111117</v>
      </c>
      <c r="AX192" s="472">
        <f t="shared" si="325"/>
        <v>18.033641607565009</v>
      </c>
      <c r="AY192" s="6">
        <f t="shared" si="326"/>
        <v>23.491111111111117</v>
      </c>
      <c r="AZ192" s="472">
        <f t="shared" si="327"/>
        <v>37.128688888888874</v>
      </c>
      <c r="BA192" s="6">
        <f t="shared" si="271"/>
        <v>0.40794307648391215</v>
      </c>
      <c r="BB192" s="6">
        <f t="shared" si="328"/>
        <v>94.319795625999603</v>
      </c>
      <c r="BC192" s="6"/>
      <c r="BD192" s="179">
        <f t="shared" si="272"/>
        <v>0.27577972459156019</v>
      </c>
      <c r="BE192" s="179">
        <f t="shared" si="273"/>
        <v>1.0015038150390787</v>
      </c>
      <c r="BF192" s="179">
        <f t="shared" si="274"/>
        <v>1.0015038150390787</v>
      </c>
      <c r="BG192" s="179"/>
      <c r="BH192" s="546">
        <f t="shared" si="275"/>
        <v>2.6619059773528873E-2</v>
      </c>
      <c r="BI192" s="546">
        <f t="shared" si="276"/>
        <v>3.1891016416987508E-2</v>
      </c>
      <c r="BJ192" s="546">
        <f t="shared" si="277"/>
        <v>2.3046804998726293E-3</v>
      </c>
      <c r="BK192" s="546">
        <f t="shared" si="278"/>
        <v>8.7168778206432526E-3</v>
      </c>
      <c r="BL192">
        <f t="shared" si="279"/>
        <v>4.3499999999999997E-3</v>
      </c>
      <c r="BN192" s="472">
        <f t="shared" si="280"/>
        <v>73.881634511032246</v>
      </c>
      <c r="BO192" s="179">
        <f t="shared" si="281"/>
        <v>0.12299999999999998</v>
      </c>
      <c r="BP192" s="179">
        <f t="shared" si="282"/>
        <v>0.12299999999999998</v>
      </c>
      <c r="BQ192" s="546"/>
      <c r="BS192" s="472">
        <f t="shared" si="283"/>
        <v>245.99999999999997</v>
      </c>
      <c r="BT192" s="546">
        <f t="shared" si="284"/>
        <v>1.5210891299159358E-2</v>
      </c>
      <c r="BU192" s="546">
        <f t="shared" si="285"/>
        <v>4.0120395661513167E-2</v>
      </c>
      <c r="BV192" s="546">
        <f t="shared" si="286"/>
        <v>9.0270890238404622E-2</v>
      </c>
      <c r="BW192" s="546">
        <f t="shared" si="287"/>
        <v>1.1242811995361061E-2</v>
      </c>
      <c r="BX192" s="546"/>
      <c r="BY192" s="656">
        <f t="shared" si="329"/>
        <v>5.1855311247134175E-2</v>
      </c>
      <c r="BZ192" s="472">
        <f t="shared" si="288"/>
        <v>208.70030044157238</v>
      </c>
      <c r="CA192" s="179">
        <f t="shared" si="289"/>
        <v>0.52858193495260464</v>
      </c>
      <c r="CB192" s="6">
        <f t="shared" si="290"/>
        <v>3.8894817073170733</v>
      </c>
      <c r="CC192" s="179">
        <f t="shared" si="291"/>
        <v>0.88035891337204519</v>
      </c>
      <c r="CD192" s="6">
        <f t="shared" si="292"/>
        <v>88.035891337204518</v>
      </c>
      <c r="CE192">
        <f t="shared" si="293"/>
        <v>82</v>
      </c>
      <c r="CG192" s="581">
        <f t="shared" si="330"/>
        <v>-50</v>
      </c>
      <c r="CH192">
        <f t="shared" si="331"/>
        <v>-50</v>
      </c>
    </row>
    <row r="193" spans="5:86" x14ac:dyDescent="0.2">
      <c r="E193" s="176">
        <v>83</v>
      </c>
      <c r="F193" s="223">
        <f t="shared" si="332"/>
        <v>0.41499999999999998</v>
      </c>
      <c r="G193" s="223">
        <f t="shared" si="294"/>
        <v>0.41499999999999998</v>
      </c>
      <c r="H193" s="223">
        <f t="shared" si="295"/>
        <v>2.0749999999999997</v>
      </c>
      <c r="I193" s="223">
        <f t="shared" si="296"/>
        <v>2.0749999999999997</v>
      </c>
      <c r="J193" s="559">
        <f t="shared" si="297"/>
        <v>15</v>
      </c>
      <c r="K193" s="454">
        <f t="shared" si="298"/>
        <v>10.122245077872467</v>
      </c>
      <c r="L193" s="454">
        <f t="shared" si="299"/>
        <v>30.75</v>
      </c>
      <c r="M193" s="454"/>
      <c r="N193" s="223">
        <f t="shared" si="300"/>
        <v>0.51219512195121952</v>
      </c>
      <c r="O193" s="178">
        <f t="shared" si="301"/>
        <v>1.2964939024390245</v>
      </c>
      <c r="P193" s="178">
        <f t="shared" si="302"/>
        <v>2.592987804878049</v>
      </c>
      <c r="Q193" s="223">
        <f t="shared" si="303"/>
        <v>0.25929878048780491</v>
      </c>
      <c r="R193" s="223">
        <f t="shared" si="304"/>
        <v>0.25929878048780491</v>
      </c>
      <c r="S193" s="223">
        <f t="shared" si="305"/>
        <v>3.1240816926241557</v>
      </c>
      <c r="T193" s="223">
        <f t="shared" si="306"/>
        <v>0.75</v>
      </c>
      <c r="U193" s="223">
        <f t="shared" si="307"/>
        <v>2.2000000000000002</v>
      </c>
      <c r="V193" s="223">
        <f t="shared" si="308"/>
        <v>3.2601463159728263</v>
      </c>
      <c r="W193" s="203">
        <f t="shared" si="309"/>
        <v>350</v>
      </c>
      <c r="X193" s="454">
        <f t="shared" si="310"/>
        <v>183.14527526023474</v>
      </c>
      <c r="Z193" s="223">
        <f t="shared" si="311"/>
        <v>0.39245416127193156</v>
      </c>
      <c r="AA193" s="179">
        <f t="shared" si="312"/>
        <v>1.7059439840785244</v>
      </c>
      <c r="AB193" s="179">
        <f t="shared" si="313"/>
        <v>0.17574501405521409</v>
      </c>
      <c r="AC193" s="179"/>
      <c r="AD193" s="179">
        <f t="shared" si="314"/>
        <v>0.65202926319456533</v>
      </c>
      <c r="AE193" s="563">
        <f t="shared" si="315"/>
        <v>2828.7755604828776</v>
      </c>
      <c r="AF193" s="546">
        <f t="shared" si="316"/>
        <v>5.1347304476572014E-2</v>
      </c>
      <c r="AH193" s="179">
        <f t="shared" si="317"/>
        <v>0.73413965903024125</v>
      </c>
      <c r="AI193" s="179">
        <f t="shared" si="318"/>
        <v>0.75</v>
      </c>
      <c r="AJ193" s="179">
        <f t="shared" si="319"/>
        <v>1.6444444444444444</v>
      </c>
      <c r="AL193" s="563">
        <f t="shared" si="320"/>
        <v>415</v>
      </c>
      <c r="AM193" s="472">
        <f t="shared" si="321"/>
        <v>183.14527526023474</v>
      </c>
      <c r="AO193" t="str">
        <f t="shared" si="322"/>
        <v/>
      </c>
      <c r="AP193" t="str">
        <f t="shared" si="323"/>
        <v/>
      </c>
      <c r="AR193" s="6">
        <f t="shared" si="245"/>
        <v>5.4601463159728265</v>
      </c>
      <c r="AS193" s="6">
        <f t="shared" si="333"/>
        <v>2.2000000000000002</v>
      </c>
      <c r="AT193" s="6">
        <f t="shared" si="334"/>
        <v>3.2601463159728263</v>
      </c>
      <c r="AU193" s="179">
        <f t="shared" si="335"/>
        <v>0.40291960557251649</v>
      </c>
      <c r="AW193" s="6">
        <f t="shared" si="324"/>
        <v>23.491111111111117</v>
      </c>
      <c r="AX193" s="472">
        <f t="shared" si="325"/>
        <v>18.460985579196219</v>
      </c>
      <c r="AY193" s="6">
        <f t="shared" si="326"/>
        <v>23.491111111111117</v>
      </c>
      <c r="AZ193" s="472">
        <f t="shared" si="327"/>
        <v>38.024605555555553</v>
      </c>
      <c r="BA193" s="6">
        <f t="shared" si="271"/>
        <v>0.41758046948417371</v>
      </c>
      <c r="BB193" s="6">
        <f t="shared" si="328"/>
        <v>95.368544774217114</v>
      </c>
      <c r="BC193" s="6"/>
      <c r="BD193" s="179">
        <f t="shared" si="272"/>
        <v>0.27485892025700537</v>
      </c>
      <c r="BE193" s="179">
        <f t="shared" si="273"/>
        <v>1.003779440712141</v>
      </c>
      <c r="BF193" s="179">
        <f t="shared" si="274"/>
        <v>1.003779440712141</v>
      </c>
      <c r="BG193" s="179"/>
      <c r="BH193" s="546">
        <f t="shared" si="275"/>
        <v>2.644159911569639E-2</v>
      </c>
      <c r="BI193" s="546">
        <f t="shared" si="276"/>
        <v>3.1678409330168716E-2</v>
      </c>
      <c r="BJ193" s="546">
        <f t="shared" si="277"/>
        <v>2.289315940752934E-3</v>
      </c>
      <c r="BK193" s="546">
        <f t="shared" si="278"/>
        <v>8.6587652169127869E-3</v>
      </c>
      <c r="BL193">
        <f t="shared" si="279"/>
        <v>4.3499999999999997E-3</v>
      </c>
      <c r="BN193" s="472">
        <f t="shared" si="280"/>
        <v>73.418089603530831</v>
      </c>
      <c r="BO193" s="179">
        <f t="shared" si="281"/>
        <v>0.12449999999999999</v>
      </c>
      <c r="BP193" s="179">
        <f t="shared" si="282"/>
        <v>0.12449999999999999</v>
      </c>
      <c r="BQ193" s="546"/>
      <c r="BS193" s="472">
        <f t="shared" si="283"/>
        <v>248.99999999999997</v>
      </c>
      <c r="BT193" s="546">
        <f t="shared" si="284"/>
        <v>1.5109485208969368E-2</v>
      </c>
      <c r="BU193" s="546">
        <f t="shared" si="285"/>
        <v>4.0302926623855137E-2</v>
      </c>
      <c r="BV193" s="546">
        <f t="shared" si="286"/>
        <v>9.0681584903674062E-2</v>
      </c>
      <c r="BW193" s="546">
        <f t="shared" si="287"/>
        <v>1.1056367383462315E-2</v>
      </c>
      <c r="BX193" s="546"/>
      <c r="BY193" s="656">
        <f t="shared" si="329"/>
        <v>5.1509608666941029E-2</v>
      </c>
      <c r="BZ193" s="472">
        <f t="shared" ref="BZ193:BZ210" si="336">SUM(BT193:BY193)*1000</f>
        <v>208.6599727869019</v>
      </c>
      <c r="CA193" s="179">
        <f t="shared" ref="CA193:CA210" si="337">SUM(BH193:BL193,BO193:BR193,BT193:BY193)</f>
        <v>0.53107806239043276</v>
      </c>
      <c r="CB193" s="6">
        <f t="shared" ref="CB193:CB210" si="338">MIN(H193+I193,O193+P193)</f>
        <v>3.8894817073170733</v>
      </c>
      <c r="CC193" s="179">
        <f t="shared" ref="CC193:CC210" si="339">CB193/(CB193+CA193)</f>
        <v>0.87986180708838779</v>
      </c>
      <c r="CD193" s="6">
        <f t="shared" ref="CD193:CD210" si="340">CC193*100</f>
        <v>87.986180708838774</v>
      </c>
      <c r="CE193">
        <f t="shared" ref="CE193:CE210" si="341">F193/Iout*100</f>
        <v>83</v>
      </c>
      <c r="CG193" s="581">
        <f t="shared" si="330"/>
        <v>-50</v>
      </c>
      <c r="CH193">
        <f t="shared" si="331"/>
        <v>-50</v>
      </c>
    </row>
    <row r="194" spans="5:86" x14ac:dyDescent="0.2">
      <c r="E194" s="176">
        <v>84</v>
      </c>
      <c r="F194" s="223">
        <f t="shared" si="332"/>
        <v>0.42</v>
      </c>
      <c r="G194" s="223">
        <f t="shared" si="294"/>
        <v>0.42</v>
      </c>
      <c r="H194" s="223">
        <f t="shared" si="295"/>
        <v>2.1</v>
      </c>
      <c r="I194" s="223">
        <f t="shared" si="296"/>
        <v>2.1</v>
      </c>
      <c r="J194" s="559">
        <f t="shared" si="297"/>
        <v>15</v>
      </c>
      <c r="K194" s="454">
        <f t="shared" si="298"/>
        <v>10.010670731707318</v>
      </c>
      <c r="L194" s="454">
        <f t="shared" si="299"/>
        <v>30.75</v>
      </c>
      <c r="M194" s="454"/>
      <c r="N194" s="223">
        <f t="shared" si="300"/>
        <v>0.51219512195121952</v>
      </c>
      <c r="O194" s="178">
        <f t="shared" si="301"/>
        <v>1.2964939024390245</v>
      </c>
      <c r="P194" s="178">
        <f t="shared" si="302"/>
        <v>2.592987804878049</v>
      </c>
      <c r="Q194" s="223">
        <f t="shared" si="303"/>
        <v>0.25929878048780491</v>
      </c>
      <c r="R194" s="223">
        <f t="shared" si="304"/>
        <v>0.25929878048780491</v>
      </c>
      <c r="S194" s="223">
        <f t="shared" si="305"/>
        <v>3.0868902439024395</v>
      </c>
      <c r="T194" s="223">
        <f t="shared" si="306"/>
        <v>0.75</v>
      </c>
      <c r="U194" s="223">
        <f t="shared" si="307"/>
        <v>2.2000000000000002</v>
      </c>
      <c r="V194" s="223">
        <f t="shared" si="308"/>
        <v>3.2964824120603016</v>
      </c>
      <c r="W194" s="203">
        <f t="shared" si="309"/>
        <v>350</v>
      </c>
      <c r="X194" s="454">
        <f t="shared" si="310"/>
        <v>181.93454013530811</v>
      </c>
      <c r="Z194" s="223">
        <f t="shared" si="311"/>
        <v>0.38985972886137449</v>
      </c>
      <c r="AA194" s="179">
        <f t="shared" si="312"/>
        <v>1.7135543191494917</v>
      </c>
      <c r="AB194" s="179">
        <f t="shared" si="313"/>
        <v>0.17536202834137524</v>
      </c>
      <c r="AC194" s="179"/>
      <c r="AD194" s="179">
        <f t="shared" si="314"/>
        <v>0.65929648241206018</v>
      </c>
      <c r="AE194" s="563">
        <f t="shared" si="315"/>
        <v>2831.3008130081307</v>
      </c>
      <c r="AF194" s="546">
        <f t="shared" si="316"/>
        <v>5.1919597989949738E-2</v>
      </c>
      <c r="AH194" s="179">
        <f t="shared" si="317"/>
        <v>0.7385489458759964</v>
      </c>
      <c r="AI194" s="179">
        <f t="shared" si="318"/>
        <v>0.75</v>
      </c>
      <c r="AJ194" s="179">
        <f t="shared" si="319"/>
        <v>1.6444444444444444</v>
      </c>
      <c r="AL194" s="563">
        <f t="shared" si="320"/>
        <v>420</v>
      </c>
      <c r="AM194" s="472">
        <f t="shared" si="321"/>
        <v>181.93454013530811</v>
      </c>
      <c r="AO194" t="str">
        <f t="shared" si="322"/>
        <v/>
      </c>
      <c r="AP194" t="str">
        <f t="shared" si="323"/>
        <v/>
      </c>
      <c r="AR194" s="6">
        <f t="shared" si="245"/>
        <v>5.4964824120603009</v>
      </c>
      <c r="AS194" s="6">
        <f t="shared" si="333"/>
        <v>2.2000000000000002</v>
      </c>
      <c r="AT194" s="6">
        <f t="shared" si="334"/>
        <v>3.2964824120603007</v>
      </c>
      <c r="AU194" s="179">
        <f t="shared" si="335"/>
        <v>0.40025598829767789</v>
      </c>
      <c r="AW194" s="6">
        <f t="shared" si="324"/>
        <v>23.491111111111117</v>
      </c>
      <c r="AX194" s="472">
        <f t="shared" si="325"/>
        <v>18.893327659574471</v>
      </c>
      <c r="AY194" s="6">
        <f t="shared" si="326"/>
        <v>23.491111111111117</v>
      </c>
      <c r="AZ194" s="472">
        <f t="shared" si="327"/>
        <v>38.931199999999997</v>
      </c>
      <c r="BA194" s="6">
        <f t="shared" si="271"/>
        <v>0.42732179415596488</v>
      </c>
      <c r="BB194" s="6">
        <f t="shared" si="328"/>
        <v>96.415423152347074</v>
      </c>
      <c r="BC194" s="6"/>
      <c r="BD194" s="179">
        <f t="shared" si="272"/>
        <v>0.27394889633983671</v>
      </c>
      <c r="BE194" s="179">
        <f t="shared" si="273"/>
        <v>1.0060159142616327</v>
      </c>
      <c r="BF194" s="179">
        <f t="shared" si="274"/>
        <v>1.0060159142616327</v>
      </c>
      <c r="BG194" s="179"/>
      <c r="BH194" s="546">
        <f t="shared" si="275"/>
        <v>2.626679923203511E-2</v>
      </c>
      <c r="BI194" s="546">
        <f t="shared" si="276"/>
        <v>3.1468989989029077E-2</v>
      </c>
      <c r="BJ194" s="546">
        <f t="shared" si="277"/>
        <v>2.2741817516913512E-3</v>
      </c>
      <c r="BK194" s="546">
        <f t="shared" si="278"/>
        <v>8.6015239303346147E-3</v>
      </c>
      <c r="BL194">
        <f t="shared" si="279"/>
        <v>4.3499999999999997E-3</v>
      </c>
      <c r="BN194" s="472">
        <f t="shared" si="280"/>
        <v>72.961494903090141</v>
      </c>
      <c r="BO194" s="179">
        <f t="shared" si="281"/>
        <v>0.126</v>
      </c>
      <c r="BP194" s="179">
        <f t="shared" si="282"/>
        <v>0.126</v>
      </c>
      <c r="BQ194" s="546"/>
      <c r="BS194" s="472">
        <f t="shared" si="283"/>
        <v>252</v>
      </c>
      <c r="BT194" s="546">
        <f t="shared" si="284"/>
        <v>1.500959956116292E-2</v>
      </c>
      <c r="BU194" s="546">
        <f t="shared" si="285"/>
        <v>4.0482720789906751E-2</v>
      </c>
      <c r="BV194" s="546">
        <f t="shared" si="286"/>
        <v>9.1086121777290183E-2</v>
      </c>
      <c r="BW194" s="546">
        <f t="shared" si="287"/>
        <v>1.0874544035431203E-2</v>
      </c>
      <c r="BX194" s="546"/>
      <c r="BY194" s="656">
        <f t="shared" si="329"/>
        <v>5.1169089413055417E-2</v>
      </c>
      <c r="BZ194" s="472">
        <f t="shared" si="336"/>
        <v>208.62207557684647</v>
      </c>
      <c r="CA194" s="179">
        <f t="shared" si="337"/>
        <v>0.53358357047993654</v>
      </c>
      <c r="CB194" s="6">
        <f t="shared" si="338"/>
        <v>3.8894817073170733</v>
      </c>
      <c r="CC194" s="179">
        <f t="shared" si="339"/>
        <v>0.87936339688260323</v>
      </c>
      <c r="CD194" s="6">
        <f t="shared" si="340"/>
        <v>87.936339688260318</v>
      </c>
      <c r="CE194">
        <f t="shared" si="341"/>
        <v>84</v>
      </c>
      <c r="CG194" s="581">
        <f t="shared" si="330"/>
        <v>-50</v>
      </c>
      <c r="CH194">
        <f t="shared" si="331"/>
        <v>-50</v>
      </c>
    </row>
    <row r="195" spans="5:86" x14ac:dyDescent="0.2">
      <c r="E195" s="176">
        <v>85</v>
      </c>
      <c r="F195" s="223">
        <f t="shared" si="332"/>
        <v>0.42499999999999999</v>
      </c>
      <c r="G195" s="223">
        <f t="shared" si="294"/>
        <v>0.42499999999999999</v>
      </c>
      <c r="H195" s="223">
        <f t="shared" si="295"/>
        <v>2.125</v>
      </c>
      <c r="I195" s="223">
        <f t="shared" si="296"/>
        <v>2.125</v>
      </c>
      <c r="J195" s="559">
        <f t="shared" si="297"/>
        <v>15</v>
      </c>
      <c r="K195" s="454">
        <f t="shared" si="298"/>
        <v>9.9017216642754668</v>
      </c>
      <c r="L195" s="454">
        <f t="shared" si="299"/>
        <v>30.75</v>
      </c>
      <c r="M195" s="454"/>
      <c r="N195" s="223">
        <f t="shared" si="300"/>
        <v>0.51219512195121952</v>
      </c>
      <c r="O195" s="178">
        <f t="shared" si="301"/>
        <v>1.2964939024390245</v>
      </c>
      <c r="P195" s="178">
        <f t="shared" si="302"/>
        <v>2.592987804878049</v>
      </c>
      <c r="Q195" s="223">
        <f t="shared" si="303"/>
        <v>0.25929878048780491</v>
      </c>
      <c r="R195" s="223">
        <f t="shared" si="304"/>
        <v>0.25929878048780491</v>
      </c>
      <c r="S195" s="223">
        <f t="shared" si="305"/>
        <v>3.0505738880918223</v>
      </c>
      <c r="T195" s="223">
        <f t="shared" si="306"/>
        <v>0.75</v>
      </c>
      <c r="U195" s="223">
        <f t="shared" si="307"/>
        <v>2.2000000000000002</v>
      </c>
      <c r="V195" s="223">
        <f t="shared" si="308"/>
        <v>3.3327537491849597</v>
      </c>
      <c r="W195" s="203">
        <f t="shared" si="309"/>
        <v>350</v>
      </c>
      <c r="X195" s="454">
        <f t="shared" si="310"/>
        <v>180.74182321006276</v>
      </c>
      <c r="Z195" s="223">
        <f t="shared" si="311"/>
        <v>0.38730390687870597</v>
      </c>
      <c r="AA195" s="179">
        <f t="shared" si="312"/>
        <v>1.7210513969653196</v>
      </c>
      <c r="AB195" s="179">
        <f t="shared" si="313"/>
        <v>0.17497460662072728</v>
      </c>
      <c r="AC195" s="179"/>
      <c r="AD195" s="179">
        <f t="shared" si="314"/>
        <v>0.66655074983699181</v>
      </c>
      <c r="AE195" s="563">
        <f t="shared" si="315"/>
        <v>2833.8260655333834</v>
      </c>
      <c r="AF195" s="546">
        <f t="shared" si="316"/>
        <v>5.2490871549663101E-2</v>
      </c>
      <c r="AH195" s="179">
        <f t="shared" si="317"/>
        <v>0.74293206415395208</v>
      </c>
      <c r="AI195" s="179">
        <f t="shared" si="318"/>
        <v>0.75</v>
      </c>
      <c r="AJ195" s="179">
        <f t="shared" si="319"/>
        <v>1.6444444444444444</v>
      </c>
      <c r="AL195" s="563">
        <f t="shared" si="320"/>
        <v>425</v>
      </c>
      <c r="AM195" s="472">
        <f t="shared" si="321"/>
        <v>180.74182321006276</v>
      </c>
      <c r="AO195" t="str">
        <f t="shared" si="322"/>
        <v/>
      </c>
      <c r="AP195" t="str">
        <f t="shared" si="323"/>
        <v/>
      </c>
      <c r="AR195" s="6">
        <f t="shared" si="245"/>
        <v>5.5327537491849599</v>
      </c>
      <c r="AS195" s="6">
        <f t="shared" si="333"/>
        <v>2.2000000000000002</v>
      </c>
      <c r="AT195" s="6">
        <f t="shared" si="334"/>
        <v>3.3327537491849597</v>
      </c>
      <c r="AU195" s="179">
        <f t="shared" si="335"/>
        <v>0.39763201106213814</v>
      </c>
      <c r="AW195" s="6">
        <f t="shared" si="324"/>
        <v>23.491111111111117</v>
      </c>
      <c r="AX195" s="472">
        <f t="shared" si="325"/>
        <v>19.330667848699765</v>
      </c>
      <c r="AY195" s="6">
        <f t="shared" si="326"/>
        <v>23.491111111111117</v>
      </c>
      <c r="AZ195" s="472">
        <f t="shared" si="327"/>
        <v>39.84847222222222</v>
      </c>
      <c r="BA195" s="6">
        <f t="shared" si="271"/>
        <v>0.43716677265543452</v>
      </c>
      <c r="BB195" s="6">
        <f t="shared" si="328"/>
        <v>97.460435761578864</v>
      </c>
      <c r="BC195" s="6"/>
      <c r="BD195" s="179">
        <f t="shared" si="272"/>
        <v>0.2730494498697093</v>
      </c>
      <c r="BE195" s="179">
        <f t="shared" si="273"/>
        <v>1.0082142536845242</v>
      </c>
      <c r="BF195" s="179">
        <f t="shared" si="274"/>
        <v>1.0082142536845242</v>
      </c>
      <c r="BG195" s="179"/>
      <c r="BH195" s="546">
        <f t="shared" si="275"/>
        <v>2.6094600725952811E-2</v>
      </c>
      <c r="BI195" s="546">
        <f t="shared" si="276"/>
        <v>3.126268723336554E-2</v>
      </c>
      <c r="BJ195" s="546">
        <f t="shared" si="277"/>
        <v>2.2592727901257843E-3</v>
      </c>
      <c r="BK195" s="546">
        <f t="shared" si="278"/>
        <v>8.5451345104532485E-3</v>
      </c>
      <c r="BL195">
        <f t="shared" si="279"/>
        <v>4.3499999999999997E-3</v>
      </c>
      <c r="BN195" s="472">
        <f t="shared" si="280"/>
        <v>72.511695259897394</v>
      </c>
      <c r="BO195" s="179">
        <f t="shared" si="281"/>
        <v>0.1275</v>
      </c>
      <c r="BP195" s="179">
        <f t="shared" si="282"/>
        <v>0.1275</v>
      </c>
      <c r="BQ195" s="546"/>
      <c r="BS195" s="472">
        <f t="shared" si="283"/>
        <v>255</v>
      </c>
      <c r="BT195" s="546">
        <f t="shared" si="284"/>
        <v>1.4911200414830178E-2</v>
      </c>
      <c r="BU195" s="546">
        <f t="shared" si="285"/>
        <v>4.0659839253305685E-2</v>
      </c>
      <c r="BV195" s="546">
        <f t="shared" si="286"/>
        <v>9.1484638319937792E-2</v>
      </c>
      <c r="BW195" s="546">
        <f t="shared" si="287"/>
        <v>1.0697192470209515E-2</v>
      </c>
      <c r="BX195" s="546"/>
      <c r="BY195" s="656">
        <f t="shared" si="329"/>
        <v>5.0833637777830162E-2</v>
      </c>
      <c r="BZ195" s="472">
        <f t="shared" si="336"/>
        <v>208.5865082361133</v>
      </c>
      <c r="CA195" s="179">
        <f t="shared" si="337"/>
        <v>0.53609820349601078</v>
      </c>
      <c r="CB195" s="6">
        <f t="shared" si="338"/>
        <v>3.8894817073170733</v>
      </c>
      <c r="CC195" s="179">
        <f t="shared" si="339"/>
        <v>0.87886373892240555</v>
      </c>
      <c r="CD195" s="6">
        <f t="shared" si="340"/>
        <v>87.886373892240556</v>
      </c>
      <c r="CE195">
        <f t="shared" si="341"/>
        <v>85</v>
      </c>
      <c r="CG195" s="581">
        <f t="shared" si="330"/>
        <v>-50</v>
      </c>
      <c r="CH195">
        <f t="shared" si="331"/>
        <v>-50</v>
      </c>
    </row>
    <row r="196" spans="5:86" x14ac:dyDescent="0.2">
      <c r="E196" s="176">
        <v>86</v>
      </c>
      <c r="F196" s="223">
        <f t="shared" si="332"/>
        <v>0.43</v>
      </c>
      <c r="G196" s="223">
        <f t="shared" si="294"/>
        <v>0.43</v>
      </c>
      <c r="H196" s="223">
        <f t="shared" si="295"/>
        <v>2.15</v>
      </c>
      <c r="I196" s="223">
        <f t="shared" si="296"/>
        <v>2.15</v>
      </c>
      <c r="J196" s="559">
        <f t="shared" si="297"/>
        <v>15</v>
      </c>
      <c r="K196" s="454">
        <f t="shared" si="298"/>
        <v>9.7953062960862169</v>
      </c>
      <c r="L196" s="454">
        <f t="shared" si="299"/>
        <v>30.75</v>
      </c>
      <c r="M196" s="454"/>
      <c r="N196" s="223">
        <f t="shared" si="300"/>
        <v>0.51219512195121952</v>
      </c>
      <c r="O196" s="178">
        <f t="shared" si="301"/>
        <v>1.2964939024390245</v>
      </c>
      <c r="P196" s="178">
        <f t="shared" si="302"/>
        <v>2.592987804878049</v>
      </c>
      <c r="Q196" s="223">
        <f t="shared" si="303"/>
        <v>0.25929878048780491</v>
      </c>
      <c r="R196" s="223">
        <f t="shared" si="304"/>
        <v>0.25929878048780491</v>
      </c>
      <c r="S196" s="223">
        <f t="shared" si="305"/>
        <v>3.0151020986954058</v>
      </c>
      <c r="T196" s="223">
        <f t="shared" si="306"/>
        <v>0.75</v>
      </c>
      <c r="U196" s="223">
        <f t="shared" si="307"/>
        <v>2.2000000000000002</v>
      </c>
      <c r="V196" s="223">
        <f t="shared" si="308"/>
        <v>3.3689605003148686</v>
      </c>
      <c r="W196" s="203">
        <f t="shared" si="309"/>
        <v>350</v>
      </c>
      <c r="X196" s="454">
        <f t="shared" si="310"/>
        <v>179.56672523417251</v>
      </c>
      <c r="Z196" s="223">
        <f t="shared" si="311"/>
        <v>0.38478583978751257</v>
      </c>
      <c r="AA196" s="179">
        <f t="shared" si="312"/>
        <v>1.7284377270994868</v>
      </c>
      <c r="AB196" s="179">
        <f t="shared" si="313"/>
        <v>0.17458307011487881</v>
      </c>
      <c r="AC196" s="179"/>
      <c r="AD196" s="179">
        <f t="shared" si="314"/>
        <v>0.67379210006297352</v>
      </c>
      <c r="AE196" s="563">
        <f t="shared" si="315"/>
        <v>2836.351318058636</v>
      </c>
      <c r="AF196" s="546">
        <f t="shared" si="316"/>
        <v>5.3061127879959161E-2</v>
      </c>
      <c r="AH196" s="179">
        <f t="shared" si="317"/>
        <v>0.74728947432809356</v>
      </c>
      <c r="AI196" s="179">
        <f t="shared" si="318"/>
        <v>0.75</v>
      </c>
      <c r="AJ196" s="179">
        <f t="shared" si="319"/>
        <v>1.6444444444444444</v>
      </c>
      <c r="AL196" s="563">
        <f t="shared" si="320"/>
        <v>430</v>
      </c>
      <c r="AM196" s="472">
        <f t="shared" si="321"/>
        <v>179.56672523417251</v>
      </c>
      <c r="AO196" t="str">
        <f t="shared" si="322"/>
        <v/>
      </c>
      <c r="AP196" t="str">
        <f t="shared" si="323"/>
        <v/>
      </c>
      <c r="AR196" s="6">
        <f t="shared" si="245"/>
        <v>5.5689605003148692</v>
      </c>
      <c r="AS196" s="6">
        <f t="shared" si="333"/>
        <v>2.2000000000000002</v>
      </c>
      <c r="AT196" s="6">
        <f t="shared" si="334"/>
        <v>3.368960500314869</v>
      </c>
      <c r="AU196" s="179">
        <f t="shared" si="335"/>
        <v>0.39504679551517957</v>
      </c>
      <c r="AW196" s="6">
        <f t="shared" si="324"/>
        <v>23.491111111111117</v>
      </c>
      <c r="AX196" s="472">
        <f t="shared" si="325"/>
        <v>19.773006146572101</v>
      </c>
      <c r="AY196" s="6">
        <f t="shared" si="326"/>
        <v>23.491111111111117</v>
      </c>
      <c r="AZ196" s="472">
        <f t="shared" si="327"/>
        <v>40.776422222222216</v>
      </c>
      <c r="BA196" s="6">
        <f t="shared" si="271"/>
        <v>0.44711512812820786</v>
      </c>
      <c r="BB196" s="6">
        <f t="shared" si="328"/>
        <v>98.503587585291214</v>
      </c>
      <c r="BC196" s="6"/>
      <c r="BD196" s="179">
        <f t="shared" si="272"/>
        <v>0.27216038315503632</v>
      </c>
      <c r="BE196" s="179">
        <f t="shared" si="273"/>
        <v>1.0103754413920276</v>
      </c>
      <c r="BF196" s="179">
        <f t="shared" si="274"/>
        <v>1.0103754413920276</v>
      </c>
      <c r="BG196" s="179"/>
      <c r="BH196" s="546">
        <f t="shared" si="275"/>
        <v>2.5924945955683659E-2</v>
      </c>
      <c r="BI196" s="546">
        <f t="shared" si="276"/>
        <v>3.1059432005348279E-2</v>
      </c>
      <c r="BJ196" s="546">
        <f t="shared" si="277"/>
        <v>2.2445840654271563E-3</v>
      </c>
      <c r="BK196" s="546">
        <f t="shared" si="278"/>
        <v>8.4895780814618627E-3</v>
      </c>
      <c r="BL196">
        <f t="shared" si="279"/>
        <v>4.3499999999999997E-3</v>
      </c>
      <c r="BN196" s="472">
        <f t="shared" si="280"/>
        <v>72.068540107920967</v>
      </c>
      <c r="BO196" s="179">
        <f t="shared" si="281"/>
        <v>0.129</v>
      </c>
      <c r="BP196" s="179">
        <f t="shared" si="282"/>
        <v>0.129</v>
      </c>
      <c r="BQ196" s="546"/>
      <c r="BS196" s="472">
        <f t="shared" si="283"/>
        <v>258</v>
      </c>
      <c r="BT196" s="546">
        <f t="shared" si="284"/>
        <v>1.4814254831819236E-2</v>
      </c>
      <c r="BU196" s="546">
        <f t="shared" si="285"/>
        <v>4.0834341302725383E-2</v>
      </c>
      <c r="BV196" s="546">
        <f t="shared" si="286"/>
        <v>9.1877267931132101E-2</v>
      </c>
      <c r="BW196" s="546">
        <f t="shared" si="287"/>
        <v>1.0524169133644625E-2</v>
      </c>
      <c r="BX196" s="546"/>
      <c r="BY196" s="656">
        <f t="shared" si="329"/>
        <v>5.0503141472111032E-2</v>
      </c>
      <c r="BZ196" s="472">
        <f t="shared" si="336"/>
        <v>208.55317467143237</v>
      </c>
      <c r="CA196" s="179">
        <f t="shared" si="337"/>
        <v>0.53862171477935339</v>
      </c>
      <c r="CB196" s="6">
        <f t="shared" si="338"/>
        <v>3.8894817073170733</v>
      </c>
      <c r="CC196" s="179">
        <f t="shared" si="339"/>
        <v>0.87836288735000911</v>
      </c>
      <c r="CD196" s="6">
        <f t="shared" si="340"/>
        <v>87.836288735000906</v>
      </c>
      <c r="CE196">
        <f t="shared" si="341"/>
        <v>86</v>
      </c>
      <c r="CG196" s="581">
        <f t="shared" si="330"/>
        <v>-50</v>
      </c>
      <c r="CH196">
        <f t="shared" si="331"/>
        <v>-50</v>
      </c>
    </row>
    <row r="197" spans="5:86" x14ac:dyDescent="0.2">
      <c r="E197" s="176">
        <v>87</v>
      </c>
      <c r="F197" s="223">
        <f t="shared" si="332"/>
        <v>0.435</v>
      </c>
      <c r="G197" s="223">
        <f t="shared" si="294"/>
        <v>0.435</v>
      </c>
      <c r="H197" s="223">
        <f t="shared" si="295"/>
        <v>2.1749999999999998</v>
      </c>
      <c r="I197" s="223">
        <f t="shared" si="296"/>
        <v>2.1749999999999998</v>
      </c>
      <c r="J197" s="559">
        <f t="shared" si="297"/>
        <v>15</v>
      </c>
      <c r="K197" s="454">
        <f t="shared" si="298"/>
        <v>9.6913372582001696</v>
      </c>
      <c r="L197" s="454">
        <f t="shared" si="299"/>
        <v>30.75</v>
      </c>
      <c r="M197" s="454"/>
      <c r="N197" s="223">
        <f t="shared" si="300"/>
        <v>0.51219512195121952</v>
      </c>
      <c r="O197" s="178">
        <f t="shared" si="301"/>
        <v>1.2964939024390245</v>
      </c>
      <c r="P197" s="178">
        <f t="shared" si="302"/>
        <v>2.592987804878049</v>
      </c>
      <c r="Q197" s="223">
        <f t="shared" si="303"/>
        <v>0.25929878048780491</v>
      </c>
      <c r="R197" s="223">
        <f t="shared" si="304"/>
        <v>0.25929878048780491</v>
      </c>
      <c r="S197" s="223">
        <f t="shared" si="305"/>
        <v>2.9804457527333899</v>
      </c>
      <c r="T197" s="223">
        <f t="shared" si="306"/>
        <v>0.75</v>
      </c>
      <c r="U197" s="223">
        <f t="shared" si="307"/>
        <v>2.2000000000000002</v>
      </c>
      <c r="V197" s="223">
        <f t="shared" si="308"/>
        <v>3.4051028378026555</v>
      </c>
      <c r="W197" s="203">
        <f t="shared" si="309"/>
        <v>350</v>
      </c>
      <c r="X197" s="454">
        <f t="shared" si="310"/>
        <v>178.40885866636938</v>
      </c>
      <c r="Z197" s="223">
        <f t="shared" si="311"/>
        <v>0.38230469714222021</v>
      </c>
      <c r="AA197" s="179">
        <f t="shared" si="312"/>
        <v>1.7357157455256782</v>
      </c>
      <c r="AB197" s="179">
        <f t="shared" si="313"/>
        <v>0.17418772413477154</v>
      </c>
      <c r="AC197" s="179"/>
      <c r="AD197" s="179">
        <f t="shared" si="314"/>
        <v>0.68102056756053087</v>
      </c>
      <c r="AE197" s="563">
        <f t="shared" si="315"/>
        <v>2838.8765705838891</v>
      </c>
      <c r="AF197" s="546">
        <f t="shared" si="316"/>
        <v>5.3630369695391797E-2</v>
      </c>
      <c r="AH197" s="179">
        <f t="shared" si="317"/>
        <v>0.75162162351482731</v>
      </c>
      <c r="AI197" s="179">
        <f t="shared" si="318"/>
        <v>0.75</v>
      </c>
      <c r="AJ197" s="179">
        <f t="shared" si="319"/>
        <v>1.6444444444444444</v>
      </c>
      <c r="AL197" s="563">
        <f t="shared" si="320"/>
        <v>435</v>
      </c>
      <c r="AM197" s="472">
        <f t="shared" si="321"/>
        <v>178.40885866636938</v>
      </c>
      <c r="AO197" t="str">
        <f t="shared" si="322"/>
        <v/>
      </c>
      <c r="AP197" t="str">
        <f t="shared" si="323"/>
        <v/>
      </c>
      <c r="AR197" s="6">
        <f t="shared" si="245"/>
        <v>5.6051028378026562</v>
      </c>
      <c r="AS197" s="6">
        <f t="shared" si="333"/>
        <v>2.2000000000000002</v>
      </c>
      <c r="AT197" s="6">
        <f t="shared" si="334"/>
        <v>3.405102837802656</v>
      </c>
      <c r="AU197" s="179">
        <f t="shared" si="335"/>
        <v>0.39249948906601267</v>
      </c>
      <c r="AW197" s="6">
        <f t="shared" si="324"/>
        <v>23.491111111111117</v>
      </c>
      <c r="AX197" s="472">
        <f t="shared" si="325"/>
        <v>20.22034255319149</v>
      </c>
      <c r="AY197" s="6">
        <f t="shared" si="326"/>
        <v>23.491111111111117</v>
      </c>
      <c r="AZ197" s="472">
        <f t="shared" si="327"/>
        <v>41.715049999999998</v>
      </c>
      <c r="BA197" s="6">
        <f t="shared" si="271"/>
        <v>0.45716658470498606</v>
      </c>
      <c r="BB197" s="6">
        <f t="shared" si="328"/>
        <v>99.544883589131416</v>
      </c>
      <c r="BC197" s="6"/>
      <c r="BD197" s="179">
        <f t="shared" si="272"/>
        <v>0.27128150360811071</v>
      </c>
      <c r="BE197" s="179">
        <f t="shared" si="273"/>
        <v>1.0125004257782333</v>
      </c>
      <c r="BF197" s="179">
        <f t="shared" si="274"/>
        <v>1.0125004257782333</v>
      </c>
      <c r="BG197" s="179"/>
      <c r="BH197" s="546">
        <f t="shared" si="275"/>
        <v>2.5757778969957085E-2</v>
      </c>
      <c r="BI197" s="546">
        <f t="shared" si="276"/>
        <v>3.0859157272448576E-2</v>
      </c>
      <c r="BJ197" s="546">
        <f t="shared" si="277"/>
        <v>2.2301107333296171E-3</v>
      </c>
      <c r="BK197" s="546">
        <f t="shared" si="278"/>
        <v>8.4348363211359471E-3</v>
      </c>
      <c r="BL197">
        <f t="shared" si="279"/>
        <v>4.3499999999999997E-3</v>
      </c>
      <c r="BN197" s="472">
        <f t="shared" si="280"/>
        <v>71.631883296871223</v>
      </c>
      <c r="BO197" s="179">
        <f t="shared" si="281"/>
        <v>0.1305</v>
      </c>
      <c r="BP197" s="179">
        <f t="shared" si="282"/>
        <v>0.1305</v>
      </c>
      <c r="BQ197" s="546"/>
      <c r="BS197" s="472">
        <f t="shared" si="283"/>
        <v>261</v>
      </c>
      <c r="BT197" s="546">
        <f t="shared" si="284"/>
        <v>1.4718730839975477E-2</v>
      </c>
      <c r="BU197" s="546">
        <f t="shared" si="285"/>
        <v>4.1006284488044144E-2</v>
      </c>
      <c r="BV197" s="546">
        <f t="shared" si="286"/>
        <v>9.2264140098099329E-2</v>
      </c>
      <c r="BW197" s="546">
        <f t="shared" si="287"/>
        <v>1.0355336121233525E-2</v>
      </c>
      <c r="BX197" s="546"/>
      <c r="BY197" s="656">
        <f t="shared" si="329"/>
        <v>5.0177491499916398E-2</v>
      </c>
      <c r="BZ197" s="472">
        <f t="shared" si="336"/>
        <v>208.52198304726889</v>
      </c>
      <c r="CA197" s="179">
        <f t="shared" si="337"/>
        <v>0.54115386634414009</v>
      </c>
      <c r="CB197" s="6">
        <f t="shared" si="338"/>
        <v>3.8894817073170733</v>
      </c>
      <c r="CC197" s="179">
        <f t="shared" si="339"/>
        <v>0.87786089436893977</v>
      </c>
      <c r="CD197" s="6">
        <f t="shared" si="340"/>
        <v>87.786089436893974</v>
      </c>
      <c r="CE197">
        <f t="shared" si="341"/>
        <v>87</v>
      </c>
      <c r="CG197" s="581">
        <f t="shared" si="330"/>
        <v>-50</v>
      </c>
      <c r="CH197">
        <f t="shared" si="331"/>
        <v>-50</v>
      </c>
    </row>
    <row r="198" spans="5:86" x14ac:dyDescent="0.2">
      <c r="E198" s="176">
        <v>88</v>
      </c>
      <c r="F198" s="223">
        <f t="shared" si="332"/>
        <v>0.44</v>
      </c>
      <c r="G198" s="223">
        <f t="shared" si="294"/>
        <v>0.44</v>
      </c>
      <c r="H198" s="223">
        <f t="shared" si="295"/>
        <v>2.2000000000000002</v>
      </c>
      <c r="I198" s="223">
        <f t="shared" si="296"/>
        <v>2.2000000000000002</v>
      </c>
      <c r="J198" s="559">
        <f t="shared" si="297"/>
        <v>15</v>
      </c>
      <c r="K198" s="454">
        <f t="shared" si="298"/>
        <v>9.5897311529933482</v>
      </c>
      <c r="L198" s="454">
        <f t="shared" si="299"/>
        <v>30.75</v>
      </c>
      <c r="M198" s="454"/>
      <c r="N198" s="223">
        <f t="shared" si="300"/>
        <v>0.51219512195121952</v>
      </c>
      <c r="O198" s="178">
        <f t="shared" si="301"/>
        <v>1.2964939024390245</v>
      </c>
      <c r="P198" s="178">
        <f t="shared" si="302"/>
        <v>2.592987804878049</v>
      </c>
      <c r="Q198" s="223">
        <f t="shared" si="303"/>
        <v>0.25929878048780491</v>
      </c>
      <c r="R198" s="223">
        <f t="shared" si="304"/>
        <v>0.25929878048780491</v>
      </c>
      <c r="S198" s="223">
        <f t="shared" si="305"/>
        <v>2.9465770509977829</v>
      </c>
      <c r="T198" s="223">
        <f t="shared" si="306"/>
        <v>0.75</v>
      </c>
      <c r="U198" s="223">
        <f t="shared" si="307"/>
        <v>2.2000000000000002</v>
      </c>
      <c r="V198" s="223">
        <f t="shared" si="308"/>
        <v>3.4411809333882473</v>
      </c>
      <c r="W198" s="203">
        <f t="shared" si="309"/>
        <v>350</v>
      </c>
      <c r="X198" s="454">
        <f t="shared" si="310"/>
        <v>177.26784724831944</v>
      </c>
      <c r="Z198" s="223">
        <f t="shared" si="311"/>
        <v>0.37985967267497023</v>
      </c>
      <c r="AA198" s="179">
        <f t="shared" si="312"/>
        <v>1.7428878172962774</v>
      </c>
      <c r="AB198" s="179">
        <f t="shared" si="313"/>
        <v>0.17378885889418125</v>
      </c>
      <c r="AC198" s="179"/>
      <c r="AD198" s="179">
        <f t="shared" si="314"/>
        <v>0.6882361866776493</v>
      </c>
      <c r="AE198" s="563">
        <f t="shared" si="315"/>
        <v>2841.40182310914</v>
      </c>
      <c r="AF198" s="546">
        <f t="shared" si="316"/>
        <v>5.4198599700864894E-2</v>
      </c>
      <c r="AH198" s="179">
        <f t="shared" si="317"/>
        <v>0.75592894601845451</v>
      </c>
      <c r="AI198" s="179">
        <f t="shared" si="318"/>
        <v>0.75</v>
      </c>
      <c r="AJ198" s="179">
        <f t="shared" si="319"/>
        <v>1.6444444444444444</v>
      </c>
      <c r="AL198" s="563">
        <f t="shared" si="320"/>
        <v>440</v>
      </c>
      <c r="AM198" s="472">
        <f t="shared" si="321"/>
        <v>177.26784724831944</v>
      </c>
      <c r="AO198" t="str">
        <f t="shared" si="322"/>
        <v/>
      </c>
      <c r="AP198" t="str">
        <f t="shared" si="323"/>
        <v/>
      </c>
      <c r="AR198" s="6">
        <f t="shared" ref="AR198:AR262" si="342">1/AM198*1000</f>
        <v>5.6411809333882479</v>
      </c>
      <c r="AS198" s="6">
        <f t="shared" si="333"/>
        <v>2.2000000000000002</v>
      </c>
      <c r="AT198" s="6">
        <f t="shared" si="334"/>
        <v>3.4411809333882477</v>
      </c>
      <c r="AU198" s="179">
        <f t="shared" si="335"/>
        <v>0.38998926394630279</v>
      </c>
      <c r="AW198" s="6">
        <f t="shared" si="324"/>
        <v>23.491111111111117</v>
      </c>
      <c r="AX198" s="472">
        <f t="shared" si="325"/>
        <v>20.67267706855792</v>
      </c>
      <c r="AY198" s="6">
        <f t="shared" si="326"/>
        <v>23.491111111111117</v>
      </c>
      <c r="AZ198" s="472">
        <f t="shared" si="327"/>
        <v>42.664355555555559</v>
      </c>
      <c r="BA198" s="6">
        <f t="shared" si="271"/>
        <v>0.46732086749716945</v>
      </c>
      <c r="BB198" s="6">
        <f t="shared" si="328"/>
        <v>100.58432872109434</v>
      </c>
      <c r="BC198" s="6"/>
      <c r="BD198" s="179">
        <f t="shared" si="272"/>
        <v>0.27041262357725049</v>
      </c>
      <c r="BE198" s="179">
        <f t="shared" si="273"/>
        <v>1.0145901227050331</v>
      </c>
      <c r="BF198" s="179">
        <f t="shared" si="274"/>
        <v>1.0145901227050331</v>
      </c>
      <c r="BG198" s="179"/>
      <c r="BH198" s="546">
        <f t="shared" si="275"/>
        <v>2.5593045446476115E-2</v>
      </c>
      <c r="BI198" s="546">
        <f t="shared" si="276"/>
        <v>3.066179795373275E-2</v>
      </c>
      <c r="BJ198" s="546">
        <f t="shared" si="277"/>
        <v>2.2158480906039929E-3</v>
      </c>
      <c r="BK198" s="546">
        <f t="shared" si="278"/>
        <v>8.3808914406869536E-3</v>
      </c>
      <c r="BL198">
        <f t="shared" si="279"/>
        <v>4.3499999999999997E-3</v>
      </c>
      <c r="BN198" s="472">
        <f t="shared" si="280"/>
        <v>71.201582931499814</v>
      </c>
      <c r="BO198" s="179">
        <f t="shared" si="281"/>
        <v>0.13200000000000001</v>
      </c>
      <c r="BP198" s="179">
        <f t="shared" si="282"/>
        <v>0.13200000000000001</v>
      </c>
      <c r="BQ198" s="546"/>
      <c r="BS198" s="472">
        <f t="shared" si="283"/>
        <v>264</v>
      </c>
      <c r="BT198" s="546">
        <f t="shared" si="284"/>
        <v>1.4624597397986354E-2</v>
      </c>
      <c r="BU198" s="546">
        <f t="shared" si="285"/>
        <v>4.1175724683624564E-2</v>
      </c>
      <c r="BV198" s="546">
        <f t="shared" si="286"/>
        <v>9.264538053815527E-2</v>
      </c>
      <c r="BW198" s="546">
        <f t="shared" si="287"/>
        <v>1.0190560915774588E-2</v>
      </c>
      <c r="BX198" s="546"/>
      <c r="BY198" s="656">
        <f t="shared" si="329"/>
        <v>4.9856582038589857E-2</v>
      </c>
      <c r="BZ198" s="472">
        <f t="shared" si="336"/>
        <v>208.49284557413065</v>
      </c>
      <c r="CA198" s="179">
        <f t="shared" si="337"/>
        <v>0.54369442850563043</v>
      </c>
      <c r="CB198" s="6">
        <f t="shared" si="338"/>
        <v>3.8894817073170733</v>
      </c>
      <c r="CC198" s="179">
        <f t="shared" si="339"/>
        <v>0.87735781032649351</v>
      </c>
      <c r="CD198" s="6">
        <f t="shared" si="340"/>
        <v>87.735781032649356</v>
      </c>
      <c r="CE198">
        <f t="shared" si="341"/>
        <v>88</v>
      </c>
      <c r="CG198" s="581">
        <f t="shared" si="330"/>
        <v>-50</v>
      </c>
      <c r="CH198">
        <f t="shared" si="331"/>
        <v>-50</v>
      </c>
    </row>
    <row r="199" spans="5:86" x14ac:dyDescent="0.2">
      <c r="E199" s="176">
        <v>89</v>
      </c>
      <c r="F199" s="223">
        <f t="shared" si="332"/>
        <v>0.44500000000000001</v>
      </c>
      <c r="G199" s="223">
        <f t="shared" si="294"/>
        <v>0.44500000000000001</v>
      </c>
      <c r="H199" s="223">
        <f t="shared" si="295"/>
        <v>2.2250000000000001</v>
      </c>
      <c r="I199" s="223">
        <f t="shared" si="296"/>
        <v>2.2250000000000001</v>
      </c>
      <c r="J199" s="559">
        <f t="shared" si="297"/>
        <v>15</v>
      </c>
      <c r="K199" s="454">
        <f t="shared" si="298"/>
        <v>9.4904083310496024</v>
      </c>
      <c r="L199" s="454">
        <f t="shared" si="299"/>
        <v>30.75</v>
      </c>
      <c r="M199" s="454"/>
      <c r="N199" s="223">
        <f t="shared" si="300"/>
        <v>0.51219512195121952</v>
      </c>
      <c r="O199" s="178">
        <f t="shared" si="301"/>
        <v>1.2964939024390245</v>
      </c>
      <c r="P199" s="178">
        <f t="shared" si="302"/>
        <v>2.592987804878049</v>
      </c>
      <c r="Q199" s="223">
        <f t="shared" si="303"/>
        <v>0.25929878048780491</v>
      </c>
      <c r="R199" s="223">
        <f t="shared" si="304"/>
        <v>0.25929878048780491</v>
      </c>
      <c r="S199" s="223">
        <f t="shared" si="305"/>
        <v>2.9134694436832009</v>
      </c>
      <c r="T199" s="223">
        <f t="shared" si="306"/>
        <v>0.75</v>
      </c>
      <c r="U199" s="223">
        <f t="shared" si="307"/>
        <v>2.2000000000000002</v>
      </c>
      <c r="V199" s="223">
        <f t="shared" si="308"/>
        <v>3.477194958201586</v>
      </c>
      <c r="W199" s="203">
        <f t="shared" si="309"/>
        <v>350</v>
      </c>
      <c r="X199" s="454">
        <f t="shared" si="310"/>
        <v>176.1433255969738</v>
      </c>
      <c r="Z199" s="223">
        <f t="shared" si="311"/>
        <v>0.37744998342208674</v>
      </c>
      <c r="AA199" s="179">
        <f t="shared" si="312"/>
        <v>1.7499562391047359</v>
      </c>
      <c r="AB199" s="179">
        <f t="shared" si="313"/>
        <v>0.17338675027785819</v>
      </c>
      <c r="AC199" s="179"/>
      <c r="AD199" s="179">
        <f t="shared" si="314"/>
        <v>0.69543899164031697</v>
      </c>
      <c r="AE199" s="563">
        <f t="shared" si="315"/>
        <v>2843.9270756343935</v>
      </c>
      <c r="AF199" s="546">
        <f t="shared" si="316"/>
        <v>5.4765820591674959E-2</v>
      </c>
      <c r="AH199" s="179">
        <f t="shared" si="317"/>
        <v>0.76021186383933659</v>
      </c>
      <c r="AI199" s="179">
        <f t="shared" si="318"/>
        <v>0.75</v>
      </c>
      <c r="AJ199" s="179">
        <f t="shared" si="319"/>
        <v>1.6444444444444444</v>
      </c>
      <c r="AL199" s="563">
        <f t="shared" si="320"/>
        <v>445</v>
      </c>
      <c r="AM199" s="472">
        <f t="shared" si="321"/>
        <v>176.1433255969738</v>
      </c>
      <c r="AO199" t="str">
        <f t="shared" si="322"/>
        <v/>
      </c>
      <c r="AP199" t="str">
        <f t="shared" si="323"/>
        <v/>
      </c>
      <c r="AR199" s="6">
        <f t="shared" si="342"/>
        <v>5.6771949582015857</v>
      </c>
      <c r="AS199" s="6">
        <f t="shared" si="333"/>
        <v>2.2000000000000002</v>
      </c>
      <c r="AT199" s="6">
        <f t="shared" si="334"/>
        <v>3.4771949582015855</v>
      </c>
      <c r="AU199" s="179">
        <f t="shared" si="335"/>
        <v>0.38751531631334241</v>
      </c>
      <c r="AW199" s="6">
        <f t="shared" si="324"/>
        <v>23.491111111111117</v>
      </c>
      <c r="AX199" s="472">
        <f t="shared" si="325"/>
        <v>21.130009692671393</v>
      </c>
      <c r="AY199" s="6">
        <f t="shared" si="326"/>
        <v>23.491111111111117</v>
      </c>
      <c r="AZ199" s="472">
        <f t="shared" si="327"/>
        <v>43.6243388888889</v>
      </c>
      <c r="BA199" s="6">
        <f t="shared" si="271"/>
        <v>0.47757770259250165</v>
      </c>
      <c r="BB199" s="6">
        <f t="shared" si="328"/>
        <v>101.62192791160057</v>
      </c>
      <c r="BC199" s="6"/>
      <c r="BD199" s="179">
        <f t="shared" si="272"/>
        <v>0.26955356018563675</v>
      </c>
      <c r="BE199" s="179">
        <f t="shared" si="273"/>
        <v>1.016645416908587</v>
      </c>
      <c r="BF199" s="179">
        <f t="shared" si="274"/>
        <v>1.016645416908587</v>
      </c>
      <c r="BG199" s="179"/>
      <c r="BH199" s="546">
        <f t="shared" si="275"/>
        <v>2.5430692633063093E-2</v>
      </c>
      <c r="BI199" s="546">
        <f t="shared" si="276"/>
        <v>3.0467290849351559E-2</v>
      </c>
      <c r="BJ199" s="546">
        <f t="shared" si="277"/>
        <v>2.2017915699621723E-3</v>
      </c>
      <c r="BK199" s="546">
        <f t="shared" si="278"/>
        <v>8.3277261654894266E-3</v>
      </c>
      <c r="BL199">
        <f t="shared" si="279"/>
        <v>4.3499999999999997E-3</v>
      </c>
      <c r="BN199" s="472">
        <f t="shared" si="280"/>
        <v>70.777501217866245</v>
      </c>
      <c r="BO199" s="179">
        <f t="shared" si="281"/>
        <v>0.13350000000000001</v>
      </c>
      <c r="BP199" s="179">
        <f t="shared" si="282"/>
        <v>0.13350000000000001</v>
      </c>
      <c r="BQ199" s="546"/>
      <c r="BS199" s="472">
        <f t="shared" si="283"/>
        <v>267</v>
      </c>
      <c r="BT199" s="546">
        <f t="shared" si="284"/>
        <v>1.453182436175034E-2</v>
      </c>
      <c r="BU199" s="546">
        <f t="shared" si="285"/>
        <v>4.1342716148849386E-2</v>
      </c>
      <c r="BV199" s="546">
        <f t="shared" si="286"/>
        <v>9.3021111334911116E-2</v>
      </c>
      <c r="BW199" s="546">
        <f t="shared" si="287"/>
        <v>1.0029716139022718E-2</v>
      </c>
      <c r="BX199" s="546"/>
      <c r="BY199" s="656">
        <f t="shared" si="329"/>
        <v>4.9540310324148885E-2</v>
      </c>
      <c r="BZ199" s="472">
        <f t="shared" si="336"/>
        <v>208.46567830868244</v>
      </c>
      <c r="CA199" s="179">
        <f t="shared" si="337"/>
        <v>0.54624317952654866</v>
      </c>
      <c r="CB199" s="6">
        <f t="shared" si="338"/>
        <v>3.8894817073170733</v>
      </c>
      <c r="CC199" s="179">
        <f t="shared" si="339"/>
        <v>0.87685368379208817</v>
      </c>
      <c r="CD199" s="6">
        <f t="shared" si="340"/>
        <v>87.685368379208811</v>
      </c>
      <c r="CE199">
        <f t="shared" si="341"/>
        <v>89</v>
      </c>
      <c r="CG199" s="581">
        <f t="shared" si="330"/>
        <v>-50</v>
      </c>
      <c r="CH199">
        <f t="shared" si="331"/>
        <v>-50</v>
      </c>
    </row>
    <row r="200" spans="5:86" x14ac:dyDescent="0.2">
      <c r="E200" s="176">
        <v>90</v>
      </c>
      <c r="F200" s="223">
        <f t="shared" si="332"/>
        <v>0.45</v>
      </c>
      <c r="G200" s="223">
        <f t="shared" si="294"/>
        <v>0.45</v>
      </c>
      <c r="H200" s="223">
        <f t="shared" si="295"/>
        <v>2.25</v>
      </c>
      <c r="I200" s="223">
        <f t="shared" si="296"/>
        <v>2.25</v>
      </c>
      <c r="J200" s="559">
        <f t="shared" si="297"/>
        <v>15</v>
      </c>
      <c r="K200" s="454">
        <f t="shared" si="298"/>
        <v>9.3932926829268304</v>
      </c>
      <c r="L200" s="454">
        <f t="shared" si="299"/>
        <v>30.75</v>
      </c>
      <c r="M200" s="454"/>
      <c r="N200" s="223">
        <f t="shared" si="300"/>
        <v>0.51219512195121952</v>
      </c>
      <c r="O200" s="178">
        <f t="shared" si="301"/>
        <v>1.2964939024390245</v>
      </c>
      <c r="P200" s="178">
        <f t="shared" si="302"/>
        <v>2.592987804878049</v>
      </c>
      <c r="Q200" s="223">
        <f t="shared" si="303"/>
        <v>0.25929878048780491</v>
      </c>
      <c r="R200" s="223">
        <f t="shared" si="304"/>
        <v>0.25929878048780491</v>
      </c>
      <c r="S200" s="223">
        <f t="shared" si="305"/>
        <v>2.88109756097561</v>
      </c>
      <c r="T200" s="223">
        <f t="shared" si="306"/>
        <v>0.75</v>
      </c>
      <c r="U200" s="223">
        <f t="shared" si="307"/>
        <v>2.2000000000000002</v>
      </c>
      <c r="V200" s="223">
        <f t="shared" si="308"/>
        <v>3.5131450827653361</v>
      </c>
      <c r="W200" s="203">
        <f t="shared" si="309"/>
        <v>350</v>
      </c>
      <c r="X200" s="454">
        <f t="shared" si="310"/>
        <v>175.03493881446636</v>
      </c>
      <c r="Z200" s="223">
        <f t="shared" si="311"/>
        <v>0.37507486888814223</v>
      </c>
      <c r="AA200" s="179">
        <f t="shared" si="312"/>
        <v>1.7569232417376397</v>
      </c>
      <c r="AB200" s="179">
        <f t="shared" si="313"/>
        <v>0.17298166056708469</v>
      </c>
      <c r="AC200" s="179"/>
      <c r="AD200" s="179">
        <f t="shared" si="314"/>
        <v>0.70262901655306709</v>
      </c>
      <c r="AE200" s="563">
        <f t="shared" si="315"/>
        <v>2846.4523281596457</v>
      </c>
      <c r="AF200" s="546">
        <f t="shared" si="316"/>
        <v>5.5332035053554031E-2</v>
      </c>
      <c r="AH200" s="179">
        <f t="shared" si="317"/>
        <v>0.76447078715643835</v>
      </c>
      <c r="AI200" s="179">
        <f t="shared" si="318"/>
        <v>0.75</v>
      </c>
      <c r="AJ200" s="179">
        <f t="shared" si="319"/>
        <v>1.6444444444444444</v>
      </c>
      <c r="AL200" s="563">
        <f t="shared" si="320"/>
        <v>450</v>
      </c>
      <c r="AM200" s="472">
        <f t="shared" si="321"/>
        <v>175.03493881446636</v>
      </c>
      <c r="AO200" t="str">
        <f t="shared" si="322"/>
        <v/>
      </c>
      <c r="AP200" t="str">
        <f t="shared" si="323"/>
        <v/>
      </c>
      <c r="AR200" s="6">
        <f t="shared" si="342"/>
        <v>5.7131450827653367</v>
      </c>
      <c r="AS200" s="6">
        <f t="shared" si="333"/>
        <v>2.2000000000000002</v>
      </c>
      <c r="AT200" s="6">
        <f t="shared" si="334"/>
        <v>3.5131450827653365</v>
      </c>
      <c r="AU200" s="179">
        <f t="shared" si="335"/>
        <v>0.38507686539182601</v>
      </c>
      <c r="AW200" s="6">
        <f t="shared" si="324"/>
        <v>23.491111111111117</v>
      </c>
      <c r="AX200" s="472">
        <f t="shared" si="325"/>
        <v>21.592340425531923</v>
      </c>
      <c r="AY200" s="6">
        <f t="shared" si="326"/>
        <v>23.491111111111117</v>
      </c>
      <c r="AZ200" s="472">
        <f t="shared" si="327"/>
        <v>44.595000000000013</v>
      </c>
      <c r="BA200" s="6">
        <f t="shared" si="271"/>
        <v>0.4879368170507411</v>
      </c>
      <c r="BB200" s="6">
        <f t="shared" si="328"/>
        <v>102.65768607357451</v>
      </c>
      <c r="BC200" s="6"/>
      <c r="BD200" s="179">
        <f t="shared" si="272"/>
        <v>0.26870413517653086</v>
      </c>
      <c r="BE200" s="179">
        <f t="shared" si="273"/>
        <v>1.0186671633322111</v>
      </c>
      <c r="BF200" s="179">
        <f t="shared" si="274"/>
        <v>1.0186671633322111</v>
      </c>
      <c r="BG200" s="179"/>
      <c r="BH200" s="546">
        <f t="shared" si="275"/>
        <v>2.5270669291338577E-2</v>
      </c>
      <c r="BI200" s="546">
        <f t="shared" si="276"/>
        <v>3.0275574573064727E-2</v>
      </c>
      <c r="BJ200" s="546">
        <f t="shared" si="277"/>
        <v>2.1879367351808295E-3</v>
      </c>
      <c r="BK200" s="546">
        <f t="shared" si="278"/>
        <v>8.275323716637693E-3</v>
      </c>
      <c r="BL200">
        <f t="shared" si="279"/>
        <v>4.3499999999999997E-3</v>
      </c>
      <c r="BN200" s="472">
        <f t="shared" si="280"/>
        <v>70.359504316221816</v>
      </c>
      <c r="BO200" s="179">
        <f t="shared" si="281"/>
        <v>0.13500000000000001</v>
      </c>
      <c r="BP200" s="179">
        <f t="shared" si="282"/>
        <v>0.13500000000000001</v>
      </c>
      <c r="BQ200" s="546"/>
      <c r="BS200" s="472">
        <f t="shared" si="283"/>
        <v>270</v>
      </c>
      <c r="BT200" s="546">
        <f t="shared" si="284"/>
        <v>1.4440382452193474E-2</v>
      </c>
      <c r="BU200" s="546">
        <f t="shared" si="285"/>
        <v>4.1507311586051747E-2</v>
      </c>
      <c r="BV200" s="546">
        <f t="shared" si="286"/>
        <v>9.3391451068616432E-2</v>
      </c>
      <c r="BW200" s="546">
        <f t="shared" si="287"/>
        <v>9.8726793165052409E-3</v>
      </c>
      <c r="BX200" s="546"/>
      <c r="BY200" s="656">
        <f t="shared" si="329"/>
        <v>4.9228576541568675E-2</v>
      </c>
      <c r="BZ200" s="472">
        <f t="shared" si="336"/>
        <v>208.44040096493555</v>
      </c>
      <c r="CA200" s="179">
        <f t="shared" si="337"/>
        <v>0.54879990528115741</v>
      </c>
      <c r="CB200" s="6">
        <f t="shared" si="338"/>
        <v>3.8894817073170733</v>
      </c>
      <c r="CC200" s="179">
        <f t="shared" si="339"/>
        <v>0.87634856163174324</v>
      </c>
      <c r="CD200" s="6">
        <f t="shared" si="340"/>
        <v>87.634856163174319</v>
      </c>
      <c r="CE200">
        <f t="shared" si="341"/>
        <v>90</v>
      </c>
      <c r="CG200" s="581">
        <f t="shared" si="330"/>
        <v>-50</v>
      </c>
      <c r="CH200">
        <f t="shared" si="331"/>
        <v>-50</v>
      </c>
    </row>
    <row r="201" spans="5:86" x14ac:dyDescent="0.2">
      <c r="E201" s="176">
        <v>91</v>
      </c>
      <c r="F201" s="223">
        <f t="shared" si="332"/>
        <v>0.45500000000000002</v>
      </c>
      <c r="G201" s="223">
        <f t="shared" si="294"/>
        <v>0.45500000000000002</v>
      </c>
      <c r="H201" s="223">
        <f t="shared" si="295"/>
        <v>2.2749999999999999</v>
      </c>
      <c r="I201" s="223">
        <f t="shared" si="296"/>
        <v>2.2749999999999999</v>
      </c>
      <c r="J201" s="559">
        <f t="shared" si="297"/>
        <v>15</v>
      </c>
      <c r="K201" s="454">
        <f t="shared" si="298"/>
        <v>9.29831144465291</v>
      </c>
      <c r="L201" s="454">
        <f t="shared" si="299"/>
        <v>30.75</v>
      </c>
      <c r="M201" s="454"/>
      <c r="N201" s="223">
        <f t="shared" si="300"/>
        <v>0.51219512195121952</v>
      </c>
      <c r="O201" s="178">
        <f t="shared" si="301"/>
        <v>1.2964939024390245</v>
      </c>
      <c r="P201" s="178">
        <f t="shared" si="302"/>
        <v>2.592987804878049</v>
      </c>
      <c r="Q201" s="223">
        <f t="shared" si="303"/>
        <v>0.25929878048780491</v>
      </c>
      <c r="R201" s="223">
        <f t="shared" si="304"/>
        <v>0.25929878048780491</v>
      </c>
      <c r="S201" s="223">
        <f t="shared" si="305"/>
        <v>2.8494371482176364</v>
      </c>
      <c r="T201" s="223">
        <f t="shared" si="306"/>
        <v>0.75</v>
      </c>
      <c r="U201" s="223">
        <f t="shared" si="307"/>
        <v>2.2000000000000002</v>
      </c>
      <c r="V201" s="223">
        <f t="shared" si="308"/>
        <v>3.5490314769975781</v>
      </c>
      <c r="W201" s="203">
        <f t="shared" si="309"/>
        <v>350</v>
      </c>
      <c r="X201" s="454">
        <f t="shared" si="310"/>
        <v>173.94234211468404</v>
      </c>
      <c r="Z201" s="223">
        <f t="shared" si="311"/>
        <v>0.37273359024575153</v>
      </c>
      <c r="AA201" s="179">
        <f t="shared" si="312"/>
        <v>1.7637909924219859</v>
      </c>
      <c r="AB201" s="179">
        <f t="shared" si="313"/>
        <v>0.17257383912524804</v>
      </c>
      <c r="AC201" s="179"/>
      <c r="AD201" s="179">
        <f t="shared" si="314"/>
        <v>0.70980629539951556</v>
      </c>
      <c r="AE201" s="563">
        <f t="shared" si="315"/>
        <v>2848.9775806848988</v>
      </c>
      <c r="AF201" s="546">
        <f t="shared" si="316"/>
        <v>5.5897245762711843E-2</v>
      </c>
      <c r="AH201" s="179">
        <f t="shared" si="317"/>
        <v>0.7687061147858073</v>
      </c>
      <c r="AI201" s="179">
        <f t="shared" si="318"/>
        <v>0.75</v>
      </c>
      <c r="AJ201" s="179">
        <f t="shared" si="319"/>
        <v>1.6444444444444444</v>
      </c>
      <c r="AL201" s="563">
        <f t="shared" si="320"/>
        <v>455</v>
      </c>
      <c r="AM201" s="472">
        <f t="shared" si="321"/>
        <v>173.94234211468404</v>
      </c>
      <c r="AO201" t="str">
        <f t="shared" si="322"/>
        <v/>
      </c>
      <c r="AP201" t="str">
        <f t="shared" si="323"/>
        <v/>
      </c>
      <c r="AR201" s="6">
        <f t="shared" si="342"/>
        <v>5.7490314769975779</v>
      </c>
      <c r="AS201" s="6">
        <f t="shared" si="333"/>
        <v>2.2000000000000002</v>
      </c>
      <c r="AT201" s="6">
        <f t="shared" si="334"/>
        <v>3.5490314769975777</v>
      </c>
      <c r="AU201" s="179">
        <f t="shared" si="335"/>
        <v>0.38267315265230495</v>
      </c>
      <c r="AW201" s="6">
        <f t="shared" si="324"/>
        <v>23.491111111111117</v>
      </c>
      <c r="AX201" s="472">
        <f t="shared" si="325"/>
        <v>22.05966926713948</v>
      </c>
      <c r="AY201" s="6">
        <f t="shared" si="326"/>
        <v>23.491111111111117</v>
      </c>
      <c r="AZ201" s="472">
        <f t="shared" si="327"/>
        <v>45.576338888888905</v>
      </c>
      <c r="BA201" s="6">
        <f t="shared" si="271"/>
        <v>0.49839793889935113</v>
      </c>
      <c r="BB201" s="6">
        <f t="shared" si="328"/>
        <v>103.69160810252168</v>
      </c>
      <c r="BC201" s="6"/>
      <c r="BD201" s="179">
        <f t="shared" si="272"/>
        <v>0.26786417476457575</v>
      </c>
      <c r="BE201" s="179">
        <f t="shared" si="273"/>
        <v>1.0206561883902117</v>
      </c>
      <c r="BF201" s="179">
        <f t="shared" si="274"/>
        <v>1.0206561883902117</v>
      </c>
      <c r="BG201" s="179"/>
      <c r="BH201" s="546">
        <f t="shared" si="275"/>
        <v>2.5112925642807513E-2</v>
      </c>
      <c r="BI201" s="546">
        <f t="shared" si="276"/>
        <v>3.0086589487649251E-2</v>
      </c>
      <c r="BJ201" s="546">
        <f t="shared" si="277"/>
        <v>2.1742792764335504E-3</v>
      </c>
      <c r="BK201" s="546">
        <f t="shared" si="278"/>
        <v>8.2236677932907981E-3</v>
      </c>
      <c r="BL201">
        <f t="shared" si="279"/>
        <v>4.3499999999999997E-3</v>
      </c>
      <c r="BN201" s="472">
        <f t="shared" si="280"/>
        <v>69.947462200181107</v>
      </c>
      <c r="BO201" s="179">
        <f t="shared" si="281"/>
        <v>0.13650000000000001</v>
      </c>
      <c r="BP201" s="179">
        <f t="shared" si="282"/>
        <v>0.13650000000000001</v>
      </c>
      <c r="BQ201" s="546"/>
      <c r="BS201" s="472">
        <f t="shared" si="283"/>
        <v>273</v>
      </c>
      <c r="BT201" s="546">
        <f t="shared" si="284"/>
        <v>1.4350243224461438E-2</v>
      </c>
      <c r="BU201" s="546">
        <f t="shared" si="285"/>
        <v>4.1669562195969408E-2</v>
      </c>
      <c r="BV201" s="546">
        <f t="shared" si="286"/>
        <v>9.3756514940931152E-2</v>
      </c>
      <c r="BW201" s="546">
        <f t="shared" si="287"/>
        <v>9.7193326547118271E-3</v>
      </c>
      <c r="BX201" s="546"/>
      <c r="BY201" s="656">
        <f t="shared" si="329"/>
        <v>4.8921283719754897E-2</v>
      </c>
      <c r="BZ201" s="472">
        <f t="shared" si="336"/>
        <v>208.41693673582876</v>
      </c>
      <c r="CA201" s="179">
        <f t="shared" si="337"/>
        <v>0.55136439893600986</v>
      </c>
      <c r="CB201" s="6">
        <f t="shared" si="338"/>
        <v>3.8894817073170733</v>
      </c>
      <c r="CC201" s="179">
        <f t="shared" si="339"/>
        <v>0.87584248907890716</v>
      </c>
      <c r="CD201" s="6">
        <f t="shared" si="340"/>
        <v>87.584248907890711</v>
      </c>
      <c r="CE201">
        <f t="shared" si="341"/>
        <v>91</v>
      </c>
      <c r="CG201" s="581">
        <f t="shared" si="330"/>
        <v>-50</v>
      </c>
      <c r="CH201">
        <f t="shared" si="331"/>
        <v>-50</v>
      </c>
    </row>
    <row r="202" spans="5:86" x14ac:dyDescent="0.2">
      <c r="E202" s="176">
        <v>92</v>
      </c>
      <c r="F202" s="223">
        <f t="shared" si="332"/>
        <v>0.46</v>
      </c>
      <c r="G202" s="223">
        <f t="shared" si="294"/>
        <v>0.46</v>
      </c>
      <c r="H202" s="223">
        <f t="shared" si="295"/>
        <v>2.3000000000000003</v>
      </c>
      <c r="I202" s="223">
        <f t="shared" si="296"/>
        <v>2.3000000000000003</v>
      </c>
      <c r="J202" s="559">
        <f t="shared" si="297"/>
        <v>15</v>
      </c>
      <c r="K202" s="454">
        <f t="shared" si="298"/>
        <v>9.2053950159066815</v>
      </c>
      <c r="L202" s="454">
        <f t="shared" si="299"/>
        <v>30.75</v>
      </c>
      <c r="M202" s="454"/>
      <c r="N202" s="223">
        <f t="shared" si="300"/>
        <v>0.51219512195121952</v>
      </c>
      <c r="O202" s="178">
        <f t="shared" si="301"/>
        <v>1.2964939024390245</v>
      </c>
      <c r="P202" s="178">
        <f t="shared" si="302"/>
        <v>2.592987804878049</v>
      </c>
      <c r="Q202" s="223">
        <f t="shared" si="303"/>
        <v>0.25929878048780491</v>
      </c>
      <c r="R202" s="223">
        <f t="shared" si="304"/>
        <v>0.25929878048780491</v>
      </c>
      <c r="S202" s="223">
        <f t="shared" si="305"/>
        <v>2.8184650053022269</v>
      </c>
      <c r="T202" s="223">
        <f t="shared" si="306"/>
        <v>0.75</v>
      </c>
      <c r="U202" s="223">
        <f t="shared" si="307"/>
        <v>2.2000000000000002</v>
      </c>
      <c r="V202" s="223">
        <f t="shared" si="308"/>
        <v>3.5848543102144848</v>
      </c>
      <c r="W202" s="203">
        <f t="shared" si="309"/>
        <v>350</v>
      </c>
      <c r="X202" s="454">
        <f t="shared" si="310"/>
        <v>172.8652004656835</v>
      </c>
      <c r="Z202" s="223">
        <f t="shared" si="311"/>
        <v>0.37042542956932178</v>
      </c>
      <c r="AA202" s="179">
        <f t="shared" si="312"/>
        <v>1.770561597072847</v>
      </c>
      <c r="AB202" s="179">
        <f t="shared" si="313"/>
        <v>0.17216352304584664</v>
      </c>
      <c r="AC202" s="179"/>
      <c r="AD202" s="179">
        <f t="shared" si="314"/>
        <v>0.71697086204289684</v>
      </c>
      <c r="AE202" s="563">
        <f t="shared" si="315"/>
        <v>2851.502833210151</v>
      </c>
      <c r="AF202" s="546">
        <f t="shared" si="316"/>
        <v>5.6461455385878122E-2</v>
      </c>
      <c r="AH202" s="179">
        <f t="shared" si="317"/>
        <v>0.77291823461644216</v>
      </c>
      <c r="AI202" s="179">
        <f t="shared" si="318"/>
        <v>0.75</v>
      </c>
      <c r="AJ202" s="179">
        <f t="shared" si="319"/>
        <v>1.6444444444444444</v>
      </c>
      <c r="AL202" s="563">
        <f t="shared" si="320"/>
        <v>460</v>
      </c>
      <c r="AM202" s="472">
        <f t="shared" si="321"/>
        <v>172.8652004656835</v>
      </c>
      <c r="AO202" t="str">
        <f t="shared" si="322"/>
        <v/>
      </c>
      <c r="AP202" t="str">
        <f t="shared" si="323"/>
        <v/>
      </c>
      <c r="AR202" s="6">
        <f t="shared" si="342"/>
        <v>5.7848543102144845</v>
      </c>
      <c r="AS202" s="6">
        <f t="shared" si="333"/>
        <v>2.2000000000000002</v>
      </c>
      <c r="AT202" s="6">
        <f t="shared" si="334"/>
        <v>3.5848543102144843</v>
      </c>
      <c r="AU202" s="179">
        <f t="shared" si="335"/>
        <v>0.3803034410245037</v>
      </c>
      <c r="AW202" s="6">
        <f t="shared" si="324"/>
        <v>23.491111111111117</v>
      </c>
      <c r="AX202" s="472">
        <f t="shared" si="325"/>
        <v>22.53199621749409</v>
      </c>
      <c r="AY202" s="6">
        <f t="shared" si="326"/>
        <v>23.491111111111117</v>
      </c>
      <c r="AZ202" s="472">
        <f t="shared" si="327"/>
        <v>46.568355555555563</v>
      </c>
      <c r="BA202" s="6">
        <f t="shared" si="271"/>
        <v>0.50896079712921682</v>
      </c>
      <c r="BB202" s="6">
        <f t="shared" si="328"/>
        <v>104.72369887660635</v>
      </c>
      <c r="BC202" s="6"/>
      <c r="BD202" s="179">
        <f t="shared" si="272"/>
        <v>0.2670335094928995</v>
      </c>
      <c r="BE202" s="179">
        <f t="shared" si="273"/>
        <v>1.0226132911668762</v>
      </c>
      <c r="BF202" s="179">
        <f t="shared" si="274"/>
        <v>1.0226132911668762</v>
      </c>
      <c r="BG202" s="179"/>
      <c r="BH202" s="546">
        <f t="shared" si="275"/>
        <v>2.4957413317233054E-2</v>
      </c>
      <c r="BI202" s="546">
        <f t="shared" si="276"/>
        <v>2.990027764304869E-2</v>
      </c>
      <c r="BJ202" s="546">
        <f t="shared" si="277"/>
        <v>2.1608150058210437E-3</v>
      </c>
      <c r="BK202" s="546">
        <f t="shared" si="278"/>
        <v>8.172742555766643E-3</v>
      </c>
      <c r="BL202">
        <f t="shared" si="279"/>
        <v>4.3499999999999997E-3</v>
      </c>
      <c r="BN202" s="472">
        <f t="shared" si="280"/>
        <v>69.541248521869434</v>
      </c>
      <c r="BO202" s="179">
        <f t="shared" si="281"/>
        <v>0.13800000000000001</v>
      </c>
      <c r="BP202" s="179">
        <f t="shared" si="282"/>
        <v>0.13800000000000001</v>
      </c>
      <c r="BQ202" s="546"/>
      <c r="BS202" s="472">
        <f t="shared" si="283"/>
        <v>276</v>
      </c>
      <c r="BT202" s="546">
        <f t="shared" si="284"/>
        <v>1.4261379038418891E-2</v>
      </c>
      <c r="BU202" s="546">
        <f t="shared" si="285"/>
        <v>4.1829517730846012E-2</v>
      </c>
      <c r="BV202" s="546">
        <f t="shared" si="286"/>
        <v>9.4116414894403519E-2</v>
      </c>
      <c r="BW202" s="546">
        <f t="shared" si="287"/>
        <v>9.569562829924029E-3</v>
      </c>
      <c r="BX202" s="546"/>
      <c r="BY202" s="656">
        <f t="shared" si="329"/>
        <v>4.8618337630973493E-2</v>
      </c>
      <c r="BZ202" s="472">
        <f t="shared" si="336"/>
        <v>208.39521212456592</v>
      </c>
      <c r="CA202" s="179">
        <f t="shared" si="337"/>
        <v>0.55393646064643542</v>
      </c>
      <c r="CB202" s="6">
        <f t="shared" si="338"/>
        <v>3.8894817073170733</v>
      </c>
      <c r="CC202" s="179">
        <f t="shared" si="339"/>
        <v>0.87533550980183483</v>
      </c>
      <c r="CD202" s="6">
        <f t="shared" si="340"/>
        <v>87.533550980183477</v>
      </c>
      <c r="CE202">
        <f t="shared" si="341"/>
        <v>92</v>
      </c>
      <c r="CG202" s="581">
        <f t="shared" si="330"/>
        <v>-50</v>
      </c>
      <c r="CH202">
        <f t="shared" si="331"/>
        <v>-50</v>
      </c>
    </row>
    <row r="203" spans="5:86" x14ac:dyDescent="0.2">
      <c r="E203" s="176">
        <v>93</v>
      </c>
      <c r="F203" s="223">
        <f t="shared" si="332"/>
        <v>0.46500000000000002</v>
      </c>
      <c r="G203" s="223">
        <f t="shared" si="294"/>
        <v>0.46500000000000002</v>
      </c>
      <c r="H203" s="223">
        <f t="shared" si="295"/>
        <v>2.3250000000000002</v>
      </c>
      <c r="I203" s="223">
        <f t="shared" si="296"/>
        <v>2.3250000000000002</v>
      </c>
      <c r="J203" s="559">
        <f t="shared" si="297"/>
        <v>15</v>
      </c>
      <c r="K203" s="454">
        <f t="shared" si="298"/>
        <v>9.1144767899291885</v>
      </c>
      <c r="L203" s="454">
        <f t="shared" si="299"/>
        <v>30.75</v>
      </c>
      <c r="M203" s="454"/>
      <c r="N203" s="223">
        <f t="shared" si="300"/>
        <v>0.51219512195121952</v>
      </c>
      <c r="O203" s="178">
        <f t="shared" si="301"/>
        <v>1.2964939024390245</v>
      </c>
      <c r="P203" s="178">
        <f t="shared" si="302"/>
        <v>2.592987804878049</v>
      </c>
      <c r="Q203" s="223">
        <f t="shared" si="303"/>
        <v>0.25929878048780491</v>
      </c>
      <c r="R203" s="223">
        <f t="shared" si="304"/>
        <v>0.25929878048780491</v>
      </c>
      <c r="S203" s="223">
        <f t="shared" si="305"/>
        <v>2.7881589299763965</v>
      </c>
      <c r="T203" s="223">
        <f t="shared" si="306"/>
        <v>0.75</v>
      </c>
      <c r="U203" s="223">
        <f t="shared" si="307"/>
        <v>2.2000000000000002</v>
      </c>
      <c r="V203" s="223">
        <f t="shared" si="308"/>
        <v>3.6206137511329799</v>
      </c>
      <c r="W203" s="203">
        <f t="shared" si="309"/>
        <v>350</v>
      </c>
      <c r="X203" s="454">
        <f t="shared" si="310"/>
        <v>171.80318824717591</v>
      </c>
      <c r="Z203" s="223">
        <f t="shared" si="311"/>
        <v>0.36814968910109125</v>
      </c>
      <c r="AA203" s="179">
        <f t="shared" si="312"/>
        <v>1.7772371024463229</v>
      </c>
      <c r="AB203" s="179">
        <f t="shared" si="313"/>
        <v>0.17175093776519124</v>
      </c>
      <c r="AC203" s="179"/>
      <c r="AD203" s="179">
        <f t="shared" si="314"/>
        <v>0.724122750226596</v>
      </c>
      <c r="AE203" s="563">
        <f t="shared" si="315"/>
        <v>2854.0280857354023</v>
      </c>
      <c r="AF203" s="546">
        <f t="shared" si="316"/>
        <v>5.7024666580344434E-2</v>
      </c>
      <c r="AH203" s="179">
        <f t="shared" si="317"/>
        <v>0.7771075240248958</v>
      </c>
      <c r="AI203" s="179">
        <f t="shared" si="318"/>
        <v>0.75</v>
      </c>
      <c r="AJ203" s="179">
        <f t="shared" si="319"/>
        <v>1.6444444444444444</v>
      </c>
      <c r="AL203" s="563">
        <f t="shared" si="320"/>
        <v>465</v>
      </c>
      <c r="AM203" s="472">
        <f t="shared" si="321"/>
        <v>171.80318824717591</v>
      </c>
      <c r="AO203" t="str">
        <f t="shared" si="322"/>
        <v/>
      </c>
      <c r="AP203" t="str">
        <f t="shared" si="323"/>
        <v/>
      </c>
      <c r="AR203" s="6">
        <f t="shared" si="342"/>
        <v>5.8206137511329796</v>
      </c>
      <c r="AS203" s="6">
        <f t="shared" si="333"/>
        <v>2.2000000000000002</v>
      </c>
      <c r="AT203" s="6">
        <f t="shared" si="334"/>
        <v>3.6206137511329795</v>
      </c>
      <c r="AU203" s="179">
        <f t="shared" si="335"/>
        <v>0.37796701414378703</v>
      </c>
      <c r="AW203" s="6">
        <f t="shared" si="324"/>
        <v>23.491111111111117</v>
      </c>
      <c r="AX203" s="472">
        <f t="shared" si="325"/>
        <v>23.009321276595749</v>
      </c>
      <c r="AY203" s="6">
        <f t="shared" si="326"/>
        <v>23.491111111111117</v>
      </c>
      <c r="AZ203" s="472">
        <f t="shared" si="327"/>
        <v>47.571050000000007</v>
      </c>
      <c r="BA203" s="6">
        <f t="shared" si="271"/>
        <v>0.51962512169038122</v>
      </c>
      <c r="BB203" s="6">
        <f t="shared" si="328"/>
        <v>105.7539632567276</v>
      </c>
      <c r="BC203" s="6"/>
      <c r="BD203" s="179">
        <f t="shared" si="272"/>
        <v>0.26621197409575714</v>
      </c>
      <c r="BE203" s="179">
        <f t="shared" si="273"/>
        <v>1.0245392445545263</v>
      </c>
      <c r="BF203" s="179">
        <f t="shared" si="274"/>
        <v>1.0245392445545263</v>
      </c>
      <c r="BG203" s="179"/>
      <c r="BH203" s="546">
        <f t="shared" si="275"/>
        <v>2.4804085303186025E-2</v>
      </c>
      <c r="BI203" s="546">
        <f t="shared" si="276"/>
        <v>2.9716582717128705E-2</v>
      </c>
      <c r="BJ203" s="546">
        <f t="shared" si="277"/>
        <v>2.1475398530896991E-3</v>
      </c>
      <c r="BK203" s="546">
        <f t="shared" si="278"/>
        <v>8.1225326093485144E-3</v>
      </c>
      <c r="BL203">
        <f t="shared" si="279"/>
        <v>4.3499999999999997E-3</v>
      </c>
      <c r="BN203" s="472">
        <f t="shared" si="280"/>
        <v>69.14074048275296</v>
      </c>
      <c r="BO203" s="179">
        <f t="shared" si="281"/>
        <v>0.13950000000000001</v>
      </c>
      <c r="BP203" s="179">
        <f t="shared" si="282"/>
        <v>0.13950000000000001</v>
      </c>
      <c r="BQ203" s="546"/>
      <c r="BS203" s="472">
        <f t="shared" si="283"/>
        <v>279</v>
      </c>
      <c r="BT203" s="546">
        <f t="shared" si="284"/>
        <v>1.4173763030392014E-2</v>
      </c>
      <c r="BU203" s="546">
        <f t="shared" si="285"/>
        <v>4.1987226545294382E-2</v>
      </c>
      <c r="BV203" s="546">
        <f t="shared" si="286"/>
        <v>9.4471259726912352E-2</v>
      </c>
      <c r="BW203" s="546">
        <f t="shared" si="287"/>
        <v>9.423260787998813E-3</v>
      </c>
      <c r="BX203" s="546"/>
      <c r="BY203" s="656">
        <f t="shared" si="329"/>
        <v>4.8319646694518235E-2</v>
      </c>
      <c r="BZ203" s="472">
        <f t="shared" si="336"/>
        <v>208.37515678511582</v>
      </c>
      <c r="CA203" s="179">
        <f t="shared" si="337"/>
        <v>0.55651589726786876</v>
      </c>
      <c r="CB203" s="6">
        <f t="shared" si="338"/>
        <v>3.8894817073170733</v>
      </c>
      <c r="CC203" s="179">
        <f t="shared" si="339"/>
        <v>0.87482766596770967</v>
      </c>
      <c r="CD203" s="6">
        <f t="shared" si="340"/>
        <v>87.482766596770972</v>
      </c>
      <c r="CE203">
        <f t="shared" si="341"/>
        <v>93</v>
      </c>
      <c r="CG203" s="581">
        <f t="shared" si="330"/>
        <v>-50</v>
      </c>
      <c r="CH203">
        <f t="shared" si="331"/>
        <v>-50</v>
      </c>
    </row>
    <row r="204" spans="5:86" x14ac:dyDescent="0.2">
      <c r="E204" s="176">
        <v>94</v>
      </c>
      <c r="F204" s="223">
        <f t="shared" si="332"/>
        <v>0.47</v>
      </c>
      <c r="G204" s="223">
        <f t="shared" si="294"/>
        <v>0.47</v>
      </c>
      <c r="H204" s="223">
        <f t="shared" si="295"/>
        <v>2.3499999999999996</v>
      </c>
      <c r="I204" s="223">
        <f t="shared" si="296"/>
        <v>2.3499999999999996</v>
      </c>
      <c r="J204" s="559">
        <f t="shared" si="297"/>
        <v>15</v>
      </c>
      <c r="K204" s="454">
        <f t="shared" si="298"/>
        <v>9.0254929942916462</v>
      </c>
      <c r="L204" s="454">
        <f t="shared" si="299"/>
        <v>30.75</v>
      </c>
      <c r="M204" s="454"/>
      <c r="N204" s="223">
        <f t="shared" si="300"/>
        <v>0.51219512195121952</v>
      </c>
      <c r="O204" s="178">
        <f t="shared" si="301"/>
        <v>1.2964939024390245</v>
      </c>
      <c r="P204" s="178">
        <f t="shared" si="302"/>
        <v>2.592987804878049</v>
      </c>
      <c r="Q204" s="223">
        <f t="shared" si="303"/>
        <v>0.25929878048780491</v>
      </c>
      <c r="R204" s="223">
        <f t="shared" si="304"/>
        <v>0.25929878048780491</v>
      </c>
      <c r="S204" s="223">
        <f t="shared" si="305"/>
        <v>2.7584976647638819</v>
      </c>
      <c r="T204" s="223">
        <f t="shared" si="306"/>
        <v>0.75</v>
      </c>
      <c r="U204" s="223">
        <f t="shared" si="307"/>
        <v>2.2000000000000002</v>
      </c>
      <c r="V204" s="223">
        <f t="shared" si="308"/>
        <v>3.656309967873391</v>
      </c>
      <c r="W204" s="203">
        <f t="shared" si="309"/>
        <v>350</v>
      </c>
      <c r="X204" s="454">
        <f t="shared" si="310"/>
        <v>170.75598892234373</v>
      </c>
      <c r="Z204" s="223">
        <f t="shared" si="311"/>
        <v>0.36590569054787953</v>
      </c>
      <c r="AA204" s="179">
        <f t="shared" si="312"/>
        <v>1.7838194982024107</v>
      </c>
      <c r="AB204" s="179">
        <f t="shared" si="313"/>
        <v>0.1713362976419128</v>
      </c>
      <c r="AC204" s="179"/>
      <c r="AD204" s="179">
        <f t="shared" si="314"/>
        <v>0.73126199357467803</v>
      </c>
      <c r="AE204" s="563">
        <f t="shared" si="315"/>
        <v>2856.5533382606554</v>
      </c>
      <c r="AF204" s="546">
        <f t="shared" si="316"/>
        <v>5.7586881994005898E-2</v>
      </c>
      <c r="AH204" s="179">
        <f t="shared" si="317"/>
        <v>0.7812743502698718</v>
      </c>
      <c r="AI204" s="179">
        <f t="shared" si="318"/>
        <v>0.75</v>
      </c>
      <c r="AJ204" s="179">
        <f t="shared" si="319"/>
        <v>1.6444444444444444</v>
      </c>
      <c r="AL204" s="563">
        <f t="shared" si="320"/>
        <v>470</v>
      </c>
      <c r="AM204" s="472">
        <f t="shared" si="321"/>
        <v>170.75598892234373</v>
      </c>
      <c r="AO204" t="str">
        <f t="shared" si="322"/>
        <v/>
      </c>
      <c r="AP204" t="str">
        <f t="shared" si="323"/>
        <v/>
      </c>
      <c r="AR204" s="6">
        <f t="shared" si="342"/>
        <v>5.8563099678733916</v>
      </c>
      <c r="AS204" s="6">
        <f t="shared" si="333"/>
        <v>2.2000000000000002</v>
      </c>
      <c r="AT204" s="6">
        <f t="shared" si="334"/>
        <v>3.6563099678733915</v>
      </c>
      <c r="AU204" s="179">
        <f t="shared" si="335"/>
        <v>0.37566317562915624</v>
      </c>
      <c r="AW204" s="6">
        <f t="shared" si="324"/>
        <v>23.491111111111117</v>
      </c>
      <c r="AX204" s="472">
        <f t="shared" si="325"/>
        <v>23.491644444444447</v>
      </c>
      <c r="AY204" s="6">
        <f t="shared" si="326"/>
        <v>23.491111111111117</v>
      </c>
      <c r="AZ204" s="472">
        <f t="shared" si="327"/>
        <v>48.584422222222223</v>
      </c>
      <c r="BA204" s="6">
        <f t="shared" si="271"/>
        <v>0.53039064348780662</v>
      </c>
      <c r="BB204" s="6">
        <f t="shared" si="328"/>
        <v>106.78240608659618</v>
      </c>
      <c r="BC204" s="6"/>
      <c r="BD204" s="179">
        <f t="shared" si="272"/>
        <v>0.2653994073664574</v>
      </c>
      <c r="BE204" s="179">
        <f t="shared" si="273"/>
        <v>1.0264347963342819</v>
      </c>
      <c r="BF204" s="179">
        <f t="shared" si="274"/>
        <v>1.0264347963342819</v>
      </c>
      <c r="BG204" s="179"/>
      <c r="BH204" s="546">
        <f t="shared" si="275"/>
        <v>2.4652895900663378E-2</v>
      </c>
      <c r="BI204" s="546">
        <f t="shared" si="276"/>
        <v>2.9535449958911639E-2</v>
      </c>
      <c r="BJ204" s="546">
        <f t="shared" si="277"/>
        <v>2.1344498615292968E-3</v>
      </c>
      <c r="BK204" s="546">
        <f t="shared" si="278"/>
        <v>8.0730229887691837E-3</v>
      </c>
      <c r="BL204">
        <f t="shared" si="279"/>
        <v>4.3499999999999997E-3</v>
      </c>
      <c r="BN204" s="472">
        <f t="shared" si="280"/>
        <v>68.745818709873504</v>
      </c>
      <c r="BO204" s="179">
        <f t="shared" si="281"/>
        <v>0.14099999999999999</v>
      </c>
      <c r="BP204" s="179">
        <f t="shared" si="282"/>
        <v>0.14099999999999999</v>
      </c>
      <c r="BQ204" s="546"/>
      <c r="BS204" s="472">
        <f t="shared" si="283"/>
        <v>282</v>
      </c>
      <c r="BT204" s="546">
        <f t="shared" si="284"/>
        <v>1.408736908609336E-2</v>
      </c>
      <c r="BU204" s="546">
        <f t="shared" si="285"/>
        <v>4.2142735645031952E-2</v>
      </c>
      <c r="BV204" s="546">
        <f t="shared" si="286"/>
        <v>9.482115520132188E-2</v>
      </c>
      <c r="BW204" s="546">
        <f t="shared" si="287"/>
        <v>9.280321554464694E-3</v>
      </c>
      <c r="BX204" s="546"/>
      <c r="BY204" s="656">
        <f t="shared" si="329"/>
        <v>4.8025121884409182E-2</v>
      </c>
      <c r="BZ204" s="472">
        <f t="shared" si="336"/>
        <v>208.35670337132109</v>
      </c>
      <c r="CA204" s="179">
        <f t="shared" si="337"/>
        <v>0.5591025220811946</v>
      </c>
      <c r="CB204" s="6">
        <f t="shared" si="338"/>
        <v>3.8894817073170733</v>
      </c>
      <c r="CC204" s="179">
        <f t="shared" si="339"/>
        <v>0.87431899830368709</v>
      </c>
      <c r="CD204" s="6">
        <f t="shared" si="340"/>
        <v>87.431899830368707</v>
      </c>
      <c r="CE204">
        <f t="shared" si="341"/>
        <v>94</v>
      </c>
      <c r="CG204" s="581">
        <f t="shared" si="330"/>
        <v>-50</v>
      </c>
      <c r="CH204">
        <f t="shared" si="331"/>
        <v>-50</v>
      </c>
    </row>
    <row r="205" spans="5:86" x14ac:dyDescent="0.2">
      <c r="E205" s="176">
        <v>95</v>
      </c>
      <c r="F205" s="223">
        <f t="shared" si="332"/>
        <v>0.47499999999999998</v>
      </c>
      <c r="G205" s="223">
        <f t="shared" si="294"/>
        <v>0.47499999999999998</v>
      </c>
      <c r="H205" s="223">
        <f t="shared" si="295"/>
        <v>2.375</v>
      </c>
      <c r="I205" s="223">
        <f t="shared" si="296"/>
        <v>2.375</v>
      </c>
      <c r="J205" s="559">
        <f t="shared" si="297"/>
        <v>15</v>
      </c>
      <c r="K205" s="454">
        <f t="shared" si="298"/>
        <v>8.9383825417201557</v>
      </c>
      <c r="L205" s="454">
        <f t="shared" si="299"/>
        <v>30.75</v>
      </c>
      <c r="M205" s="454"/>
      <c r="N205" s="223">
        <f t="shared" si="300"/>
        <v>0.51219512195121952</v>
      </c>
      <c r="O205" s="178">
        <f t="shared" si="301"/>
        <v>1.2964939024390245</v>
      </c>
      <c r="P205" s="178">
        <f t="shared" si="302"/>
        <v>2.592987804878049</v>
      </c>
      <c r="Q205" s="223">
        <f t="shared" si="303"/>
        <v>0.25929878048780491</v>
      </c>
      <c r="R205" s="223">
        <f t="shared" si="304"/>
        <v>0.25929878048780491</v>
      </c>
      <c r="S205" s="223">
        <f t="shared" si="305"/>
        <v>2.7294608472400519</v>
      </c>
      <c r="T205" s="223">
        <f t="shared" si="306"/>
        <v>0.75</v>
      </c>
      <c r="U205" s="223">
        <f t="shared" si="307"/>
        <v>2.2000000000000002</v>
      </c>
      <c r="V205" s="223">
        <f t="shared" si="308"/>
        <v>3.6919431279620851</v>
      </c>
      <c r="W205" s="203">
        <f t="shared" si="309"/>
        <v>350</v>
      </c>
      <c r="X205" s="454">
        <f t="shared" si="310"/>
        <v>169.72329472329471</v>
      </c>
      <c r="Z205" s="223">
        <f t="shared" si="311"/>
        <v>0.36369277440706016</v>
      </c>
      <c r="AA205" s="179">
        <f t="shared" si="312"/>
        <v>1.7903107188821472</v>
      </c>
      <c r="AB205" s="179">
        <f t="shared" si="313"/>
        <v>0.17091980650524846</v>
      </c>
      <c r="AC205" s="179"/>
      <c r="AD205" s="179">
        <f t="shared" si="314"/>
        <v>0.73838862559241691</v>
      </c>
      <c r="AE205" s="563">
        <f t="shared" si="315"/>
        <v>2859.0785907859085</v>
      </c>
      <c r="AF205" s="546">
        <f t="shared" si="316"/>
        <v>5.8148104265402824E-2</v>
      </c>
      <c r="AH205" s="179">
        <f t="shared" si="317"/>
        <v>0.78541907086797746</v>
      </c>
      <c r="AI205" s="179">
        <f t="shared" si="318"/>
        <v>0.75</v>
      </c>
      <c r="AJ205" s="179">
        <f t="shared" si="319"/>
        <v>1.6444444444444444</v>
      </c>
      <c r="AL205" s="563">
        <f t="shared" si="320"/>
        <v>475</v>
      </c>
      <c r="AM205" s="472">
        <f t="shared" si="321"/>
        <v>169.72329472329471</v>
      </c>
      <c r="AO205" t="str">
        <f t="shared" si="322"/>
        <v/>
      </c>
      <c r="AP205" t="str">
        <f t="shared" si="323"/>
        <v/>
      </c>
      <c r="AR205" s="6">
        <f t="shared" si="342"/>
        <v>5.8919431279620857</v>
      </c>
      <c r="AS205" s="6">
        <f t="shared" si="333"/>
        <v>2.2000000000000002</v>
      </c>
      <c r="AT205" s="6">
        <f t="shared" si="334"/>
        <v>3.6919431279620856</v>
      </c>
      <c r="AU205" s="179">
        <f t="shared" si="335"/>
        <v>0.37339124839124838</v>
      </c>
      <c r="AW205" s="6">
        <f t="shared" si="324"/>
        <v>23.491111111111117</v>
      </c>
      <c r="AX205" s="472">
        <f t="shared" si="325"/>
        <v>23.97896572104019</v>
      </c>
      <c r="AY205" s="6">
        <f t="shared" si="326"/>
        <v>23.491111111111117</v>
      </c>
      <c r="AZ205" s="472">
        <f t="shared" si="327"/>
        <v>49.608472222222218</v>
      </c>
      <c r="BA205" s="6">
        <f t="shared" si="271"/>
        <v>0.54125709437715752</v>
      </c>
      <c r="BB205" s="6">
        <f t="shared" si="328"/>
        <v>107.80903219281009</v>
      </c>
      <c r="BC205" s="6"/>
      <c r="BD205" s="179">
        <f t="shared" si="272"/>
        <v>0.26459565203033675</v>
      </c>
      <c r="BE205" s="179">
        <f t="shared" si="273"/>
        <v>1.0283006702029169</v>
      </c>
      <c r="BF205" s="179">
        <f t="shared" si="274"/>
        <v>1.0283006702029169</v>
      </c>
      <c r="BG205" s="179"/>
      <c r="BH205" s="546">
        <f t="shared" si="275"/>
        <v>2.4503800675675667E-2</v>
      </c>
      <c r="BI205" s="546">
        <f t="shared" si="276"/>
        <v>2.9356826134169879E-2</v>
      </c>
      <c r="BJ205" s="546">
        <f t="shared" si="277"/>
        <v>2.121541184041184E-3</v>
      </c>
      <c r="BK205" s="546">
        <f t="shared" si="278"/>
        <v>8.0241991433397681E-3</v>
      </c>
      <c r="BL205">
        <f t="shared" si="279"/>
        <v>4.3499999999999997E-3</v>
      </c>
      <c r="BN205" s="472">
        <f t="shared" si="280"/>
        <v>68.356367137226513</v>
      </c>
      <c r="BO205" s="179">
        <f t="shared" si="281"/>
        <v>0.14249999999999999</v>
      </c>
      <c r="BP205" s="179">
        <f t="shared" si="282"/>
        <v>0.14249999999999999</v>
      </c>
      <c r="BQ205" s="546"/>
      <c r="BS205" s="472">
        <f t="shared" si="283"/>
        <v>285</v>
      </c>
      <c r="BT205" s="546">
        <f t="shared" si="284"/>
        <v>1.400217181467181E-2</v>
      </c>
      <c r="BU205" s="546">
        <f t="shared" si="285"/>
        <v>4.2296090733590724E-2</v>
      </c>
      <c r="BV205" s="546">
        <f t="shared" si="286"/>
        <v>9.5166204150579123E-2</v>
      </c>
      <c r="BW205" s="546">
        <f t="shared" si="287"/>
        <v>9.1406440543316987E-3</v>
      </c>
      <c r="BX205" s="546"/>
      <c r="BY205" s="656">
        <f t="shared" si="329"/>
        <v>4.7734676640926649E-2</v>
      </c>
      <c r="BZ205" s="472">
        <f t="shared" si="336"/>
        <v>208.33978739410003</v>
      </c>
      <c r="CA205" s="179">
        <f t="shared" si="337"/>
        <v>0.56169615453132649</v>
      </c>
      <c r="CB205" s="6">
        <f t="shared" si="338"/>
        <v>3.8894817073170733</v>
      </c>
      <c r="CC205" s="179">
        <f t="shared" si="339"/>
        <v>0.87380954615503137</v>
      </c>
      <c r="CD205" s="6">
        <f t="shared" si="340"/>
        <v>87.380954615503143</v>
      </c>
      <c r="CE205">
        <f t="shared" si="341"/>
        <v>95</v>
      </c>
      <c r="CG205" s="581">
        <f t="shared" si="330"/>
        <v>-50</v>
      </c>
      <c r="CH205">
        <f t="shared" si="331"/>
        <v>-50</v>
      </c>
    </row>
    <row r="206" spans="5:86" x14ac:dyDescent="0.2">
      <c r="E206" s="176">
        <v>96</v>
      </c>
      <c r="F206" s="223">
        <f t="shared" si="332"/>
        <v>0.48</v>
      </c>
      <c r="G206" s="223">
        <f t="shared" si="294"/>
        <v>0.48</v>
      </c>
      <c r="H206" s="223">
        <f t="shared" si="295"/>
        <v>2.4</v>
      </c>
      <c r="I206" s="223">
        <f t="shared" si="296"/>
        <v>2.4</v>
      </c>
      <c r="J206" s="559">
        <f t="shared" si="297"/>
        <v>15</v>
      </c>
      <c r="K206" s="454">
        <f t="shared" si="298"/>
        <v>8.8530868902439046</v>
      </c>
      <c r="L206" s="454">
        <f t="shared" si="299"/>
        <v>30.75</v>
      </c>
      <c r="M206" s="454"/>
      <c r="N206" s="223">
        <f t="shared" si="300"/>
        <v>0.51219512195121952</v>
      </c>
      <c r="O206" s="178">
        <f t="shared" ref="O206:O210" si="343">N206*J206*Isw_max*0.5*Efficiency*Pout/(Pout+Pout2)</f>
        <v>1.2964939024390245</v>
      </c>
      <c r="P206" s="178">
        <f t="shared" si="302"/>
        <v>2.592987804878049</v>
      </c>
      <c r="Q206" s="223">
        <f t="shared" si="303"/>
        <v>0.25929878048780491</v>
      </c>
      <c r="R206" s="223">
        <f t="shared" si="304"/>
        <v>0.25929878048780491</v>
      </c>
      <c r="S206" s="223">
        <f t="shared" si="305"/>
        <v>2.7010289634146347</v>
      </c>
      <c r="T206" s="223">
        <f t="shared" si="306"/>
        <v>0.75</v>
      </c>
      <c r="U206" s="223">
        <f t="shared" si="307"/>
        <v>2.2000000000000002</v>
      </c>
      <c r="V206" s="223">
        <f t="shared" si="308"/>
        <v>3.7275133983340858</v>
      </c>
      <c r="W206" s="203">
        <f t="shared" si="309"/>
        <v>350</v>
      </c>
      <c r="X206" s="454">
        <f t="shared" si="310"/>
        <v>168.70480634949686</v>
      </c>
      <c r="Z206" s="223">
        <f t="shared" si="311"/>
        <v>0.36151029932035045</v>
      </c>
      <c r="AA206" s="179">
        <f t="shared" si="312"/>
        <v>1.7967126458031626</v>
      </c>
      <c r="AB206" s="179">
        <f t="shared" ref="AB206:AB210" si="344">0.5*AA206*Z206*Nps*W206/1000*(Pout/(Pout+Pout2))</f>
        <v>0.17050165817395202</v>
      </c>
      <c r="AC206" s="179"/>
      <c r="AD206" s="179">
        <f t="shared" si="314"/>
        <v>0.74550267966681716</v>
      </c>
      <c r="AE206" s="563">
        <f t="shared" ref="AE206:AE210" si="345">MAX(10, F206/(0.5*AD206/1000000*Isw_min*Nps)/1000*Pout_total/Pout)</f>
        <v>2861.6038433111612</v>
      </c>
      <c r="AF206" s="546">
        <f t="shared" si="316"/>
        <v>5.870833602376184E-2</v>
      </c>
      <c r="AH206" s="179">
        <f t="shared" si="317"/>
        <v>0.78954203395172273</v>
      </c>
      <c r="AI206" s="179">
        <f t="shared" ref="AI206:AI210" si="346">MAX(IF(F206&gt;AB206,T206,AH206),Isw_min)</f>
        <v>0.75</v>
      </c>
      <c r="AJ206" s="179">
        <f t="shared" ref="AJ206:AJ210" si="347">IF(F206&gt;AF206, (AI206-Isw_min)/1.08*0.8+1.2, AE206*0.2/350+1)</f>
        <v>1.6444444444444444</v>
      </c>
      <c r="AL206" s="563">
        <f t="shared" si="320"/>
        <v>480</v>
      </c>
      <c r="AM206" s="472">
        <f t="shared" si="321"/>
        <v>168.70480634949686</v>
      </c>
      <c r="AO206" t="str">
        <f t="shared" si="322"/>
        <v/>
      </c>
      <c r="AP206" t="str">
        <f t="shared" si="323"/>
        <v/>
      </c>
      <c r="AR206" s="6">
        <f t="shared" si="342"/>
        <v>5.927513398334086</v>
      </c>
      <c r="AS206" s="6">
        <f t="shared" si="333"/>
        <v>2.2000000000000002</v>
      </c>
      <c r="AT206" s="6">
        <f t="shared" si="334"/>
        <v>3.7275133983340858</v>
      </c>
      <c r="AU206" s="179">
        <f t="shared" si="335"/>
        <v>0.37115057396889312</v>
      </c>
      <c r="AW206" s="6">
        <f t="shared" si="324"/>
        <v>23.491111111111117</v>
      </c>
      <c r="AX206" s="472">
        <f t="shared" si="325"/>
        <v>24.471285106382979</v>
      </c>
      <c r="AY206" s="6">
        <f t="shared" si="326"/>
        <v>23.491111111111117</v>
      </c>
      <c r="AZ206" s="472">
        <f t="shared" si="327"/>
        <v>50.643200000000007</v>
      </c>
      <c r="BA206" s="6">
        <f t="shared" si="271"/>
        <v>0.55222420716060516</v>
      </c>
      <c r="BB206" s="6">
        <f t="shared" si="328"/>
        <v>108.83384638493023</v>
      </c>
      <c r="BC206" s="6"/>
      <c r="BD206" s="179">
        <f t="shared" si="272"/>
        <v>0.26380055462255469</v>
      </c>
      <c r="BE206" s="179">
        <f t="shared" si="273"/>
        <v>1.0301375667489721</v>
      </c>
      <c r="BF206" s="179">
        <f t="shared" si="274"/>
        <v>1.0301375667489721</v>
      </c>
      <c r="BG206" s="179"/>
      <c r="BH206" s="546">
        <f t="shared" si="275"/>
        <v>2.4356756416708612E-2</v>
      </c>
      <c r="BI206" s="546">
        <f t="shared" si="276"/>
        <v>2.9180659473264533E-2</v>
      </c>
      <c r="BJ206" s="546">
        <f t="shared" si="277"/>
        <v>2.1088100793687108E-3</v>
      </c>
      <c r="BK206" s="546">
        <f t="shared" si="278"/>
        <v>7.9760469226923068E-3</v>
      </c>
      <c r="BL206">
        <f t="shared" si="279"/>
        <v>4.3499999999999997E-3</v>
      </c>
      <c r="BN206" s="472">
        <f t="shared" si="280"/>
        <v>67.972272892034169</v>
      </c>
      <c r="BO206" s="179">
        <f t="shared" si="281"/>
        <v>0.14399999999999999</v>
      </c>
      <c r="BP206" s="179">
        <f t="shared" si="282"/>
        <v>0.14399999999999999</v>
      </c>
      <c r="BQ206" s="546"/>
      <c r="BS206" s="472">
        <f t="shared" si="283"/>
        <v>288</v>
      </c>
      <c r="BT206" s="546">
        <f t="shared" si="284"/>
        <v>1.3918146523833495E-2</v>
      </c>
      <c r="BU206" s="546">
        <f t="shared" si="285"/>
        <v>4.2447336257099712E-2</v>
      </c>
      <c r="BV206" s="546">
        <f t="shared" si="286"/>
        <v>9.5506506578474343E-2</v>
      </c>
      <c r="BW206" s="546">
        <f t="shared" si="287"/>
        <v>9.0041309410542735E-3</v>
      </c>
      <c r="BX206" s="546"/>
      <c r="BY206" s="656">
        <f t="shared" si="329"/>
        <v>4.7448226785796008E-2</v>
      </c>
      <c r="BZ206" s="472">
        <f t="shared" si="336"/>
        <v>208.3243470862578</v>
      </c>
      <c r="CA206" s="179">
        <f t="shared" si="337"/>
        <v>0.56429661997829195</v>
      </c>
      <c r="CB206" s="6">
        <f t="shared" si="338"/>
        <v>3.8894817073170733</v>
      </c>
      <c r="CC206" s="179">
        <f t="shared" si="339"/>
        <v>0.87329934754050242</v>
      </c>
      <c r="CD206" s="6">
        <f t="shared" si="340"/>
        <v>87.329934754050242</v>
      </c>
      <c r="CE206">
        <f t="shared" si="341"/>
        <v>96</v>
      </c>
      <c r="CG206" s="581">
        <f t="shared" si="330"/>
        <v>-50</v>
      </c>
      <c r="CH206">
        <f t="shared" si="331"/>
        <v>-50</v>
      </c>
    </row>
    <row r="207" spans="5:86" x14ac:dyDescent="0.2">
      <c r="E207" s="176">
        <v>97</v>
      </c>
      <c r="F207" s="223">
        <f t="shared" ref="F207:F210" si="348">IF(PLOT_TYPE=1, E207/100*Iout_max, min_I*EXP(O207*rr/100))</f>
        <v>0.48499999999999999</v>
      </c>
      <c r="G207" s="223">
        <f t="shared" si="294"/>
        <v>0.48499999999999999</v>
      </c>
      <c r="H207" s="223">
        <f t="shared" si="295"/>
        <v>2.4249999999999998</v>
      </c>
      <c r="I207" s="223">
        <f t="shared" si="296"/>
        <v>2.4249999999999998</v>
      </c>
      <c r="J207" s="559">
        <f t="shared" si="297"/>
        <v>15</v>
      </c>
      <c r="K207" s="454">
        <f t="shared" si="298"/>
        <v>8.7695499119939662</v>
      </c>
      <c r="L207" s="454">
        <f t="shared" si="299"/>
        <v>30.75</v>
      </c>
      <c r="M207" s="454"/>
      <c r="N207" s="223">
        <f t="shared" si="300"/>
        <v>0.51219512195121952</v>
      </c>
      <c r="O207" s="178">
        <f t="shared" si="343"/>
        <v>1.2964939024390245</v>
      </c>
      <c r="P207" s="178">
        <f t="shared" si="302"/>
        <v>2.592987804878049</v>
      </c>
      <c r="Q207" s="223">
        <f t="shared" si="303"/>
        <v>0.25929878048780491</v>
      </c>
      <c r="R207" s="223">
        <f t="shared" si="304"/>
        <v>0.25929878048780491</v>
      </c>
      <c r="S207" s="223">
        <f t="shared" si="305"/>
        <v>2.6731833039979889</v>
      </c>
      <c r="T207" s="223">
        <f t="shared" si="306"/>
        <v>0.75</v>
      </c>
      <c r="U207" s="223">
        <f t="shared" si="307"/>
        <v>2.2000000000000002</v>
      </c>
      <c r="V207" s="223">
        <f t="shared" si="308"/>
        <v>3.7630209453356844</v>
      </c>
      <c r="W207" s="203">
        <f t="shared" si="309"/>
        <v>350</v>
      </c>
      <c r="X207" s="454">
        <f t="shared" si="310"/>
        <v>167.70023267857323</v>
      </c>
      <c r="Z207" s="223">
        <f t="shared" si="311"/>
        <v>0.3593576414540855</v>
      </c>
      <c r="AA207" s="179">
        <f t="shared" si="312"/>
        <v>1.8030271088775396</v>
      </c>
      <c r="AB207" s="179">
        <f t="shared" si="344"/>
        <v>0.17008203694755292</v>
      </c>
      <c r="AC207" s="179"/>
      <c r="AD207" s="179">
        <f t="shared" si="314"/>
        <v>0.75260418906713678</v>
      </c>
      <c r="AE207" s="563">
        <f t="shared" si="345"/>
        <v>2864.1290958364139</v>
      </c>
      <c r="AF207" s="546">
        <f t="shared" si="316"/>
        <v>5.9267579889037011E-2</v>
      </c>
      <c r="AH207" s="179">
        <f t="shared" si="317"/>
        <v>0.79364357861078283</v>
      </c>
      <c r="AI207" s="179">
        <f t="shared" si="346"/>
        <v>0.75</v>
      </c>
      <c r="AJ207" s="179">
        <f t="shared" si="347"/>
        <v>1.6444444444444444</v>
      </c>
      <c r="AL207" s="563">
        <f t="shared" si="320"/>
        <v>485</v>
      </c>
      <c r="AM207" s="472">
        <f t="shared" si="321"/>
        <v>167.70023267857323</v>
      </c>
      <c r="AO207" t="str">
        <f t="shared" si="322"/>
        <v/>
      </c>
      <c r="AP207" t="str">
        <f t="shared" si="323"/>
        <v/>
      </c>
      <c r="AR207" s="6">
        <f t="shared" si="342"/>
        <v>5.9630209453356837</v>
      </c>
      <c r="AS207" s="6">
        <f t="shared" si="333"/>
        <v>2.2000000000000002</v>
      </c>
      <c r="AT207" s="6">
        <f t="shared" si="334"/>
        <v>3.7630209453356835</v>
      </c>
      <c r="AU207" s="179">
        <f t="shared" si="335"/>
        <v>0.3689405118928612</v>
      </c>
      <c r="AW207" s="6">
        <f t="shared" si="324"/>
        <v>23.491111111111117</v>
      </c>
      <c r="AX207" s="472">
        <f t="shared" si="325"/>
        <v>24.968602600472821</v>
      </c>
      <c r="AY207" s="6">
        <f t="shared" si="326"/>
        <v>23.491111111111117</v>
      </c>
      <c r="AZ207" s="472">
        <f t="shared" si="327"/>
        <v>51.688605555555561</v>
      </c>
      <c r="BA207" s="6">
        <f t="shared" si="271"/>
        <v>0.56329171558265623</v>
      </c>
      <c r="BB207" s="6">
        <f t="shared" si="328"/>
        <v>109.85685345555552</v>
      </c>
      <c r="BC207" s="6"/>
      <c r="BD207" s="179">
        <f t="shared" si="272"/>
        <v>0.26301396537049415</v>
      </c>
      <c r="BE207" s="179">
        <f t="shared" si="273"/>
        <v>1.0319461643810672</v>
      </c>
      <c r="BF207" s="179">
        <f t="shared" si="274"/>
        <v>1.0319461643810672</v>
      </c>
      <c r="BG207" s="179"/>
      <c r="BH207" s="546">
        <f t="shared" si="275"/>
        <v>2.4211721092969023E-2</v>
      </c>
      <c r="BI207" s="546">
        <f t="shared" si="276"/>
        <v>2.9006899621121959E-2</v>
      </c>
      <c r="BJ207" s="546">
        <f t="shared" si="277"/>
        <v>2.0962529084821656E-3</v>
      </c>
      <c r="BK207" s="546">
        <f t="shared" si="278"/>
        <v>7.9285525631066708E-3</v>
      </c>
      <c r="BL207">
        <f t="shared" si="279"/>
        <v>4.3499999999999997E-3</v>
      </c>
      <c r="BN207" s="472">
        <f t="shared" si="280"/>
        <v>67.593426185679817</v>
      </c>
      <c r="BO207" s="179">
        <f t="shared" si="281"/>
        <v>0.14549999999999999</v>
      </c>
      <c r="BP207" s="179">
        <f t="shared" si="282"/>
        <v>0.14549999999999999</v>
      </c>
      <c r="BQ207" s="546"/>
      <c r="BS207" s="472">
        <f t="shared" si="283"/>
        <v>291</v>
      </c>
      <c r="BT207" s="546">
        <f t="shared" si="284"/>
        <v>1.3835269195982301E-2</v>
      </c>
      <c r="BU207" s="546">
        <f t="shared" si="285"/>
        <v>4.2596515447231864E-2</v>
      </c>
      <c r="BV207" s="546">
        <f t="shared" si="286"/>
        <v>9.5842159756271694E-2</v>
      </c>
      <c r="BW207" s="546">
        <f t="shared" si="287"/>
        <v>8.8706884341226144E-3</v>
      </c>
      <c r="BX207" s="546"/>
      <c r="BY207" s="656">
        <f t="shared" si="329"/>
        <v>4.7165690440848736E-2</v>
      </c>
      <c r="BZ207" s="472">
        <f t="shared" si="336"/>
        <v>208.3103232744572</v>
      </c>
      <c r="CA207" s="179">
        <f t="shared" si="337"/>
        <v>0.566903749460137</v>
      </c>
      <c r="CB207" s="6">
        <f t="shared" si="338"/>
        <v>3.8894817073170733</v>
      </c>
      <c r="CC207" s="179">
        <f t="shared" si="339"/>
        <v>0.87278843920514149</v>
      </c>
      <c r="CD207" s="6">
        <f t="shared" si="340"/>
        <v>87.278843920514149</v>
      </c>
      <c r="CE207">
        <f t="shared" si="341"/>
        <v>97</v>
      </c>
      <c r="CG207" s="581">
        <f t="shared" si="330"/>
        <v>-50</v>
      </c>
      <c r="CH207">
        <f t="shared" si="331"/>
        <v>-50</v>
      </c>
    </row>
    <row r="208" spans="5:86" x14ac:dyDescent="0.2">
      <c r="E208" s="176">
        <v>98</v>
      </c>
      <c r="F208" s="223">
        <f t="shared" si="348"/>
        <v>0.49</v>
      </c>
      <c r="G208" s="223">
        <f t="shared" si="294"/>
        <v>0.49</v>
      </c>
      <c r="H208" s="223">
        <f t="shared" si="295"/>
        <v>2.4500000000000002</v>
      </c>
      <c r="I208" s="223">
        <f t="shared" si="296"/>
        <v>2.4500000000000002</v>
      </c>
      <c r="J208" s="559">
        <f t="shared" si="297"/>
        <v>15</v>
      </c>
      <c r="K208" s="454">
        <f t="shared" si="298"/>
        <v>8.687717770034844</v>
      </c>
      <c r="L208" s="454">
        <f t="shared" si="299"/>
        <v>30.75</v>
      </c>
      <c r="M208" s="454"/>
      <c r="N208" s="223">
        <f t="shared" si="300"/>
        <v>0.51219512195121952</v>
      </c>
      <c r="O208" s="178">
        <f t="shared" si="343"/>
        <v>1.2964939024390245</v>
      </c>
      <c r="P208" s="178">
        <f t="shared" si="302"/>
        <v>2.592987804878049</v>
      </c>
      <c r="Q208" s="223">
        <f t="shared" si="303"/>
        <v>0.25929878048780491</v>
      </c>
      <c r="R208" s="223">
        <f t="shared" si="304"/>
        <v>0.25929878048780491</v>
      </c>
      <c r="S208" s="223">
        <f t="shared" si="305"/>
        <v>2.645905923344948</v>
      </c>
      <c r="T208" s="223">
        <f t="shared" si="306"/>
        <v>0.75</v>
      </c>
      <c r="U208" s="223">
        <f t="shared" si="307"/>
        <v>2.2000000000000002</v>
      </c>
      <c r="V208" s="223">
        <f t="shared" si="308"/>
        <v>3.7984659347270266</v>
      </c>
      <c r="W208" s="203">
        <f t="shared" si="309"/>
        <v>350</v>
      </c>
      <c r="X208" s="454">
        <f t="shared" si="310"/>
        <v>166.70929048887015</v>
      </c>
      <c r="Z208" s="223">
        <f t="shared" si="311"/>
        <v>0.35723419390472178</v>
      </c>
      <c r="AA208" s="179">
        <f t="shared" si="312"/>
        <v>1.8092558883556731</v>
      </c>
      <c r="AB208" s="179">
        <f t="shared" si="344"/>
        <v>0.16966111807157894</v>
      </c>
      <c r="AC208" s="179"/>
      <c r="AD208" s="179">
        <f t="shared" si="314"/>
        <v>0.75969318694540522</v>
      </c>
      <c r="AE208" s="563">
        <f t="shared" si="345"/>
        <v>2866.6543483616661</v>
      </c>
      <c r="AF208" s="546">
        <f t="shared" si="316"/>
        <v>5.9825838471950658E-2</v>
      </c>
      <c r="AH208" s="179">
        <f t="shared" si="317"/>
        <v>0.7977240352174656</v>
      </c>
      <c r="AI208" s="179">
        <f t="shared" si="346"/>
        <v>0.75</v>
      </c>
      <c r="AJ208" s="179">
        <f t="shared" si="347"/>
        <v>1.6444444444444444</v>
      </c>
      <c r="AL208" s="563">
        <f t="shared" si="320"/>
        <v>490</v>
      </c>
      <c r="AM208" s="472">
        <f t="shared" si="321"/>
        <v>166.70929048887015</v>
      </c>
      <c r="AO208" t="str">
        <f t="shared" si="322"/>
        <v/>
      </c>
      <c r="AP208" t="str">
        <f t="shared" si="323"/>
        <v/>
      </c>
      <c r="AR208" s="6">
        <f t="shared" si="342"/>
        <v>5.9984659347270268</v>
      </c>
      <c r="AS208" s="6">
        <f t="shared" si="333"/>
        <v>2.2000000000000002</v>
      </c>
      <c r="AT208" s="6">
        <f t="shared" si="334"/>
        <v>3.7984659347270266</v>
      </c>
      <c r="AU208" s="179">
        <f t="shared" si="335"/>
        <v>0.36676043907551437</v>
      </c>
      <c r="AW208" s="6">
        <f t="shared" si="324"/>
        <v>23.491111111111117</v>
      </c>
      <c r="AX208" s="472">
        <f t="shared" si="325"/>
        <v>25.47091820330969</v>
      </c>
      <c r="AY208" s="6">
        <f t="shared" si="326"/>
        <v>23.491111111111117</v>
      </c>
      <c r="AZ208" s="472">
        <f t="shared" si="327"/>
        <v>52.744688888888888</v>
      </c>
      <c r="BA208" s="6">
        <f t="shared" si="271"/>
        <v>0.57445935432600093</v>
      </c>
      <c r="BB208" s="6">
        <f t="shared" si="328"/>
        <v>110.87805818039757</v>
      </c>
      <c r="BC208" s="6"/>
      <c r="BD208" s="179">
        <f t="shared" si="272"/>
        <v>0.26223573808056549</v>
      </c>
      <c r="BE208" s="179">
        <f t="shared" si="273"/>
        <v>1.0337271202111655</v>
      </c>
      <c r="BF208" s="179">
        <f t="shared" si="274"/>
        <v>1.0337271202111655</v>
      </c>
      <c r="BG208" s="179"/>
      <c r="BH208" s="546">
        <f t="shared" si="275"/>
        <v>2.406865381433063E-2</v>
      </c>
      <c r="BI208" s="546">
        <f t="shared" si="276"/>
        <v>2.8835497589246754E-2</v>
      </c>
      <c r="BJ208" s="546">
        <f t="shared" si="277"/>
        <v>2.0838661311108767E-3</v>
      </c>
      <c r="BK208" s="546">
        <f t="shared" si="278"/>
        <v>7.8817026743941161E-3</v>
      </c>
      <c r="BL208">
        <f t="shared" si="279"/>
        <v>4.3499999999999997E-3</v>
      </c>
      <c r="BN208" s="472">
        <f t="shared" si="280"/>
        <v>67.219720209082368</v>
      </c>
      <c r="BO208" s="179">
        <f t="shared" si="281"/>
        <v>0.14699999999999999</v>
      </c>
      <c r="BP208" s="179">
        <f t="shared" si="282"/>
        <v>0.14699999999999999</v>
      </c>
      <c r="BQ208" s="546"/>
      <c r="BS208" s="472">
        <f t="shared" si="283"/>
        <v>294</v>
      </c>
      <c r="BT208" s="546">
        <f t="shared" si="284"/>
        <v>1.3753516465331789E-2</v>
      </c>
      <c r="BU208" s="546">
        <f t="shared" si="285"/>
        <v>4.2743670362402779E-2</v>
      </c>
      <c r="BV208" s="546">
        <f t="shared" si="286"/>
        <v>9.6173258315406254E-2</v>
      </c>
      <c r="BW208" s="546">
        <f t="shared" si="287"/>
        <v>8.7402261647913301E-3</v>
      </c>
      <c r="BX208" s="546"/>
      <c r="BY208" s="656">
        <f t="shared" si="329"/>
        <v>4.6886987949994741E-2</v>
      </c>
      <c r="BZ208" s="472">
        <f t="shared" si="336"/>
        <v>208.29765925792691</v>
      </c>
      <c r="CA208" s="179">
        <f t="shared" si="337"/>
        <v>0.5695173794670092</v>
      </c>
      <c r="CB208" s="6">
        <f t="shared" si="338"/>
        <v>3.8894817073170733</v>
      </c>
      <c r="CC208" s="179">
        <f t="shared" si="339"/>
        <v>0.87227685667059507</v>
      </c>
      <c r="CD208" s="6">
        <f t="shared" si="340"/>
        <v>87.227685667059504</v>
      </c>
      <c r="CE208">
        <f t="shared" si="341"/>
        <v>98</v>
      </c>
      <c r="CG208" s="581">
        <f t="shared" si="330"/>
        <v>-50</v>
      </c>
      <c r="CH208">
        <f t="shared" si="331"/>
        <v>-50</v>
      </c>
    </row>
    <row r="209" spans="5:86" x14ac:dyDescent="0.2">
      <c r="E209" s="176">
        <v>99</v>
      </c>
      <c r="F209" s="223">
        <f t="shared" si="348"/>
        <v>0.495</v>
      </c>
      <c r="G209" s="223">
        <f t="shared" si="294"/>
        <v>0.495</v>
      </c>
      <c r="H209" s="223">
        <f t="shared" si="295"/>
        <v>2.4750000000000001</v>
      </c>
      <c r="I209" s="223">
        <f t="shared" si="296"/>
        <v>2.4750000000000001</v>
      </c>
      <c r="J209" s="559">
        <f t="shared" si="297"/>
        <v>15</v>
      </c>
      <c r="K209" s="454">
        <f t="shared" si="298"/>
        <v>8.6075388026607556</v>
      </c>
      <c r="L209" s="454">
        <f t="shared" si="299"/>
        <v>30.75</v>
      </c>
      <c r="M209" s="454"/>
      <c r="N209" s="223">
        <f t="shared" si="300"/>
        <v>0.51219512195121952</v>
      </c>
      <c r="O209" s="178">
        <f t="shared" si="343"/>
        <v>1.2964939024390245</v>
      </c>
      <c r="P209" s="178">
        <f t="shared" si="302"/>
        <v>2.592987804878049</v>
      </c>
      <c r="Q209" s="223">
        <f t="shared" si="303"/>
        <v>0.25929878048780491</v>
      </c>
      <c r="R209" s="223">
        <f t="shared" si="304"/>
        <v>0.25929878048780491</v>
      </c>
      <c r="S209" s="223">
        <f t="shared" si="305"/>
        <v>2.6191796008869184</v>
      </c>
      <c r="T209" s="223">
        <f t="shared" si="306"/>
        <v>0.75</v>
      </c>
      <c r="U209" s="223">
        <f t="shared" si="307"/>
        <v>2.2000000000000002</v>
      </c>
      <c r="V209" s="223">
        <f t="shared" si="308"/>
        <v>3.8338485316846977</v>
      </c>
      <c r="W209" s="203">
        <f t="shared" si="309"/>
        <v>350</v>
      </c>
      <c r="X209" s="454">
        <f t="shared" si="310"/>
        <v>165.73170419324268</v>
      </c>
      <c r="Z209" s="223">
        <f t="shared" si="311"/>
        <v>0.35513936612837715</v>
      </c>
      <c r="AA209" s="179">
        <f t="shared" si="312"/>
        <v>1.8154007164996173</v>
      </c>
      <c r="AB209" s="179">
        <f t="shared" si="344"/>
        <v>0.16923906817825241</v>
      </c>
      <c r="AC209" s="179"/>
      <c r="AD209" s="179">
        <f t="shared" si="314"/>
        <v>0.76676970633693953</v>
      </c>
      <c r="AE209" s="563">
        <f t="shared" si="345"/>
        <v>2869.1796008869187</v>
      </c>
      <c r="AF209" s="546">
        <f t="shared" si="316"/>
        <v>6.0383114374033986E-2</v>
      </c>
      <c r="AH209" s="179">
        <f t="shared" si="317"/>
        <v>0.80178372573727319</v>
      </c>
      <c r="AI209" s="179">
        <f t="shared" si="346"/>
        <v>0.75</v>
      </c>
      <c r="AJ209" s="179">
        <f t="shared" si="347"/>
        <v>1.6444444444444444</v>
      </c>
      <c r="AL209" s="563">
        <f t="shared" si="320"/>
        <v>495</v>
      </c>
      <c r="AM209" s="472">
        <f t="shared" si="321"/>
        <v>165.73170419324268</v>
      </c>
      <c r="AO209" t="str">
        <f t="shared" si="322"/>
        <v/>
      </c>
      <c r="AP209" t="str">
        <f t="shared" si="323"/>
        <v/>
      </c>
      <c r="AR209" s="6">
        <f t="shared" si="342"/>
        <v>6.0338485316846979</v>
      </c>
      <c r="AS209" s="6">
        <f t="shared" si="333"/>
        <v>2.2000000000000002</v>
      </c>
      <c r="AT209" s="6">
        <f t="shared" si="334"/>
        <v>3.8338485316846977</v>
      </c>
      <c r="AU209" s="179">
        <f t="shared" si="335"/>
        <v>0.36460974922513389</v>
      </c>
      <c r="AW209" s="6">
        <f t="shared" si="324"/>
        <v>23.491111111111117</v>
      </c>
      <c r="AX209" s="472">
        <f t="shared" si="325"/>
        <v>25.97823191489362</v>
      </c>
      <c r="AY209" s="6">
        <f t="shared" si="326"/>
        <v>23.491111111111117</v>
      </c>
      <c r="AZ209" s="472">
        <f t="shared" si="327"/>
        <v>53.811450000000001</v>
      </c>
      <c r="BA209" s="6">
        <f t="shared" si="271"/>
        <v>0.58572685900738419</v>
      </c>
      <c r="BB209" s="6">
        <f t="shared" si="328"/>
        <v>111.89746531835488</v>
      </c>
      <c r="BC209" s="6"/>
      <c r="BD209" s="179">
        <f t="shared" si="272"/>
        <v>0.2614657300292193</v>
      </c>
      <c r="BE209" s="179">
        <f t="shared" si="273"/>
        <v>1.0354810708953528</v>
      </c>
      <c r="BF209" s="179">
        <f t="shared" si="274"/>
        <v>1.0354810708953528</v>
      </c>
      <c r="BG209" s="179"/>
      <c r="BH209" s="546">
        <f t="shared" si="275"/>
        <v>2.3927514792899406E-2</v>
      </c>
      <c r="BI209" s="546">
        <f t="shared" si="276"/>
        <v>2.8666405709674943E-2</v>
      </c>
      <c r="BJ209" s="546">
        <f t="shared" si="277"/>
        <v>2.0716463024155335E-3</v>
      </c>
      <c r="BK209" s="546">
        <f t="shared" si="278"/>
        <v>7.8354842273111527E-3</v>
      </c>
      <c r="BL209">
        <f t="shared" si="279"/>
        <v>4.3499999999999997E-3</v>
      </c>
      <c r="BN209" s="472">
        <f t="shared" si="280"/>
        <v>66.851051032301015</v>
      </c>
      <c r="BO209" s="179">
        <f t="shared" si="281"/>
        <v>0.14849999999999999</v>
      </c>
      <c r="BP209" s="179">
        <f t="shared" si="282"/>
        <v>0.14849999999999999</v>
      </c>
      <c r="BQ209" s="546"/>
      <c r="BS209" s="472">
        <f t="shared" si="283"/>
        <v>297</v>
      </c>
      <c r="BT209" s="546">
        <f t="shared" si="284"/>
        <v>1.3672865595942519E-2</v>
      </c>
      <c r="BU209" s="546">
        <f t="shared" si="285"/>
        <v>4.2888841927303467E-2</v>
      </c>
      <c r="BV209" s="546">
        <f t="shared" si="286"/>
        <v>9.6499894336432801E-2</v>
      </c>
      <c r="BW209" s="546">
        <f t="shared" si="287"/>
        <v>8.6126570294852763E-3</v>
      </c>
      <c r="BX209" s="546"/>
      <c r="BY209" s="656">
        <f t="shared" si="329"/>
        <v>4.661204180434951E-2</v>
      </c>
      <c r="BZ209" s="472">
        <f t="shared" si="336"/>
        <v>208.28630069351357</v>
      </c>
      <c r="CA209" s="179">
        <f t="shared" si="337"/>
        <v>0.57213735172581459</v>
      </c>
      <c r="CB209" s="6">
        <f t="shared" si="338"/>
        <v>3.8894817073170733</v>
      </c>
      <c r="CC209" s="179">
        <f t="shared" si="339"/>
        <v>0.87176463428310935</v>
      </c>
      <c r="CD209" s="6">
        <f t="shared" si="340"/>
        <v>87.176463428310939</v>
      </c>
      <c r="CE209">
        <f t="shared" si="341"/>
        <v>99</v>
      </c>
      <c r="CG209" s="581">
        <f t="shared" si="330"/>
        <v>-50</v>
      </c>
      <c r="CH209">
        <f t="shared" si="331"/>
        <v>-50</v>
      </c>
    </row>
    <row r="210" spans="5:86" x14ac:dyDescent="0.2">
      <c r="E210" s="176">
        <v>100</v>
      </c>
      <c r="F210" s="223">
        <f t="shared" si="348"/>
        <v>0.5</v>
      </c>
      <c r="G210" s="223">
        <f t="shared" si="294"/>
        <v>0.5</v>
      </c>
      <c r="H210" s="223">
        <f t="shared" si="295"/>
        <v>2.5</v>
      </c>
      <c r="I210" s="223">
        <f t="shared" si="296"/>
        <v>2.5</v>
      </c>
      <c r="J210" s="559">
        <f t="shared" si="297"/>
        <v>15</v>
      </c>
      <c r="K210" s="454">
        <f t="shared" si="298"/>
        <v>8.5289634146341466</v>
      </c>
      <c r="L210" s="454">
        <f t="shared" si="299"/>
        <v>30.75</v>
      </c>
      <c r="M210" s="454"/>
      <c r="N210" s="223">
        <f t="shared" si="300"/>
        <v>0.51219512195121952</v>
      </c>
      <c r="O210" s="178">
        <f t="shared" si="343"/>
        <v>1.2964939024390245</v>
      </c>
      <c r="P210" s="178">
        <f t="shared" si="302"/>
        <v>2.592987804878049</v>
      </c>
      <c r="Q210" s="223">
        <f t="shared" si="303"/>
        <v>0.25929878048780491</v>
      </c>
      <c r="R210" s="223">
        <f t="shared" si="304"/>
        <v>0.25929878048780491</v>
      </c>
      <c r="S210" s="223">
        <f t="shared" si="305"/>
        <v>2.592987804878049</v>
      </c>
      <c r="T210" s="223">
        <f t="shared" si="306"/>
        <v>0.75</v>
      </c>
      <c r="U210" s="223">
        <f t="shared" si="307"/>
        <v>2.2000000000000002</v>
      </c>
      <c r="V210" s="223">
        <f t="shared" si="308"/>
        <v>3.8691689008042895</v>
      </c>
      <c r="W210" s="203">
        <f t="shared" si="309"/>
        <v>350</v>
      </c>
      <c r="X210" s="454">
        <f t="shared" si="310"/>
        <v>164.7672055835321</v>
      </c>
      <c r="Z210" s="223">
        <f t="shared" si="311"/>
        <v>0.35307258339328307</v>
      </c>
      <c r="AA210" s="179">
        <f t="shared" si="312"/>
        <v>1.8214632791892262</v>
      </c>
      <c r="AB210" s="179">
        <f t="shared" si="344"/>
        <v>0.16881604570407699</v>
      </c>
      <c r="AC210" s="179"/>
      <c r="AD210" s="179">
        <f t="shared" si="314"/>
        <v>0.7738337801608578</v>
      </c>
      <c r="AE210" s="563">
        <f t="shared" si="345"/>
        <v>2871.7048534121709</v>
      </c>
      <c r="AF210" s="546">
        <f t="shared" si="316"/>
        <v>6.0939410187667555E-2</v>
      </c>
      <c r="AH210" s="179">
        <f t="shared" si="317"/>
        <v>0.80582296402538034</v>
      </c>
      <c r="AI210" s="179">
        <f t="shared" si="346"/>
        <v>0.75</v>
      </c>
      <c r="AJ210" s="179">
        <f t="shared" si="347"/>
        <v>1.6444444444444444</v>
      </c>
      <c r="AL210" s="563">
        <f t="shared" si="320"/>
        <v>500</v>
      </c>
      <c r="AM210" s="472">
        <f t="shared" si="321"/>
        <v>164.7672055835321</v>
      </c>
      <c r="AO210" t="str">
        <f t="shared" si="322"/>
        <v/>
      </c>
      <c r="AP210" t="str">
        <f t="shared" si="323"/>
        <v/>
      </c>
      <c r="AR210" s="6">
        <f t="shared" si="342"/>
        <v>6.0691689008042902</v>
      </c>
      <c r="AS210" s="6">
        <f t="shared" si="333"/>
        <v>2.2000000000000002</v>
      </c>
      <c r="AT210" s="6">
        <f t="shared" si="334"/>
        <v>3.86916890080429</v>
      </c>
      <c r="AU210" s="179">
        <f t="shared" si="335"/>
        <v>0.36248785228377062</v>
      </c>
      <c r="AW210" s="6">
        <f t="shared" si="324"/>
        <v>23.491111111111117</v>
      </c>
      <c r="AX210" s="472">
        <f t="shared" si="325"/>
        <v>26.490543735224591</v>
      </c>
      <c r="AY210" s="6">
        <f t="shared" si="326"/>
        <v>23.491111111111117</v>
      </c>
      <c r="AZ210" s="472">
        <f t="shared" si="327"/>
        <v>54.888888888888893</v>
      </c>
      <c r="BA210" s="6">
        <f t="shared" si="271"/>
        <v>0.59709396617350141</v>
      </c>
      <c r="BB210" s="6">
        <f t="shared" si="328"/>
        <v>112.91507961158702</v>
      </c>
      <c r="BC210" s="6"/>
      <c r="BD210" s="179">
        <f t="shared" si="272"/>
        <v>0.26070380185798403</v>
      </c>
      <c r="BE210" s="179">
        <f t="shared" si="273"/>
        <v>1.0372086334345356</v>
      </c>
      <c r="BF210" s="179">
        <f t="shared" si="274"/>
        <v>1.0372086334345356</v>
      </c>
      <c r="BG210" s="179"/>
      <c r="BH210" s="546">
        <f t="shared" si="275"/>
        <v>2.378826530612245E-2</v>
      </c>
      <c r="BI210" s="546">
        <f t="shared" si="276"/>
        <v>2.8499577590776565E-2</v>
      </c>
      <c r="BJ210" s="546">
        <f t="shared" si="277"/>
        <v>2.059590069794151E-3</v>
      </c>
      <c r="BK210" s="546">
        <f t="shared" si="278"/>
        <v>7.7898845414789298E-3</v>
      </c>
      <c r="BL210">
        <f t="shared" si="279"/>
        <v>4.3499999999999997E-3</v>
      </c>
      <c r="BN210" s="472">
        <f t="shared" si="280"/>
        <v>66.487317508172097</v>
      </c>
      <c r="BO210" s="179">
        <f t="shared" si="281"/>
        <v>0.15</v>
      </c>
      <c r="BP210" s="179">
        <f t="shared" si="282"/>
        <v>0.15</v>
      </c>
      <c r="BQ210" s="546"/>
      <c r="BS210" s="472">
        <f t="shared" si="283"/>
        <v>300</v>
      </c>
      <c r="BT210" s="546">
        <f t="shared" si="284"/>
        <v>1.3593294460641401E-2</v>
      </c>
      <c r="BU210" s="546">
        <f t="shared" si="285"/>
        <v>4.303206997084548E-2</v>
      </c>
      <c r="BV210" s="546">
        <f t="shared" si="286"/>
        <v>9.6822157434402326E-2</v>
      </c>
      <c r="BW210" s="546">
        <f t="shared" si="287"/>
        <v>8.4878970504517048E-3</v>
      </c>
      <c r="BX210" s="546"/>
      <c r="BY210" s="656">
        <f t="shared" si="329"/>
        <v>4.6340776570368412E-2</v>
      </c>
      <c r="BZ210" s="472">
        <f t="shared" si="336"/>
        <v>208.2761954867093</v>
      </c>
      <c r="CA210" s="179">
        <f t="shared" si="337"/>
        <v>0.57476351299488138</v>
      </c>
      <c r="CB210" s="6">
        <f t="shared" si="338"/>
        <v>3.8894817073170733</v>
      </c>
      <c r="CC210" s="179">
        <f t="shared" si="339"/>
        <v>0.87125180525931822</v>
      </c>
      <c r="CD210" s="6">
        <f t="shared" si="340"/>
        <v>87.125180525931825</v>
      </c>
      <c r="CE210">
        <f t="shared" si="341"/>
        <v>100</v>
      </c>
      <c r="CG210" s="581">
        <f t="shared" si="330"/>
        <v>-50</v>
      </c>
      <c r="CH210">
        <f t="shared" si="331"/>
        <v>-50</v>
      </c>
    </row>
    <row r="211" spans="5:86" x14ac:dyDescent="0.2">
      <c r="E211" s="176"/>
      <c r="F211" s="223"/>
      <c r="G211" s="223"/>
      <c r="H211" s="223"/>
      <c r="I211" s="223"/>
      <c r="J211" s="559"/>
      <c r="K211" s="454"/>
      <c r="L211" s="454"/>
      <c r="M211" s="454"/>
      <c r="N211" s="223"/>
      <c r="O211" s="178"/>
      <c r="P211" s="178"/>
      <c r="Q211" s="223"/>
      <c r="R211" s="223"/>
      <c r="S211" s="223"/>
      <c r="T211" s="223"/>
      <c r="U211" s="223"/>
      <c r="V211" s="223"/>
      <c r="W211" s="203"/>
      <c r="X211" s="454"/>
      <c r="Z211" s="223"/>
      <c r="AA211" s="179"/>
      <c r="AB211" s="179"/>
      <c r="AC211" s="179"/>
      <c r="AD211" s="179"/>
      <c r="AE211" s="563"/>
      <c r="AF211" s="546"/>
      <c r="AH211" s="179"/>
      <c r="AI211" s="179"/>
      <c r="AJ211" s="179"/>
      <c r="AL211" s="563"/>
      <c r="AM211" s="472"/>
      <c r="AR211" s="6"/>
      <c r="AS211" s="6"/>
      <c r="AT211" s="6"/>
      <c r="AU211" s="179"/>
      <c r="AW211" s="6"/>
      <c r="AX211" s="472"/>
      <c r="AY211" s="6"/>
      <c r="AZ211" s="472"/>
      <c r="BB211" s="6"/>
      <c r="CG211" s="581"/>
      <c r="CH211" s="557">
        <f>MAX(CH110:CH210)</f>
        <v>3.304945123611315</v>
      </c>
    </row>
    <row r="212" spans="5:86" x14ac:dyDescent="0.2">
      <c r="G212" s="223"/>
      <c r="H212" s="223"/>
      <c r="I212" s="223"/>
      <c r="J212" s="559"/>
      <c r="K212" s="454"/>
      <c r="L212" s="454"/>
      <c r="M212" s="454"/>
      <c r="N212" s="223"/>
      <c r="O212" s="178"/>
      <c r="P212" s="178"/>
      <c r="Q212" s="223"/>
      <c r="R212" s="223"/>
      <c r="S212" s="223"/>
      <c r="T212" s="223"/>
      <c r="U212" s="223"/>
      <c r="V212" s="223"/>
      <c r="W212" s="203"/>
      <c r="X212" s="454"/>
      <c r="Z212" s="223"/>
      <c r="AA212" s="179"/>
      <c r="AB212" s="179"/>
      <c r="AC212" s="179"/>
      <c r="AD212" s="179"/>
      <c r="AE212" s="563"/>
      <c r="AF212" s="546"/>
      <c r="AH212" s="179"/>
      <c r="AI212" s="179"/>
      <c r="AJ212" s="179"/>
      <c r="AL212" s="563"/>
      <c r="AM212" s="472"/>
      <c r="AR212" s="6"/>
      <c r="AS212" s="6"/>
      <c r="AT212" s="6"/>
      <c r="AU212" s="179"/>
      <c r="AW212" s="6"/>
      <c r="AX212" s="472"/>
      <c r="AY212" s="6"/>
      <c r="AZ212" s="472"/>
      <c r="BB212" s="6"/>
      <c r="CG212" s="581"/>
    </row>
    <row r="213" spans="5:86" x14ac:dyDescent="0.2">
      <c r="G213" s="223"/>
      <c r="H213" s="223"/>
      <c r="I213" s="223"/>
      <c r="J213" s="559"/>
      <c r="K213" s="454"/>
      <c r="L213" s="454"/>
      <c r="M213" s="454"/>
      <c r="N213" s="223"/>
      <c r="O213" s="178"/>
      <c r="P213" s="178"/>
      <c r="Q213" s="223"/>
      <c r="R213" s="223"/>
      <c r="S213" s="223"/>
      <c r="T213" s="223"/>
      <c r="U213" s="223"/>
      <c r="V213" s="223"/>
      <c r="W213" s="203"/>
      <c r="X213" s="454"/>
      <c r="Z213" s="223"/>
      <c r="AA213" s="179"/>
      <c r="AB213" s="179"/>
      <c r="AC213" s="179"/>
      <c r="AD213" s="179"/>
      <c r="AE213" s="563"/>
      <c r="AF213" s="546"/>
      <c r="AH213" s="179"/>
      <c r="AI213" s="179"/>
      <c r="AJ213" s="179"/>
      <c r="AL213" s="563"/>
      <c r="AM213" s="472"/>
      <c r="AR213" s="6"/>
      <c r="AS213" s="6"/>
      <c r="AT213" s="6"/>
      <c r="AU213" s="179"/>
      <c r="AW213" s="6"/>
      <c r="AX213" s="472"/>
      <c r="AY213" s="6"/>
      <c r="AZ213" s="472"/>
      <c r="BB213" s="6"/>
      <c r="CG213" s="581"/>
    </row>
    <row r="214" spans="5:86" x14ac:dyDescent="0.2">
      <c r="E214" s="456" t="s">
        <v>447</v>
      </c>
      <c r="G214" s="223"/>
      <c r="H214" s="223"/>
      <c r="I214" s="223"/>
      <c r="J214" s="559"/>
      <c r="K214" s="454"/>
      <c r="L214" s="454"/>
      <c r="M214" s="454"/>
      <c r="N214" s="223"/>
      <c r="O214" s="178"/>
      <c r="P214" s="178"/>
      <c r="Q214" s="223"/>
      <c r="R214" s="223"/>
      <c r="S214" s="223"/>
      <c r="T214" s="223"/>
      <c r="U214" s="223"/>
      <c r="V214" s="223"/>
      <c r="W214" s="203"/>
      <c r="X214" s="454"/>
      <c r="Z214" s="223"/>
      <c r="AA214" s="179"/>
      <c r="AB214" s="179"/>
      <c r="AC214" s="179"/>
      <c r="AD214" s="179"/>
      <c r="AE214" s="563"/>
      <c r="AF214" s="546"/>
      <c r="AH214" s="179"/>
      <c r="AI214" s="179"/>
      <c r="AJ214" s="179"/>
      <c r="AL214" s="563"/>
      <c r="AM214" s="472"/>
      <c r="AR214" s="6"/>
      <c r="AS214" s="6"/>
      <c r="AT214" s="6"/>
      <c r="AU214" s="179"/>
      <c r="AW214" s="6"/>
      <c r="AX214" s="472"/>
      <c r="AY214" s="6"/>
      <c r="AZ214" s="472"/>
      <c r="BB214" s="6"/>
      <c r="CG214" s="581"/>
    </row>
    <row r="215" spans="5:86" ht="45" customHeight="1" thickBot="1" x14ac:dyDescent="0.25">
      <c r="E215" s="247" t="s">
        <v>25</v>
      </c>
      <c r="F215" s="625" t="s">
        <v>600</v>
      </c>
      <c r="G215" s="455" t="s">
        <v>599</v>
      </c>
      <c r="H215" s="626" t="s">
        <v>601</v>
      </c>
      <c r="I215" s="627" t="s">
        <v>602</v>
      </c>
      <c r="J215" s="248" t="s">
        <v>424</v>
      </c>
      <c r="K215" s="249" t="s">
        <v>430</v>
      </c>
      <c r="L215" s="545" t="s">
        <v>425</v>
      </c>
      <c r="M215" s="545"/>
      <c r="N215" s="250" t="s">
        <v>48</v>
      </c>
      <c r="O215" s="629" t="s">
        <v>610</v>
      </c>
      <c r="P215" s="178"/>
      <c r="Q215" s="545" t="s">
        <v>415</v>
      </c>
      <c r="R215" s="629" t="s">
        <v>604</v>
      </c>
      <c r="S215" s="545" t="s">
        <v>445</v>
      </c>
      <c r="T215" s="629" t="s">
        <v>426</v>
      </c>
      <c r="U215" s="545" t="s">
        <v>478</v>
      </c>
      <c r="V215" s="545" t="s">
        <v>477</v>
      </c>
      <c r="W215" s="565" t="s">
        <v>432</v>
      </c>
      <c r="X215" s="560" t="s">
        <v>437</v>
      </c>
      <c r="Z215" s="251" t="s">
        <v>429</v>
      </c>
      <c r="AA215" s="251" t="s">
        <v>476</v>
      </c>
      <c r="AB215" s="179"/>
      <c r="AC215" s="562"/>
      <c r="AD215" s="251" t="s">
        <v>475</v>
      </c>
      <c r="AE215" s="563"/>
      <c r="AF215" s="546"/>
      <c r="AG215" s="562"/>
      <c r="AH215" s="179"/>
      <c r="AI215" s="566" t="s">
        <v>442</v>
      </c>
      <c r="AJ215" s="566" t="s">
        <v>443</v>
      </c>
      <c r="AL215" s="561" t="s">
        <v>276</v>
      </c>
      <c r="AM215" s="561" t="s">
        <v>444</v>
      </c>
      <c r="AO215" s="251" t="s">
        <v>276</v>
      </c>
      <c r="AP215" s="251" t="s">
        <v>444</v>
      </c>
      <c r="AQ215" s="567"/>
      <c r="AR215" s="251" t="s">
        <v>479</v>
      </c>
      <c r="AS215" s="251" t="s">
        <v>473</v>
      </c>
      <c r="AT215" s="251" t="s">
        <v>474</v>
      </c>
      <c r="AU215" s="251" t="s">
        <v>48</v>
      </c>
      <c r="AV215" s="562"/>
      <c r="AW215" s="251" t="s">
        <v>611</v>
      </c>
      <c r="AX215" s="251" t="s">
        <v>711</v>
      </c>
      <c r="AY215" s="251" t="s">
        <v>612</v>
      </c>
      <c r="AZ215" s="251" t="s">
        <v>712</v>
      </c>
      <c r="BA215" s="251" t="s">
        <v>529</v>
      </c>
      <c r="BB215" s="251" t="s">
        <v>710</v>
      </c>
      <c r="BC215" s="562"/>
      <c r="BD215" s="576" t="s">
        <v>468</v>
      </c>
      <c r="BE215" s="251" t="s">
        <v>469</v>
      </c>
      <c r="BF215" s="251"/>
      <c r="BG215" s="562"/>
      <c r="BH215" s="576" t="s">
        <v>486</v>
      </c>
      <c r="BI215" s="251" t="s">
        <v>487</v>
      </c>
      <c r="BJ215" s="251" t="s">
        <v>485</v>
      </c>
      <c r="BK215" s="251" t="s">
        <v>481</v>
      </c>
      <c r="BL215" s="251" t="s">
        <v>490</v>
      </c>
      <c r="BM215" s="251"/>
      <c r="BN215" s="251" t="s">
        <v>504</v>
      </c>
      <c r="BO215" s="576" t="s">
        <v>488</v>
      </c>
      <c r="BP215" s="251"/>
      <c r="BQ215" s="251" t="s">
        <v>489</v>
      </c>
      <c r="BR215" s="251" t="s">
        <v>496</v>
      </c>
      <c r="BS215" s="251" t="s">
        <v>500</v>
      </c>
      <c r="BT215" s="576" t="s">
        <v>470</v>
      </c>
      <c r="BU215" s="251" t="s">
        <v>471</v>
      </c>
      <c r="BV215" s="251"/>
      <c r="BW215" s="251" t="s">
        <v>480</v>
      </c>
      <c r="BX215" s="251"/>
      <c r="BY215" s="251" t="s">
        <v>497</v>
      </c>
      <c r="BZ215" s="251" t="s">
        <v>499</v>
      </c>
      <c r="CA215" s="576" t="s">
        <v>495</v>
      </c>
      <c r="CB215" s="251" t="s">
        <v>224</v>
      </c>
      <c r="CC215" s="251" t="s">
        <v>47</v>
      </c>
      <c r="CD215" s="251" t="s">
        <v>498</v>
      </c>
      <c r="CE215" s="251"/>
      <c r="CG215" s="581"/>
    </row>
    <row r="216" spans="5:86" x14ac:dyDescent="0.2">
      <c r="E216" s="176">
        <v>0.1</v>
      </c>
      <c r="F216" s="223">
        <v>1.0000000000000001E-9</v>
      </c>
      <c r="G216" s="223">
        <f t="shared" ref="G216:G247" si="349">IF(PLOT_TYPE=1, E216/100*Iout2, min_I*EXP(Q216*rr/100))</f>
        <v>5.0000000000000001E-4</v>
      </c>
      <c r="H216" s="223">
        <f t="shared" ref="H216:H247" si="350">F216*Vout</f>
        <v>5.0000000000000001E-9</v>
      </c>
      <c r="I216" s="223">
        <f t="shared" ref="I216:I247" si="351">Vout2*G216</f>
        <v>2.5000000000000001E-3</v>
      </c>
      <c r="J216" s="559">
        <f t="shared" ref="J216:J279" si="352">VIN_max</f>
        <v>48</v>
      </c>
      <c r="K216" s="454">
        <f t="shared" ref="K216:K279" si="353">(S216+Vfwd1)*Nps</f>
        <v>15.75</v>
      </c>
      <c r="L216" s="454">
        <f t="shared" ref="L216:L279" si="354">(Vout+Vfwd1)*Nps+J216</f>
        <v>63.75</v>
      </c>
      <c r="M216" s="454"/>
      <c r="N216" s="223">
        <f t="shared" ref="N216:N279" si="355">(Vout+Vfwd1)*Nps/((Vout+Vfwd1)*Nps+J216)</f>
        <v>0.24705882352941178</v>
      </c>
      <c r="O216" s="178">
        <f t="shared" ref="O216:O247" si="356">N216*J216*Isw_max*0.5*Efficiency*Pout/(Pout+Pout2)</f>
        <v>2.0011764705882356</v>
      </c>
      <c r="P216" s="178">
        <f t="shared" ref="P216:P247" si="357">N216*J216*Isw_max*0.5*Efficiency*(Pout2/Pout_total)</f>
        <v>4.0023529411764711</v>
      </c>
      <c r="Q216" s="223">
        <f t="shared" ref="Q216:Q279" si="358">O216/Vout</f>
        <v>0.40023529411764713</v>
      </c>
      <c r="R216" s="223">
        <f t="shared" ref="R216:R247" si="359">O216/Vout2</f>
        <v>0.40023529411764713</v>
      </c>
      <c r="S216" s="223">
        <f t="shared" ref="S216:S247" si="360">MIN(Vout,O216/F216)</f>
        <v>5</v>
      </c>
      <c r="T216" s="223">
        <f t="shared" ref="T216:T247" si="361">MIN(2*(Vout*F216+Vout2*G216)/(Efficiency*J216*N216), Isw_max)</f>
        <v>4.6847536375661374E-4</v>
      </c>
      <c r="U216" s="223">
        <f t="shared" ref="U216:U279" si="362">L*T216/J216*1000000</f>
        <v>4.2943575011022929E-4</v>
      </c>
      <c r="V216" s="223">
        <f t="shared" ref="V216:V279" si="363">L*T216/K216*1000000</f>
        <v>1.3087565717645082E-3</v>
      </c>
      <c r="W216" s="203">
        <f t="shared" ref="W216:W279" si="364">IF(1/((350000*L)*(1/J216+1/K216))&gt;Isw_min, 350, 0.001/((Isw_min*L)*(1/J216+1/K216)))</f>
        <v>350</v>
      </c>
      <c r="X216" s="454">
        <f t="shared" ref="X216:X279" si="365">MIN(1/(U216+V216)*1000, 350)</f>
        <v>350</v>
      </c>
      <c r="Z216" s="223">
        <f t="shared" ref="Z216:Z279" si="366">1/((W216*1000*L)*(1/J216+1/K216))</f>
        <v>0.77005347593582896</v>
      </c>
      <c r="AA216" s="179">
        <f t="shared" ref="AA216:AA279" si="367">L*Z216/K216*1000000</f>
        <v>2.151260504201681</v>
      </c>
      <c r="AB216" s="179">
        <f t="shared" ref="AB216:AB247" si="368">0.5*AA216*Z216*Nps*W216/1000*(Pout/(Pout+Pout2))</f>
        <v>0.43485372758729168</v>
      </c>
      <c r="AC216" s="179"/>
      <c r="AD216" s="179">
        <f t="shared" ref="AD216:AD279" si="369">L*Isw_min/K216*1000000</f>
        <v>0.419047619047619</v>
      </c>
      <c r="AE216" s="563">
        <f t="shared" ref="AE216:AE247" si="370">MAX(10, F216/(0.5*AD216/1000000*Isw_min*Nps)/1000*Pout_total/Pout)</f>
        <v>10</v>
      </c>
      <c r="AF216" s="546">
        <f t="shared" ref="AF216:AF247" si="371">0.5*AD216/1000000*Isw_min*Nps*W216*1000*(Pout/Pout_total)</f>
        <v>3.2999999999999995E-2</v>
      </c>
      <c r="AH216" s="179">
        <f t="shared" ref="AH216:AH247" si="372">SQRT((H216+I216)/(0.5*L*Fsw_DCM))</f>
        <v>1.8018767272651424E-2</v>
      </c>
      <c r="AI216" s="179">
        <f t="shared" ref="AI216:AI247" si="373">MAX(IF(F216&gt;AB216,T216,AH216),Isw_min)</f>
        <v>0.15</v>
      </c>
      <c r="AJ216" s="179">
        <f t="shared" ref="AJ216:AJ247" si="374">IF(F216&gt;AF216, (AI216-Isw_min)/1.08*0.8+1.2, AE216*0.2/350+1)</f>
        <v>1.0057142857142858</v>
      </c>
      <c r="AL216" s="563">
        <f t="shared" ref="AL216:AL247" si="375">F216*1000</f>
        <v>1.0000000000000002E-6</v>
      </c>
      <c r="AM216" s="472">
        <f t="shared" ref="AM216:AM247" si="376">IF(F216&gt;AF216, X216, AE216)</f>
        <v>10</v>
      </c>
      <c r="AO216">
        <f t="shared" ref="AO216:AO279" si="377">IF(H216&gt;O216, "",AL216)</f>
        <v>1.0000000000000002E-6</v>
      </c>
      <c r="AP216">
        <f t="shared" ref="AP216:AP279" si="378">IF(H216&gt;O216, "",AM216)</f>
        <v>10</v>
      </c>
      <c r="AR216" s="6">
        <f t="shared" si="342"/>
        <v>100</v>
      </c>
      <c r="AS216" s="6">
        <f t="shared" si="333"/>
        <v>0.13749999999999998</v>
      </c>
      <c r="AT216" s="6">
        <f t="shared" si="334"/>
        <v>99.862499999999997</v>
      </c>
      <c r="AU216" s="179">
        <f t="shared" si="335"/>
        <v>1.3749999999999999E-3</v>
      </c>
      <c r="AW216" s="6">
        <f t="shared" ref="AW216:AW247" si="379">L*Iout^2/(2*Vripple1_spec*Vout*Npri_sec1^2)*1000000000*((1+N216)/(1-N216))^2</f>
        <v>6.7055121527777786</v>
      </c>
      <c r="AX216" s="472">
        <f t="shared" ref="AX216:AX247" si="380">L*F216^2/(2*Cout*Vout*Nps^2)*1000000000*((1+N216)/(1-N216))^2+F216*RCoutEsr</f>
        <v>3.0000000285340948E-9</v>
      </c>
      <c r="AY216" s="6">
        <f t="shared" ref="AY216:AY247" si="381">L*Iout2^2/(2*Vripple2_spec*Vout2*Npri_sec2^2)*1000000000*((1+N216)/(1-N216))^2</f>
        <v>6.7055121527777786</v>
      </c>
      <c r="AZ216" s="472">
        <f t="shared" ref="AZ216:AZ247" si="382">L*G216^2/(2*Cout2*Vout2*Npri_sec2^2)*1000000000*((1+N216)/(1-N216))^2+G216*CoutEsr2</f>
        <v>1.5152398003472223E-3</v>
      </c>
      <c r="BB216" s="6">
        <f t="shared" ref="BB216:BB247" si="383">((CB216/J216/Efficiency)*AT216/Cin+(CB216/J216/Efficiency)*RCinEsr)*1000</f>
        <v>0</v>
      </c>
      <c r="CG216" s="581">
        <f t="shared" ref="CG216:CG247" si="384">IF(ABS(F216-Ioutmax_Vinmax)&lt;Iout/200, AM216, -50)</f>
        <v>-50</v>
      </c>
    </row>
    <row r="217" spans="5:86" x14ac:dyDescent="0.2">
      <c r="E217" s="176">
        <v>1</v>
      </c>
      <c r="F217" s="223">
        <f t="shared" ref="F217:F248" si="385">IF(PLOT_TYPE=1, E217/100*Iout_max, min_I*EXP(O217*rr/100))</f>
        <v>5.0000000000000001E-3</v>
      </c>
      <c r="G217" s="223">
        <f t="shared" si="349"/>
        <v>5.0000000000000001E-3</v>
      </c>
      <c r="H217" s="223">
        <f t="shared" si="350"/>
        <v>2.5000000000000001E-2</v>
      </c>
      <c r="I217" s="223">
        <f t="shared" si="351"/>
        <v>2.5000000000000001E-2</v>
      </c>
      <c r="J217" s="559">
        <f t="shared" si="352"/>
        <v>48</v>
      </c>
      <c r="K217" s="454">
        <f t="shared" si="353"/>
        <v>15.75</v>
      </c>
      <c r="L217" s="454">
        <f t="shared" si="354"/>
        <v>63.75</v>
      </c>
      <c r="M217" s="454"/>
      <c r="N217" s="223">
        <f t="shared" si="355"/>
        <v>0.24705882352941178</v>
      </c>
      <c r="O217" s="178">
        <f t="shared" si="356"/>
        <v>2.0011764705882356</v>
      </c>
      <c r="P217" s="178">
        <f t="shared" si="357"/>
        <v>4.0023529411764711</v>
      </c>
      <c r="Q217" s="223">
        <f t="shared" si="358"/>
        <v>0.40023529411764713</v>
      </c>
      <c r="R217" s="223">
        <f t="shared" si="359"/>
        <v>0.40023529411764713</v>
      </c>
      <c r="S217" s="223">
        <f t="shared" si="360"/>
        <v>5</v>
      </c>
      <c r="T217" s="223">
        <f t="shared" si="361"/>
        <v>9.3694885361552023E-3</v>
      </c>
      <c r="U217" s="223">
        <f t="shared" si="362"/>
        <v>8.5886978248089357E-3</v>
      </c>
      <c r="V217" s="223">
        <f t="shared" si="363"/>
        <v>2.6175079085131996E-2</v>
      </c>
      <c r="W217" s="203">
        <f t="shared" si="364"/>
        <v>350</v>
      </c>
      <c r="X217" s="454">
        <f t="shared" si="365"/>
        <v>350</v>
      </c>
      <c r="Z217" s="223">
        <f t="shared" si="366"/>
        <v>0.77005347593582896</v>
      </c>
      <c r="AA217" s="179">
        <f t="shared" si="367"/>
        <v>2.151260504201681</v>
      </c>
      <c r="AB217" s="179">
        <f t="shared" si="368"/>
        <v>0.43485372758729168</v>
      </c>
      <c r="AC217" s="179"/>
      <c r="AD217" s="179">
        <f t="shared" si="369"/>
        <v>0.419047619047619</v>
      </c>
      <c r="AE217" s="563">
        <f t="shared" si="370"/>
        <v>53.030303030303038</v>
      </c>
      <c r="AF217" s="546">
        <f t="shared" si="371"/>
        <v>3.2999999999999995E-2</v>
      </c>
      <c r="AH217" s="179">
        <f t="shared" si="372"/>
        <v>8.0582296402538028E-2</v>
      </c>
      <c r="AI217" s="179">
        <f t="shared" si="373"/>
        <v>0.15</v>
      </c>
      <c r="AJ217" s="179">
        <f t="shared" si="374"/>
        <v>1.0303030303030303</v>
      </c>
      <c r="AL217" s="563">
        <f t="shared" si="375"/>
        <v>5</v>
      </c>
      <c r="AM217" s="472">
        <f t="shared" si="376"/>
        <v>53.030303030303038</v>
      </c>
      <c r="AO217">
        <f t="shared" si="377"/>
        <v>5</v>
      </c>
      <c r="AP217">
        <f t="shared" si="378"/>
        <v>53.030303030303038</v>
      </c>
      <c r="AR217" s="6">
        <f t="shared" si="342"/>
        <v>18.857142857142854</v>
      </c>
      <c r="AS217" s="6">
        <f t="shared" si="333"/>
        <v>0.13749999999999998</v>
      </c>
      <c r="AT217" s="6">
        <f t="shared" si="334"/>
        <v>18.719642857142855</v>
      </c>
      <c r="AU217" s="179">
        <f t="shared" si="335"/>
        <v>7.2916666666666668E-3</v>
      </c>
      <c r="AW217" s="6">
        <f t="shared" si="379"/>
        <v>6.7055121527777786</v>
      </c>
      <c r="AX217" s="472">
        <f t="shared" si="380"/>
        <v>1.5713352356678485E-2</v>
      </c>
      <c r="AY217" s="6">
        <f t="shared" si="381"/>
        <v>6.7055121527777786</v>
      </c>
      <c r="AZ217" s="472">
        <f t="shared" si="382"/>
        <v>1.6523980034722222E-2</v>
      </c>
      <c r="BB217" s="6">
        <f t="shared" si="383"/>
        <v>0</v>
      </c>
      <c r="CG217" s="581">
        <f t="shared" si="384"/>
        <v>-50</v>
      </c>
    </row>
    <row r="218" spans="5:86" x14ac:dyDescent="0.2">
      <c r="E218" s="176">
        <v>2</v>
      </c>
      <c r="F218" s="223">
        <f t="shared" si="385"/>
        <v>0.01</v>
      </c>
      <c r="G218" s="223">
        <f t="shared" si="349"/>
        <v>0.01</v>
      </c>
      <c r="H218" s="223">
        <f t="shared" si="350"/>
        <v>0.05</v>
      </c>
      <c r="I218" s="223">
        <f t="shared" si="351"/>
        <v>0.05</v>
      </c>
      <c r="J218" s="559">
        <f t="shared" si="352"/>
        <v>48</v>
      </c>
      <c r="K218" s="454">
        <f t="shared" si="353"/>
        <v>15.75</v>
      </c>
      <c r="L218" s="454">
        <f t="shared" si="354"/>
        <v>63.75</v>
      </c>
      <c r="M218" s="454"/>
      <c r="N218" s="223">
        <f t="shared" si="355"/>
        <v>0.24705882352941178</v>
      </c>
      <c r="O218" s="178">
        <f t="shared" si="356"/>
        <v>2.0011764705882356</v>
      </c>
      <c r="P218" s="178">
        <f t="shared" si="357"/>
        <v>4.0023529411764711</v>
      </c>
      <c r="Q218" s="223">
        <f t="shared" si="358"/>
        <v>0.40023529411764713</v>
      </c>
      <c r="R218" s="223">
        <f t="shared" si="359"/>
        <v>0.40023529411764713</v>
      </c>
      <c r="S218" s="223">
        <f t="shared" si="360"/>
        <v>5</v>
      </c>
      <c r="T218" s="223">
        <f t="shared" si="361"/>
        <v>1.8738977072310405E-2</v>
      </c>
      <c r="U218" s="223">
        <f t="shared" si="362"/>
        <v>1.7177395649617871E-2</v>
      </c>
      <c r="V218" s="223">
        <f t="shared" si="363"/>
        <v>5.2350158170263991E-2</v>
      </c>
      <c r="W218" s="203">
        <f t="shared" si="364"/>
        <v>350</v>
      </c>
      <c r="X218" s="454">
        <f t="shared" si="365"/>
        <v>350</v>
      </c>
      <c r="Z218" s="223">
        <f t="shared" si="366"/>
        <v>0.77005347593582896</v>
      </c>
      <c r="AA218" s="179">
        <f t="shared" si="367"/>
        <v>2.151260504201681</v>
      </c>
      <c r="AB218" s="179">
        <f t="shared" si="368"/>
        <v>0.43485372758729168</v>
      </c>
      <c r="AC218" s="179"/>
      <c r="AD218" s="179">
        <f t="shared" si="369"/>
        <v>0.419047619047619</v>
      </c>
      <c r="AE218" s="563">
        <f t="shared" si="370"/>
        <v>106.06060606060608</v>
      </c>
      <c r="AF218" s="546">
        <f t="shared" si="371"/>
        <v>3.2999999999999995E-2</v>
      </c>
      <c r="AH218" s="179">
        <f t="shared" si="372"/>
        <v>0.11396057645963795</v>
      </c>
      <c r="AI218" s="179">
        <f t="shared" si="373"/>
        <v>0.15</v>
      </c>
      <c r="AJ218" s="179">
        <f t="shared" si="374"/>
        <v>1.0606060606060606</v>
      </c>
      <c r="AL218" s="563">
        <f t="shared" si="375"/>
        <v>10</v>
      </c>
      <c r="AM218" s="472">
        <f t="shared" si="376"/>
        <v>106.06060606060608</v>
      </c>
      <c r="AO218">
        <f t="shared" si="377"/>
        <v>10</v>
      </c>
      <c r="AP218">
        <f t="shared" si="378"/>
        <v>106.06060606060608</v>
      </c>
      <c r="AR218" s="6">
        <f t="shared" si="342"/>
        <v>9.428571428571427</v>
      </c>
      <c r="AS218" s="6">
        <f t="shared" si="333"/>
        <v>0.13749999999999998</v>
      </c>
      <c r="AT218" s="6">
        <f t="shared" si="334"/>
        <v>9.2910714285714278</v>
      </c>
      <c r="AU218" s="179">
        <f t="shared" si="335"/>
        <v>1.4583333333333334E-2</v>
      </c>
      <c r="AW218" s="6">
        <f t="shared" si="379"/>
        <v>6.7055121527777786</v>
      </c>
      <c r="AX218" s="472">
        <f t="shared" si="380"/>
        <v>3.2853409426713949E-2</v>
      </c>
      <c r="AY218" s="6">
        <f t="shared" si="381"/>
        <v>6.7055121527777786</v>
      </c>
      <c r="AZ218" s="472">
        <f t="shared" si="382"/>
        <v>3.609592013888889E-2</v>
      </c>
      <c r="BB218" s="6">
        <f t="shared" si="383"/>
        <v>0</v>
      </c>
      <c r="CG218" s="581">
        <f t="shared" si="384"/>
        <v>-50</v>
      </c>
    </row>
    <row r="219" spans="5:86" x14ac:dyDescent="0.2">
      <c r="E219" s="176">
        <v>3</v>
      </c>
      <c r="F219" s="223">
        <f t="shared" si="385"/>
        <v>1.4999999999999999E-2</v>
      </c>
      <c r="G219" s="223">
        <f t="shared" si="349"/>
        <v>1.4999999999999999E-2</v>
      </c>
      <c r="H219" s="223">
        <f t="shared" si="350"/>
        <v>7.4999999999999997E-2</v>
      </c>
      <c r="I219" s="223">
        <f t="shared" si="351"/>
        <v>7.4999999999999997E-2</v>
      </c>
      <c r="J219" s="559">
        <f t="shared" si="352"/>
        <v>48</v>
      </c>
      <c r="K219" s="454">
        <f t="shared" si="353"/>
        <v>15.75</v>
      </c>
      <c r="L219" s="454">
        <f t="shared" si="354"/>
        <v>63.75</v>
      </c>
      <c r="M219" s="454"/>
      <c r="N219" s="223">
        <f t="shared" si="355"/>
        <v>0.24705882352941178</v>
      </c>
      <c r="O219" s="178">
        <f t="shared" si="356"/>
        <v>2.0011764705882356</v>
      </c>
      <c r="P219" s="178">
        <f t="shared" si="357"/>
        <v>4.0023529411764711</v>
      </c>
      <c r="Q219" s="223">
        <f t="shared" si="358"/>
        <v>0.40023529411764713</v>
      </c>
      <c r="R219" s="223">
        <f t="shared" si="359"/>
        <v>0.40023529411764713</v>
      </c>
      <c r="S219" s="223">
        <f t="shared" si="360"/>
        <v>5</v>
      </c>
      <c r="T219" s="223">
        <f t="shared" si="361"/>
        <v>2.8108465608465607E-2</v>
      </c>
      <c r="U219" s="223">
        <f t="shared" si="362"/>
        <v>2.5766093474426807E-2</v>
      </c>
      <c r="V219" s="223">
        <f t="shared" si="363"/>
        <v>7.852523725539598E-2</v>
      </c>
      <c r="W219" s="203">
        <f t="shared" si="364"/>
        <v>350</v>
      </c>
      <c r="X219" s="454">
        <f t="shared" si="365"/>
        <v>350</v>
      </c>
      <c r="Z219" s="223">
        <f t="shared" si="366"/>
        <v>0.77005347593582896</v>
      </c>
      <c r="AA219" s="179">
        <f t="shared" si="367"/>
        <v>2.151260504201681</v>
      </c>
      <c r="AB219" s="179">
        <f t="shared" si="368"/>
        <v>0.43485372758729168</v>
      </c>
      <c r="AC219" s="179"/>
      <c r="AD219" s="179">
        <f t="shared" si="369"/>
        <v>0.419047619047619</v>
      </c>
      <c r="AE219" s="563">
        <f t="shared" si="370"/>
        <v>159.09090909090912</v>
      </c>
      <c r="AF219" s="546">
        <f t="shared" si="371"/>
        <v>3.2999999999999995E-2</v>
      </c>
      <c r="AH219" s="179">
        <f t="shared" si="372"/>
        <v>0.13957263155977062</v>
      </c>
      <c r="AI219" s="179">
        <f t="shared" si="373"/>
        <v>0.15</v>
      </c>
      <c r="AJ219" s="179">
        <f t="shared" si="374"/>
        <v>1.0909090909090908</v>
      </c>
      <c r="AL219" s="563">
        <f t="shared" si="375"/>
        <v>15</v>
      </c>
      <c r="AM219" s="472">
        <f t="shared" si="376"/>
        <v>159.09090909090912</v>
      </c>
      <c r="AO219">
        <f t="shared" si="377"/>
        <v>15</v>
      </c>
      <c r="AP219">
        <f t="shared" si="378"/>
        <v>159.09090909090912</v>
      </c>
      <c r="AR219" s="6">
        <f t="shared" si="342"/>
        <v>6.2857142857142838</v>
      </c>
      <c r="AS219" s="6">
        <f t="shared" si="333"/>
        <v>0.13749999999999998</v>
      </c>
      <c r="AT219" s="6">
        <f t="shared" si="334"/>
        <v>6.1482142857142836</v>
      </c>
      <c r="AU219" s="179">
        <f t="shared" si="335"/>
        <v>2.1875000000000006E-2</v>
      </c>
      <c r="AW219" s="6">
        <f t="shared" si="379"/>
        <v>6.7055121527777786</v>
      </c>
      <c r="AX219" s="472">
        <f t="shared" si="380"/>
        <v>5.1420171210106377E-2</v>
      </c>
      <c r="AY219" s="6">
        <f t="shared" si="381"/>
        <v>6.7055121527777786</v>
      </c>
      <c r="AZ219" s="472">
        <f t="shared" si="382"/>
        <v>5.87158203125E-2</v>
      </c>
      <c r="BB219" s="6">
        <f t="shared" si="383"/>
        <v>0</v>
      </c>
      <c r="CG219" s="581">
        <f t="shared" si="384"/>
        <v>-50</v>
      </c>
    </row>
    <row r="220" spans="5:86" x14ac:dyDescent="0.2">
      <c r="E220" s="176">
        <v>4</v>
      </c>
      <c r="F220" s="223">
        <f t="shared" si="385"/>
        <v>0.02</v>
      </c>
      <c r="G220" s="223">
        <f t="shared" si="349"/>
        <v>0.02</v>
      </c>
      <c r="H220" s="223">
        <f t="shared" si="350"/>
        <v>0.1</v>
      </c>
      <c r="I220" s="223">
        <f t="shared" si="351"/>
        <v>0.1</v>
      </c>
      <c r="J220" s="559">
        <f t="shared" si="352"/>
        <v>48</v>
      </c>
      <c r="K220" s="454">
        <f t="shared" si="353"/>
        <v>15.75</v>
      </c>
      <c r="L220" s="454">
        <f t="shared" si="354"/>
        <v>63.75</v>
      </c>
      <c r="M220" s="454"/>
      <c r="N220" s="223">
        <f t="shared" si="355"/>
        <v>0.24705882352941178</v>
      </c>
      <c r="O220" s="178">
        <f t="shared" si="356"/>
        <v>2.0011764705882356</v>
      </c>
      <c r="P220" s="178">
        <f t="shared" si="357"/>
        <v>4.0023529411764711</v>
      </c>
      <c r="Q220" s="223">
        <f t="shared" si="358"/>
        <v>0.40023529411764713</v>
      </c>
      <c r="R220" s="223">
        <f t="shared" si="359"/>
        <v>0.40023529411764713</v>
      </c>
      <c r="S220" s="223">
        <f t="shared" si="360"/>
        <v>5</v>
      </c>
      <c r="T220" s="223">
        <f t="shared" si="361"/>
        <v>3.7477954144620809E-2</v>
      </c>
      <c r="U220" s="223">
        <f t="shared" si="362"/>
        <v>3.4354791299235743E-2</v>
      </c>
      <c r="V220" s="223">
        <f t="shared" si="363"/>
        <v>0.10470031634052798</v>
      </c>
      <c r="W220" s="203">
        <f t="shared" si="364"/>
        <v>350</v>
      </c>
      <c r="X220" s="454">
        <f t="shared" si="365"/>
        <v>350</v>
      </c>
      <c r="Z220" s="223">
        <f t="shared" si="366"/>
        <v>0.77005347593582896</v>
      </c>
      <c r="AA220" s="179">
        <f t="shared" si="367"/>
        <v>2.151260504201681</v>
      </c>
      <c r="AB220" s="179">
        <f t="shared" si="368"/>
        <v>0.43485372758729168</v>
      </c>
      <c r="AC220" s="179"/>
      <c r="AD220" s="179">
        <f t="shared" si="369"/>
        <v>0.419047619047619</v>
      </c>
      <c r="AE220" s="563">
        <f t="shared" si="370"/>
        <v>212.12121212121215</v>
      </c>
      <c r="AF220" s="546">
        <f t="shared" si="371"/>
        <v>3.2999999999999995E-2</v>
      </c>
      <c r="AH220" s="179">
        <f t="shared" si="372"/>
        <v>0.16116459280507606</v>
      </c>
      <c r="AI220" s="179">
        <f t="shared" si="373"/>
        <v>0.16116459280507606</v>
      </c>
      <c r="AJ220" s="179">
        <f t="shared" si="374"/>
        <v>1.1212121212121213</v>
      </c>
      <c r="AL220" s="563">
        <f t="shared" si="375"/>
        <v>20</v>
      </c>
      <c r="AM220" s="472">
        <f t="shared" si="376"/>
        <v>212.12121212121215</v>
      </c>
      <c r="AO220">
        <f t="shared" si="377"/>
        <v>20</v>
      </c>
      <c r="AP220">
        <f t="shared" si="378"/>
        <v>212.12121212121215</v>
      </c>
      <c r="AR220" s="6">
        <f t="shared" si="342"/>
        <v>4.7142857142857135</v>
      </c>
      <c r="AS220" s="6">
        <f t="shared" si="333"/>
        <v>0.1477342100713197</v>
      </c>
      <c r="AT220" s="6">
        <f t="shared" si="334"/>
        <v>4.5665515042143934</v>
      </c>
      <c r="AU220" s="179">
        <f t="shared" si="335"/>
        <v>3.1337559712098124E-2</v>
      </c>
      <c r="AW220" s="6">
        <f t="shared" si="379"/>
        <v>6.7055121527777786</v>
      </c>
      <c r="AX220" s="472">
        <f t="shared" si="380"/>
        <v>7.1413637706855784E-2</v>
      </c>
      <c r="AY220" s="6">
        <f t="shared" si="381"/>
        <v>6.7055121527777786</v>
      </c>
      <c r="AZ220" s="472">
        <f t="shared" si="382"/>
        <v>8.4383680555555549E-2</v>
      </c>
      <c r="BB220" s="6">
        <f t="shared" si="383"/>
        <v>0</v>
      </c>
      <c r="CG220" s="581">
        <f t="shared" si="384"/>
        <v>-50</v>
      </c>
    </row>
    <row r="221" spans="5:86" x14ac:dyDescent="0.2">
      <c r="E221" s="176">
        <v>5</v>
      </c>
      <c r="F221" s="223">
        <f t="shared" si="385"/>
        <v>2.5000000000000001E-2</v>
      </c>
      <c r="G221" s="223">
        <f t="shared" si="349"/>
        <v>2.5000000000000001E-2</v>
      </c>
      <c r="H221" s="223">
        <f t="shared" si="350"/>
        <v>0.125</v>
      </c>
      <c r="I221" s="223">
        <f t="shared" si="351"/>
        <v>0.125</v>
      </c>
      <c r="J221" s="559">
        <f t="shared" si="352"/>
        <v>48</v>
      </c>
      <c r="K221" s="454">
        <f t="shared" si="353"/>
        <v>15.75</v>
      </c>
      <c r="L221" s="454">
        <f t="shared" si="354"/>
        <v>63.75</v>
      </c>
      <c r="M221" s="454"/>
      <c r="N221" s="223">
        <f t="shared" si="355"/>
        <v>0.24705882352941178</v>
      </c>
      <c r="O221" s="178">
        <f t="shared" si="356"/>
        <v>2.0011764705882356</v>
      </c>
      <c r="P221" s="178">
        <f t="shared" si="357"/>
        <v>4.0023529411764711</v>
      </c>
      <c r="Q221" s="223">
        <f t="shared" si="358"/>
        <v>0.40023529411764713</v>
      </c>
      <c r="R221" s="223">
        <f t="shared" si="359"/>
        <v>0.40023529411764713</v>
      </c>
      <c r="S221" s="223">
        <f t="shared" si="360"/>
        <v>5</v>
      </c>
      <c r="T221" s="223">
        <f t="shared" si="361"/>
        <v>4.6847442680776008E-2</v>
      </c>
      <c r="U221" s="223">
        <f t="shared" si="362"/>
        <v>4.2943489124044679E-2</v>
      </c>
      <c r="V221" s="223">
        <f t="shared" si="363"/>
        <v>0.13087539542565996</v>
      </c>
      <c r="W221" s="203">
        <f t="shared" si="364"/>
        <v>350</v>
      </c>
      <c r="X221" s="454">
        <f t="shared" si="365"/>
        <v>350</v>
      </c>
      <c r="Z221" s="223">
        <f t="shared" si="366"/>
        <v>0.77005347593582896</v>
      </c>
      <c r="AA221" s="179">
        <f t="shared" si="367"/>
        <v>2.151260504201681</v>
      </c>
      <c r="AB221" s="179">
        <f t="shared" si="368"/>
        <v>0.43485372758729168</v>
      </c>
      <c r="AC221" s="179"/>
      <c r="AD221" s="179">
        <f t="shared" si="369"/>
        <v>0.419047619047619</v>
      </c>
      <c r="AE221" s="563">
        <f t="shared" si="370"/>
        <v>265.15151515151518</v>
      </c>
      <c r="AF221" s="546">
        <f t="shared" si="371"/>
        <v>3.2999999999999995E-2</v>
      </c>
      <c r="AH221" s="179">
        <f t="shared" si="372"/>
        <v>0.18018749253911179</v>
      </c>
      <c r="AI221" s="179">
        <f t="shared" si="373"/>
        <v>0.18018749253911179</v>
      </c>
      <c r="AJ221" s="179">
        <f t="shared" si="374"/>
        <v>1.1515151515151516</v>
      </c>
      <c r="AL221" s="563">
        <f t="shared" si="375"/>
        <v>25</v>
      </c>
      <c r="AM221" s="472">
        <f t="shared" si="376"/>
        <v>265.15151515151518</v>
      </c>
      <c r="AO221">
        <f t="shared" si="377"/>
        <v>25</v>
      </c>
      <c r="AP221">
        <f t="shared" si="378"/>
        <v>265.15151515151518</v>
      </c>
      <c r="AR221" s="6">
        <f t="shared" si="342"/>
        <v>3.7714285714285709</v>
      </c>
      <c r="AS221" s="6">
        <f t="shared" si="333"/>
        <v>0.16517186816085247</v>
      </c>
      <c r="AT221" s="6">
        <f t="shared" si="334"/>
        <v>3.6062567032677184</v>
      </c>
      <c r="AU221" s="179">
        <f t="shared" si="335"/>
        <v>4.3795571103256339E-2</v>
      </c>
      <c r="AW221" s="6">
        <f t="shared" si="379"/>
        <v>6.7055121527777786</v>
      </c>
      <c r="AX221" s="472">
        <f t="shared" si="380"/>
        <v>9.2833808916962191E-2</v>
      </c>
      <c r="AY221" s="6">
        <f t="shared" si="381"/>
        <v>6.7055121527777786</v>
      </c>
      <c r="AZ221" s="472">
        <f t="shared" si="382"/>
        <v>0.11309950086805558</v>
      </c>
      <c r="BB221" s="6">
        <f t="shared" si="383"/>
        <v>0</v>
      </c>
      <c r="CG221" s="581">
        <f t="shared" si="384"/>
        <v>-50</v>
      </c>
    </row>
    <row r="222" spans="5:86" x14ac:dyDescent="0.2">
      <c r="E222" s="176">
        <v>6</v>
      </c>
      <c r="F222" s="223">
        <f t="shared" si="385"/>
        <v>0.03</v>
      </c>
      <c r="G222" s="223">
        <f t="shared" si="349"/>
        <v>0.03</v>
      </c>
      <c r="H222" s="223">
        <f t="shared" si="350"/>
        <v>0.15</v>
      </c>
      <c r="I222" s="223">
        <f t="shared" si="351"/>
        <v>0.15</v>
      </c>
      <c r="J222" s="559">
        <f t="shared" si="352"/>
        <v>48</v>
      </c>
      <c r="K222" s="454">
        <f t="shared" si="353"/>
        <v>15.75</v>
      </c>
      <c r="L222" s="454">
        <f t="shared" si="354"/>
        <v>63.75</v>
      </c>
      <c r="M222" s="454"/>
      <c r="N222" s="223">
        <f t="shared" si="355"/>
        <v>0.24705882352941178</v>
      </c>
      <c r="O222" s="178">
        <f t="shared" si="356"/>
        <v>2.0011764705882356</v>
      </c>
      <c r="P222" s="178">
        <f t="shared" si="357"/>
        <v>4.0023529411764711</v>
      </c>
      <c r="Q222" s="223">
        <f t="shared" si="358"/>
        <v>0.40023529411764713</v>
      </c>
      <c r="R222" s="223">
        <f t="shared" si="359"/>
        <v>0.40023529411764713</v>
      </c>
      <c r="S222" s="223">
        <f t="shared" si="360"/>
        <v>5</v>
      </c>
      <c r="T222" s="223">
        <f t="shared" si="361"/>
        <v>5.6216931216931214E-2</v>
      </c>
      <c r="U222" s="223">
        <f t="shared" si="362"/>
        <v>5.1532186948853614E-2</v>
      </c>
      <c r="V222" s="223">
        <f t="shared" si="363"/>
        <v>0.15705047451079196</v>
      </c>
      <c r="W222" s="203">
        <f t="shared" si="364"/>
        <v>350</v>
      </c>
      <c r="X222" s="454">
        <f t="shared" si="365"/>
        <v>350</v>
      </c>
      <c r="Z222" s="223">
        <f t="shared" si="366"/>
        <v>0.77005347593582896</v>
      </c>
      <c r="AA222" s="179">
        <f t="shared" si="367"/>
        <v>2.151260504201681</v>
      </c>
      <c r="AB222" s="179">
        <f t="shared" si="368"/>
        <v>0.43485372758729168</v>
      </c>
      <c r="AC222" s="179"/>
      <c r="AD222" s="179">
        <f t="shared" si="369"/>
        <v>0.419047619047619</v>
      </c>
      <c r="AE222" s="563">
        <f t="shared" si="370"/>
        <v>318.18181818181824</v>
      </c>
      <c r="AF222" s="546">
        <f t="shared" si="371"/>
        <v>3.2999999999999995E-2</v>
      </c>
      <c r="AH222" s="179">
        <f t="shared" si="372"/>
        <v>0.19738550848793068</v>
      </c>
      <c r="AI222" s="179">
        <f t="shared" si="373"/>
        <v>0.19738550848793068</v>
      </c>
      <c r="AJ222" s="179">
        <f t="shared" si="374"/>
        <v>1.1818181818181819</v>
      </c>
      <c r="AL222" s="563">
        <f t="shared" si="375"/>
        <v>30</v>
      </c>
      <c r="AM222" s="472">
        <f t="shared" si="376"/>
        <v>318.18181818181824</v>
      </c>
      <c r="AO222">
        <f t="shared" si="377"/>
        <v>30</v>
      </c>
      <c r="AP222">
        <f t="shared" si="378"/>
        <v>318.18181818181824</v>
      </c>
      <c r="AR222" s="6">
        <f t="shared" si="342"/>
        <v>3.1428571428571419</v>
      </c>
      <c r="AS222" s="6">
        <f t="shared" si="333"/>
        <v>0.18093671611393644</v>
      </c>
      <c r="AT222" s="6">
        <f t="shared" si="334"/>
        <v>2.9619204267432053</v>
      </c>
      <c r="AU222" s="179">
        <f t="shared" si="335"/>
        <v>5.7570773308979792E-2</v>
      </c>
      <c r="AW222" s="6">
        <f t="shared" si="379"/>
        <v>6.7055121527777786</v>
      </c>
      <c r="AX222" s="472">
        <f t="shared" si="380"/>
        <v>0.11568068484042553</v>
      </c>
      <c r="AY222" s="6">
        <f t="shared" si="381"/>
        <v>6.7055121527777786</v>
      </c>
      <c r="AZ222" s="472">
        <f t="shared" si="382"/>
        <v>0.14486328125</v>
      </c>
      <c r="BB222" s="6">
        <f t="shared" si="383"/>
        <v>0</v>
      </c>
      <c r="CG222" s="581">
        <f t="shared" si="384"/>
        <v>-50</v>
      </c>
    </row>
    <row r="223" spans="5:86" x14ac:dyDescent="0.2">
      <c r="E223" s="176">
        <v>7</v>
      </c>
      <c r="F223" s="223">
        <f t="shared" si="385"/>
        <v>3.5000000000000003E-2</v>
      </c>
      <c r="G223" s="223">
        <f t="shared" si="349"/>
        <v>3.5000000000000003E-2</v>
      </c>
      <c r="H223" s="223">
        <f t="shared" si="350"/>
        <v>0.17500000000000002</v>
      </c>
      <c r="I223" s="223">
        <f t="shared" si="351"/>
        <v>0.17500000000000002</v>
      </c>
      <c r="J223" s="559">
        <f t="shared" si="352"/>
        <v>48</v>
      </c>
      <c r="K223" s="454">
        <f t="shared" si="353"/>
        <v>15.75</v>
      </c>
      <c r="L223" s="454">
        <f t="shared" si="354"/>
        <v>63.75</v>
      </c>
      <c r="M223" s="454"/>
      <c r="N223" s="223">
        <f t="shared" si="355"/>
        <v>0.24705882352941178</v>
      </c>
      <c r="O223" s="178">
        <f t="shared" si="356"/>
        <v>2.0011764705882356</v>
      </c>
      <c r="P223" s="178">
        <f t="shared" si="357"/>
        <v>4.0023529411764711</v>
      </c>
      <c r="Q223" s="223">
        <f t="shared" si="358"/>
        <v>0.40023529411764713</v>
      </c>
      <c r="R223" s="223">
        <f t="shared" si="359"/>
        <v>0.40023529411764713</v>
      </c>
      <c r="S223" s="223">
        <f t="shared" si="360"/>
        <v>5</v>
      </c>
      <c r="T223" s="223">
        <f t="shared" si="361"/>
        <v>6.558641975308642E-2</v>
      </c>
      <c r="U223" s="223">
        <f t="shared" si="362"/>
        <v>6.0120884773662557E-2</v>
      </c>
      <c r="V223" s="223">
        <f t="shared" si="363"/>
        <v>0.18322555359592396</v>
      </c>
      <c r="W223" s="203">
        <f t="shared" si="364"/>
        <v>350</v>
      </c>
      <c r="X223" s="454">
        <f t="shared" si="365"/>
        <v>350</v>
      </c>
      <c r="Z223" s="223">
        <f t="shared" si="366"/>
        <v>0.77005347593582896</v>
      </c>
      <c r="AA223" s="179">
        <f t="shared" si="367"/>
        <v>2.151260504201681</v>
      </c>
      <c r="AB223" s="179">
        <f t="shared" si="368"/>
        <v>0.43485372758729168</v>
      </c>
      <c r="AC223" s="179"/>
      <c r="AD223" s="179">
        <f t="shared" si="369"/>
        <v>0.419047619047619</v>
      </c>
      <c r="AE223" s="563">
        <f t="shared" si="370"/>
        <v>371.21212121212136</v>
      </c>
      <c r="AF223" s="546">
        <f t="shared" si="371"/>
        <v>3.2999999999999995E-2</v>
      </c>
      <c r="AH223" s="179">
        <f t="shared" si="372"/>
        <v>0.21320071635561044</v>
      </c>
      <c r="AI223" s="179">
        <f t="shared" si="373"/>
        <v>0.21320071635561044</v>
      </c>
      <c r="AJ223" s="179">
        <f t="shared" si="374"/>
        <v>1.2468153454486002</v>
      </c>
      <c r="AL223" s="563">
        <f t="shared" si="375"/>
        <v>35</v>
      </c>
      <c r="AM223" s="472">
        <f t="shared" si="376"/>
        <v>350</v>
      </c>
      <c r="AO223">
        <f t="shared" si="377"/>
        <v>35</v>
      </c>
      <c r="AP223">
        <f t="shared" si="378"/>
        <v>350</v>
      </c>
      <c r="AR223" s="6">
        <f t="shared" si="342"/>
        <v>2.8571428571428572</v>
      </c>
      <c r="AS223" s="6">
        <f t="shared" si="333"/>
        <v>0.19543398999264291</v>
      </c>
      <c r="AT223" s="6">
        <f t="shared" si="334"/>
        <v>2.6617088671502143</v>
      </c>
      <c r="AU223" s="179">
        <f t="shared" si="335"/>
        <v>6.8401896497425022E-2</v>
      </c>
      <c r="AW223" s="6">
        <f t="shared" si="379"/>
        <v>6.7055121527777786</v>
      </c>
      <c r="AX223" s="472">
        <f t="shared" si="380"/>
        <v>0.13995426547724588</v>
      </c>
      <c r="AY223" s="6">
        <f t="shared" si="381"/>
        <v>6.7055121527777786</v>
      </c>
      <c r="AZ223" s="472">
        <f t="shared" si="382"/>
        <v>0.17967502170138891</v>
      </c>
      <c r="BB223" s="6">
        <f t="shared" si="383"/>
        <v>0</v>
      </c>
      <c r="CG223" s="581">
        <f t="shared" si="384"/>
        <v>-50</v>
      </c>
    </row>
    <row r="224" spans="5:86" x14ac:dyDescent="0.2">
      <c r="E224" s="176">
        <v>8</v>
      </c>
      <c r="F224" s="223">
        <f t="shared" si="385"/>
        <v>0.04</v>
      </c>
      <c r="G224" s="223">
        <f t="shared" si="349"/>
        <v>0.04</v>
      </c>
      <c r="H224" s="223">
        <f t="shared" si="350"/>
        <v>0.2</v>
      </c>
      <c r="I224" s="223">
        <f t="shared" si="351"/>
        <v>0.2</v>
      </c>
      <c r="J224" s="559">
        <f t="shared" si="352"/>
        <v>48</v>
      </c>
      <c r="K224" s="454">
        <f t="shared" si="353"/>
        <v>15.75</v>
      </c>
      <c r="L224" s="454">
        <f t="shared" si="354"/>
        <v>63.75</v>
      </c>
      <c r="M224" s="454"/>
      <c r="N224" s="223">
        <f t="shared" si="355"/>
        <v>0.24705882352941178</v>
      </c>
      <c r="O224" s="178">
        <f t="shared" si="356"/>
        <v>2.0011764705882356</v>
      </c>
      <c r="P224" s="178">
        <f t="shared" si="357"/>
        <v>4.0023529411764711</v>
      </c>
      <c r="Q224" s="223">
        <f t="shared" si="358"/>
        <v>0.40023529411764713</v>
      </c>
      <c r="R224" s="223">
        <f t="shared" si="359"/>
        <v>0.40023529411764713</v>
      </c>
      <c r="S224" s="223">
        <f t="shared" si="360"/>
        <v>5</v>
      </c>
      <c r="T224" s="223">
        <f t="shared" si="361"/>
        <v>7.4955908289241618E-2</v>
      </c>
      <c r="U224" s="223">
        <f t="shared" si="362"/>
        <v>6.8709582598471486E-2</v>
      </c>
      <c r="V224" s="223">
        <f t="shared" si="363"/>
        <v>0.20940063268105596</v>
      </c>
      <c r="W224" s="203">
        <f t="shared" si="364"/>
        <v>350</v>
      </c>
      <c r="X224" s="454">
        <f t="shared" si="365"/>
        <v>350</v>
      </c>
      <c r="Z224" s="223">
        <f t="shared" si="366"/>
        <v>0.77005347593582896</v>
      </c>
      <c r="AA224" s="179">
        <f t="shared" si="367"/>
        <v>2.151260504201681</v>
      </c>
      <c r="AB224" s="179">
        <f t="shared" si="368"/>
        <v>0.43485372758729168</v>
      </c>
      <c r="AC224" s="179"/>
      <c r="AD224" s="179">
        <f t="shared" si="369"/>
        <v>0.419047619047619</v>
      </c>
      <c r="AE224" s="563">
        <f t="shared" si="370"/>
        <v>424.24242424242431</v>
      </c>
      <c r="AF224" s="546">
        <f t="shared" si="371"/>
        <v>3.2999999999999995E-2</v>
      </c>
      <c r="AH224" s="179">
        <f t="shared" si="372"/>
        <v>0.22792115291927589</v>
      </c>
      <c r="AI224" s="179">
        <f t="shared" si="373"/>
        <v>0.22792115291927589</v>
      </c>
      <c r="AJ224" s="179">
        <f t="shared" si="374"/>
        <v>1.2577193725327969</v>
      </c>
      <c r="AL224" s="563">
        <f t="shared" si="375"/>
        <v>40</v>
      </c>
      <c r="AM224" s="472">
        <f t="shared" si="376"/>
        <v>350</v>
      </c>
      <c r="AO224">
        <f t="shared" si="377"/>
        <v>40</v>
      </c>
      <c r="AP224">
        <f t="shared" si="378"/>
        <v>350</v>
      </c>
      <c r="AR224" s="6">
        <f t="shared" si="342"/>
        <v>2.8571428571428572</v>
      </c>
      <c r="AS224" s="6">
        <f t="shared" si="333"/>
        <v>0.20892772350933625</v>
      </c>
      <c r="AT224" s="6">
        <f t="shared" si="334"/>
        <v>2.6482151336335211</v>
      </c>
      <c r="AU224" s="179">
        <f t="shared" si="335"/>
        <v>7.3124703228267682E-2</v>
      </c>
      <c r="AW224" s="6">
        <f t="shared" si="379"/>
        <v>6.7055121527777786</v>
      </c>
      <c r="AX224" s="472">
        <f t="shared" si="380"/>
        <v>0.16565455082742314</v>
      </c>
      <c r="AY224" s="6">
        <f t="shared" si="381"/>
        <v>6.7055121527777786</v>
      </c>
      <c r="AZ224" s="472">
        <f t="shared" si="382"/>
        <v>0.2175347222222222</v>
      </c>
      <c r="BB224" s="6">
        <f t="shared" si="383"/>
        <v>0</v>
      </c>
      <c r="CG224" s="581">
        <f t="shared" si="384"/>
        <v>-50</v>
      </c>
    </row>
    <row r="225" spans="5:85" x14ac:dyDescent="0.2">
      <c r="E225" s="176">
        <v>9</v>
      </c>
      <c r="F225" s="223">
        <f t="shared" si="385"/>
        <v>4.4999999999999998E-2</v>
      </c>
      <c r="G225" s="223">
        <f t="shared" si="349"/>
        <v>4.4999999999999998E-2</v>
      </c>
      <c r="H225" s="223">
        <f t="shared" si="350"/>
        <v>0.22499999999999998</v>
      </c>
      <c r="I225" s="223">
        <f t="shared" si="351"/>
        <v>0.22499999999999998</v>
      </c>
      <c r="J225" s="559">
        <f t="shared" si="352"/>
        <v>48</v>
      </c>
      <c r="K225" s="454">
        <f t="shared" si="353"/>
        <v>15.75</v>
      </c>
      <c r="L225" s="454">
        <f t="shared" si="354"/>
        <v>63.75</v>
      </c>
      <c r="M225" s="454"/>
      <c r="N225" s="223">
        <f t="shared" si="355"/>
        <v>0.24705882352941178</v>
      </c>
      <c r="O225" s="178">
        <f t="shared" si="356"/>
        <v>2.0011764705882356</v>
      </c>
      <c r="P225" s="178">
        <f t="shared" si="357"/>
        <v>4.0023529411764711</v>
      </c>
      <c r="Q225" s="223">
        <f t="shared" si="358"/>
        <v>0.40023529411764713</v>
      </c>
      <c r="R225" s="223">
        <f t="shared" si="359"/>
        <v>0.40023529411764713</v>
      </c>
      <c r="S225" s="223">
        <f t="shared" si="360"/>
        <v>5</v>
      </c>
      <c r="T225" s="223">
        <f t="shared" si="361"/>
        <v>8.4325396825396817E-2</v>
      </c>
      <c r="U225" s="223">
        <f t="shared" si="362"/>
        <v>7.7298280423280422E-2</v>
      </c>
      <c r="V225" s="223">
        <f t="shared" si="363"/>
        <v>0.23557571176618794</v>
      </c>
      <c r="W225" s="203">
        <f t="shared" si="364"/>
        <v>350</v>
      </c>
      <c r="X225" s="454">
        <f t="shared" si="365"/>
        <v>350</v>
      </c>
      <c r="Z225" s="223">
        <f t="shared" si="366"/>
        <v>0.77005347593582896</v>
      </c>
      <c r="AA225" s="179">
        <f t="shared" si="367"/>
        <v>2.151260504201681</v>
      </c>
      <c r="AB225" s="179">
        <f t="shared" si="368"/>
        <v>0.43485372758729168</v>
      </c>
      <c r="AC225" s="179"/>
      <c r="AD225" s="179">
        <f t="shared" si="369"/>
        <v>0.419047619047619</v>
      </c>
      <c r="AE225" s="563">
        <f t="shared" si="370"/>
        <v>477.27272727272737</v>
      </c>
      <c r="AF225" s="546">
        <f t="shared" si="371"/>
        <v>3.2999999999999995E-2</v>
      </c>
      <c r="AH225" s="179">
        <f t="shared" si="372"/>
        <v>0.24174688920761409</v>
      </c>
      <c r="AI225" s="179">
        <f t="shared" si="373"/>
        <v>0.24174688920761409</v>
      </c>
      <c r="AJ225" s="179">
        <f t="shared" si="374"/>
        <v>1.2679606586723067</v>
      </c>
      <c r="AL225" s="563">
        <f t="shared" si="375"/>
        <v>45</v>
      </c>
      <c r="AM225" s="472">
        <f t="shared" si="376"/>
        <v>350</v>
      </c>
      <c r="AO225">
        <f t="shared" si="377"/>
        <v>45</v>
      </c>
      <c r="AP225">
        <f t="shared" si="378"/>
        <v>350</v>
      </c>
      <c r="AR225" s="6">
        <f t="shared" si="342"/>
        <v>2.8571428571428572</v>
      </c>
      <c r="AS225" s="6">
        <f t="shared" si="333"/>
        <v>0.22160131510697959</v>
      </c>
      <c r="AT225" s="6">
        <f t="shared" si="334"/>
        <v>2.6355415420358774</v>
      </c>
      <c r="AU225" s="179">
        <f t="shared" si="335"/>
        <v>7.7560460287442859E-2</v>
      </c>
      <c r="AW225" s="6">
        <f t="shared" si="379"/>
        <v>6.7055121527777786</v>
      </c>
      <c r="AX225" s="472">
        <f t="shared" si="380"/>
        <v>0.19278154089095745</v>
      </c>
      <c r="AY225" s="6">
        <f t="shared" si="381"/>
        <v>6.7055121527777786</v>
      </c>
      <c r="AZ225" s="472">
        <f t="shared" si="382"/>
        <v>0.25844238281249998</v>
      </c>
      <c r="BB225" s="6">
        <f t="shared" si="383"/>
        <v>0</v>
      </c>
      <c r="CG225" s="581">
        <f t="shared" si="384"/>
        <v>-50</v>
      </c>
    </row>
    <row r="226" spans="5:85" x14ac:dyDescent="0.2">
      <c r="E226" s="176">
        <v>10</v>
      </c>
      <c r="F226" s="223">
        <f t="shared" si="385"/>
        <v>0.05</v>
      </c>
      <c r="G226" s="223">
        <f t="shared" si="349"/>
        <v>0.05</v>
      </c>
      <c r="H226" s="223">
        <f t="shared" si="350"/>
        <v>0.25</v>
      </c>
      <c r="I226" s="223">
        <f t="shared" si="351"/>
        <v>0.25</v>
      </c>
      <c r="J226" s="559">
        <f t="shared" si="352"/>
        <v>48</v>
      </c>
      <c r="K226" s="454">
        <f t="shared" si="353"/>
        <v>15.75</v>
      </c>
      <c r="L226" s="454">
        <f t="shared" si="354"/>
        <v>63.75</v>
      </c>
      <c r="M226" s="454"/>
      <c r="N226" s="223">
        <f t="shared" si="355"/>
        <v>0.24705882352941178</v>
      </c>
      <c r="O226" s="178">
        <f t="shared" si="356"/>
        <v>2.0011764705882356</v>
      </c>
      <c r="P226" s="178">
        <f t="shared" si="357"/>
        <v>4.0023529411764711</v>
      </c>
      <c r="Q226" s="223">
        <f t="shared" si="358"/>
        <v>0.40023529411764713</v>
      </c>
      <c r="R226" s="223">
        <f t="shared" si="359"/>
        <v>0.40023529411764713</v>
      </c>
      <c r="S226" s="223">
        <f t="shared" si="360"/>
        <v>5</v>
      </c>
      <c r="T226" s="223">
        <f t="shared" si="361"/>
        <v>9.3694885361552016E-2</v>
      </c>
      <c r="U226" s="223">
        <f t="shared" si="362"/>
        <v>8.5886978248089357E-2</v>
      </c>
      <c r="V226" s="223">
        <f t="shared" si="363"/>
        <v>0.26175079085131991</v>
      </c>
      <c r="W226" s="203">
        <f t="shared" si="364"/>
        <v>350</v>
      </c>
      <c r="X226" s="454">
        <f t="shared" si="365"/>
        <v>350</v>
      </c>
      <c r="Z226" s="223">
        <f t="shared" si="366"/>
        <v>0.77005347593582896</v>
      </c>
      <c r="AA226" s="179">
        <f t="shared" si="367"/>
        <v>2.151260504201681</v>
      </c>
      <c r="AB226" s="179">
        <f t="shared" si="368"/>
        <v>0.43485372758729168</v>
      </c>
      <c r="AC226" s="179"/>
      <c r="AD226" s="179">
        <f t="shared" si="369"/>
        <v>0.419047619047619</v>
      </c>
      <c r="AE226" s="563">
        <f t="shared" si="370"/>
        <v>530.30303030303037</v>
      </c>
      <c r="AF226" s="546">
        <f t="shared" si="371"/>
        <v>3.2999999999999995E-2</v>
      </c>
      <c r="AH226" s="179">
        <f t="shared" si="372"/>
        <v>0.25482359571881275</v>
      </c>
      <c r="AI226" s="179">
        <f t="shared" si="373"/>
        <v>0.25482359571881275</v>
      </c>
      <c r="AJ226" s="179">
        <f t="shared" si="374"/>
        <v>1.2776471079398612</v>
      </c>
      <c r="AL226" s="563">
        <f t="shared" si="375"/>
        <v>50</v>
      </c>
      <c r="AM226" s="472">
        <f t="shared" si="376"/>
        <v>350</v>
      </c>
      <c r="AO226">
        <f t="shared" si="377"/>
        <v>50</v>
      </c>
      <c r="AP226">
        <f t="shared" si="378"/>
        <v>350</v>
      </c>
      <c r="AR226" s="6">
        <f t="shared" si="342"/>
        <v>2.8571428571428572</v>
      </c>
      <c r="AS226" s="6">
        <f t="shared" si="333"/>
        <v>0.23358829607557838</v>
      </c>
      <c r="AT226" s="6">
        <f t="shared" si="334"/>
        <v>2.6235545610672788</v>
      </c>
      <c r="AU226" s="179">
        <f t="shared" si="335"/>
        <v>8.1755903626452436E-2</v>
      </c>
      <c r="AW226" s="6">
        <f t="shared" si="379"/>
        <v>6.7055121527777786</v>
      </c>
      <c r="AX226" s="472">
        <f t="shared" si="380"/>
        <v>0.22133523566784874</v>
      </c>
      <c r="AY226" s="6">
        <f t="shared" si="381"/>
        <v>6.7055121527777786</v>
      </c>
      <c r="AZ226" s="472">
        <f t="shared" si="382"/>
        <v>0.30239800347222229</v>
      </c>
      <c r="BB226" s="6">
        <f t="shared" si="383"/>
        <v>0</v>
      </c>
      <c r="CG226" s="581">
        <f t="shared" si="384"/>
        <v>-50</v>
      </c>
    </row>
    <row r="227" spans="5:85" x14ac:dyDescent="0.2">
      <c r="E227" s="176">
        <v>11</v>
      </c>
      <c r="F227" s="223">
        <f t="shared" si="385"/>
        <v>5.5E-2</v>
      </c>
      <c r="G227" s="223">
        <f t="shared" si="349"/>
        <v>5.5E-2</v>
      </c>
      <c r="H227" s="223">
        <f t="shared" si="350"/>
        <v>0.27500000000000002</v>
      </c>
      <c r="I227" s="223">
        <f t="shared" si="351"/>
        <v>0.27500000000000002</v>
      </c>
      <c r="J227" s="559">
        <f t="shared" si="352"/>
        <v>48</v>
      </c>
      <c r="K227" s="454">
        <f t="shared" si="353"/>
        <v>15.75</v>
      </c>
      <c r="L227" s="454">
        <f t="shared" si="354"/>
        <v>63.75</v>
      </c>
      <c r="M227" s="454"/>
      <c r="N227" s="223">
        <f t="shared" si="355"/>
        <v>0.24705882352941178</v>
      </c>
      <c r="O227" s="178">
        <f t="shared" si="356"/>
        <v>2.0011764705882356</v>
      </c>
      <c r="P227" s="178">
        <f t="shared" si="357"/>
        <v>4.0023529411764711</v>
      </c>
      <c r="Q227" s="223">
        <f t="shared" si="358"/>
        <v>0.40023529411764713</v>
      </c>
      <c r="R227" s="223">
        <f t="shared" si="359"/>
        <v>0.40023529411764713</v>
      </c>
      <c r="S227" s="223">
        <f t="shared" si="360"/>
        <v>5</v>
      </c>
      <c r="T227" s="223">
        <f t="shared" si="361"/>
        <v>0.10306437389770723</v>
      </c>
      <c r="U227" s="223">
        <f t="shared" si="362"/>
        <v>9.4475676072898279E-2</v>
      </c>
      <c r="V227" s="223">
        <f t="shared" si="363"/>
        <v>0.28792586993645197</v>
      </c>
      <c r="W227" s="203">
        <f t="shared" si="364"/>
        <v>350</v>
      </c>
      <c r="X227" s="454">
        <f t="shared" si="365"/>
        <v>350</v>
      </c>
      <c r="Z227" s="223">
        <f t="shared" si="366"/>
        <v>0.77005347593582896</v>
      </c>
      <c r="AA227" s="179">
        <f t="shared" si="367"/>
        <v>2.151260504201681</v>
      </c>
      <c r="AB227" s="179">
        <f t="shared" si="368"/>
        <v>0.43485372758729168</v>
      </c>
      <c r="AC227" s="179"/>
      <c r="AD227" s="179">
        <f t="shared" si="369"/>
        <v>0.419047619047619</v>
      </c>
      <c r="AE227" s="563">
        <f t="shared" si="370"/>
        <v>583.33333333333348</v>
      </c>
      <c r="AF227" s="546">
        <f t="shared" si="371"/>
        <v>3.2999999999999995E-2</v>
      </c>
      <c r="AH227" s="179">
        <f t="shared" si="372"/>
        <v>0.2672612419124244</v>
      </c>
      <c r="AI227" s="179">
        <f t="shared" si="373"/>
        <v>0.2672612419124244</v>
      </c>
      <c r="AJ227" s="179">
        <f t="shared" si="374"/>
        <v>1.2868601791943883</v>
      </c>
      <c r="AL227" s="563">
        <f t="shared" si="375"/>
        <v>55</v>
      </c>
      <c r="AM227" s="472">
        <f t="shared" si="376"/>
        <v>350</v>
      </c>
      <c r="AO227">
        <f t="shared" si="377"/>
        <v>55</v>
      </c>
      <c r="AP227">
        <f t="shared" si="378"/>
        <v>350</v>
      </c>
      <c r="AR227" s="6">
        <f t="shared" si="342"/>
        <v>2.8571428571428572</v>
      </c>
      <c r="AS227" s="6">
        <f t="shared" si="333"/>
        <v>0.24498947175305566</v>
      </c>
      <c r="AT227" s="6">
        <f t="shared" si="334"/>
        <v>2.6121533853898016</v>
      </c>
      <c r="AU227" s="179">
        <f t="shared" si="335"/>
        <v>8.5746315113569477E-2</v>
      </c>
      <c r="AW227" s="6">
        <f t="shared" si="379"/>
        <v>6.7055121527777786</v>
      </c>
      <c r="AX227" s="472">
        <f t="shared" si="380"/>
        <v>0.25131563515809696</v>
      </c>
      <c r="AY227" s="6">
        <f t="shared" si="381"/>
        <v>6.7055121527777786</v>
      </c>
      <c r="AZ227" s="472">
        <f t="shared" si="382"/>
        <v>0.34940158420138889</v>
      </c>
      <c r="BB227" s="6">
        <f t="shared" si="383"/>
        <v>0</v>
      </c>
      <c r="CG227" s="581">
        <f t="shared" si="384"/>
        <v>-50</v>
      </c>
    </row>
    <row r="228" spans="5:85" x14ac:dyDescent="0.2">
      <c r="E228" s="176">
        <v>12</v>
      </c>
      <c r="F228" s="223">
        <f t="shared" si="385"/>
        <v>0.06</v>
      </c>
      <c r="G228" s="223">
        <f t="shared" si="349"/>
        <v>0.06</v>
      </c>
      <c r="H228" s="223">
        <f t="shared" si="350"/>
        <v>0.3</v>
      </c>
      <c r="I228" s="223">
        <f t="shared" si="351"/>
        <v>0.3</v>
      </c>
      <c r="J228" s="559">
        <f t="shared" si="352"/>
        <v>48</v>
      </c>
      <c r="K228" s="454">
        <f t="shared" si="353"/>
        <v>15.75</v>
      </c>
      <c r="L228" s="454">
        <f t="shared" si="354"/>
        <v>63.75</v>
      </c>
      <c r="M228" s="454"/>
      <c r="N228" s="223">
        <f t="shared" si="355"/>
        <v>0.24705882352941178</v>
      </c>
      <c r="O228" s="178">
        <f t="shared" si="356"/>
        <v>2.0011764705882356</v>
      </c>
      <c r="P228" s="178">
        <f t="shared" si="357"/>
        <v>4.0023529411764711</v>
      </c>
      <c r="Q228" s="223">
        <f t="shared" si="358"/>
        <v>0.40023529411764713</v>
      </c>
      <c r="R228" s="223">
        <f t="shared" si="359"/>
        <v>0.40023529411764713</v>
      </c>
      <c r="S228" s="223">
        <f t="shared" si="360"/>
        <v>5</v>
      </c>
      <c r="T228" s="223">
        <f t="shared" si="361"/>
        <v>0.11243386243386243</v>
      </c>
      <c r="U228" s="223">
        <f t="shared" si="362"/>
        <v>0.10306437389770723</v>
      </c>
      <c r="V228" s="223">
        <f t="shared" si="363"/>
        <v>0.31410094902158392</v>
      </c>
      <c r="W228" s="203">
        <f t="shared" si="364"/>
        <v>350</v>
      </c>
      <c r="X228" s="454">
        <f t="shared" si="365"/>
        <v>350</v>
      </c>
      <c r="Z228" s="223">
        <f t="shared" si="366"/>
        <v>0.77005347593582896</v>
      </c>
      <c r="AA228" s="179">
        <f t="shared" si="367"/>
        <v>2.151260504201681</v>
      </c>
      <c r="AB228" s="179">
        <f t="shared" si="368"/>
        <v>0.43485372758729168</v>
      </c>
      <c r="AC228" s="179"/>
      <c r="AD228" s="179">
        <f t="shared" si="369"/>
        <v>0.419047619047619</v>
      </c>
      <c r="AE228" s="563">
        <f t="shared" si="370"/>
        <v>636.36363636363649</v>
      </c>
      <c r="AF228" s="546">
        <f t="shared" si="371"/>
        <v>3.2999999999999995E-2</v>
      </c>
      <c r="AH228" s="179">
        <f t="shared" si="372"/>
        <v>0.27914526311954124</v>
      </c>
      <c r="AI228" s="179">
        <f t="shared" si="373"/>
        <v>0.27914526311954124</v>
      </c>
      <c r="AJ228" s="179">
        <f t="shared" si="374"/>
        <v>1.2956631578663269</v>
      </c>
      <c r="AL228" s="563">
        <f t="shared" si="375"/>
        <v>60</v>
      </c>
      <c r="AM228" s="472">
        <f t="shared" si="376"/>
        <v>350</v>
      </c>
      <c r="AO228">
        <f t="shared" si="377"/>
        <v>60</v>
      </c>
      <c r="AP228">
        <f t="shared" si="378"/>
        <v>350</v>
      </c>
      <c r="AR228" s="6">
        <f t="shared" si="342"/>
        <v>2.8571428571428572</v>
      </c>
      <c r="AS228" s="6">
        <f t="shared" si="333"/>
        <v>0.25588315785957949</v>
      </c>
      <c r="AT228" s="6">
        <f t="shared" si="334"/>
        <v>2.6012596992832777</v>
      </c>
      <c r="AU228" s="179">
        <f t="shared" si="335"/>
        <v>8.9559105250852825E-2</v>
      </c>
      <c r="AW228" s="6">
        <f t="shared" si="379"/>
        <v>6.7055121527777786</v>
      </c>
      <c r="AX228" s="472">
        <f t="shared" si="380"/>
        <v>0.28272273936170211</v>
      </c>
      <c r="AY228" s="6">
        <f t="shared" si="381"/>
        <v>6.7055121527777786</v>
      </c>
      <c r="AZ228" s="472">
        <f t="shared" si="382"/>
        <v>0.39945312499999996</v>
      </c>
      <c r="BB228" s="6">
        <f t="shared" si="383"/>
        <v>0</v>
      </c>
      <c r="CG228" s="581">
        <f t="shared" si="384"/>
        <v>-50</v>
      </c>
    </row>
    <row r="229" spans="5:85" x14ac:dyDescent="0.2">
      <c r="E229" s="176">
        <v>13</v>
      </c>
      <c r="F229" s="223">
        <f t="shared" si="385"/>
        <v>6.5000000000000002E-2</v>
      </c>
      <c r="G229" s="223">
        <f t="shared" si="349"/>
        <v>6.5000000000000002E-2</v>
      </c>
      <c r="H229" s="223">
        <f t="shared" si="350"/>
        <v>0.32500000000000001</v>
      </c>
      <c r="I229" s="223">
        <f t="shared" si="351"/>
        <v>0.32500000000000001</v>
      </c>
      <c r="J229" s="559">
        <f t="shared" si="352"/>
        <v>48</v>
      </c>
      <c r="K229" s="454">
        <f t="shared" si="353"/>
        <v>15.75</v>
      </c>
      <c r="L229" s="454">
        <f t="shared" si="354"/>
        <v>63.75</v>
      </c>
      <c r="M229" s="454"/>
      <c r="N229" s="223">
        <f t="shared" si="355"/>
        <v>0.24705882352941178</v>
      </c>
      <c r="O229" s="178">
        <f t="shared" si="356"/>
        <v>2.0011764705882356</v>
      </c>
      <c r="P229" s="178">
        <f t="shared" si="357"/>
        <v>4.0023529411764711</v>
      </c>
      <c r="Q229" s="223">
        <f t="shared" si="358"/>
        <v>0.40023529411764713</v>
      </c>
      <c r="R229" s="223">
        <f t="shared" si="359"/>
        <v>0.40023529411764713</v>
      </c>
      <c r="S229" s="223">
        <f t="shared" si="360"/>
        <v>5</v>
      </c>
      <c r="T229" s="223">
        <f t="shared" si="361"/>
        <v>0.12180335097001763</v>
      </c>
      <c r="U229" s="223">
        <f t="shared" si="362"/>
        <v>0.11165307172251615</v>
      </c>
      <c r="V229" s="223">
        <f t="shared" si="363"/>
        <v>0.34027602810671592</v>
      </c>
      <c r="W229" s="203">
        <f t="shared" si="364"/>
        <v>350</v>
      </c>
      <c r="X229" s="454">
        <f t="shared" si="365"/>
        <v>350</v>
      </c>
      <c r="Z229" s="223">
        <f t="shared" si="366"/>
        <v>0.77005347593582896</v>
      </c>
      <c r="AA229" s="179">
        <f t="shared" si="367"/>
        <v>2.151260504201681</v>
      </c>
      <c r="AB229" s="179">
        <f t="shared" si="368"/>
        <v>0.43485372758729168</v>
      </c>
      <c r="AC229" s="179"/>
      <c r="AD229" s="179">
        <f t="shared" si="369"/>
        <v>0.419047619047619</v>
      </c>
      <c r="AE229" s="563">
        <f t="shared" si="370"/>
        <v>689.3939393939396</v>
      </c>
      <c r="AF229" s="546">
        <f t="shared" si="371"/>
        <v>3.2999999999999995E-2</v>
      </c>
      <c r="AH229" s="179">
        <f t="shared" si="372"/>
        <v>0.29054360157398823</v>
      </c>
      <c r="AI229" s="179">
        <f t="shared" si="373"/>
        <v>0.29054360157398823</v>
      </c>
      <c r="AJ229" s="179">
        <f t="shared" si="374"/>
        <v>1.3041063715362875</v>
      </c>
      <c r="AL229" s="563">
        <f t="shared" si="375"/>
        <v>65</v>
      </c>
      <c r="AM229" s="472">
        <f t="shared" si="376"/>
        <v>350</v>
      </c>
      <c r="AO229">
        <f t="shared" si="377"/>
        <v>65</v>
      </c>
      <c r="AP229">
        <f t="shared" si="378"/>
        <v>350</v>
      </c>
      <c r="AR229" s="6">
        <f t="shared" si="342"/>
        <v>2.8571428571428572</v>
      </c>
      <c r="AS229" s="6">
        <f t="shared" si="333"/>
        <v>0.2663316347761559</v>
      </c>
      <c r="AT229" s="6">
        <f t="shared" si="334"/>
        <v>2.5908112223667015</v>
      </c>
      <c r="AU229" s="179">
        <f t="shared" si="335"/>
        <v>9.3216072171654563E-2</v>
      </c>
      <c r="AW229" s="6">
        <f t="shared" si="379"/>
        <v>6.7055121527777786</v>
      </c>
      <c r="AX229" s="472">
        <f t="shared" si="380"/>
        <v>0.31555654827866431</v>
      </c>
      <c r="AY229" s="6">
        <f t="shared" si="381"/>
        <v>6.7055121527777786</v>
      </c>
      <c r="AZ229" s="472">
        <f t="shared" si="382"/>
        <v>0.45255262586805556</v>
      </c>
      <c r="BB229" s="6">
        <f t="shared" si="383"/>
        <v>0</v>
      </c>
      <c r="CG229" s="581">
        <f t="shared" si="384"/>
        <v>-50</v>
      </c>
    </row>
    <row r="230" spans="5:85" x14ac:dyDescent="0.2">
      <c r="E230" s="176">
        <v>14</v>
      </c>
      <c r="F230" s="223">
        <f t="shared" si="385"/>
        <v>7.0000000000000007E-2</v>
      </c>
      <c r="G230" s="223">
        <f t="shared" si="349"/>
        <v>7.0000000000000007E-2</v>
      </c>
      <c r="H230" s="223">
        <f t="shared" si="350"/>
        <v>0.35000000000000003</v>
      </c>
      <c r="I230" s="223">
        <f t="shared" si="351"/>
        <v>0.35000000000000003</v>
      </c>
      <c r="J230" s="559">
        <f t="shared" si="352"/>
        <v>48</v>
      </c>
      <c r="K230" s="454">
        <f t="shared" si="353"/>
        <v>15.75</v>
      </c>
      <c r="L230" s="454">
        <f t="shared" si="354"/>
        <v>63.75</v>
      </c>
      <c r="M230" s="454"/>
      <c r="N230" s="223">
        <f t="shared" si="355"/>
        <v>0.24705882352941178</v>
      </c>
      <c r="O230" s="178">
        <f t="shared" si="356"/>
        <v>2.0011764705882356</v>
      </c>
      <c r="P230" s="178">
        <f t="shared" si="357"/>
        <v>4.0023529411764711</v>
      </c>
      <c r="Q230" s="223">
        <f t="shared" si="358"/>
        <v>0.40023529411764713</v>
      </c>
      <c r="R230" s="223">
        <f t="shared" si="359"/>
        <v>0.40023529411764713</v>
      </c>
      <c r="S230" s="223">
        <f t="shared" si="360"/>
        <v>5</v>
      </c>
      <c r="T230" s="223">
        <f t="shared" si="361"/>
        <v>0.13117283950617284</v>
      </c>
      <c r="U230" s="223">
        <f t="shared" si="362"/>
        <v>0.12024176954732511</v>
      </c>
      <c r="V230" s="223">
        <f t="shared" si="363"/>
        <v>0.36645110719184792</v>
      </c>
      <c r="W230" s="203">
        <f t="shared" si="364"/>
        <v>350</v>
      </c>
      <c r="X230" s="454">
        <f t="shared" si="365"/>
        <v>350</v>
      </c>
      <c r="Z230" s="223">
        <f t="shared" si="366"/>
        <v>0.77005347593582896</v>
      </c>
      <c r="AA230" s="179">
        <f t="shared" si="367"/>
        <v>2.151260504201681</v>
      </c>
      <c r="AB230" s="179">
        <f t="shared" si="368"/>
        <v>0.43485372758729168</v>
      </c>
      <c r="AC230" s="179"/>
      <c r="AD230" s="179">
        <f t="shared" si="369"/>
        <v>0.419047619047619</v>
      </c>
      <c r="AE230" s="563">
        <f t="shared" si="370"/>
        <v>742.42424242424272</v>
      </c>
      <c r="AF230" s="546">
        <f t="shared" si="371"/>
        <v>3.2999999999999995E-2</v>
      </c>
      <c r="AH230" s="179">
        <f t="shared" si="372"/>
        <v>0.30151134457776363</v>
      </c>
      <c r="AI230" s="179">
        <f t="shared" si="373"/>
        <v>0.30151134457776363</v>
      </c>
      <c r="AJ230" s="179">
        <f t="shared" si="374"/>
        <v>1.3122306256131582</v>
      </c>
      <c r="AL230" s="563">
        <f t="shared" si="375"/>
        <v>70</v>
      </c>
      <c r="AM230" s="472">
        <f t="shared" si="376"/>
        <v>350</v>
      </c>
      <c r="AO230">
        <f t="shared" si="377"/>
        <v>70</v>
      </c>
      <c r="AP230">
        <f t="shared" si="378"/>
        <v>350</v>
      </c>
      <c r="AR230" s="6">
        <f t="shared" si="342"/>
        <v>2.8571428571428572</v>
      </c>
      <c r="AS230" s="6">
        <f t="shared" si="333"/>
        <v>0.2763853991962833</v>
      </c>
      <c r="AT230" s="6">
        <f t="shared" si="334"/>
        <v>2.5807574579465737</v>
      </c>
      <c r="AU230" s="179">
        <f t="shared" si="335"/>
        <v>9.6734889718699146E-2</v>
      </c>
      <c r="AW230" s="6">
        <f t="shared" si="379"/>
        <v>6.7055121527777786</v>
      </c>
      <c r="AX230" s="472">
        <f t="shared" si="380"/>
        <v>0.34981706190898348</v>
      </c>
      <c r="AY230" s="6">
        <f t="shared" si="381"/>
        <v>6.7055121527777786</v>
      </c>
      <c r="AZ230" s="472">
        <f t="shared" si="382"/>
        <v>0.50870008680555556</v>
      </c>
      <c r="BB230" s="6">
        <f t="shared" si="383"/>
        <v>0</v>
      </c>
      <c r="CG230" s="581">
        <f t="shared" si="384"/>
        <v>-50</v>
      </c>
    </row>
    <row r="231" spans="5:85" x14ac:dyDescent="0.2">
      <c r="E231" s="176">
        <v>15</v>
      </c>
      <c r="F231" s="223">
        <f t="shared" si="385"/>
        <v>7.4999999999999997E-2</v>
      </c>
      <c r="G231" s="223">
        <f t="shared" si="349"/>
        <v>7.4999999999999997E-2</v>
      </c>
      <c r="H231" s="223">
        <f t="shared" si="350"/>
        <v>0.375</v>
      </c>
      <c r="I231" s="223">
        <f t="shared" si="351"/>
        <v>0.375</v>
      </c>
      <c r="J231" s="559">
        <f t="shared" si="352"/>
        <v>48</v>
      </c>
      <c r="K231" s="454">
        <f t="shared" si="353"/>
        <v>15.75</v>
      </c>
      <c r="L231" s="454">
        <f t="shared" si="354"/>
        <v>63.75</v>
      </c>
      <c r="M231" s="454"/>
      <c r="N231" s="223">
        <f t="shared" si="355"/>
        <v>0.24705882352941178</v>
      </c>
      <c r="O231" s="178">
        <f t="shared" si="356"/>
        <v>2.0011764705882356</v>
      </c>
      <c r="P231" s="178">
        <f t="shared" si="357"/>
        <v>4.0023529411764711</v>
      </c>
      <c r="Q231" s="223">
        <f t="shared" si="358"/>
        <v>0.40023529411764713</v>
      </c>
      <c r="R231" s="223">
        <f t="shared" si="359"/>
        <v>0.40023529411764713</v>
      </c>
      <c r="S231" s="223">
        <f t="shared" si="360"/>
        <v>5</v>
      </c>
      <c r="T231" s="223">
        <f t="shared" si="361"/>
        <v>0.14054232804232802</v>
      </c>
      <c r="U231" s="223">
        <f t="shared" si="362"/>
        <v>0.12883046737213402</v>
      </c>
      <c r="V231" s="223">
        <f t="shared" si="363"/>
        <v>0.39262618627697987</v>
      </c>
      <c r="W231" s="203">
        <f t="shared" si="364"/>
        <v>350</v>
      </c>
      <c r="X231" s="454">
        <f t="shared" si="365"/>
        <v>350</v>
      </c>
      <c r="Z231" s="223">
        <f t="shared" si="366"/>
        <v>0.77005347593582896</v>
      </c>
      <c r="AA231" s="179">
        <f t="shared" si="367"/>
        <v>2.151260504201681</v>
      </c>
      <c r="AB231" s="179">
        <f t="shared" si="368"/>
        <v>0.43485372758729168</v>
      </c>
      <c r="AC231" s="179"/>
      <c r="AD231" s="179">
        <f t="shared" si="369"/>
        <v>0.419047619047619</v>
      </c>
      <c r="AE231" s="563">
        <f t="shared" si="370"/>
        <v>795.4545454545455</v>
      </c>
      <c r="AF231" s="546">
        <f t="shared" si="371"/>
        <v>3.2999999999999995E-2</v>
      </c>
      <c r="AH231" s="179">
        <f t="shared" si="372"/>
        <v>0.31209389196617965</v>
      </c>
      <c r="AI231" s="179">
        <f t="shared" si="373"/>
        <v>0.31209389196617965</v>
      </c>
      <c r="AJ231" s="179">
        <f t="shared" si="374"/>
        <v>1.3200695496045776</v>
      </c>
      <c r="AL231" s="563">
        <f t="shared" si="375"/>
        <v>75</v>
      </c>
      <c r="AM231" s="472">
        <f t="shared" si="376"/>
        <v>350</v>
      </c>
      <c r="AO231">
        <f t="shared" si="377"/>
        <v>75</v>
      </c>
      <c r="AP231">
        <f t="shared" si="378"/>
        <v>350</v>
      </c>
      <c r="AR231" s="6">
        <f t="shared" si="342"/>
        <v>2.8571428571428572</v>
      </c>
      <c r="AS231" s="6">
        <f t="shared" si="333"/>
        <v>0.28608606763566469</v>
      </c>
      <c r="AT231" s="6">
        <f t="shared" si="334"/>
        <v>2.5710567895071925</v>
      </c>
      <c r="AU231" s="179">
        <f t="shared" si="335"/>
        <v>0.10013012367248264</v>
      </c>
      <c r="AW231" s="6">
        <f t="shared" si="379"/>
        <v>6.7055121527777786</v>
      </c>
      <c r="AX231" s="472">
        <f t="shared" si="380"/>
        <v>0.38550428025265954</v>
      </c>
      <c r="AY231" s="6">
        <f t="shared" si="381"/>
        <v>6.7055121527777786</v>
      </c>
      <c r="AZ231" s="472">
        <f t="shared" si="382"/>
        <v>0.56789550781249987</v>
      </c>
      <c r="BB231" s="6">
        <f t="shared" si="383"/>
        <v>0</v>
      </c>
      <c r="CG231" s="581">
        <f t="shared" si="384"/>
        <v>-50</v>
      </c>
    </row>
    <row r="232" spans="5:85" x14ac:dyDescent="0.2">
      <c r="E232" s="176">
        <v>16</v>
      </c>
      <c r="F232" s="223">
        <f t="shared" si="385"/>
        <v>0.08</v>
      </c>
      <c r="G232" s="223">
        <f t="shared" si="349"/>
        <v>0.08</v>
      </c>
      <c r="H232" s="223">
        <f t="shared" si="350"/>
        <v>0.4</v>
      </c>
      <c r="I232" s="223">
        <f t="shared" si="351"/>
        <v>0.4</v>
      </c>
      <c r="J232" s="559">
        <f t="shared" si="352"/>
        <v>48</v>
      </c>
      <c r="K232" s="454">
        <f t="shared" si="353"/>
        <v>15.75</v>
      </c>
      <c r="L232" s="454">
        <f t="shared" si="354"/>
        <v>63.75</v>
      </c>
      <c r="M232" s="454"/>
      <c r="N232" s="223">
        <f t="shared" si="355"/>
        <v>0.24705882352941178</v>
      </c>
      <c r="O232" s="178">
        <f t="shared" si="356"/>
        <v>2.0011764705882356</v>
      </c>
      <c r="P232" s="178">
        <f t="shared" si="357"/>
        <v>4.0023529411764711</v>
      </c>
      <c r="Q232" s="223">
        <f t="shared" si="358"/>
        <v>0.40023529411764713</v>
      </c>
      <c r="R232" s="223">
        <f t="shared" si="359"/>
        <v>0.40023529411764713</v>
      </c>
      <c r="S232" s="223">
        <f t="shared" si="360"/>
        <v>5</v>
      </c>
      <c r="T232" s="223">
        <f t="shared" si="361"/>
        <v>0.14991181657848324</v>
      </c>
      <c r="U232" s="223">
        <f t="shared" si="362"/>
        <v>0.13741916519694297</v>
      </c>
      <c r="V232" s="223">
        <f t="shared" si="363"/>
        <v>0.41880126536211193</v>
      </c>
      <c r="W232" s="203">
        <f t="shared" si="364"/>
        <v>350</v>
      </c>
      <c r="X232" s="454">
        <f t="shared" si="365"/>
        <v>350</v>
      </c>
      <c r="Z232" s="223">
        <f t="shared" si="366"/>
        <v>0.77005347593582896</v>
      </c>
      <c r="AA232" s="179">
        <f t="shared" si="367"/>
        <v>2.151260504201681</v>
      </c>
      <c r="AB232" s="179">
        <f t="shared" si="368"/>
        <v>0.43485372758729168</v>
      </c>
      <c r="AC232" s="179"/>
      <c r="AD232" s="179">
        <f t="shared" si="369"/>
        <v>0.419047619047619</v>
      </c>
      <c r="AE232" s="563">
        <f t="shared" si="370"/>
        <v>848.48484848484861</v>
      </c>
      <c r="AF232" s="546">
        <f t="shared" si="371"/>
        <v>3.2999999999999995E-2</v>
      </c>
      <c r="AH232" s="179">
        <f t="shared" si="372"/>
        <v>0.32232918561015211</v>
      </c>
      <c r="AI232" s="179">
        <f t="shared" si="373"/>
        <v>0.32232918561015211</v>
      </c>
      <c r="AJ232" s="179">
        <f t="shared" si="374"/>
        <v>1.3276512486001126</v>
      </c>
      <c r="AL232" s="563">
        <f t="shared" si="375"/>
        <v>80</v>
      </c>
      <c r="AM232" s="472">
        <f t="shared" si="376"/>
        <v>350</v>
      </c>
      <c r="AO232">
        <f t="shared" si="377"/>
        <v>80</v>
      </c>
      <c r="AP232">
        <f t="shared" si="378"/>
        <v>350</v>
      </c>
      <c r="AR232" s="6">
        <f t="shared" si="342"/>
        <v>2.8571428571428572</v>
      </c>
      <c r="AS232" s="6">
        <f t="shared" si="333"/>
        <v>0.29546842014263941</v>
      </c>
      <c r="AT232" s="6">
        <f t="shared" si="334"/>
        <v>2.5616744370002178</v>
      </c>
      <c r="AU232" s="179">
        <f t="shared" si="335"/>
        <v>0.10341394704992379</v>
      </c>
      <c r="AW232" s="6">
        <f t="shared" si="379"/>
        <v>6.7055121527777786</v>
      </c>
      <c r="AX232" s="472">
        <f t="shared" si="380"/>
        <v>0.42261820330969263</v>
      </c>
      <c r="AY232" s="6">
        <f t="shared" si="381"/>
        <v>6.7055121527777786</v>
      </c>
      <c r="AZ232" s="472">
        <f t="shared" si="382"/>
        <v>0.6301388888888888</v>
      </c>
      <c r="BB232" s="6">
        <f t="shared" si="383"/>
        <v>0</v>
      </c>
      <c r="CG232" s="581">
        <f t="shared" si="384"/>
        <v>-50</v>
      </c>
    </row>
    <row r="233" spans="5:85" x14ac:dyDescent="0.2">
      <c r="E233" s="176">
        <v>17</v>
      </c>
      <c r="F233" s="223">
        <f t="shared" si="385"/>
        <v>8.5000000000000006E-2</v>
      </c>
      <c r="G233" s="223">
        <f t="shared" si="349"/>
        <v>8.5000000000000006E-2</v>
      </c>
      <c r="H233" s="223">
        <f t="shared" si="350"/>
        <v>0.42500000000000004</v>
      </c>
      <c r="I233" s="223">
        <f t="shared" si="351"/>
        <v>0.42500000000000004</v>
      </c>
      <c r="J233" s="559">
        <f t="shared" si="352"/>
        <v>48</v>
      </c>
      <c r="K233" s="454">
        <f t="shared" si="353"/>
        <v>15.75</v>
      </c>
      <c r="L233" s="454">
        <f t="shared" si="354"/>
        <v>63.75</v>
      </c>
      <c r="M233" s="454"/>
      <c r="N233" s="223">
        <f t="shared" si="355"/>
        <v>0.24705882352941178</v>
      </c>
      <c r="O233" s="178">
        <f t="shared" si="356"/>
        <v>2.0011764705882356</v>
      </c>
      <c r="P233" s="178">
        <f t="shared" si="357"/>
        <v>4.0023529411764711</v>
      </c>
      <c r="Q233" s="223">
        <f t="shared" si="358"/>
        <v>0.40023529411764713</v>
      </c>
      <c r="R233" s="223">
        <f t="shared" si="359"/>
        <v>0.40023529411764713</v>
      </c>
      <c r="S233" s="223">
        <f t="shared" si="360"/>
        <v>5</v>
      </c>
      <c r="T233" s="223">
        <f t="shared" si="361"/>
        <v>0.15928130511463845</v>
      </c>
      <c r="U233" s="223">
        <f t="shared" si="362"/>
        <v>0.14600786302175192</v>
      </c>
      <c r="V233" s="223">
        <f t="shared" si="363"/>
        <v>0.44497634444724393</v>
      </c>
      <c r="W233" s="203">
        <f t="shared" si="364"/>
        <v>350</v>
      </c>
      <c r="X233" s="454">
        <f t="shared" si="365"/>
        <v>350</v>
      </c>
      <c r="Z233" s="223">
        <f t="shared" si="366"/>
        <v>0.77005347593582896</v>
      </c>
      <c r="AA233" s="179">
        <f t="shared" si="367"/>
        <v>2.151260504201681</v>
      </c>
      <c r="AB233" s="179">
        <f t="shared" si="368"/>
        <v>0.43485372758729168</v>
      </c>
      <c r="AC233" s="179"/>
      <c r="AD233" s="179">
        <f t="shared" si="369"/>
        <v>0.419047619047619</v>
      </c>
      <c r="AE233" s="563">
        <f t="shared" si="370"/>
        <v>901.51515151515173</v>
      </c>
      <c r="AF233" s="546">
        <f t="shared" si="371"/>
        <v>3.2999999999999995E-2</v>
      </c>
      <c r="AH233" s="179">
        <f t="shared" si="372"/>
        <v>0.33224931962249432</v>
      </c>
      <c r="AI233" s="179">
        <f t="shared" si="373"/>
        <v>0.33224931962249432</v>
      </c>
      <c r="AJ233" s="179">
        <f t="shared" si="374"/>
        <v>1.3349994960166625</v>
      </c>
      <c r="AL233" s="563">
        <f t="shared" si="375"/>
        <v>85</v>
      </c>
      <c r="AM233" s="472">
        <f t="shared" si="376"/>
        <v>350</v>
      </c>
      <c r="AO233">
        <f t="shared" si="377"/>
        <v>85</v>
      </c>
      <c r="AP233">
        <f t="shared" si="378"/>
        <v>350</v>
      </c>
      <c r="AR233" s="6">
        <f t="shared" si="342"/>
        <v>2.8571428571428572</v>
      </c>
      <c r="AS233" s="6">
        <f t="shared" si="333"/>
        <v>0.30456187632061982</v>
      </c>
      <c r="AT233" s="6">
        <f t="shared" si="334"/>
        <v>2.5525809808222375</v>
      </c>
      <c r="AU233" s="179">
        <f t="shared" si="335"/>
        <v>0.10659665671221694</v>
      </c>
      <c r="AW233" s="6">
        <f t="shared" si="379"/>
        <v>6.7055121527777786</v>
      </c>
      <c r="AX233" s="472">
        <f t="shared" si="380"/>
        <v>0.46115883108008282</v>
      </c>
      <c r="AY233" s="6">
        <f t="shared" si="381"/>
        <v>6.7055121527777786</v>
      </c>
      <c r="AZ233" s="472">
        <f t="shared" si="382"/>
        <v>0.69543023003472237</v>
      </c>
      <c r="BB233" s="6">
        <f t="shared" si="383"/>
        <v>0</v>
      </c>
      <c r="CG233" s="581">
        <f t="shared" si="384"/>
        <v>-50</v>
      </c>
    </row>
    <row r="234" spans="5:85" x14ac:dyDescent="0.2">
      <c r="E234" s="176">
        <v>18</v>
      </c>
      <c r="F234" s="223">
        <f t="shared" si="385"/>
        <v>0.09</v>
      </c>
      <c r="G234" s="223">
        <f t="shared" si="349"/>
        <v>0.09</v>
      </c>
      <c r="H234" s="223">
        <f t="shared" si="350"/>
        <v>0.44999999999999996</v>
      </c>
      <c r="I234" s="223">
        <f t="shared" si="351"/>
        <v>0.44999999999999996</v>
      </c>
      <c r="J234" s="559">
        <f t="shared" si="352"/>
        <v>48</v>
      </c>
      <c r="K234" s="454">
        <f t="shared" si="353"/>
        <v>15.75</v>
      </c>
      <c r="L234" s="454">
        <f t="shared" si="354"/>
        <v>63.75</v>
      </c>
      <c r="M234" s="454"/>
      <c r="N234" s="223">
        <f t="shared" si="355"/>
        <v>0.24705882352941178</v>
      </c>
      <c r="O234" s="178">
        <f t="shared" si="356"/>
        <v>2.0011764705882356</v>
      </c>
      <c r="P234" s="178">
        <f t="shared" si="357"/>
        <v>4.0023529411764711</v>
      </c>
      <c r="Q234" s="223">
        <f t="shared" si="358"/>
        <v>0.40023529411764713</v>
      </c>
      <c r="R234" s="223">
        <f t="shared" si="359"/>
        <v>0.40023529411764713</v>
      </c>
      <c r="S234" s="223">
        <f t="shared" si="360"/>
        <v>5</v>
      </c>
      <c r="T234" s="223">
        <f t="shared" si="361"/>
        <v>0.16865079365079363</v>
      </c>
      <c r="U234" s="223">
        <f t="shared" si="362"/>
        <v>0.15459656084656084</v>
      </c>
      <c r="V234" s="223">
        <f t="shared" si="363"/>
        <v>0.47115142353237588</v>
      </c>
      <c r="W234" s="203">
        <f t="shared" si="364"/>
        <v>350</v>
      </c>
      <c r="X234" s="454">
        <f t="shared" si="365"/>
        <v>350</v>
      </c>
      <c r="Z234" s="223">
        <f t="shared" si="366"/>
        <v>0.77005347593582896</v>
      </c>
      <c r="AA234" s="179">
        <f t="shared" si="367"/>
        <v>2.151260504201681</v>
      </c>
      <c r="AB234" s="179">
        <f t="shared" si="368"/>
        <v>0.43485372758729168</v>
      </c>
      <c r="AC234" s="179"/>
      <c r="AD234" s="179">
        <f t="shared" si="369"/>
        <v>0.419047619047619</v>
      </c>
      <c r="AE234" s="563">
        <f t="shared" si="370"/>
        <v>954.54545454545473</v>
      </c>
      <c r="AF234" s="546">
        <f t="shared" si="371"/>
        <v>3.2999999999999995E-2</v>
      </c>
      <c r="AH234" s="179">
        <f t="shared" si="372"/>
        <v>0.34188172937891381</v>
      </c>
      <c r="AI234" s="179">
        <f t="shared" si="373"/>
        <v>0.34188172937891381</v>
      </c>
      <c r="AJ234" s="179">
        <f t="shared" si="374"/>
        <v>1.342134614354751</v>
      </c>
      <c r="AL234" s="563">
        <f t="shared" si="375"/>
        <v>90</v>
      </c>
      <c r="AM234" s="472">
        <f t="shared" si="376"/>
        <v>350</v>
      </c>
      <c r="AO234">
        <f t="shared" si="377"/>
        <v>90</v>
      </c>
      <c r="AP234">
        <f t="shared" si="378"/>
        <v>350</v>
      </c>
      <c r="AR234" s="6">
        <f t="shared" si="342"/>
        <v>2.8571428571428572</v>
      </c>
      <c r="AS234" s="6">
        <f t="shared" si="333"/>
        <v>0.31339158526400435</v>
      </c>
      <c r="AT234" s="6">
        <f t="shared" si="334"/>
        <v>2.5437512718788531</v>
      </c>
      <c r="AU234" s="179">
        <f t="shared" si="335"/>
        <v>0.10968705484240152</v>
      </c>
      <c r="AW234" s="6">
        <f t="shared" si="379"/>
        <v>6.7055121527777786</v>
      </c>
      <c r="AX234" s="472">
        <f t="shared" si="380"/>
        <v>0.50112616356382977</v>
      </c>
      <c r="AY234" s="6">
        <f t="shared" si="381"/>
        <v>6.7055121527777786</v>
      </c>
      <c r="AZ234" s="472">
        <f t="shared" si="382"/>
        <v>0.76376953125000002</v>
      </c>
      <c r="BB234" s="6">
        <f t="shared" si="383"/>
        <v>0</v>
      </c>
      <c r="CG234" s="581">
        <f t="shared" si="384"/>
        <v>-50</v>
      </c>
    </row>
    <row r="235" spans="5:85" x14ac:dyDescent="0.2">
      <c r="E235" s="176">
        <v>19</v>
      </c>
      <c r="F235" s="223">
        <f t="shared" si="385"/>
        <v>9.5000000000000001E-2</v>
      </c>
      <c r="G235" s="223">
        <f t="shared" si="349"/>
        <v>9.5000000000000001E-2</v>
      </c>
      <c r="H235" s="223">
        <f t="shared" si="350"/>
        <v>0.47499999999999998</v>
      </c>
      <c r="I235" s="223">
        <f t="shared" si="351"/>
        <v>0.47499999999999998</v>
      </c>
      <c r="J235" s="559">
        <f t="shared" si="352"/>
        <v>48</v>
      </c>
      <c r="K235" s="454">
        <f t="shared" si="353"/>
        <v>15.75</v>
      </c>
      <c r="L235" s="454">
        <f t="shared" si="354"/>
        <v>63.75</v>
      </c>
      <c r="M235" s="454"/>
      <c r="N235" s="223">
        <f t="shared" si="355"/>
        <v>0.24705882352941178</v>
      </c>
      <c r="O235" s="178">
        <f t="shared" si="356"/>
        <v>2.0011764705882356</v>
      </c>
      <c r="P235" s="178">
        <f t="shared" si="357"/>
        <v>4.0023529411764711</v>
      </c>
      <c r="Q235" s="223">
        <f t="shared" si="358"/>
        <v>0.40023529411764713</v>
      </c>
      <c r="R235" s="223">
        <f t="shared" si="359"/>
        <v>0.40023529411764713</v>
      </c>
      <c r="S235" s="223">
        <f t="shared" si="360"/>
        <v>5</v>
      </c>
      <c r="T235" s="223">
        <f t="shared" si="361"/>
        <v>0.17802028218694882</v>
      </c>
      <c r="U235" s="223">
        <f t="shared" si="362"/>
        <v>0.16318525867136974</v>
      </c>
      <c r="V235" s="223">
        <f t="shared" si="363"/>
        <v>0.49732650261750788</v>
      </c>
      <c r="W235" s="203">
        <f t="shared" si="364"/>
        <v>350</v>
      </c>
      <c r="X235" s="454">
        <f t="shared" si="365"/>
        <v>350</v>
      </c>
      <c r="Z235" s="223">
        <f t="shared" si="366"/>
        <v>0.77005347593582896</v>
      </c>
      <c r="AA235" s="179">
        <f t="shared" si="367"/>
        <v>2.151260504201681</v>
      </c>
      <c r="AB235" s="179">
        <f t="shared" si="368"/>
        <v>0.43485372758729168</v>
      </c>
      <c r="AC235" s="179"/>
      <c r="AD235" s="179">
        <f t="shared" si="369"/>
        <v>0.419047619047619</v>
      </c>
      <c r="AE235" s="563">
        <f t="shared" si="370"/>
        <v>1007.5757575757577</v>
      </c>
      <c r="AF235" s="546">
        <f t="shared" si="371"/>
        <v>3.2999999999999995E-2</v>
      </c>
      <c r="AH235" s="179">
        <f t="shared" si="372"/>
        <v>0.35125008665710444</v>
      </c>
      <c r="AI235" s="179">
        <f t="shared" si="373"/>
        <v>0.35125008665710444</v>
      </c>
      <c r="AJ235" s="179">
        <f t="shared" si="374"/>
        <v>1.3490741382645217</v>
      </c>
      <c r="AL235" s="563">
        <f t="shared" si="375"/>
        <v>95</v>
      </c>
      <c r="AM235" s="472">
        <f t="shared" si="376"/>
        <v>350</v>
      </c>
      <c r="AO235">
        <f t="shared" si="377"/>
        <v>95</v>
      </c>
      <c r="AP235">
        <f t="shared" si="378"/>
        <v>350</v>
      </c>
      <c r="AR235" s="6">
        <f t="shared" si="342"/>
        <v>2.8571428571428572</v>
      </c>
      <c r="AS235" s="6">
        <f t="shared" si="333"/>
        <v>0.32197924610234574</v>
      </c>
      <c r="AT235" s="6">
        <f t="shared" si="334"/>
        <v>2.5351636110405114</v>
      </c>
      <c r="AU235" s="179">
        <f t="shared" si="335"/>
        <v>0.11269273613582101</v>
      </c>
      <c r="AW235" s="6">
        <f t="shared" si="379"/>
        <v>6.7055121527777786</v>
      </c>
      <c r="AX235" s="472">
        <f t="shared" si="380"/>
        <v>0.54252020076093377</v>
      </c>
      <c r="AY235" s="6">
        <f t="shared" si="381"/>
        <v>6.7055121527777786</v>
      </c>
      <c r="AZ235" s="472">
        <f t="shared" si="382"/>
        <v>0.83515679253472219</v>
      </c>
      <c r="BB235" s="6">
        <f t="shared" si="383"/>
        <v>0</v>
      </c>
      <c r="CG235" s="581">
        <f t="shared" si="384"/>
        <v>-50</v>
      </c>
    </row>
    <row r="236" spans="5:85" x14ac:dyDescent="0.2">
      <c r="E236" s="176">
        <v>20</v>
      </c>
      <c r="F236" s="223">
        <f t="shared" si="385"/>
        <v>0.1</v>
      </c>
      <c r="G236" s="223">
        <f t="shared" si="349"/>
        <v>0.1</v>
      </c>
      <c r="H236" s="223">
        <f t="shared" si="350"/>
        <v>0.5</v>
      </c>
      <c r="I236" s="223">
        <f t="shared" si="351"/>
        <v>0.5</v>
      </c>
      <c r="J236" s="559">
        <f t="shared" si="352"/>
        <v>48</v>
      </c>
      <c r="K236" s="454">
        <f t="shared" si="353"/>
        <v>15.75</v>
      </c>
      <c r="L236" s="454">
        <f t="shared" si="354"/>
        <v>63.75</v>
      </c>
      <c r="M236" s="454"/>
      <c r="N236" s="223">
        <f t="shared" si="355"/>
        <v>0.24705882352941178</v>
      </c>
      <c r="O236" s="178">
        <f t="shared" si="356"/>
        <v>2.0011764705882356</v>
      </c>
      <c r="P236" s="178">
        <f t="shared" si="357"/>
        <v>4.0023529411764711</v>
      </c>
      <c r="Q236" s="223">
        <f t="shared" si="358"/>
        <v>0.40023529411764713</v>
      </c>
      <c r="R236" s="223">
        <f t="shared" si="359"/>
        <v>0.40023529411764713</v>
      </c>
      <c r="S236" s="223">
        <f t="shared" si="360"/>
        <v>5</v>
      </c>
      <c r="T236" s="223">
        <f t="shared" si="361"/>
        <v>0.18738977072310403</v>
      </c>
      <c r="U236" s="223">
        <f t="shared" si="362"/>
        <v>0.17177395649617871</v>
      </c>
      <c r="V236" s="223">
        <f t="shared" si="363"/>
        <v>0.52350158170263983</v>
      </c>
      <c r="W236" s="203">
        <f t="shared" si="364"/>
        <v>350</v>
      </c>
      <c r="X236" s="454">
        <f t="shared" si="365"/>
        <v>350</v>
      </c>
      <c r="Z236" s="223">
        <f t="shared" si="366"/>
        <v>0.77005347593582896</v>
      </c>
      <c r="AA236" s="179">
        <f t="shared" si="367"/>
        <v>2.151260504201681</v>
      </c>
      <c r="AB236" s="179">
        <f t="shared" si="368"/>
        <v>0.43485372758729168</v>
      </c>
      <c r="AC236" s="179"/>
      <c r="AD236" s="179">
        <f t="shared" si="369"/>
        <v>0.419047619047619</v>
      </c>
      <c r="AE236" s="563">
        <f t="shared" si="370"/>
        <v>1060.6060606060607</v>
      </c>
      <c r="AF236" s="546">
        <f t="shared" si="371"/>
        <v>3.2999999999999995E-2</v>
      </c>
      <c r="AH236" s="179">
        <f t="shared" si="372"/>
        <v>0.36037498507822358</v>
      </c>
      <c r="AI236" s="179">
        <f t="shared" si="373"/>
        <v>0.36037498507822358</v>
      </c>
      <c r="AJ236" s="179">
        <f t="shared" si="374"/>
        <v>1.3558333222801655</v>
      </c>
      <c r="AL236" s="563">
        <f t="shared" si="375"/>
        <v>100</v>
      </c>
      <c r="AM236" s="472">
        <f t="shared" si="376"/>
        <v>350</v>
      </c>
      <c r="AO236">
        <f t="shared" si="377"/>
        <v>100</v>
      </c>
      <c r="AP236">
        <f t="shared" si="378"/>
        <v>350</v>
      </c>
      <c r="AR236" s="6">
        <f t="shared" si="342"/>
        <v>2.8571428571428572</v>
      </c>
      <c r="AS236" s="6">
        <f t="shared" si="333"/>
        <v>0.33034373632170494</v>
      </c>
      <c r="AT236" s="6">
        <f t="shared" si="334"/>
        <v>2.5267991208211522</v>
      </c>
      <c r="AU236" s="179">
        <f t="shared" si="335"/>
        <v>0.11562030771259672</v>
      </c>
      <c r="AW236" s="6">
        <f t="shared" si="379"/>
        <v>6.7055121527777786</v>
      </c>
      <c r="AX236" s="472">
        <f t="shared" si="380"/>
        <v>0.58534094267139491</v>
      </c>
      <c r="AY236" s="6">
        <f t="shared" si="381"/>
        <v>6.7055121527777786</v>
      </c>
      <c r="AZ236" s="472">
        <f t="shared" si="382"/>
        <v>0.90959201388888911</v>
      </c>
      <c r="BB236" s="6">
        <f t="shared" si="383"/>
        <v>0</v>
      </c>
      <c r="CG236" s="581">
        <f t="shared" si="384"/>
        <v>-50</v>
      </c>
    </row>
    <row r="237" spans="5:85" x14ac:dyDescent="0.2">
      <c r="E237" s="176">
        <v>21</v>
      </c>
      <c r="F237" s="223">
        <f t="shared" si="385"/>
        <v>0.105</v>
      </c>
      <c r="G237" s="223">
        <f t="shared" si="349"/>
        <v>0.105</v>
      </c>
      <c r="H237" s="223">
        <f t="shared" si="350"/>
        <v>0.52500000000000002</v>
      </c>
      <c r="I237" s="223">
        <f t="shared" si="351"/>
        <v>0.52500000000000002</v>
      </c>
      <c r="J237" s="559">
        <f t="shared" si="352"/>
        <v>48</v>
      </c>
      <c r="K237" s="454">
        <f t="shared" si="353"/>
        <v>15.75</v>
      </c>
      <c r="L237" s="454">
        <f t="shared" si="354"/>
        <v>63.75</v>
      </c>
      <c r="M237" s="454"/>
      <c r="N237" s="223">
        <f t="shared" si="355"/>
        <v>0.24705882352941178</v>
      </c>
      <c r="O237" s="178">
        <f t="shared" si="356"/>
        <v>2.0011764705882356</v>
      </c>
      <c r="P237" s="178">
        <f t="shared" si="357"/>
        <v>4.0023529411764711</v>
      </c>
      <c r="Q237" s="223">
        <f t="shared" si="358"/>
        <v>0.40023529411764713</v>
      </c>
      <c r="R237" s="223">
        <f t="shared" si="359"/>
        <v>0.40023529411764713</v>
      </c>
      <c r="S237" s="223">
        <f t="shared" si="360"/>
        <v>5</v>
      </c>
      <c r="T237" s="223">
        <f t="shared" si="361"/>
        <v>0.19675925925925924</v>
      </c>
      <c r="U237" s="223">
        <f t="shared" si="362"/>
        <v>0.18036265432098764</v>
      </c>
      <c r="V237" s="223">
        <f t="shared" si="363"/>
        <v>0.54967666078777178</v>
      </c>
      <c r="W237" s="203">
        <f t="shared" si="364"/>
        <v>350</v>
      </c>
      <c r="X237" s="454">
        <f t="shared" si="365"/>
        <v>350</v>
      </c>
      <c r="Z237" s="223">
        <f t="shared" si="366"/>
        <v>0.77005347593582896</v>
      </c>
      <c r="AA237" s="179">
        <f t="shared" si="367"/>
        <v>2.151260504201681</v>
      </c>
      <c r="AB237" s="179">
        <f t="shared" si="368"/>
        <v>0.43485372758729168</v>
      </c>
      <c r="AC237" s="179"/>
      <c r="AD237" s="179">
        <f t="shared" si="369"/>
        <v>0.419047619047619</v>
      </c>
      <c r="AE237" s="563">
        <f t="shared" si="370"/>
        <v>1113.6363636363637</v>
      </c>
      <c r="AF237" s="546">
        <f t="shared" si="371"/>
        <v>3.2999999999999995E-2</v>
      </c>
      <c r="AH237" s="179">
        <f t="shared" si="372"/>
        <v>0.3692744729379982</v>
      </c>
      <c r="AI237" s="179">
        <f t="shared" si="373"/>
        <v>0.3692744729379982</v>
      </c>
      <c r="AJ237" s="179">
        <f t="shared" si="374"/>
        <v>1.3624255355096282</v>
      </c>
      <c r="AL237" s="563">
        <f t="shared" si="375"/>
        <v>105</v>
      </c>
      <c r="AM237" s="472">
        <f t="shared" si="376"/>
        <v>350</v>
      </c>
      <c r="AO237">
        <f t="shared" si="377"/>
        <v>105</v>
      </c>
      <c r="AP237">
        <f t="shared" si="378"/>
        <v>350</v>
      </c>
      <c r="AR237" s="6">
        <f t="shared" si="342"/>
        <v>2.8571428571428572</v>
      </c>
      <c r="AS237" s="6">
        <f t="shared" si="333"/>
        <v>0.33850160019316494</v>
      </c>
      <c r="AT237" s="6">
        <f t="shared" si="334"/>
        <v>2.5186412569496923</v>
      </c>
      <c r="AU237" s="179">
        <f t="shared" si="335"/>
        <v>0.11847556006760773</v>
      </c>
      <c r="AW237" s="6">
        <f t="shared" si="379"/>
        <v>6.7055121527777786</v>
      </c>
      <c r="AX237" s="472">
        <f t="shared" si="380"/>
        <v>0.62958838929521277</v>
      </c>
      <c r="AY237" s="6">
        <f t="shared" si="381"/>
        <v>6.7055121527777786</v>
      </c>
      <c r="AZ237" s="472">
        <f t="shared" si="382"/>
        <v>0.98707519531249988</v>
      </c>
      <c r="BB237" s="6">
        <f t="shared" si="383"/>
        <v>0</v>
      </c>
      <c r="CG237" s="581">
        <f t="shared" si="384"/>
        <v>-50</v>
      </c>
    </row>
    <row r="238" spans="5:85" x14ac:dyDescent="0.2">
      <c r="E238" s="176">
        <v>22</v>
      </c>
      <c r="F238" s="223">
        <f t="shared" si="385"/>
        <v>0.11</v>
      </c>
      <c r="G238" s="223">
        <f t="shared" si="349"/>
        <v>0.11</v>
      </c>
      <c r="H238" s="223">
        <f t="shared" si="350"/>
        <v>0.55000000000000004</v>
      </c>
      <c r="I238" s="223">
        <f t="shared" si="351"/>
        <v>0.55000000000000004</v>
      </c>
      <c r="J238" s="559">
        <f t="shared" si="352"/>
        <v>48</v>
      </c>
      <c r="K238" s="454">
        <f t="shared" si="353"/>
        <v>15.75</v>
      </c>
      <c r="L238" s="454">
        <f t="shared" si="354"/>
        <v>63.75</v>
      </c>
      <c r="M238" s="454"/>
      <c r="N238" s="223">
        <f t="shared" si="355"/>
        <v>0.24705882352941178</v>
      </c>
      <c r="O238" s="178">
        <f t="shared" si="356"/>
        <v>2.0011764705882356</v>
      </c>
      <c r="P238" s="178">
        <f t="shared" si="357"/>
        <v>4.0023529411764711</v>
      </c>
      <c r="Q238" s="223">
        <f t="shared" si="358"/>
        <v>0.40023529411764713</v>
      </c>
      <c r="R238" s="223">
        <f t="shared" si="359"/>
        <v>0.40023529411764713</v>
      </c>
      <c r="S238" s="223">
        <f t="shared" si="360"/>
        <v>5</v>
      </c>
      <c r="T238" s="223">
        <f t="shared" si="361"/>
        <v>0.20612874779541446</v>
      </c>
      <c r="U238" s="223">
        <f t="shared" si="362"/>
        <v>0.18895135214579656</v>
      </c>
      <c r="V238" s="223">
        <f t="shared" si="363"/>
        <v>0.57585173987290394</v>
      </c>
      <c r="W238" s="203">
        <f t="shared" si="364"/>
        <v>350</v>
      </c>
      <c r="X238" s="454">
        <f t="shared" si="365"/>
        <v>350</v>
      </c>
      <c r="Z238" s="223">
        <f t="shared" si="366"/>
        <v>0.77005347593582896</v>
      </c>
      <c r="AA238" s="179">
        <f t="shared" si="367"/>
        <v>2.151260504201681</v>
      </c>
      <c r="AB238" s="179">
        <f t="shared" si="368"/>
        <v>0.43485372758729168</v>
      </c>
      <c r="AC238" s="179"/>
      <c r="AD238" s="179">
        <f t="shared" si="369"/>
        <v>0.419047619047619</v>
      </c>
      <c r="AE238" s="563">
        <f t="shared" si="370"/>
        <v>1166.666666666667</v>
      </c>
      <c r="AF238" s="546">
        <f t="shared" si="371"/>
        <v>3.2999999999999995E-2</v>
      </c>
      <c r="AH238" s="179">
        <f t="shared" si="372"/>
        <v>0.37796447300922725</v>
      </c>
      <c r="AI238" s="179">
        <f t="shared" si="373"/>
        <v>0.37796447300922725</v>
      </c>
      <c r="AJ238" s="179">
        <f t="shared" si="374"/>
        <v>1.3688625725994275</v>
      </c>
      <c r="AL238" s="563">
        <f t="shared" si="375"/>
        <v>110</v>
      </c>
      <c r="AM238" s="472">
        <f t="shared" si="376"/>
        <v>350</v>
      </c>
      <c r="AO238">
        <f t="shared" si="377"/>
        <v>110</v>
      </c>
      <c r="AP238">
        <f t="shared" si="378"/>
        <v>350</v>
      </c>
      <c r="AR238" s="6">
        <f t="shared" si="342"/>
        <v>2.8571428571428572</v>
      </c>
      <c r="AS238" s="6">
        <f t="shared" si="333"/>
        <v>0.34646743359179161</v>
      </c>
      <c r="AT238" s="6">
        <f t="shared" si="334"/>
        <v>2.5106754235510658</v>
      </c>
      <c r="AU238" s="179">
        <f t="shared" si="335"/>
        <v>0.12126360175712705</v>
      </c>
      <c r="AW238" s="6">
        <f t="shared" si="379"/>
        <v>6.7055121527777786</v>
      </c>
      <c r="AX238" s="472">
        <f t="shared" si="380"/>
        <v>0.67526254063238778</v>
      </c>
      <c r="AY238" s="6">
        <f t="shared" si="381"/>
        <v>6.7055121527777786</v>
      </c>
      <c r="AZ238" s="472">
        <f t="shared" si="382"/>
        <v>1.0676063368055555</v>
      </c>
      <c r="BB238" s="6">
        <f t="shared" si="383"/>
        <v>0</v>
      </c>
      <c r="CG238" s="581">
        <f t="shared" si="384"/>
        <v>-50</v>
      </c>
    </row>
    <row r="239" spans="5:85" x14ac:dyDescent="0.2">
      <c r="E239" s="176">
        <v>23</v>
      </c>
      <c r="F239" s="223">
        <f t="shared" si="385"/>
        <v>0.115</v>
      </c>
      <c r="G239" s="223">
        <f t="shared" si="349"/>
        <v>0.115</v>
      </c>
      <c r="H239" s="223">
        <f t="shared" si="350"/>
        <v>0.57500000000000007</v>
      </c>
      <c r="I239" s="223">
        <f t="shared" si="351"/>
        <v>0.57500000000000007</v>
      </c>
      <c r="J239" s="559">
        <f t="shared" si="352"/>
        <v>48</v>
      </c>
      <c r="K239" s="454">
        <f t="shared" si="353"/>
        <v>15.75</v>
      </c>
      <c r="L239" s="454">
        <f t="shared" si="354"/>
        <v>63.75</v>
      </c>
      <c r="M239" s="454"/>
      <c r="N239" s="223">
        <f t="shared" si="355"/>
        <v>0.24705882352941178</v>
      </c>
      <c r="O239" s="178">
        <f t="shared" si="356"/>
        <v>2.0011764705882356</v>
      </c>
      <c r="P239" s="178">
        <f t="shared" si="357"/>
        <v>4.0023529411764711</v>
      </c>
      <c r="Q239" s="223">
        <f t="shared" si="358"/>
        <v>0.40023529411764713</v>
      </c>
      <c r="R239" s="223">
        <f t="shared" si="359"/>
        <v>0.40023529411764713</v>
      </c>
      <c r="S239" s="223">
        <f t="shared" si="360"/>
        <v>5</v>
      </c>
      <c r="T239" s="223">
        <f t="shared" si="361"/>
        <v>0.21549823633156967</v>
      </c>
      <c r="U239" s="223">
        <f t="shared" si="362"/>
        <v>0.19754004997060554</v>
      </c>
      <c r="V239" s="223">
        <f t="shared" si="363"/>
        <v>0.60202681895803589</v>
      </c>
      <c r="W239" s="203">
        <f t="shared" si="364"/>
        <v>350</v>
      </c>
      <c r="X239" s="454">
        <f t="shared" si="365"/>
        <v>350</v>
      </c>
      <c r="Z239" s="223">
        <f t="shared" si="366"/>
        <v>0.77005347593582896</v>
      </c>
      <c r="AA239" s="179">
        <f t="shared" si="367"/>
        <v>2.151260504201681</v>
      </c>
      <c r="AB239" s="179">
        <f t="shared" si="368"/>
        <v>0.43485372758729168</v>
      </c>
      <c r="AC239" s="179"/>
      <c r="AD239" s="179">
        <f t="shared" si="369"/>
        <v>0.419047619047619</v>
      </c>
      <c r="AE239" s="563">
        <f t="shared" si="370"/>
        <v>1219.69696969697</v>
      </c>
      <c r="AF239" s="546">
        <f t="shared" si="371"/>
        <v>3.2999999999999995E-2</v>
      </c>
      <c r="AH239" s="179">
        <f t="shared" si="372"/>
        <v>0.38645911730822108</v>
      </c>
      <c r="AI239" s="179">
        <f t="shared" si="373"/>
        <v>0.38645911730822108</v>
      </c>
      <c r="AJ239" s="179">
        <f t="shared" si="374"/>
        <v>1.3751549017097933</v>
      </c>
      <c r="AL239" s="563">
        <f t="shared" si="375"/>
        <v>115</v>
      </c>
      <c r="AM239" s="472">
        <f t="shared" si="376"/>
        <v>350</v>
      </c>
      <c r="AO239">
        <f t="shared" si="377"/>
        <v>115</v>
      </c>
      <c r="AP239">
        <f t="shared" si="378"/>
        <v>350</v>
      </c>
      <c r="AR239" s="6">
        <f t="shared" si="342"/>
        <v>2.8571428571428572</v>
      </c>
      <c r="AS239" s="6">
        <f t="shared" si="333"/>
        <v>0.35425419086586929</v>
      </c>
      <c r="AT239" s="6">
        <f t="shared" si="334"/>
        <v>2.5028886662769878</v>
      </c>
      <c r="AU239" s="179">
        <f t="shared" si="335"/>
        <v>0.12398896680305425</v>
      </c>
      <c r="AW239" s="6">
        <f t="shared" si="379"/>
        <v>6.7055121527777786</v>
      </c>
      <c r="AX239" s="472">
        <f t="shared" si="380"/>
        <v>0.7223633966829196</v>
      </c>
      <c r="AY239" s="6">
        <f t="shared" si="381"/>
        <v>6.7055121527777786</v>
      </c>
      <c r="AZ239" s="472">
        <f t="shared" si="382"/>
        <v>1.1511854383680555</v>
      </c>
      <c r="BB239" s="6">
        <f t="shared" si="383"/>
        <v>0</v>
      </c>
      <c r="CG239" s="581">
        <f t="shared" si="384"/>
        <v>-50</v>
      </c>
    </row>
    <row r="240" spans="5:85" x14ac:dyDescent="0.2">
      <c r="E240" s="176">
        <v>24</v>
      </c>
      <c r="F240" s="223">
        <f t="shared" si="385"/>
        <v>0.12</v>
      </c>
      <c r="G240" s="223">
        <f t="shared" si="349"/>
        <v>0.12</v>
      </c>
      <c r="H240" s="223">
        <f t="shared" si="350"/>
        <v>0.6</v>
      </c>
      <c r="I240" s="223">
        <f t="shared" si="351"/>
        <v>0.6</v>
      </c>
      <c r="J240" s="559">
        <f t="shared" si="352"/>
        <v>48</v>
      </c>
      <c r="K240" s="454">
        <f t="shared" si="353"/>
        <v>15.75</v>
      </c>
      <c r="L240" s="454">
        <f t="shared" si="354"/>
        <v>63.75</v>
      </c>
      <c r="M240" s="454"/>
      <c r="N240" s="223">
        <f t="shared" si="355"/>
        <v>0.24705882352941178</v>
      </c>
      <c r="O240" s="178">
        <f t="shared" si="356"/>
        <v>2.0011764705882356</v>
      </c>
      <c r="P240" s="178">
        <f t="shared" si="357"/>
        <v>4.0023529411764711</v>
      </c>
      <c r="Q240" s="223">
        <f t="shared" si="358"/>
        <v>0.40023529411764713</v>
      </c>
      <c r="R240" s="223">
        <f t="shared" si="359"/>
        <v>0.40023529411764713</v>
      </c>
      <c r="S240" s="223">
        <f t="shared" si="360"/>
        <v>5</v>
      </c>
      <c r="T240" s="223">
        <f t="shared" si="361"/>
        <v>0.22486772486772486</v>
      </c>
      <c r="U240" s="223">
        <f t="shared" si="362"/>
        <v>0.20612874779541446</v>
      </c>
      <c r="V240" s="223">
        <f t="shared" si="363"/>
        <v>0.62820189804316784</v>
      </c>
      <c r="W240" s="203">
        <f t="shared" si="364"/>
        <v>350</v>
      </c>
      <c r="X240" s="454">
        <f t="shared" si="365"/>
        <v>350</v>
      </c>
      <c r="Z240" s="223">
        <f t="shared" si="366"/>
        <v>0.77005347593582896</v>
      </c>
      <c r="AA240" s="179">
        <f t="shared" si="367"/>
        <v>2.151260504201681</v>
      </c>
      <c r="AB240" s="179">
        <f t="shared" si="368"/>
        <v>0.43485372758729168</v>
      </c>
      <c r="AC240" s="179"/>
      <c r="AD240" s="179">
        <f t="shared" si="369"/>
        <v>0.419047619047619</v>
      </c>
      <c r="AE240" s="563">
        <f t="shared" si="370"/>
        <v>1272.727272727273</v>
      </c>
      <c r="AF240" s="546">
        <f t="shared" si="371"/>
        <v>3.2999999999999995E-2</v>
      </c>
      <c r="AH240" s="179">
        <f t="shared" si="372"/>
        <v>0.39477101697586137</v>
      </c>
      <c r="AI240" s="179">
        <f t="shared" si="373"/>
        <v>0.39477101697586137</v>
      </c>
      <c r="AJ240" s="179">
        <f t="shared" si="374"/>
        <v>1.3813118644265638</v>
      </c>
      <c r="AL240" s="563">
        <f t="shared" si="375"/>
        <v>120</v>
      </c>
      <c r="AM240" s="472">
        <f t="shared" si="376"/>
        <v>350</v>
      </c>
      <c r="AO240">
        <f t="shared" si="377"/>
        <v>120</v>
      </c>
      <c r="AP240">
        <f t="shared" si="378"/>
        <v>350</v>
      </c>
      <c r="AR240" s="6">
        <f t="shared" si="342"/>
        <v>2.8571428571428572</v>
      </c>
      <c r="AS240" s="6">
        <f t="shared" si="333"/>
        <v>0.36187343222787288</v>
      </c>
      <c r="AT240" s="6">
        <f t="shared" si="334"/>
        <v>2.4952694249149845</v>
      </c>
      <c r="AU240" s="179">
        <f t="shared" si="335"/>
        <v>0.12665570127975551</v>
      </c>
      <c r="AW240" s="6">
        <f t="shared" si="379"/>
        <v>6.7055121527777786</v>
      </c>
      <c r="AX240" s="472">
        <f t="shared" si="380"/>
        <v>0.77089095744680847</v>
      </c>
      <c r="AY240" s="6">
        <f t="shared" si="381"/>
        <v>6.7055121527777786</v>
      </c>
      <c r="AZ240" s="472">
        <f t="shared" si="382"/>
        <v>1.2378125</v>
      </c>
      <c r="BB240" s="6">
        <f t="shared" si="383"/>
        <v>0</v>
      </c>
      <c r="CG240" s="581">
        <f t="shared" si="384"/>
        <v>-50</v>
      </c>
    </row>
    <row r="241" spans="5:85" x14ac:dyDescent="0.2">
      <c r="E241" s="176">
        <v>25</v>
      </c>
      <c r="F241" s="223">
        <f t="shared" si="385"/>
        <v>0.125</v>
      </c>
      <c r="G241" s="223">
        <f t="shared" si="349"/>
        <v>0.125</v>
      </c>
      <c r="H241" s="223">
        <f t="shared" si="350"/>
        <v>0.625</v>
      </c>
      <c r="I241" s="223">
        <f t="shared" si="351"/>
        <v>0.625</v>
      </c>
      <c r="J241" s="559">
        <f t="shared" si="352"/>
        <v>48</v>
      </c>
      <c r="K241" s="454">
        <f t="shared" si="353"/>
        <v>15.75</v>
      </c>
      <c r="L241" s="454">
        <f t="shared" si="354"/>
        <v>63.75</v>
      </c>
      <c r="M241" s="454"/>
      <c r="N241" s="223">
        <f t="shared" si="355"/>
        <v>0.24705882352941178</v>
      </c>
      <c r="O241" s="178">
        <f t="shared" si="356"/>
        <v>2.0011764705882356</v>
      </c>
      <c r="P241" s="178">
        <f t="shared" si="357"/>
        <v>4.0023529411764711</v>
      </c>
      <c r="Q241" s="223">
        <f t="shared" si="358"/>
        <v>0.40023529411764713</v>
      </c>
      <c r="R241" s="223">
        <f t="shared" si="359"/>
        <v>0.40023529411764713</v>
      </c>
      <c r="S241" s="223">
        <f t="shared" si="360"/>
        <v>5</v>
      </c>
      <c r="T241" s="223">
        <f t="shared" si="361"/>
        <v>0.23423721340388004</v>
      </c>
      <c r="U241" s="223">
        <f t="shared" si="362"/>
        <v>0.21471744562022335</v>
      </c>
      <c r="V241" s="223">
        <f t="shared" si="363"/>
        <v>0.65437697712829968</v>
      </c>
      <c r="W241" s="203">
        <f t="shared" si="364"/>
        <v>350</v>
      </c>
      <c r="X241" s="454">
        <f t="shared" si="365"/>
        <v>350</v>
      </c>
      <c r="Z241" s="223">
        <f t="shared" si="366"/>
        <v>0.77005347593582896</v>
      </c>
      <c r="AA241" s="179">
        <f t="shared" si="367"/>
        <v>2.151260504201681</v>
      </c>
      <c r="AB241" s="179">
        <f t="shared" si="368"/>
        <v>0.43485372758729168</v>
      </c>
      <c r="AC241" s="179"/>
      <c r="AD241" s="179">
        <f t="shared" si="369"/>
        <v>0.419047619047619</v>
      </c>
      <c r="AE241" s="563">
        <f t="shared" si="370"/>
        <v>1325.757575757576</v>
      </c>
      <c r="AF241" s="546">
        <f t="shared" si="371"/>
        <v>3.2999999999999995E-2</v>
      </c>
      <c r="AH241" s="179">
        <f t="shared" si="372"/>
        <v>0.40291148201269017</v>
      </c>
      <c r="AI241" s="179">
        <f t="shared" si="373"/>
        <v>0.40291148201269017</v>
      </c>
      <c r="AJ241" s="179">
        <f t="shared" si="374"/>
        <v>1.3873418385279186</v>
      </c>
      <c r="AL241" s="563">
        <f t="shared" si="375"/>
        <v>125</v>
      </c>
      <c r="AM241" s="472">
        <f t="shared" si="376"/>
        <v>350</v>
      </c>
      <c r="AO241">
        <f t="shared" si="377"/>
        <v>125</v>
      </c>
      <c r="AP241">
        <f t="shared" si="378"/>
        <v>350</v>
      </c>
      <c r="AR241" s="6">
        <f t="shared" si="342"/>
        <v>2.8571428571428572</v>
      </c>
      <c r="AS241" s="6">
        <f t="shared" si="333"/>
        <v>0.36933552517829932</v>
      </c>
      <c r="AT241" s="6">
        <f t="shared" si="334"/>
        <v>2.4878073319645577</v>
      </c>
      <c r="AU241" s="179">
        <f t="shared" si="335"/>
        <v>0.12926743381240477</v>
      </c>
      <c r="AW241" s="6">
        <f t="shared" si="379"/>
        <v>6.7055121527777786</v>
      </c>
      <c r="AX241" s="472">
        <f t="shared" si="380"/>
        <v>0.82084522292405437</v>
      </c>
      <c r="AY241" s="6">
        <f t="shared" si="381"/>
        <v>6.7055121527777786</v>
      </c>
      <c r="AZ241" s="472">
        <f t="shared" si="382"/>
        <v>1.3274875217013888</v>
      </c>
      <c r="BB241" s="6">
        <f t="shared" si="383"/>
        <v>0</v>
      </c>
      <c r="CG241" s="581">
        <f t="shared" si="384"/>
        <v>-50</v>
      </c>
    </row>
    <row r="242" spans="5:85" x14ac:dyDescent="0.2">
      <c r="E242" s="176">
        <v>26</v>
      </c>
      <c r="F242" s="223">
        <f t="shared" si="385"/>
        <v>0.13</v>
      </c>
      <c r="G242" s="223">
        <f t="shared" si="349"/>
        <v>0.13</v>
      </c>
      <c r="H242" s="223">
        <f t="shared" si="350"/>
        <v>0.65</v>
      </c>
      <c r="I242" s="223">
        <f t="shared" si="351"/>
        <v>0.65</v>
      </c>
      <c r="J242" s="559">
        <f t="shared" si="352"/>
        <v>48</v>
      </c>
      <c r="K242" s="454">
        <f t="shared" si="353"/>
        <v>15.75</v>
      </c>
      <c r="L242" s="454">
        <f t="shared" si="354"/>
        <v>63.75</v>
      </c>
      <c r="M242" s="454"/>
      <c r="N242" s="223">
        <f t="shared" si="355"/>
        <v>0.24705882352941178</v>
      </c>
      <c r="O242" s="178">
        <f t="shared" si="356"/>
        <v>2.0011764705882356</v>
      </c>
      <c r="P242" s="178">
        <f t="shared" si="357"/>
        <v>4.0023529411764711</v>
      </c>
      <c r="Q242" s="223">
        <f t="shared" si="358"/>
        <v>0.40023529411764713</v>
      </c>
      <c r="R242" s="223">
        <f t="shared" si="359"/>
        <v>0.40023529411764713</v>
      </c>
      <c r="S242" s="223">
        <f t="shared" si="360"/>
        <v>5</v>
      </c>
      <c r="T242" s="223">
        <f t="shared" si="361"/>
        <v>0.24360670194003525</v>
      </c>
      <c r="U242" s="223">
        <f t="shared" si="362"/>
        <v>0.2233061434450323</v>
      </c>
      <c r="V242" s="223">
        <f t="shared" si="363"/>
        <v>0.68055205621343184</v>
      </c>
      <c r="W242" s="203">
        <f t="shared" si="364"/>
        <v>350</v>
      </c>
      <c r="X242" s="454">
        <f t="shared" si="365"/>
        <v>350</v>
      </c>
      <c r="Z242" s="223">
        <f t="shared" si="366"/>
        <v>0.77005347593582896</v>
      </c>
      <c r="AA242" s="179">
        <f t="shared" si="367"/>
        <v>2.151260504201681</v>
      </c>
      <c r="AB242" s="179">
        <f t="shared" si="368"/>
        <v>0.43485372758729168</v>
      </c>
      <c r="AC242" s="179"/>
      <c r="AD242" s="179">
        <f t="shared" si="369"/>
        <v>0.419047619047619</v>
      </c>
      <c r="AE242" s="563">
        <f t="shared" si="370"/>
        <v>1378.7878787878792</v>
      </c>
      <c r="AF242" s="546">
        <f t="shared" si="371"/>
        <v>3.2999999999999995E-2</v>
      </c>
      <c r="AH242" s="179">
        <f t="shared" si="372"/>
        <v>0.4108907018066591</v>
      </c>
      <c r="AI242" s="179">
        <f t="shared" si="373"/>
        <v>0.4108907018066591</v>
      </c>
      <c r="AJ242" s="179">
        <f t="shared" si="374"/>
        <v>1.3932523717086363</v>
      </c>
      <c r="AL242" s="563">
        <f t="shared" si="375"/>
        <v>130</v>
      </c>
      <c r="AM242" s="472">
        <f t="shared" si="376"/>
        <v>350</v>
      </c>
      <c r="AO242">
        <f t="shared" si="377"/>
        <v>130</v>
      </c>
      <c r="AP242">
        <f t="shared" si="378"/>
        <v>350</v>
      </c>
      <c r="AR242" s="6">
        <f t="shared" si="342"/>
        <v>2.8571428571428572</v>
      </c>
      <c r="AS242" s="6">
        <f t="shared" si="333"/>
        <v>0.37664980998943748</v>
      </c>
      <c r="AT242" s="6">
        <f t="shared" si="334"/>
        <v>2.4804930471534199</v>
      </c>
      <c r="AU242" s="179">
        <f t="shared" si="335"/>
        <v>0.1318274334963031</v>
      </c>
      <c r="AW242" s="6">
        <f t="shared" si="379"/>
        <v>6.7055121527777786</v>
      </c>
      <c r="AX242" s="472">
        <f t="shared" si="380"/>
        <v>0.87222619311465732</v>
      </c>
      <c r="AY242" s="6">
        <f t="shared" si="381"/>
        <v>6.7055121527777786</v>
      </c>
      <c r="AZ242" s="472">
        <f t="shared" si="382"/>
        <v>1.4202105034722221</v>
      </c>
      <c r="BB242" s="6">
        <f t="shared" si="383"/>
        <v>0</v>
      </c>
      <c r="CG242" s="581">
        <f t="shared" si="384"/>
        <v>-50</v>
      </c>
    </row>
    <row r="243" spans="5:85" x14ac:dyDescent="0.2">
      <c r="E243" s="176">
        <v>27</v>
      </c>
      <c r="F243" s="223">
        <f t="shared" si="385"/>
        <v>0.13500000000000001</v>
      </c>
      <c r="G243" s="223">
        <f t="shared" si="349"/>
        <v>0.13500000000000001</v>
      </c>
      <c r="H243" s="223">
        <f t="shared" si="350"/>
        <v>0.67500000000000004</v>
      </c>
      <c r="I243" s="223">
        <f t="shared" si="351"/>
        <v>0.67500000000000004</v>
      </c>
      <c r="J243" s="559">
        <f t="shared" si="352"/>
        <v>48</v>
      </c>
      <c r="K243" s="454">
        <f t="shared" si="353"/>
        <v>15.75</v>
      </c>
      <c r="L243" s="454">
        <f t="shared" si="354"/>
        <v>63.75</v>
      </c>
      <c r="M243" s="454"/>
      <c r="N243" s="223">
        <f t="shared" si="355"/>
        <v>0.24705882352941178</v>
      </c>
      <c r="O243" s="178">
        <f t="shared" si="356"/>
        <v>2.0011764705882356</v>
      </c>
      <c r="P243" s="178">
        <f t="shared" si="357"/>
        <v>4.0023529411764711</v>
      </c>
      <c r="Q243" s="223">
        <f t="shared" si="358"/>
        <v>0.40023529411764713</v>
      </c>
      <c r="R243" s="223">
        <f t="shared" si="359"/>
        <v>0.40023529411764713</v>
      </c>
      <c r="S243" s="223">
        <f t="shared" si="360"/>
        <v>5</v>
      </c>
      <c r="T243" s="223">
        <f t="shared" si="361"/>
        <v>0.25297619047619047</v>
      </c>
      <c r="U243" s="223">
        <f t="shared" si="362"/>
        <v>0.23189484126984125</v>
      </c>
      <c r="V243" s="223">
        <f t="shared" si="363"/>
        <v>0.70672713529856379</v>
      </c>
      <c r="W243" s="203">
        <f t="shared" si="364"/>
        <v>350</v>
      </c>
      <c r="X243" s="454">
        <f t="shared" si="365"/>
        <v>350</v>
      </c>
      <c r="Z243" s="223">
        <f t="shared" si="366"/>
        <v>0.77005347593582896</v>
      </c>
      <c r="AA243" s="179">
        <f t="shared" si="367"/>
        <v>2.151260504201681</v>
      </c>
      <c r="AB243" s="179">
        <f t="shared" si="368"/>
        <v>0.43485372758729168</v>
      </c>
      <c r="AC243" s="179"/>
      <c r="AD243" s="179">
        <f t="shared" si="369"/>
        <v>0.419047619047619</v>
      </c>
      <c r="AE243" s="563">
        <f t="shared" si="370"/>
        <v>1431.8181818181822</v>
      </c>
      <c r="AF243" s="546">
        <f t="shared" si="371"/>
        <v>3.2999999999999995E-2</v>
      </c>
      <c r="AH243" s="179">
        <f t="shared" si="372"/>
        <v>0.41871789467931192</v>
      </c>
      <c r="AI243" s="179">
        <f t="shared" si="373"/>
        <v>0.41871789467931192</v>
      </c>
      <c r="AJ243" s="179">
        <f t="shared" si="374"/>
        <v>1.3990502923550459</v>
      </c>
      <c r="AL243" s="563">
        <f t="shared" si="375"/>
        <v>135</v>
      </c>
      <c r="AM243" s="472">
        <f t="shared" si="376"/>
        <v>350</v>
      </c>
      <c r="AO243">
        <f t="shared" si="377"/>
        <v>135</v>
      </c>
      <c r="AP243">
        <f t="shared" si="378"/>
        <v>350</v>
      </c>
      <c r="AR243" s="6">
        <f t="shared" si="342"/>
        <v>2.8571428571428572</v>
      </c>
      <c r="AS243" s="6">
        <f t="shared" ref="AS243:AS306" si="386">L*AI243/J243*1000000</f>
        <v>0.38382473678936924</v>
      </c>
      <c r="AT243" s="6">
        <f t="shared" ref="AT243:AT306" si="387">AR243-AS243</f>
        <v>2.473318120353488</v>
      </c>
      <c r="AU243" s="179">
        <f t="shared" ref="AU243:AU306" si="388">AS243/AR243</f>
        <v>0.13433865787627922</v>
      </c>
      <c r="AW243" s="6">
        <f t="shared" si="379"/>
        <v>6.7055121527777786</v>
      </c>
      <c r="AX243" s="472">
        <f t="shared" si="380"/>
        <v>0.92503386801861709</v>
      </c>
      <c r="AY243" s="6">
        <f t="shared" si="381"/>
        <v>6.7055121527777786</v>
      </c>
      <c r="AZ243" s="472">
        <f t="shared" si="382"/>
        <v>1.5159814453125</v>
      </c>
      <c r="BB243" s="6">
        <f t="shared" si="383"/>
        <v>0</v>
      </c>
      <c r="CG243" s="581">
        <f t="shared" si="384"/>
        <v>-50</v>
      </c>
    </row>
    <row r="244" spans="5:85" x14ac:dyDescent="0.2">
      <c r="E244" s="176">
        <v>28</v>
      </c>
      <c r="F244" s="223">
        <f t="shared" si="385"/>
        <v>0.14000000000000001</v>
      </c>
      <c r="G244" s="223">
        <f t="shared" si="349"/>
        <v>0.14000000000000001</v>
      </c>
      <c r="H244" s="223">
        <f t="shared" si="350"/>
        <v>0.70000000000000007</v>
      </c>
      <c r="I244" s="223">
        <f t="shared" si="351"/>
        <v>0.70000000000000007</v>
      </c>
      <c r="J244" s="559">
        <f t="shared" si="352"/>
        <v>48</v>
      </c>
      <c r="K244" s="454">
        <f t="shared" si="353"/>
        <v>15.75</v>
      </c>
      <c r="L244" s="454">
        <f t="shared" si="354"/>
        <v>63.75</v>
      </c>
      <c r="M244" s="454"/>
      <c r="N244" s="223">
        <f t="shared" si="355"/>
        <v>0.24705882352941178</v>
      </c>
      <c r="O244" s="178">
        <f t="shared" si="356"/>
        <v>2.0011764705882356</v>
      </c>
      <c r="P244" s="178">
        <f t="shared" si="357"/>
        <v>4.0023529411764711</v>
      </c>
      <c r="Q244" s="223">
        <f t="shared" si="358"/>
        <v>0.40023529411764713</v>
      </c>
      <c r="R244" s="223">
        <f t="shared" si="359"/>
        <v>0.40023529411764713</v>
      </c>
      <c r="S244" s="223">
        <f t="shared" si="360"/>
        <v>5</v>
      </c>
      <c r="T244" s="223">
        <f t="shared" si="361"/>
        <v>0.26234567901234568</v>
      </c>
      <c r="U244" s="223">
        <f t="shared" si="362"/>
        <v>0.24048353909465023</v>
      </c>
      <c r="V244" s="223">
        <f t="shared" si="363"/>
        <v>0.73290221438369585</v>
      </c>
      <c r="W244" s="203">
        <f t="shared" si="364"/>
        <v>350</v>
      </c>
      <c r="X244" s="454">
        <f t="shared" si="365"/>
        <v>350</v>
      </c>
      <c r="Z244" s="223">
        <f t="shared" si="366"/>
        <v>0.77005347593582896</v>
      </c>
      <c r="AA244" s="179">
        <f t="shared" si="367"/>
        <v>2.151260504201681</v>
      </c>
      <c r="AB244" s="179">
        <f t="shared" si="368"/>
        <v>0.43485372758729168</v>
      </c>
      <c r="AC244" s="179"/>
      <c r="AD244" s="179">
        <f t="shared" si="369"/>
        <v>0.419047619047619</v>
      </c>
      <c r="AE244" s="563">
        <f t="shared" si="370"/>
        <v>1484.8484848484854</v>
      </c>
      <c r="AF244" s="546">
        <f t="shared" si="371"/>
        <v>3.2999999999999995E-2</v>
      </c>
      <c r="AH244" s="179">
        <f t="shared" si="372"/>
        <v>0.42640143271122088</v>
      </c>
      <c r="AI244" s="179">
        <f t="shared" si="373"/>
        <v>0.42640143271122088</v>
      </c>
      <c r="AJ244" s="179">
        <f t="shared" si="374"/>
        <v>1.4047418020083118</v>
      </c>
      <c r="AL244" s="563">
        <f t="shared" si="375"/>
        <v>140</v>
      </c>
      <c r="AM244" s="472">
        <f t="shared" si="376"/>
        <v>350</v>
      </c>
      <c r="AO244">
        <f t="shared" si="377"/>
        <v>140</v>
      </c>
      <c r="AP244">
        <f t="shared" si="378"/>
        <v>350</v>
      </c>
      <c r="AR244" s="6">
        <f t="shared" si="342"/>
        <v>2.8571428571428572</v>
      </c>
      <c r="AS244" s="6">
        <f t="shared" si="386"/>
        <v>0.39086797998528583</v>
      </c>
      <c r="AT244" s="6">
        <f t="shared" si="387"/>
        <v>2.4662748771575713</v>
      </c>
      <c r="AU244" s="179">
        <f t="shared" si="388"/>
        <v>0.13680379299485004</v>
      </c>
      <c r="AW244" s="6">
        <f t="shared" si="379"/>
        <v>6.7055121527777786</v>
      </c>
      <c r="AX244" s="472">
        <f t="shared" si="380"/>
        <v>0.9792682476359339</v>
      </c>
      <c r="AY244" s="6">
        <f t="shared" si="381"/>
        <v>6.7055121527777786</v>
      </c>
      <c r="AZ244" s="472">
        <f t="shared" si="382"/>
        <v>1.6148003472222223</v>
      </c>
      <c r="BB244" s="6">
        <f t="shared" si="383"/>
        <v>0</v>
      </c>
      <c r="CG244" s="581">
        <f t="shared" si="384"/>
        <v>-50</v>
      </c>
    </row>
    <row r="245" spans="5:85" x14ac:dyDescent="0.2">
      <c r="E245" s="176">
        <v>29</v>
      </c>
      <c r="F245" s="223">
        <f t="shared" si="385"/>
        <v>0.14499999999999999</v>
      </c>
      <c r="G245" s="223">
        <f t="shared" si="349"/>
        <v>0.14499999999999999</v>
      </c>
      <c r="H245" s="223">
        <f t="shared" si="350"/>
        <v>0.72499999999999998</v>
      </c>
      <c r="I245" s="223">
        <f t="shared" si="351"/>
        <v>0.72499999999999998</v>
      </c>
      <c r="J245" s="559">
        <f t="shared" si="352"/>
        <v>48</v>
      </c>
      <c r="K245" s="454">
        <f t="shared" si="353"/>
        <v>15.75</v>
      </c>
      <c r="L245" s="454">
        <f t="shared" si="354"/>
        <v>63.75</v>
      </c>
      <c r="M245" s="454"/>
      <c r="N245" s="223">
        <f t="shared" si="355"/>
        <v>0.24705882352941178</v>
      </c>
      <c r="O245" s="178">
        <f t="shared" si="356"/>
        <v>2.0011764705882356</v>
      </c>
      <c r="P245" s="178">
        <f t="shared" si="357"/>
        <v>4.0023529411764711</v>
      </c>
      <c r="Q245" s="223">
        <f t="shared" si="358"/>
        <v>0.40023529411764713</v>
      </c>
      <c r="R245" s="223">
        <f t="shared" si="359"/>
        <v>0.40023529411764713</v>
      </c>
      <c r="S245" s="223">
        <f t="shared" si="360"/>
        <v>5</v>
      </c>
      <c r="T245" s="223">
        <f t="shared" si="361"/>
        <v>0.27171516754850084</v>
      </c>
      <c r="U245" s="223">
        <f t="shared" si="362"/>
        <v>0.24907223691945909</v>
      </c>
      <c r="V245" s="223">
        <f t="shared" si="363"/>
        <v>0.75907729346882769</v>
      </c>
      <c r="W245" s="203">
        <f t="shared" si="364"/>
        <v>350</v>
      </c>
      <c r="X245" s="454">
        <f t="shared" si="365"/>
        <v>350</v>
      </c>
      <c r="Z245" s="223">
        <f t="shared" si="366"/>
        <v>0.77005347593582896</v>
      </c>
      <c r="AA245" s="179">
        <f t="shared" si="367"/>
        <v>2.151260504201681</v>
      </c>
      <c r="AB245" s="179">
        <f t="shared" si="368"/>
        <v>0.43485372758729168</v>
      </c>
      <c r="AC245" s="179"/>
      <c r="AD245" s="179">
        <f t="shared" si="369"/>
        <v>0.419047619047619</v>
      </c>
      <c r="AE245" s="563">
        <f t="shared" si="370"/>
        <v>1537.878787878788</v>
      </c>
      <c r="AF245" s="546">
        <f t="shared" si="371"/>
        <v>3.2999999999999995E-2</v>
      </c>
      <c r="AH245" s="179">
        <f t="shared" si="372"/>
        <v>0.43394894666502914</v>
      </c>
      <c r="AI245" s="179">
        <f t="shared" si="373"/>
        <v>0.43394894666502914</v>
      </c>
      <c r="AJ245" s="179">
        <f t="shared" si="374"/>
        <v>1.4103325530852067</v>
      </c>
      <c r="AL245" s="563">
        <f t="shared" si="375"/>
        <v>145</v>
      </c>
      <c r="AM245" s="472">
        <f t="shared" si="376"/>
        <v>350</v>
      </c>
      <c r="AO245">
        <f t="shared" si="377"/>
        <v>145</v>
      </c>
      <c r="AP245">
        <f t="shared" si="378"/>
        <v>350</v>
      </c>
      <c r="AR245" s="6">
        <f t="shared" si="342"/>
        <v>2.8571428571428572</v>
      </c>
      <c r="AS245" s="6">
        <f t="shared" si="386"/>
        <v>0.39778653444294332</v>
      </c>
      <c r="AT245" s="6">
        <f t="shared" si="387"/>
        <v>2.459356322699914</v>
      </c>
      <c r="AU245" s="179">
        <f t="shared" si="388"/>
        <v>0.13922528705503015</v>
      </c>
      <c r="AW245" s="6">
        <f t="shared" si="379"/>
        <v>6.7055121527777786</v>
      </c>
      <c r="AX245" s="472">
        <f t="shared" si="380"/>
        <v>1.0349293319666075</v>
      </c>
      <c r="AY245" s="6">
        <f t="shared" si="381"/>
        <v>6.7055121527777786</v>
      </c>
      <c r="AZ245" s="472">
        <f t="shared" si="382"/>
        <v>1.7166672092013888</v>
      </c>
      <c r="BB245" s="6">
        <f t="shared" si="383"/>
        <v>0</v>
      </c>
      <c r="CG245" s="581">
        <f t="shared" si="384"/>
        <v>-50</v>
      </c>
    </row>
    <row r="246" spans="5:85" x14ac:dyDescent="0.2">
      <c r="E246" s="176">
        <v>30</v>
      </c>
      <c r="F246" s="223">
        <f t="shared" si="385"/>
        <v>0.15</v>
      </c>
      <c r="G246" s="223">
        <f t="shared" si="349"/>
        <v>0.15</v>
      </c>
      <c r="H246" s="223">
        <f t="shared" si="350"/>
        <v>0.75</v>
      </c>
      <c r="I246" s="223">
        <f t="shared" si="351"/>
        <v>0.75</v>
      </c>
      <c r="J246" s="559">
        <f t="shared" si="352"/>
        <v>48</v>
      </c>
      <c r="K246" s="454">
        <f t="shared" si="353"/>
        <v>15.75</v>
      </c>
      <c r="L246" s="454">
        <f t="shared" si="354"/>
        <v>63.75</v>
      </c>
      <c r="M246" s="454"/>
      <c r="N246" s="223">
        <f t="shared" si="355"/>
        <v>0.24705882352941178</v>
      </c>
      <c r="O246" s="178">
        <f t="shared" si="356"/>
        <v>2.0011764705882356</v>
      </c>
      <c r="P246" s="178">
        <f t="shared" si="357"/>
        <v>4.0023529411764711</v>
      </c>
      <c r="Q246" s="223">
        <f t="shared" si="358"/>
        <v>0.40023529411764713</v>
      </c>
      <c r="R246" s="223">
        <f t="shared" si="359"/>
        <v>0.40023529411764713</v>
      </c>
      <c r="S246" s="223">
        <f t="shared" si="360"/>
        <v>5</v>
      </c>
      <c r="T246" s="223">
        <f t="shared" si="361"/>
        <v>0.28108465608465605</v>
      </c>
      <c r="U246" s="223">
        <f t="shared" si="362"/>
        <v>0.25766093474426804</v>
      </c>
      <c r="V246" s="223">
        <f t="shared" si="363"/>
        <v>0.78525237255395974</v>
      </c>
      <c r="W246" s="203">
        <f t="shared" si="364"/>
        <v>350</v>
      </c>
      <c r="X246" s="454">
        <f t="shared" si="365"/>
        <v>350</v>
      </c>
      <c r="Z246" s="223">
        <f t="shared" si="366"/>
        <v>0.77005347593582896</v>
      </c>
      <c r="AA246" s="179">
        <f t="shared" si="367"/>
        <v>2.151260504201681</v>
      </c>
      <c r="AB246" s="179">
        <f t="shared" si="368"/>
        <v>0.43485372758729168</v>
      </c>
      <c r="AC246" s="179"/>
      <c r="AD246" s="179">
        <f t="shared" si="369"/>
        <v>0.419047619047619</v>
      </c>
      <c r="AE246" s="563">
        <f t="shared" si="370"/>
        <v>1590.909090909091</v>
      </c>
      <c r="AF246" s="546">
        <f t="shared" si="371"/>
        <v>3.2999999999999995E-2</v>
      </c>
      <c r="AH246" s="179">
        <f t="shared" si="372"/>
        <v>0.44136741475237479</v>
      </c>
      <c r="AI246" s="179">
        <f t="shared" si="373"/>
        <v>0.44136741475237479</v>
      </c>
      <c r="AJ246" s="179">
        <f t="shared" si="374"/>
        <v>1.4158277146313887</v>
      </c>
      <c r="AL246" s="563">
        <f t="shared" si="375"/>
        <v>150</v>
      </c>
      <c r="AM246" s="472">
        <f t="shared" si="376"/>
        <v>350</v>
      </c>
      <c r="AO246">
        <f t="shared" si="377"/>
        <v>150</v>
      </c>
      <c r="AP246">
        <f t="shared" si="378"/>
        <v>350</v>
      </c>
      <c r="AR246" s="6">
        <f t="shared" si="342"/>
        <v>2.8571428571428572</v>
      </c>
      <c r="AS246" s="6">
        <f t="shared" si="386"/>
        <v>0.40458679685634358</v>
      </c>
      <c r="AT246" s="6">
        <f t="shared" si="387"/>
        <v>2.4525560602865135</v>
      </c>
      <c r="AU246" s="179">
        <f t="shared" si="388"/>
        <v>0.14160537889972025</v>
      </c>
      <c r="AW246" s="6">
        <f t="shared" si="379"/>
        <v>6.7055121527777786</v>
      </c>
      <c r="AX246" s="472">
        <f t="shared" si="380"/>
        <v>1.0920171210106382</v>
      </c>
      <c r="AY246" s="6">
        <f t="shared" si="381"/>
        <v>6.7055121527777786</v>
      </c>
      <c r="AZ246" s="472">
        <f t="shared" si="382"/>
        <v>1.8215820312499997</v>
      </c>
      <c r="BB246" s="6">
        <f t="shared" si="383"/>
        <v>0</v>
      </c>
      <c r="CG246" s="581">
        <f t="shared" si="384"/>
        <v>-50</v>
      </c>
    </row>
    <row r="247" spans="5:85" x14ac:dyDescent="0.2">
      <c r="E247" s="176">
        <v>31</v>
      </c>
      <c r="F247" s="223">
        <f t="shared" si="385"/>
        <v>0.155</v>
      </c>
      <c r="G247" s="223">
        <f t="shared" si="349"/>
        <v>0.155</v>
      </c>
      <c r="H247" s="223">
        <f t="shared" si="350"/>
        <v>0.77500000000000002</v>
      </c>
      <c r="I247" s="223">
        <f t="shared" si="351"/>
        <v>0.77500000000000002</v>
      </c>
      <c r="J247" s="559">
        <f t="shared" si="352"/>
        <v>48</v>
      </c>
      <c r="K247" s="454">
        <f t="shared" si="353"/>
        <v>15.75</v>
      </c>
      <c r="L247" s="454">
        <f t="shared" si="354"/>
        <v>63.75</v>
      </c>
      <c r="M247" s="454"/>
      <c r="N247" s="223">
        <f t="shared" si="355"/>
        <v>0.24705882352941178</v>
      </c>
      <c r="O247" s="178">
        <f t="shared" si="356"/>
        <v>2.0011764705882356</v>
      </c>
      <c r="P247" s="178">
        <f t="shared" si="357"/>
        <v>4.0023529411764711</v>
      </c>
      <c r="Q247" s="223">
        <f t="shared" si="358"/>
        <v>0.40023529411764713</v>
      </c>
      <c r="R247" s="223">
        <f t="shared" si="359"/>
        <v>0.40023529411764713</v>
      </c>
      <c r="S247" s="223">
        <f t="shared" si="360"/>
        <v>5</v>
      </c>
      <c r="T247" s="223">
        <f t="shared" si="361"/>
        <v>0.29045414462081126</v>
      </c>
      <c r="U247" s="223">
        <f t="shared" si="362"/>
        <v>0.26624963256907697</v>
      </c>
      <c r="V247" s="223">
        <f t="shared" si="363"/>
        <v>0.81142745163909169</v>
      </c>
      <c r="W247" s="203">
        <f t="shared" si="364"/>
        <v>350</v>
      </c>
      <c r="X247" s="454">
        <f t="shared" si="365"/>
        <v>350</v>
      </c>
      <c r="Z247" s="223">
        <f t="shared" si="366"/>
        <v>0.77005347593582896</v>
      </c>
      <c r="AA247" s="179">
        <f t="shared" si="367"/>
        <v>2.151260504201681</v>
      </c>
      <c r="AB247" s="179">
        <f t="shared" si="368"/>
        <v>0.43485372758729168</v>
      </c>
      <c r="AC247" s="179"/>
      <c r="AD247" s="179">
        <f t="shared" si="369"/>
        <v>0.419047619047619</v>
      </c>
      <c r="AE247" s="563">
        <f t="shared" si="370"/>
        <v>1643.9393939393944</v>
      </c>
      <c r="AF247" s="546">
        <f t="shared" si="371"/>
        <v>3.2999999999999995E-2</v>
      </c>
      <c r="AH247" s="179">
        <f t="shared" si="372"/>
        <v>0.44866323818505716</v>
      </c>
      <c r="AI247" s="179">
        <f t="shared" si="373"/>
        <v>0.44866323818505716</v>
      </c>
      <c r="AJ247" s="179">
        <f t="shared" si="374"/>
        <v>1.4212320282852275</v>
      </c>
      <c r="AL247" s="563">
        <f t="shared" si="375"/>
        <v>155</v>
      </c>
      <c r="AM247" s="472">
        <f t="shared" si="376"/>
        <v>350</v>
      </c>
      <c r="AO247">
        <f t="shared" si="377"/>
        <v>155</v>
      </c>
      <c r="AP247">
        <f t="shared" si="378"/>
        <v>350</v>
      </c>
      <c r="AR247" s="6">
        <f t="shared" si="342"/>
        <v>2.8571428571428572</v>
      </c>
      <c r="AS247" s="6">
        <f t="shared" si="386"/>
        <v>0.41127463500296907</v>
      </c>
      <c r="AT247" s="6">
        <f t="shared" si="387"/>
        <v>2.4458682221398882</v>
      </c>
      <c r="AU247" s="179">
        <f t="shared" si="388"/>
        <v>0.14394612225103917</v>
      </c>
      <c r="AW247" s="6">
        <f t="shared" si="379"/>
        <v>6.7055121527777786</v>
      </c>
      <c r="AX247" s="472">
        <f t="shared" si="380"/>
        <v>1.1505316147680258</v>
      </c>
      <c r="AY247" s="6">
        <f t="shared" si="381"/>
        <v>6.7055121527777786</v>
      </c>
      <c r="AZ247" s="472">
        <f t="shared" si="382"/>
        <v>1.9295448133680559</v>
      </c>
      <c r="BB247" s="6">
        <f t="shared" si="383"/>
        <v>0</v>
      </c>
      <c r="CG247" s="581">
        <f t="shared" si="384"/>
        <v>-50</v>
      </c>
    </row>
    <row r="248" spans="5:85" x14ac:dyDescent="0.2">
      <c r="E248" s="176">
        <v>32</v>
      </c>
      <c r="F248" s="223">
        <f t="shared" si="385"/>
        <v>0.16</v>
      </c>
      <c r="G248" s="223">
        <f t="shared" ref="G248:G279" si="389">IF(PLOT_TYPE=1, E248/100*Iout2, min_I*EXP(Q248*rr/100))</f>
        <v>0.16</v>
      </c>
      <c r="H248" s="223">
        <f t="shared" ref="H248:H279" si="390">F248*Vout</f>
        <v>0.8</v>
      </c>
      <c r="I248" s="223">
        <f t="shared" ref="I248:I279" si="391">Vout2*G248</f>
        <v>0.8</v>
      </c>
      <c r="J248" s="559">
        <f t="shared" si="352"/>
        <v>48</v>
      </c>
      <c r="K248" s="454">
        <f t="shared" si="353"/>
        <v>15.75</v>
      </c>
      <c r="L248" s="454">
        <f t="shared" si="354"/>
        <v>63.75</v>
      </c>
      <c r="M248" s="454"/>
      <c r="N248" s="223">
        <f t="shared" si="355"/>
        <v>0.24705882352941178</v>
      </c>
      <c r="O248" s="178">
        <f t="shared" ref="O248:O279" si="392">N248*J248*Isw_max*0.5*Efficiency*Pout/(Pout+Pout2)</f>
        <v>2.0011764705882356</v>
      </c>
      <c r="P248" s="178">
        <f t="shared" ref="P248:P279" si="393">N248*J248*Isw_max*0.5*Efficiency*(Pout2/Pout_total)</f>
        <v>4.0023529411764711</v>
      </c>
      <c r="Q248" s="223">
        <f t="shared" si="358"/>
        <v>0.40023529411764713</v>
      </c>
      <c r="R248" s="223">
        <f t="shared" ref="R248:R279" si="394">O248/Vout2</f>
        <v>0.40023529411764713</v>
      </c>
      <c r="S248" s="223">
        <f t="shared" ref="S248:S279" si="395">MIN(Vout,O248/F248)</f>
        <v>5</v>
      </c>
      <c r="T248" s="223">
        <f t="shared" ref="T248:T279" si="396">MIN(2*(Vout*F248+Vout2*G248)/(Efficiency*J248*N248), Isw_max)</f>
        <v>0.29982363315696647</v>
      </c>
      <c r="U248" s="223">
        <f t="shared" si="362"/>
        <v>0.27483833039388594</v>
      </c>
      <c r="V248" s="223">
        <f t="shared" si="363"/>
        <v>0.83760253072422386</v>
      </c>
      <c r="W248" s="203">
        <f t="shared" si="364"/>
        <v>350</v>
      </c>
      <c r="X248" s="454">
        <f t="shared" si="365"/>
        <v>350</v>
      </c>
      <c r="Z248" s="223">
        <f t="shared" si="366"/>
        <v>0.77005347593582896</v>
      </c>
      <c r="AA248" s="179">
        <f t="shared" si="367"/>
        <v>2.151260504201681</v>
      </c>
      <c r="AB248" s="179">
        <f t="shared" ref="AB248:AB279" si="397">0.5*AA248*Z248*Nps*W248/1000*(Pout/(Pout+Pout2))</f>
        <v>0.43485372758729168</v>
      </c>
      <c r="AC248" s="179"/>
      <c r="AD248" s="179">
        <f t="shared" si="369"/>
        <v>0.419047619047619</v>
      </c>
      <c r="AE248" s="563">
        <f t="shared" ref="AE248:AE279" si="398">MAX(10, F248/(0.5*AD248/1000000*Isw_min*Nps)/1000*Pout_total/Pout)</f>
        <v>1696.9696969696972</v>
      </c>
      <c r="AF248" s="546">
        <f t="shared" ref="AF248:AF279" si="399">0.5*AD248/1000000*Isw_min*Nps*W248*1000*(Pout/Pout_total)</f>
        <v>3.2999999999999995E-2</v>
      </c>
      <c r="AH248" s="179">
        <f t="shared" ref="AH248:AH279" si="400">SQRT((H248+I248)/(0.5*L*Fsw_DCM))</f>
        <v>0.45584230583855179</v>
      </c>
      <c r="AI248" s="179">
        <f t="shared" ref="AI248:AI279" si="401">MAX(IF(F248&gt;AB248,T248,AH248),Isw_min)</f>
        <v>0.45584230583855179</v>
      </c>
      <c r="AJ248" s="179">
        <f t="shared" ref="AJ248:AJ279" si="402">IF(F248&gt;AF248, (AI248-Isw_min)/1.08*0.8+1.2, AE248*0.2/350+1)</f>
        <v>1.4265498561767049</v>
      </c>
      <c r="AL248" s="563">
        <f t="shared" ref="AL248:AL279" si="403">F248*1000</f>
        <v>160</v>
      </c>
      <c r="AM248" s="472">
        <f t="shared" ref="AM248:AM279" si="404">IF(F248&gt;AF248, X248, AE248)</f>
        <v>350</v>
      </c>
      <c r="AO248">
        <f t="shared" si="377"/>
        <v>160</v>
      </c>
      <c r="AP248">
        <f t="shared" si="378"/>
        <v>350</v>
      </c>
      <c r="AR248" s="6">
        <f t="shared" si="342"/>
        <v>2.8571428571428572</v>
      </c>
      <c r="AS248" s="6">
        <f t="shared" si="386"/>
        <v>0.4178554470186725</v>
      </c>
      <c r="AT248" s="6">
        <f t="shared" si="387"/>
        <v>2.4392874101241846</v>
      </c>
      <c r="AU248" s="179">
        <f t="shared" si="388"/>
        <v>0.14624940645653536</v>
      </c>
      <c r="AW248" s="6">
        <f t="shared" ref="AW248:AW279" si="405">L*Iout^2/(2*Vripple1_spec*Vout*Npri_sec1^2)*1000000000*((1+N248)/(1-N248))^2</f>
        <v>6.7055121527777786</v>
      </c>
      <c r="AX248" s="472">
        <f t="shared" ref="AX248:AX279" si="406">L*F248^2/(2*Cout*Vout*Nps^2)*1000000000*((1+N248)/(1-N248))^2+F248*RCoutEsr</f>
        <v>1.2104728132387705</v>
      </c>
      <c r="AY248" s="6">
        <f t="shared" ref="AY248:AY279" si="407">L*Iout2^2/(2*Vripple2_spec*Vout2*Npri_sec2^2)*1000000000*((1+N248)/(1-N248))^2</f>
        <v>6.7055121527777786</v>
      </c>
      <c r="AZ248" s="472">
        <f t="shared" ref="AZ248:AZ279" si="408">L*G248^2/(2*Cout2*Vout2*Npri_sec2^2)*1000000000*((1+N248)/(1-N248))^2+G248*CoutEsr2</f>
        <v>2.0405555555555552</v>
      </c>
      <c r="BB248" s="6">
        <f t="shared" ref="BB248:BB279" si="409">((CB248/J248/Efficiency)*AT248/Cin+(CB248/J248/Efficiency)*RCinEsr)*1000</f>
        <v>0</v>
      </c>
      <c r="CG248" s="581">
        <f t="shared" ref="CG248:CG279" si="410">IF(ABS(F248-Ioutmax_Vinmax)&lt;Iout/200, AM248, -50)</f>
        <v>-50</v>
      </c>
    </row>
    <row r="249" spans="5:85" x14ac:dyDescent="0.2">
      <c r="E249" s="176">
        <v>33</v>
      </c>
      <c r="F249" s="223">
        <f t="shared" ref="F249:F280" si="411">IF(PLOT_TYPE=1, E249/100*Iout_max, min_I*EXP(O249*rr/100))</f>
        <v>0.16500000000000001</v>
      </c>
      <c r="G249" s="223">
        <f t="shared" si="389"/>
        <v>0.16500000000000001</v>
      </c>
      <c r="H249" s="223">
        <f t="shared" si="390"/>
        <v>0.82500000000000007</v>
      </c>
      <c r="I249" s="223">
        <f t="shared" si="391"/>
        <v>0.82500000000000007</v>
      </c>
      <c r="J249" s="559">
        <f t="shared" si="352"/>
        <v>48</v>
      </c>
      <c r="K249" s="454">
        <f t="shared" si="353"/>
        <v>15.75</v>
      </c>
      <c r="L249" s="454">
        <f t="shared" si="354"/>
        <v>63.75</v>
      </c>
      <c r="M249" s="454"/>
      <c r="N249" s="223">
        <f t="shared" si="355"/>
        <v>0.24705882352941178</v>
      </c>
      <c r="O249" s="178">
        <f t="shared" si="392"/>
        <v>2.0011764705882356</v>
      </c>
      <c r="P249" s="178">
        <f t="shared" si="393"/>
        <v>4.0023529411764711</v>
      </c>
      <c r="Q249" s="223">
        <f t="shared" si="358"/>
        <v>0.40023529411764713</v>
      </c>
      <c r="R249" s="223">
        <f t="shared" si="394"/>
        <v>0.40023529411764713</v>
      </c>
      <c r="S249" s="223">
        <f t="shared" si="395"/>
        <v>5</v>
      </c>
      <c r="T249" s="223">
        <f t="shared" si="396"/>
        <v>0.30919312169312169</v>
      </c>
      <c r="U249" s="223">
        <f t="shared" si="362"/>
        <v>0.28342702821869487</v>
      </c>
      <c r="V249" s="223">
        <f t="shared" si="363"/>
        <v>0.86377760980935581</v>
      </c>
      <c r="W249" s="203">
        <f t="shared" si="364"/>
        <v>350</v>
      </c>
      <c r="X249" s="454">
        <f t="shared" si="365"/>
        <v>350</v>
      </c>
      <c r="Z249" s="223">
        <f t="shared" si="366"/>
        <v>0.77005347593582896</v>
      </c>
      <c r="AA249" s="179">
        <f t="shared" si="367"/>
        <v>2.151260504201681</v>
      </c>
      <c r="AB249" s="179">
        <f t="shared" si="397"/>
        <v>0.43485372758729168</v>
      </c>
      <c r="AC249" s="179"/>
      <c r="AD249" s="179">
        <f t="shared" si="369"/>
        <v>0.419047619047619</v>
      </c>
      <c r="AE249" s="563">
        <f t="shared" si="398"/>
        <v>1750.0000000000005</v>
      </c>
      <c r="AF249" s="546">
        <f t="shared" si="399"/>
        <v>3.2999999999999995E-2</v>
      </c>
      <c r="AH249" s="179">
        <f t="shared" si="400"/>
        <v>0.46291004988627577</v>
      </c>
      <c r="AI249" s="179">
        <f t="shared" si="401"/>
        <v>0.46291004988627577</v>
      </c>
      <c r="AJ249" s="179">
        <f t="shared" si="402"/>
        <v>1.4317852221379821</v>
      </c>
      <c r="AL249" s="563">
        <f t="shared" si="403"/>
        <v>165</v>
      </c>
      <c r="AM249" s="472">
        <f t="shared" si="404"/>
        <v>350</v>
      </c>
      <c r="AO249">
        <f t="shared" si="377"/>
        <v>165</v>
      </c>
      <c r="AP249">
        <f t="shared" si="378"/>
        <v>350</v>
      </c>
      <c r="AR249" s="6">
        <f t="shared" si="342"/>
        <v>2.8571428571428572</v>
      </c>
      <c r="AS249" s="6">
        <f t="shared" si="386"/>
        <v>0.42433421239575275</v>
      </c>
      <c r="AT249" s="6">
        <f t="shared" si="387"/>
        <v>2.4328086447471042</v>
      </c>
      <c r="AU249" s="179">
        <f t="shared" si="388"/>
        <v>0.14851697433851346</v>
      </c>
      <c r="AW249" s="6">
        <f t="shared" si="405"/>
        <v>6.7055121527777786</v>
      </c>
      <c r="AX249" s="472">
        <f t="shared" si="406"/>
        <v>1.2718407164228722</v>
      </c>
      <c r="AY249" s="6">
        <f t="shared" si="407"/>
        <v>6.7055121527777786</v>
      </c>
      <c r="AZ249" s="472">
        <f t="shared" si="408"/>
        <v>2.1546142578124998</v>
      </c>
      <c r="BB249" s="6">
        <f t="shared" si="409"/>
        <v>0</v>
      </c>
      <c r="CG249" s="581">
        <f t="shared" si="410"/>
        <v>-50</v>
      </c>
    </row>
    <row r="250" spans="5:85" x14ac:dyDescent="0.2">
      <c r="E250" s="176">
        <v>34</v>
      </c>
      <c r="F250" s="223">
        <f t="shared" si="411"/>
        <v>0.17</v>
      </c>
      <c r="G250" s="223">
        <f t="shared" si="389"/>
        <v>0.17</v>
      </c>
      <c r="H250" s="223">
        <f t="shared" si="390"/>
        <v>0.85000000000000009</v>
      </c>
      <c r="I250" s="223">
        <f t="shared" si="391"/>
        <v>0.85000000000000009</v>
      </c>
      <c r="J250" s="559">
        <f t="shared" si="352"/>
        <v>48</v>
      </c>
      <c r="K250" s="454">
        <f t="shared" si="353"/>
        <v>15.75</v>
      </c>
      <c r="L250" s="454">
        <f t="shared" si="354"/>
        <v>63.75</v>
      </c>
      <c r="M250" s="454"/>
      <c r="N250" s="223">
        <f t="shared" si="355"/>
        <v>0.24705882352941178</v>
      </c>
      <c r="O250" s="178">
        <f t="shared" si="392"/>
        <v>2.0011764705882356</v>
      </c>
      <c r="P250" s="178">
        <f t="shared" si="393"/>
        <v>4.0023529411764711</v>
      </c>
      <c r="Q250" s="223">
        <f t="shared" si="358"/>
        <v>0.40023529411764713</v>
      </c>
      <c r="R250" s="223">
        <f t="shared" si="394"/>
        <v>0.40023529411764713</v>
      </c>
      <c r="S250" s="223">
        <f t="shared" si="395"/>
        <v>5</v>
      </c>
      <c r="T250" s="223">
        <f t="shared" si="396"/>
        <v>0.3185626102292769</v>
      </c>
      <c r="U250" s="223">
        <f t="shared" si="362"/>
        <v>0.29201572604350384</v>
      </c>
      <c r="V250" s="223">
        <f t="shared" si="363"/>
        <v>0.88995268889448786</v>
      </c>
      <c r="W250" s="203">
        <f t="shared" si="364"/>
        <v>350</v>
      </c>
      <c r="X250" s="454">
        <f t="shared" si="365"/>
        <v>350</v>
      </c>
      <c r="Z250" s="223">
        <f t="shared" si="366"/>
        <v>0.77005347593582896</v>
      </c>
      <c r="AA250" s="179">
        <f t="shared" si="367"/>
        <v>2.151260504201681</v>
      </c>
      <c r="AB250" s="179">
        <f t="shared" si="397"/>
        <v>0.43485372758729168</v>
      </c>
      <c r="AC250" s="179"/>
      <c r="AD250" s="179">
        <f t="shared" si="369"/>
        <v>0.419047619047619</v>
      </c>
      <c r="AE250" s="563">
        <f t="shared" si="398"/>
        <v>1803.0303030303035</v>
      </c>
      <c r="AF250" s="546">
        <f t="shared" si="399"/>
        <v>3.2999999999999995E-2</v>
      </c>
      <c r="AH250" s="179">
        <f t="shared" si="400"/>
        <v>0.46987149389936478</v>
      </c>
      <c r="AI250" s="179">
        <f t="shared" si="401"/>
        <v>0.46987149389936478</v>
      </c>
      <c r="AJ250" s="179">
        <f t="shared" si="402"/>
        <v>1.4369418473328628</v>
      </c>
      <c r="AL250" s="563">
        <f t="shared" si="403"/>
        <v>170</v>
      </c>
      <c r="AM250" s="472">
        <f t="shared" si="404"/>
        <v>350</v>
      </c>
      <c r="AO250">
        <f t="shared" si="377"/>
        <v>170</v>
      </c>
      <c r="AP250">
        <f t="shared" si="378"/>
        <v>350</v>
      </c>
      <c r="AR250" s="6">
        <f t="shared" si="342"/>
        <v>2.8571428571428572</v>
      </c>
      <c r="AS250" s="6">
        <f t="shared" si="386"/>
        <v>0.4307155360744177</v>
      </c>
      <c r="AT250" s="6">
        <f t="shared" si="387"/>
        <v>2.4264273210684397</v>
      </c>
      <c r="AU250" s="179">
        <f t="shared" si="388"/>
        <v>0.1507504376260462</v>
      </c>
      <c r="AW250" s="6">
        <f t="shared" si="405"/>
        <v>6.7055121527777786</v>
      </c>
      <c r="AX250" s="472">
        <f t="shared" si="406"/>
        <v>1.3346353243203313</v>
      </c>
      <c r="AY250" s="6">
        <f t="shared" si="407"/>
        <v>6.7055121527777786</v>
      </c>
      <c r="AZ250" s="472">
        <f t="shared" si="408"/>
        <v>2.2717209201388893</v>
      </c>
      <c r="BB250" s="6">
        <f t="shared" si="409"/>
        <v>0</v>
      </c>
      <c r="CG250" s="581">
        <f t="shared" si="410"/>
        <v>-50</v>
      </c>
    </row>
    <row r="251" spans="5:85" x14ac:dyDescent="0.2">
      <c r="E251" s="176">
        <v>35</v>
      </c>
      <c r="F251" s="223">
        <f t="shared" si="411"/>
        <v>0.17499999999999999</v>
      </c>
      <c r="G251" s="223">
        <f t="shared" si="389"/>
        <v>0.17499999999999999</v>
      </c>
      <c r="H251" s="223">
        <f t="shared" si="390"/>
        <v>0.875</v>
      </c>
      <c r="I251" s="223">
        <f t="shared" si="391"/>
        <v>0.875</v>
      </c>
      <c r="J251" s="559">
        <f t="shared" si="352"/>
        <v>48</v>
      </c>
      <c r="K251" s="454">
        <f t="shared" si="353"/>
        <v>15.75</v>
      </c>
      <c r="L251" s="454">
        <f t="shared" si="354"/>
        <v>63.75</v>
      </c>
      <c r="M251" s="454"/>
      <c r="N251" s="223">
        <f t="shared" si="355"/>
        <v>0.24705882352941178</v>
      </c>
      <c r="O251" s="178">
        <f t="shared" si="392"/>
        <v>2.0011764705882356</v>
      </c>
      <c r="P251" s="178">
        <f t="shared" si="393"/>
        <v>4.0023529411764711</v>
      </c>
      <c r="Q251" s="223">
        <f t="shared" si="358"/>
        <v>0.40023529411764713</v>
      </c>
      <c r="R251" s="223">
        <f t="shared" si="394"/>
        <v>0.40023529411764713</v>
      </c>
      <c r="S251" s="223">
        <f t="shared" si="395"/>
        <v>5</v>
      </c>
      <c r="T251" s="223">
        <f t="shared" si="396"/>
        <v>0.32793209876543206</v>
      </c>
      <c r="U251" s="223">
        <f t="shared" si="362"/>
        <v>0.30060442386831271</v>
      </c>
      <c r="V251" s="223">
        <f t="shared" si="363"/>
        <v>0.9161277679796197</v>
      </c>
      <c r="W251" s="203">
        <f t="shared" si="364"/>
        <v>350</v>
      </c>
      <c r="X251" s="454">
        <f t="shared" si="365"/>
        <v>350</v>
      </c>
      <c r="Z251" s="223">
        <f t="shared" si="366"/>
        <v>0.77005347593582896</v>
      </c>
      <c r="AA251" s="179">
        <f t="shared" si="367"/>
        <v>2.151260504201681</v>
      </c>
      <c r="AB251" s="179">
        <f t="shared" si="397"/>
        <v>0.43485372758729168</v>
      </c>
      <c r="AC251" s="179"/>
      <c r="AD251" s="179">
        <f t="shared" si="369"/>
        <v>0.419047619047619</v>
      </c>
      <c r="AE251" s="563">
        <f t="shared" si="398"/>
        <v>1856.0606060606065</v>
      </c>
      <c r="AF251" s="546">
        <f t="shared" si="399"/>
        <v>3.2999999999999995E-2</v>
      </c>
      <c r="AH251" s="179">
        <f t="shared" si="400"/>
        <v>0.47673129462279618</v>
      </c>
      <c r="AI251" s="179">
        <f t="shared" si="401"/>
        <v>0.47673129462279618</v>
      </c>
      <c r="AJ251" s="179">
        <f t="shared" si="402"/>
        <v>1.4420231812020712</v>
      </c>
      <c r="AL251" s="563">
        <f t="shared" si="403"/>
        <v>175</v>
      </c>
      <c r="AM251" s="472">
        <f t="shared" si="404"/>
        <v>350</v>
      </c>
      <c r="AO251">
        <f t="shared" si="377"/>
        <v>175</v>
      </c>
      <c r="AP251">
        <f t="shared" si="378"/>
        <v>350</v>
      </c>
      <c r="AR251" s="6">
        <f t="shared" si="342"/>
        <v>2.8571428571428572</v>
      </c>
      <c r="AS251" s="6">
        <f t="shared" si="386"/>
        <v>0.43700368673756312</v>
      </c>
      <c r="AT251" s="6">
        <f t="shared" si="387"/>
        <v>2.4201391704052941</v>
      </c>
      <c r="AU251" s="179">
        <f t="shared" si="388"/>
        <v>0.15295129035814709</v>
      </c>
      <c r="AW251" s="6">
        <f t="shared" si="405"/>
        <v>6.7055121527777786</v>
      </c>
      <c r="AX251" s="472">
        <f t="shared" si="406"/>
        <v>1.3988566369311464</v>
      </c>
      <c r="AY251" s="6">
        <f t="shared" si="407"/>
        <v>6.7055121527777786</v>
      </c>
      <c r="AZ251" s="472">
        <f t="shared" si="408"/>
        <v>2.3918755425347218</v>
      </c>
      <c r="BB251" s="6">
        <f t="shared" si="409"/>
        <v>0</v>
      </c>
      <c r="CG251" s="581">
        <f t="shared" si="410"/>
        <v>-50</v>
      </c>
    </row>
    <row r="252" spans="5:85" x14ac:dyDescent="0.2">
      <c r="E252" s="176">
        <v>36</v>
      </c>
      <c r="F252" s="223">
        <f t="shared" si="411"/>
        <v>0.18</v>
      </c>
      <c r="G252" s="223">
        <f t="shared" si="389"/>
        <v>0.18</v>
      </c>
      <c r="H252" s="223">
        <f t="shared" si="390"/>
        <v>0.89999999999999991</v>
      </c>
      <c r="I252" s="223">
        <f t="shared" si="391"/>
        <v>0.89999999999999991</v>
      </c>
      <c r="J252" s="559">
        <f t="shared" si="352"/>
        <v>48</v>
      </c>
      <c r="K252" s="454">
        <f t="shared" si="353"/>
        <v>15.75</v>
      </c>
      <c r="L252" s="454">
        <f t="shared" si="354"/>
        <v>63.75</v>
      </c>
      <c r="M252" s="454"/>
      <c r="N252" s="223">
        <f t="shared" si="355"/>
        <v>0.24705882352941178</v>
      </c>
      <c r="O252" s="178">
        <f t="shared" si="392"/>
        <v>2.0011764705882356</v>
      </c>
      <c r="P252" s="178">
        <f t="shared" si="393"/>
        <v>4.0023529411764711</v>
      </c>
      <c r="Q252" s="223">
        <f t="shared" si="358"/>
        <v>0.40023529411764713</v>
      </c>
      <c r="R252" s="223">
        <f t="shared" si="394"/>
        <v>0.40023529411764713</v>
      </c>
      <c r="S252" s="223">
        <f t="shared" si="395"/>
        <v>5</v>
      </c>
      <c r="T252" s="223">
        <f t="shared" si="396"/>
        <v>0.33730158730158727</v>
      </c>
      <c r="U252" s="223">
        <f t="shared" si="362"/>
        <v>0.30919312169312169</v>
      </c>
      <c r="V252" s="223">
        <f t="shared" si="363"/>
        <v>0.94230284706475176</v>
      </c>
      <c r="W252" s="203">
        <f t="shared" si="364"/>
        <v>350</v>
      </c>
      <c r="X252" s="454">
        <f t="shared" si="365"/>
        <v>350</v>
      </c>
      <c r="Z252" s="223">
        <f t="shared" si="366"/>
        <v>0.77005347593582896</v>
      </c>
      <c r="AA252" s="179">
        <f t="shared" si="367"/>
        <v>2.151260504201681</v>
      </c>
      <c r="AB252" s="179">
        <f t="shared" si="397"/>
        <v>0.43485372758729168</v>
      </c>
      <c r="AC252" s="179"/>
      <c r="AD252" s="179">
        <f t="shared" si="369"/>
        <v>0.419047619047619</v>
      </c>
      <c r="AE252" s="563">
        <f t="shared" si="398"/>
        <v>1909.0909090909095</v>
      </c>
      <c r="AF252" s="546">
        <f t="shared" si="399"/>
        <v>3.2999999999999995E-2</v>
      </c>
      <c r="AH252" s="179">
        <f t="shared" si="400"/>
        <v>0.48349377841522817</v>
      </c>
      <c r="AI252" s="179">
        <f t="shared" si="401"/>
        <v>0.48349377841522817</v>
      </c>
      <c r="AJ252" s="179">
        <f t="shared" si="402"/>
        <v>1.4470324284557246</v>
      </c>
      <c r="AL252" s="563">
        <f t="shared" si="403"/>
        <v>180</v>
      </c>
      <c r="AM252" s="472">
        <f t="shared" si="404"/>
        <v>350</v>
      </c>
      <c r="AO252">
        <f t="shared" si="377"/>
        <v>180</v>
      </c>
      <c r="AP252">
        <f t="shared" si="378"/>
        <v>350</v>
      </c>
      <c r="AR252" s="6">
        <f t="shared" si="342"/>
        <v>2.8571428571428572</v>
      </c>
      <c r="AS252" s="6">
        <f t="shared" si="386"/>
        <v>0.44320263021395917</v>
      </c>
      <c r="AT252" s="6">
        <f t="shared" si="387"/>
        <v>2.4139402269288981</v>
      </c>
      <c r="AU252" s="179">
        <f t="shared" si="388"/>
        <v>0.15512092057488572</v>
      </c>
      <c r="AW252" s="6">
        <f t="shared" si="405"/>
        <v>6.7055121527777786</v>
      </c>
      <c r="AX252" s="472">
        <f t="shared" si="406"/>
        <v>1.4645046542553191</v>
      </c>
      <c r="AY252" s="6">
        <f t="shared" si="407"/>
        <v>6.7055121527777786</v>
      </c>
      <c r="AZ252" s="472">
        <f t="shared" si="408"/>
        <v>2.5150781250000001</v>
      </c>
      <c r="BB252" s="6">
        <f t="shared" si="409"/>
        <v>0</v>
      </c>
      <c r="CG252" s="581">
        <f t="shared" si="410"/>
        <v>-50</v>
      </c>
    </row>
    <row r="253" spans="5:85" x14ac:dyDescent="0.2">
      <c r="E253" s="176">
        <v>37</v>
      </c>
      <c r="F253" s="223">
        <f t="shared" si="411"/>
        <v>0.185</v>
      </c>
      <c r="G253" s="223">
        <f t="shared" si="389"/>
        <v>0.185</v>
      </c>
      <c r="H253" s="223">
        <f t="shared" si="390"/>
        <v>0.92500000000000004</v>
      </c>
      <c r="I253" s="223">
        <f t="shared" si="391"/>
        <v>0.92500000000000004</v>
      </c>
      <c r="J253" s="559">
        <f t="shared" si="352"/>
        <v>48</v>
      </c>
      <c r="K253" s="454">
        <f t="shared" si="353"/>
        <v>15.75</v>
      </c>
      <c r="L253" s="454">
        <f t="shared" si="354"/>
        <v>63.75</v>
      </c>
      <c r="M253" s="454"/>
      <c r="N253" s="223">
        <f t="shared" si="355"/>
        <v>0.24705882352941178</v>
      </c>
      <c r="O253" s="178">
        <f t="shared" si="392"/>
        <v>2.0011764705882356</v>
      </c>
      <c r="P253" s="178">
        <f t="shared" si="393"/>
        <v>4.0023529411764711</v>
      </c>
      <c r="Q253" s="223">
        <f t="shared" si="358"/>
        <v>0.40023529411764713</v>
      </c>
      <c r="R253" s="223">
        <f t="shared" si="394"/>
        <v>0.40023529411764713</v>
      </c>
      <c r="S253" s="223">
        <f t="shared" si="395"/>
        <v>5</v>
      </c>
      <c r="T253" s="223">
        <f t="shared" si="396"/>
        <v>0.34667107583774248</v>
      </c>
      <c r="U253" s="223">
        <f t="shared" si="362"/>
        <v>0.31778181951793061</v>
      </c>
      <c r="V253" s="223">
        <f t="shared" si="363"/>
        <v>0.96847792614988382</v>
      </c>
      <c r="W253" s="203">
        <f t="shared" si="364"/>
        <v>350</v>
      </c>
      <c r="X253" s="454">
        <f t="shared" si="365"/>
        <v>350</v>
      </c>
      <c r="Z253" s="223">
        <f t="shared" si="366"/>
        <v>0.77005347593582896</v>
      </c>
      <c r="AA253" s="179">
        <f t="shared" si="367"/>
        <v>2.151260504201681</v>
      </c>
      <c r="AB253" s="179">
        <f t="shared" si="397"/>
        <v>0.43485372758729168</v>
      </c>
      <c r="AC253" s="179"/>
      <c r="AD253" s="179">
        <f t="shared" si="369"/>
        <v>0.419047619047619</v>
      </c>
      <c r="AE253" s="563">
        <f t="shared" si="398"/>
        <v>1962.1212121212125</v>
      </c>
      <c r="AF253" s="546">
        <f t="shared" si="399"/>
        <v>3.2999999999999995E-2</v>
      </c>
      <c r="AH253" s="179">
        <f t="shared" si="400"/>
        <v>0.49016297316274338</v>
      </c>
      <c r="AI253" s="179">
        <f t="shared" si="401"/>
        <v>0.49016297316274338</v>
      </c>
      <c r="AJ253" s="179">
        <f t="shared" si="402"/>
        <v>1.4519725727131432</v>
      </c>
      <c r="AL253" s="563">
        <f t="shared" si="403"/>
        <v>185</v>
      </c>
      <c r="AM253" s="472">
        <f t="shared" si="404"/>
        <v>350</v>
      </c>
      <c r="AO253">
        <f t="shared" si="377"/>
        <v>185</v>
      </c>
      <c r="AP253">
        <f t="shared" si="378"/>
        <v>350</v>
      </c>
      <c r="AR253" s="6">
        <f t="shared" si="342"/>
        <v>2.8571428571428572</v>
      </c>
      <c r="AS253" s="6">
        <f t="shared" si="386"/>
        <v>0.44931605873251479</v>
      </c>
      <c r="AT253" s="6">
        <f t="shared" si="387"/>
        <v>2.4078267984103423</v>
      </c>
      <c r="AU253" s="179">
        <f t="shared" si="388"/>
        <v>0.15726062055638018</v>
      </c>
      <c r="AW253" s="6">
        <f t="shared" si="405"/>
        <v>6.7055121527777786</v>
      </c>
      <c r="AX253" s="472">
        <f t="shared" si="406"/>
        <v>1.5315793762928485</v>
      </c>
      <c r="AY253" s="6">
        <f t="shared" si="407"/>
        <v>6.7055121527777786</v>
      </c>
      <c r="AZ253" s="472">
        <f t="shared" si="408"/>
        <v>2.6413286675347214</v>
      </c>
      <c r="BB253" s="6">
        <f t="shared" si="409"/>
        <v>0</v>
      </c>
      <c r="CG253" s="581">
        <f t="shared" si="410"/>
        <v>-50</v>
      </c>
    </row>
    <row r="254" spans="5:85" x14ac:dyDescent="0.2">
      <c r="E254" s="176">
        <v>38</v>
      </c>
      <c r="F254" s="223">
        <f t="shared" si="411"/>
        <v>0.19</v>
      </c>
      <c r="G254" s="223">
        <f t="shared" si="389"/>
        <v>0.19</v>
      </c>
      <c r="H254" s="223">
        <f t="shared" si="390"/>
        <v>0.95</v>
      </c>
      <c r="I254" s="223">
        <f t="shared" si="391"/>
        <v>0.95</v>
      </c>
      <c r="J254" s="559">
        <f t="shared" si="352"/>
        <v>48</v>
      </c>
      <c r="K254" s="454">
        <f t="shared" si="353"/>
        <v>15.75</v>
      </c>
      <c r="L254" s="454">
        <f t="shared" si="354"/>
        <v>63.75</v>
      </c>
      <c r="M254" s="454"/>
      <c r="N254" s="223">
        <f t="shared" si="355"/>
        <v>0.24705882352941178</v>
      </c>
      <c r="O254" s="178">
        <f t="shared" si="392"/>
        <v>2.0011764705882356</v>
      </c>
      <c r="P254" s="178">
        <f t="shared" si="393"/>
        <v>4.0023529411764711</v>
      </c>
      <c r="Q254" s="223">
        <f t="shared" si="358"/>
        <v>0.40023529411764713</v>
      </c>
      <c r="R254" s="223">
        <f t="shared" si="394"/>
        <v>0.40023529411764713</v>
      </c>
      <c r="S254" s="223">
        <f t="shared" si="395"/>
        <v>5</v>
      </c>
      <c r="T254" s="223">
        <f t="shared" si="396"/>
        <v>0.35604056437389764</v>
      </c>
      <c r="U254" s="223">
        <f t="shared" si="362"/>
        <v>0.32637051734273947</v>
      </c>
      <c r="V254" s="223">
        <f t="shared" si="363"/>
        <v>0.99465300523501576</v>
      </c>
      <c r="W254" s="203">
        <f t="shared" si="364"/>
        <v>350</v>
      </c>
      <c r="X254" s="454">
        <f t="shared" si="365"/>
        <v>350</v>
      </c>
      <c r="Z254" s="223">
        <f t="shared" si="366"/>
        <v>0.77005347593582896</v>
      </c>
      <c r="AA254" s="179">
        <f t="shared" si="367"/>
        <v>2.151260504201681</v>
      </c>
      <c r="AB254" s="179">
        <f t="shared" si="397"/>
        <v>0.43485372758729168</v>
      </c>
      <c r="AC254" s="179"/>
      <c r="AD254" s="179">
        <f t="shared" si="369"/>
        <v>0.419047619047619</v>
      </c>
      <c r="AE254" s="563">
        <f t="shared" si="398"/>
        <v>2015.1515151515155</v>
      </c>
      <c r="AF254" s="546">
        <f t="shared" si="399"/>
        <v>3.2999999999999995E-2</v>
      </c>
      <c r="AH254" s="179">
        <f t="shared" si="400"/>
        <v>0.49674263633520199</v>
      </c>
      <c r="AI254" s="179">
        <f t="shared" si="401"/>
        <v>0.49674263633520199</v>
      </c>
      <c r="AJ254" s="179">
        <f t="shared" si="402"/>
        <v>1.4568463972853347</v>
      </c>
      <c r="AL254" s="563">
        <f t="shared" si="403"/>
        <v>190</v>
      </c>
      <c r="AM254" s="472">
        <f t="shared" si="404"/>
        <v>350</v>
      </c>
      <c r="AO254">
        <f t="shared" si="377"/>
        <v>190</v>
      </c>
      <c r="AP254">
        <f t="shared" si="378"/>
        <v>350</v>
      </c>
      <c r="AR254" s="6">
        <f t="shared" si="342"/>
        <v>2.8571428571428572</v>
      </c>
      <c r="AS254" s="6">
        <f t="shared" si="386"/>
        <v>0.4553474166406018</v>
      </c>
      <c r="AT254" s="6">
        <f t="shared" si="387"/>
        <v>2.4017954405022555</v>
      </c>
      <c r="AU254" s="179">
        <f t="shared" si="388"/>
        <v>0.15937159582421062</v>
      </c>
      <c r="AW254" s="6">
        <f t="shared" si="405"/>
        <v>6.7055121527777786</v>
      </c>
      <c r="AX254" s="472">
        <f t="shared" si="406"/>
        <v>1.6000808030437352</v>
      </c>
      <c r="AY254" s="6">
        <f t="shared" si="407"/>
        <v>6.7055121527777786</v>
      </c>
      <c r="AZ254" s="472">
        <f t="shared" si="408"/>
        <v>2.7706271701388889</v>
      </c>
      <c r="BB254" s="6">
        <f t="shared" si="409"/>
        <v>0</v>
      </c>
      <c r="CG254" s="581">
        <f t="shared" si="410"/>
        <v>-50</v>
      </c>
    </row>
    <row r="255" spans="5:85" x14ac:dyDescent="0.2">
      <c r="E255" s="176">
        <v>39</v>
      </c>
      <c r="F255" s="223">
        <f t="shared" si="411"/>
        <v>0.19500000000000001</v>
      </c>
      <c r="G255" s="223">
        <f t="shared" si="389"/>
        <v>0.19500000000000001</v>
      </c>
      <c r="H255" s="223">
        <f t="shared" si="390"/>
        <v>0.97500000000000009</v>
      </c>
      <c r="I255" s="223">
        <f t="shared" si="391"/>
        <v>0.97500000000000009</v>
      </c>
      <c r="J255" s="559">
        <f t="shared" si="352"/>
        <v>48</v>
      </c>
      <c r="K255" s="454">
        <f t="shared" si="353"/>
        <v>15.75</v>
      </c>
      <c r="L255" s="454">
        <f t="shared" si="354"/>
        <v>63.75</v>
      </c>
      <c r="M255" s="454"/>
      <c r="N255" s="223">
        <f t="shared" si="355"/>
        <v>0.24705882352941178</v>
      </c>
      <c r="O255" s="178">
        <f t="shared" si="392"/>
        <v>2.0011764705882356</v>
      </c>
      <c r="P255" s="178">
        <f t="shared" si="393"/>
        <v>4.0023529411764711</v>
      </c>
      <c r="Q255" s="223">
        <f t="shared" si="358"/>
        <v>0.40023529411764713</v>
      </c>
      <c r="R255" s="223">
        <f t="shared" si="394"/>
        <v>0.40023529411764713</v>
      </c>
      <c r="S255" s="223">
        <f t="shared" si="395"/>
        <v>5</v>
      </c>
      <c r="T255" s="223">
        <f t="shared" si="396"/>
        <v>0.36541005291005291</v>
      </c>
      <c r="U255" s="223">
        <f t="shared" si="362"/>
        <v>0.33495921516754851</v>
      </c>
      <c r="V255" s="223">
        <f t="shared" si="363"/>
        <v>1.0208280843201478</v>
      </c>
      <c r="W255" s="203">
        <f t="shared" si="364"/>
        <v>350</v>
      </c>
      <c r="X255" s="454">
        <f t="shared" si="365"/>
        <v>350</v>
      </c>
      <c r="Z255" s="223">
        <f t="shared" si="366"/>
        <v>0.77005347593582896</v>
      </c>
      <c r="AA255" s="179">
        <f t="shared" si="367"/>
        <v>2.151260504201681</v>
      </c>
      <c r="AB255" s="179">
        <f t="shared" si="397"/>
        <v>0.43485372758729168</v>
      </c>
      <c r="AC255" s="179"/>
      <c r="AD255" s="179">
        <f t="shared" si="369"/>
        <v>0.419047619047619</v>
      </c>
      <c r="AE255" s="563">
        <f t="shared" si="398"/>
        <v>2068.1818181818185</v>
      </c>
      <c r="AF255" s="546">
        <f t="shared" si="399"/>
        <v>3.2999999999999995E-2</v>
      </c>
      <c r="AH255" s="179">
        <f t="shared" si="400"/>
        <v>0.50323627974019647</v>
      </c>
      <c r="AI255" s="179">
        <f t="shared" si="401"/>
        <v>0.50323627974019647</v>
      </c>
      <c r="AJ255" s="179">
        <f t="shared" si="402"/>
        <v>1.4616565035112565</v>
      </c>
      <c r="AL255" s="563">
        <f t="shared" si="403"/>
        <v>195</v>
      </c>
      <c r="AM255" s="472">
        <f t="shared" si="404"/>
        <v>350</v>
      </c>
      <c r="AO255">
        <f t="shared" si="377"/>
        <v>195</v>
      </c>
      <c r="AP255">
        <f t="shared" si="378"/>
        <v>350</v>
      </c>
      <c r="AR255" s="6">
        <f t="shared" si="342"/>
        <v>2.8571428571428572</v>
      </c>
      <c r="AS255" s="6">
        <f t="shared" si="386"/>
        <v>0.46129992309518003</v>
      </c>
      <c r="AT255" s="6">
        <f t="shared" si="387"/>
        <v>2.395842934047677</v>
      </c>
      <c r="AU255" s="179">
        <f t="shared" si="388"/>
        <v>0.161454973083313</v>
      </c>
      <c r="AW255" s="6">
        <f t="shared" si="405"/>
        <v>6.7055121527777786</v>
      </c>
      <c r="AX255" s="472">
        <f t="shared" si="406"/>
        <v>1.6700089345079787</v>
      </c>
      <c r="AY255" s="6">
        <f t="shared" si="407"/>
        <v>6.7055121527777786</v>
      </c>
      <c r="AZ255" s="472">
        <f t="shared" si="408"/>
        <v>2.9029736328125</v>
      </c>
      <c r="BB255" s="6">
        <f t="shared" si="409"/>
        <v>0</v>
      </c>
      <c r="CG255" s="581">
        <f t="shared" si="410"/>
        <v>-50</v>
      </c>
    </row>
    <row r="256" spans="5:85" x14ac:dyDescent="0.2">
      <c r="E256" s="176">
        <v>40</v>
      </c>
      <c r="F256" s="223">
        <f t="shared" si="411"/>
        <v>0.2</v>
      </c>
      <c r="G256" s="223">
        <f t="shared" si="389"/>
        <v>0.2</v>
      </c>
      <c r="H256" s="223">
        <f t="shared" si="390"/>
        <v>1</v>
      </c>
      <c r="I256" s="223">
        <f t="shared" si="391"/>
        <v>1</v>
      </c>
      <c r="J256" s="559">
        <f t="shared" si="352"/>
        <v>48</v>
      </c>
      <c r="K256" s="454">
        <f t="shared" si="353"/>
        <v>15.75</v>
      </c>
      <c r="L256" s="454">
        <f t="shared" si="354"/>
        <v>63.75</v>
      </c>
      <c r="M256" s="454"/>
      <c r="N256" s="223">
        <f t="shared" si="355"/>
        <v>0.24705882352941178</v>
      </c>
      <c r="O256" s="178">
        <f t="shared" si="392"/>
        <v>2.0011764705882356</v>
      </c>
      <c r="P256" s="178">
        <f t="shared" si="393"/>
        <v>4.0023529411764711</v>
      </c>
      <c r="Q256" s="223">
        <f t="shared" si="358"/>
        <v>0.40023529411764713</v>
      </c>
      <c r="R256" s="223">
        <f t="shared" si="394"/>
        <v>0.40023529411764713</v>
      </c>
      <c r="S256" s="223">
        <f t="shared" si="395"/>
        <v>5</v>
      </c>
      <c r="T256" s="223">
        <f t="shared" si="396"/>
        <v>0.37477954144620806</v>
      </c>
      <c r="U256" s="223">
        <f t="shared" si="362"/>
        <v>0.34354791299235743</v>
      </c>
      <c r="V256" s="223">
        <f t="shared" si="363"/>
        <v>1.0470031634052797</v>
      </c>
      <c r="W256" s="203">
        <f t="shared" si="364"/>
        <v>350</v>
      </c>
      <c r="X256" s="454">
        <f t="shared" si="365"/>
        <v>350</v>
      </c>
      <c r="Z256" s="223">
        <f t="shared" si="366"/>
        <v>0.77005347593582896</v>
      </c>
      <c r="AA256" s="179">
        <f t="shared" si="367"/>
        <v>2.151260504201681</v>
      </c>
      <c r="AB256" s="179">
        <f t="shared" si="397"/>
        <v>0.43485372758729168</v>
      </c>
      <c r="AC256" s="179"/>
      <c r="AD256" s="179">
        <f t="shared" si="369"/>
        <v>0.419047619047619</v>
      </c>
      <c r="AE256" s="563">
        <f t="shared" si="398"/>
        <v>2121.2121212121215</v>
      </c>
      <c r="AF256" s="546">
        <f t="shared" si="399"/>
        <v>3.2999999999999995E-2</v>
      </c>
      <c r="AH256" s="179">
        <f t="shared" si="400"/>
        <v>0.50964719143762549</v>
      </c>
      <c r="AI256" s="179">
        <f t="shared" si="401"/>
        <v>0.50964719143762549</v>
      </c>
      <c r="AJ256" s="179">
        <f t="shared" si="402"/>
        <v>1.4664053269908337</v>
      </c>
      <c r="AL256" s="563">
        <f t="shared" si="403"/>
        <v>200</v>
      </c>
      <c r="AM256" s="472">
        <f t="shared" si="404"/>
        <v>350</v>
      </c>
      <c r="AO256">
        <f t="shared" si="377"/>
        <v>200</v>
      </c>
      <c r="AP256">
        <f t="shared" si="378"/>
        <v>350</v>
      </c>
      <c r="AR256" s="6">
        <f t="shared" si="342"/>
        <v>2.8571428571428572</v>
      </c>
      <c r="AS256" s="6">
        <f t="shared" si="386"/>
        <v>0.46717659215115676</v>
      </c>
      <c r="AT256" s="6">
        <f t="shared" si="387"/>
        <v>2.3899662649917004</v>
      </c>
      <c r="AU256" s="179">
        <f t="shared" si="388"/>
        <v>0.16351180725290487</v>
      </c>
      <c r="AW256" s="6">
        <f t="shared" si="405"/>
        <v>6.7055121527777786</v>
      </c>
      <c r="AX256" s="472">
        <f t="shared" si="406"/>
        <v>1.7413637706855793</v>
      </c>
      <c r="AY256" s="6">
        <f t="shared" si="407"/>
        <v>6.7055121527777786</v>
      </c>
      <c r="AZ256" s="472">
        <f t="shared" si="408"/>
        <v>3.0383680555555563</v>
      </c>
      <c r="BB256" s="6">
        <f t="shared" si="409"/>
        <v>0</v>
      </c>
      <c r="CG256" s="581">
        <f t="shared" si="410"/>
        <v>-50</v>
      </c>
    </row>
    <row r="257" spans="5:85" x14ac:dyDescent="0.2">
      <c r="E257" s="176">
        <v>41</v>
      </c>
      <c r="F257" s="223">
        <f t="shared" si="411"/>
        <v>0.20499999999999999</v>
      </c>
      <c r="G257" s="223">
        <f t="shared" si="389"/>
        <v>0.20499999999999999</v>
      </c>
      <c r="H257" s="223">
        <f t="shared" si="390"/>
        <v>1.0249999999999999</v>
      </c>
      <c r="I257" s="223">
        <f t="shared" si="391"/>
        <v>1.0249999999999999</v>
      </c>
      <c r="J257" s="559">
        <f t="shared" si="352"/>
        <v>48</v>
      </c>
      <c r="K257" s="454">
        <f t="shared" si="353"/>
        <v>15.75</v>
      </c>
      <c r="L257" s="454">
        <f t="shared" si="354"/>
        <v>63.75</v>
      </c>
      <c r="M257" s="454"/>
      <c r="N257" s="223">
        <f t="shared" si="355"/>
        <v>0.24705882352941178</v>
      </c>
      <c r="O257" s="178">
        <f t="shared" si="392"/>
        <v>2.0011764705882356</v>
      </c>
      <c r="P257" s="178">
        <f t="shared" si="393"/>
        <v>4.0023529411764711</v>
      </c>
      <c r="Q257" s="223">
        <f t="shared" si="358"/>
        <v>0.40023529411764713</v>
      </c>
      <c r="R257" s="223">
        <f t="shared" si="394"/>
        <v>0.40023529411764713</v>
      </c>
      <c r="S257" s="223">
        <f t="shared" si="395"/>
        <v>5</v>
      </c>
      <c r="T257" s="223">
        <f t="shared" si="396"/>
        <v>0.38414902998236328</v>
      </c>
      <c r="U257" s="223">
        <f t="shared" si="362"/>
        <v>0.3521366108171663</v>
      </c>
      <c r="V257" s="223">
        <f t="shared" si="363"/>
        <v>1.0731782424904115</v>
      </c>
      <c r="W257" s="203">
        <f t="shared" si="364"/>
        <v>350</v>
      </c>
      <c r="X257" s="454">
        <f t="shared" si="365"/>
        <v>350</v>
      </c>
      <c r="Z257" s="223">
        <f t="shared" si="366"/>
        <v>0.77005347593582896</v>
      </c>
      <c r="AA257" s="179">
        <f t="shared" si="367"/>
        <v>2.151260504201681</v>
      </c>
      <c r="AB257" s="179">
        <f t="shared" si="397"/>
        <v>0.43485372758729168</v>
      </c>
      <c r="AC257" s="179"/>
      <c r="AD257" s="179">
        <f t="shared" si="369"/>
        <v>0.419047619047619</v>
      </c>
      <c r="AE257" s="563">
        <f t="shared" si="398"/>
        <v>2174.2424242424245</v>
      </c>
      <c r="AF257" s="546">
        <f t="shared" si="399"/>
        <v>3.2999999999999995E-2</v>
      </c>
      <c r="AH257" s="179">
        <f t="shared" si="400"/>
        <v>0.51597845520308905</v>
      </c>
      <c r="AI257" s="179">
        <f t="shared" si="401"/>
        <v>0.51597845520308905</v>
      </c>
      <c r="AJ257" s="179">
        <f t="shared" si="402"/>
        <v>1.4710951520022881</v>
      </c>
      <c r="AL257" s="563">
        <f t="shared" si="403"/>
        <v>205</v>
      </c>
      <c r="AM257" s="472">
        <f t="shared" si="404"/>
        <v>350</v>
      </c>
      <c r="AO257">
        <f t="shared" si="377"/>
        <v>205</v>
      </c>
      <c r="AP257">
        <f t="shared" si="378"/>
        <v>350</v>
      </c>
      <c r="AR257" s="6">
        <f t="shared" si="342"/>
        <v>2.8571428571428572</v>
      </c>
      <c r="AS257" s="6">
        <f t="shared" si="386"/>
        <v>0.47298025060283161</v>
      </c>
      <c r="AT257" s="6">
        <f t="shared" si="387"/>
        <v>2.3841626065400257</v>
      </c>
      <c r="AU257" s="179">
        <f t="shared" si="388"/>
        <v>0.16554308771099105</v>
      </c>
      <c r="AW257" s="6">
        <f t="shared" si="405"/>
        <v>6.7055121527777786</v>
      </c>
      <c r="AX257" s="472">
        <f t="shared" si="406"/>
        <v>1.8141453115765362</v>
      </c>
      <c r="AY257" s="6">
        <f t="shared" si="407"/>
        <v>6.7055121527777786</v>
      </c>
      <c r="AZ257" s="472">
        <f t="shared" si="408"/>
        <v>3.1768104383680544</v>
      </c>
      <c r="BB257" s="6">
        <f t="shared" si="409"/>
        <v>0</v>
      </c>
      <c r="CG257" s="581">
        <f t="shared" si="410"/>
        <v>-50</v>
      </c>
    </row>
    <row r="258" spans="5:85" x14ac:dyDescent="0.2">
      <c r="E258" s="176">
        <v>42</v>
      </c>
      <c r="F258" s="223">
        <f t="shared" si="411"/>
        <v>0.21</v>
      </c>
      <c r="G258" s="223">
        <f t="shared" si="389"/>
        <v>0.21</v>
      </c>
      <c r="H258" s="223">
        <f t="shared" si="390"/>
        <v>1.05</v>
      </c>
      <c r="I258" s="223">
        <f t="shared" si="391"/>
        <v>1.05</v>
      </c>
      <c r="J258" s="559">
        <f t="shared" si="352"/>
        <v>48</v>
      </c>
      <c r="K258" s="454">
        <f t="shared" si="353"/>
        <v>15.75</v>
      </c>
      <c r="L258" s="454">
        <f t="shared" si="354"/>
        <v>63.75</v>
      </c>
      <c r="M258" s="454"/>
      <c r="N258" s="223">
        <f t="shared" si="355"/>
        <v>0.24705882352941178</v>
      </c>
      <c r="O258" s="178">
        <f t="shared" si="392"/>
        <v>2.0011764705882356</v>
      </c>
      <c r="P258" s="178">
        <f t="shared" si="393"/>
        <v>4.0023529411764711</v>
      </c>
      <c r="Q258" s="223">
        <f t="shared" si="358"/>
        <v>0.40023529411764713</v>
      </c>
      <c r="R258" s="223">
        <f t="shared" si="394"/>
        <v>0.40023529411764713</v>
      </c>
      <c r="S258" s="223">
        <f t="shared" si="395"/>
        <v>5</v>
      </c>
      <c r="T258" s="223">
        <f t="shared" si="396"/>
        <v>0.39351851851851849</v>
      </c>
      <c r="U258" s="223">
        <f t="shared" si="362"/>
        <v>0.36072530864197527</v>
      </c>
      <c r="V258" s="223">
        <f t="shared" si="363"/>
        <v>1.0993533215755436</v>
      </c>
      <c r="W258" s="203">
        <f t="shared" si="364"/>
        <v>350</v>
      </c>
      <c r="X258" s="454">
        <f t="shared" si="365"/>
        <v>350</v>
      </c>
      <c r="Z258" s="223">
        <f t="shared" si="366"/>
        <v>0.77005347593582896</v>
      </c>
      <c r="AA258" s="179">
        <f t="shared" si="367"/>
        <v>2.151260504201681</v>
      </c>
      <c r="AB258" s="179">
        <f t="shared" si="397"/>
        <v>0.43485372758729168</v>
      </c>
      <c r="AC258" s="179"/>
      <c r="AD258" s="179">
        <f t="shared" si="369"/>
        <v>0.419047619047619</v>
      </c>
      <c r="AE258" s="563">
        <f t="shared" si="398"/>
        <v>2227.2727272727275</v>
      </c>
      <c r="AF258" s="546">
        <f t="shared" si="399"/>
        <v>3.2999999999999995E-2</v>
      </c>
      <c r="AH258" s="179">
        <f t="shared" si="400"/>
        <v>0.5222329678670935</v>
      </c>
      <c r="AI258" s="179">
        <f t="shared" si="401"/>
        <v>0.5222329678670935</v>
      </c>
      <c r="AJ258" s="179">
        <f t="shared" si="402"/>
        <v>1.4757281243459952</v>
      </c>
      <c r="AL258" s="563">
        <f t="shared" si="403"/>
        <v>210</v>
      </c>
      <c r="AM258" s="472">
        <f t="shared" si="404"/>
        <v>350</v>
      </c>
      <c r="AO258">
        <f t="shared" si="377"/>
        <v>210</v>
      </c>
      <c r="AP258">
        <f t="shared" si="378"/>
        <v>350</v>
      </c>
      <c r="AR258" s="6">
        <f t="shared" si="342"/>
        <v>2.8571428571428572</v>
      </c>
      <c r="AS258" s="6">
        <f t="shared" si="386"/>
        <v>0.47871355387816905</v>
      </c>
      <c r="AT258" s="6">
        <f t="shared" si="387"/>
        <v>2.3784293032646882</v>
      </c>
      <c r="AU258" s="179">
        <f t="shared" si="388"/>
        <v>0.16754974385735916</v>
      </c>
      <c r="AW258" s="6">
        <f t="shared" si="405"/>
        <v>6.7055121527777786</v>
      </c>
      <c r="AX258" s="472">
        <f t="shared" si="406"/>
        <v>1.8883535571808507</v>
      </c>
      <c r="AY258" s="6">
        <f t="shared" si="407"/>
        <v>6.7055121527777786</v>
      </c>
      <c r="AZ258" s="472">
        <f t="shared" si="408"/>
        <v>3.3183007812499996</v>
      </c>
      <c r="BB258" s="6">
        <f t="shared" si="409"/>
        <v>0</v>
      </c>
      <c r="CG258" s="581">
        <f t="shared" si="410"/>
        <v>-50</v>
      </c>
    </row>
    <row r="259" spans="5:85" x14ac:dyDescent="0.2">
      <c r="E259" s="176">
        <v>43</v>
      </c>
      <c r="F259" s="223">
        <f t="shared" si="411"/>
        <v>0.215</v>
      </c>
      <c r="G259" s="223">
        <f t="shared" si="389"/>
        <v>0.215</v>
      </c>
      <c r="H259" s="223">
        <f t="shared" si="390"/>
        <v>1.075</v>
      </c>
      <c r="I259" s="223">
        <f t="shared" si="391"/>
        <v>1.075</v>
      </c>
      <c r="J259" s="559">
        <f t="shared" si="352"/>
        <v>48</v>
      </c>
      <c r="K259" s="454">
        <f t="shared" si="353"/>
        <v>15.75</v>
      </c>
      <c r="L259" s="454">
        <f t="shared" si="354"/>
        <v>63.75</v>
      </c>
      <c r="M259" s="454"/>
      <c r="N259" s="223">
        <f t="shared" si="355"/>
        <v>0.24705882352941178</v>
      </c>
      <c r="O259" s="178">
        <f t="shared" si="392"/>
        <v>2.0011764705882356</v>
      </c>
      <c r="P259" s="178">
        <f t="shared" si="393"/>
        <v>4.0023529411764711</v>
      </c>
      <c r="Q259" s="223">
        <f t="shared" si="358"/>
        <v>0.40023529411764713</v>
      </c>
      <c r="R259" s="223">
        <f t="shared" si="394"/>
        <v>0.40023529411764713</v>
      </c>
      <c r="S259" s="223">
        <f t="shared" si="395"/>
        <v>5</v>
      </c>
      <c r="T259" s="223">
        <f t="shared" si="396"/>
        <v>0.40288800705467365</v>
      </c>
      <c r="U259" s="223">
        <f t="shared" si="362"/>
        <v>0.36931400646678419</v>
      </c>
      <c r="V259" s="223">
        <f t="shared" si="363"/>
        <v>1.1255284006606754</v>
      </c>
      <c r="W259" s="203">
        <f t="shared" si="364"/>
        <v>350</v>
      </c>
      <c r="X259" s="454">
        <f t="shared" si="365"/>
        <v>350</v>
      </c>
      <c r="Z259" s="223">
        <f t="shared" si="366"/>
        <v>0.77005347593582896</v>
      </c>
      <c r="AA259" s="179">
        <f t="shared" si="367"/>
        <v>2.151260504201681</v>
      </c>
      <c r="AB259" s="179">
        <f t="shared" si="397"/>
        <v>0.43485372758729168</v>
      </c>
      <c r="AC259" s="179"/>
      <c r="AD259" s="179">
        <f t="shared" si="369"/>
        <v>0.419047619047619</v>
      </c>
      <c r="AE259" s="563">
        <f t="shared" si="398"/>
        <v>2280.3030303030309</v>
      </c>
      <c r="AF259" s="546">
        <f t="shared" si="399"/>
        <v>3.2999999999999995E-2</v>
      </c>
      <c r="AH259" s="179">
        <f t="shared" si="400"/>
        <v>0.52841345480672541</v>
      </c>
      <c r="AI259" s="179">
        <f t="shared" si="401"/>
        <v>0.52841345480672541</v>
      </c>
      <c r="AJ259" s="179">
        <f t="shared" si="402"/>
        <v>1.4803062628197965</v>
      </c>
      <c r="AL259" s="563">
        <f t="shared" si="403"/>
        <v>215</v>
      </c>
      <c r="AM259" s="472">
        <f t="shared" si="404"/>
        <v>350</v>
      </c>
      <c r="AO259">
        <f t="shared" si="377"/>
        <v>215</v>
      </c>
      <c r="AP259">
        <f t="shared" si="378"/>
        <v>350</v>
      </c>
      <c r="AR259" s="6">
        <f t="shared" si="342"/>
        <v>2.8571428571428572</v>
      </c>
      <c r="AS259" s="6">
        <f t="shared" si="386"/>
        <v>0.48437900023949826</v>
      </c>
      <c r="AT259" s="6">
        <f t="shared" si="387"/>
        <v>2.3727638569033589</v>
      </c>
      <c r="AU259" s="179">
        <f t="shared" si="388"/>
        <v>0.1695326500838244</v>
      </c>
      <c r="AW259" s="6">
        <f t="shared" si="405"/>
        <v>6.7055121527777786</v>
      </c>
      <c r="AX259" s="472">
        <f t="shared" si="406"/>
        <v>1.9639885074985222</v>
      </c>
      <c r="AY259" s="6">
        <f t="shared" si="407"/>
        <v>6.7055121527777786</v>
      </c>
      <c r="AZ259" s="472">
        <f t="shared" si="408"/>
        <v>3.4628390842013883</v>
      </c>
      <c r="BB259" s="6">
        <f t="shared" si="409"/>
        <v>0</v>
      </c>
      <c r="CG259" s="581">
        <f t="shared" si="410"/>
        <v>-50</v>
      </c>
    </row>
    <row r="260" spans="5:85" x14ac:dyDescent="0.2">
      <c r="E260" s="176">
        <v>44</v>
      </c>
      <c r="F260" s="223">
        <f t="shared" si="411"/>
        <v>0.22</v>
      </c>
      <c r="G260" s="223">
        <f t="shared" si="389"/>
        <v>0.22</v>
      </c>
      <c r="H260" s="223">
        <f t="shared" si="390"/>
        <v>1.1000000000000001</v>
      </c>
      <c r="I260" s="223">
        <f t="shared" si="391"/>
        <v>1.1000000000000001</v>
      </c>
      <c r="J260" s="559">
        <f t="shared" si="352"/>
        <v>48</v>
      </c>
      <c r="K260" s="454">
        <f t="shared" si="353"/>
        <v>15.75</v>
      </c>
      <c r="L260" s="454">
        <f t="shared" si="354"/>
        <v>63.75</v>
      </c>
      <c r="M260" s="454"/>
      <c r="N260" s="223">
        <f t="shared" si="355"/>
        <v>0.24705882352941178</v>
      </c>
      <c r="O260" s="178">
        <f t="shared" si="392"/>
        <v>2.0011764705882356</v>
      </c>
      <c r="P260" s="178">
        <f t="shared" si="393"/>
        <v>4.0023529411764711</v>
      </c>
      <c r="Q260" s="223">
        <f t="shared" si="358"/>
        <v>0.40023529411764713</v>
      </c>
      <c r="R260" s="223">
        <f t="shared" si="394"/>
        <v>0.40023529411764713</v>
      </c>
      <c r="S260" s="223">
        <f t="shared" si="395"/>
        <v>5</v>
      </c>
      <c r="T260" s="223">
        <f t="shared" si="396"/>
        <v>0.41225749559082892</v>
      </c>
      <c r="U260" s="223">
        <f t="shared" si="362"/>
        <v>0.37790270429159312</v>
      </c>
      <c r="V260" s="223">
        <f t="shared" si="363"/>
        <v>1.1517034797458079</v>
      </c>
      <c r="W260" s="203">
        <f t="shared" si="364"/>
        <v>350</v>
      </c>
      <c r="X260" s="454">
        <f t="shared" si="365"/>
        <v>350</v>
      </c>
      <c r="Z260" s="223">
        <f t="shared" si="366"/>
        <v>0.77005347593582896</v>
      </c>
      <c r="AA260" s="179">
        <f t="shared" si="367"/>
        <v>2.151260504201681</v>
      </c>
      <c r="AB260" s="179">
        <f t="shared" si="397"/>
        <v>0.43485372758729168</v>
      </c>
      <c r="AC260" s="179"/>
      <c r="AD260" s="179">
        <f t="shared" si="369"/>
        <v>0.419047619047619</v>
      </c>
      <c r="AE260" s="563">
        <f t="shared" si="398"/>
        <v>2333.3333333333339</v>
      </c>
      <c r="AF260" s="546">
        <f t="shared" si="399"/>
        <v>3.2999999999999995E-2</v>
      </c>
      <c r="AH260" s="179">
        <f t="shared" si="400"/>
        <v>0.53452248382484879</v>
      </c>
      <c r="AI260" s="179">
        <f t="shared" si="401"/>
        <v>0.53452248382484879</v>
      </c>
      <c r="AJ260" s="179">
        <f t="shared" si="402"/>
        <v>1.4848314694998879</v>
      </c>
      <c r="AL260" s="563">
        <f t="shared" si="403"/>
        <v>220</v>
      </c>
      <c r="AM260" s="472">
        <f t="shared" si="404"/>
        <v>350</v>
      </c>
      <c r="AO260">
        <f t="shared" si="377"/>
        <v>220</v>
      </c>
      <c r="AP260">
        <f t="shared" si="378"/>
        <v>350</v>
      </c>
      <c r="AR260" s="6">
        <f t="shared" si="342"/>
        <v>2.8571428571428572</v>
      </c>
      <c r="AS260" s="6">
        <f t="shared" si="386"/>
        <v>0.48997894350611132</v>
      </c>
      <c r="AT260" s="6">
        <f t="shared" si="387"/>
        <v>2.3671639136367459</v>
      </c>
      <c r="AU260" s="179">
        <f t="shared" si="388"/>
        <v>0.17149263022713895</v>
      </c>
      <c r="AW260" s="6">
        <f t="shared" si="405"/>
        <v>6.7055121527777786</v>
      </c>
      <c r="AX260" s="472">
        <f t="shared" si="406"/>
        <v>2.041050162529551</v>
      </c>
      <c r="AY260" s="6">
        <f t="shared" si="407"/>
        <v>6.7055121527777786</v>
      </c>
      <c r="AZ260" s="472">
        <f t="shared" si="408"/>
        <v>3.6104253472222223</v>
      </c>
      <c r="BB260" s="6">
        <f t="shared" si="409"/>
        <v>0</v>
      </c>
      <c r="CG260" s="581">
        <f t="shared" si="410"/>
        <v>-50</v>
      </c>
    </row>
    <row r="261" spans="5:85" x14ac:dyDescent="0.2">
      <c r="E261" s="176">
        <v>45</v>
      </c>
      <c r="F261" s="223">
        <f t="shared" si="411"/>
        <v>0.22500000000000001</v>
      </c>
      <c r="G261" s="223">
        <f t="shared" si="389"/>
        <v>0.22500000000000001</v>
      </c>
      <c r="H261" s="223">
        <f t="shared" si="390"/>
        <v>1.125</v>
      </c>
      <c r="I261" s="223">
        <f t="shared" si="391"/>
        <v>1.125</v>
      </c>
      <c r="J261" s="559">
        <f t="shared" si="352"/>
        <v>48</v>
      </c>
      <c r="K261" s="454">
        <f t="shared" si="353"/>
        <v>15.75</v>
      </c>
      <c r="L261" s="454">
        <f t="shared" si="354"/>
        <v>63.75</v>
      </c>
      <c r="M261" s="454"/>
      <c r="N261" s="223">
        <f t="shared" si="355"/>
        <v>0.24705882352941178</v>
      </c>
      <c r="O261" s="178">
        <f t="shared" si="392"/>
        <v>2.0011764705882356</v>
      </c>
      <c r="P261" s="178">
        <f t="shared" si="393"/>
        <v>4.0023529411764711</v>
      </c>
      <c r="Q261" s="223">
        <f t="shared" si="358"/>
        <v>0.40023529411764713</v>
      </c>
      <c r="R261" s="223">
        <f t="shared" si="394"/>
        <v>0.40023529411764713</v>
      </c>
      <c r="S261" s="223">
        <f t="shared" si="395"/>
        <v>5</v>
      </c>
      <c r="T261" s="223">
        <f t="shared" si="396"/>
        <v>0.42162698412698407</v>
      </c>
      <c r="U261" s="223">
        <f t="shared" si="362"/>
        <v>0.38649140211640204</v>
      </c>
      <c r="V261" s="223">
        <f t="shared" si="363"/>
        <v>1.1778785588309397</v>
      </c>
      <c r="W261" s="203">
        <f t="shared" si="364"/>
        <v>350</v>
      </c>
      <c r="X261" s="454">
        <f t="shared" si="365"/>
        <v>350</v>
      </c>
      <c r="Z261" s="223">
        <f t="shared" si="366"/>
        <v>0.77005347593582896</v>
      </c>
      <c r="AA261" s="179">
        <f t="shared" si="367"/>
        <v>2.151260504201681</v>
      </c>
      <c r="AB261" s="179">
        <f t="shared" si="397"/>
        <v>0.43485372758729168</v>
      </c>
      <c r="AC261" s="179"/>
      <c r="AD261" s="179">
        <f t="shared" si="369"/>
        <v>0.419047619047619</v>
      </c>
      <c r="AE261" s="563">
        <f t="shared" si="398"/>
        <v>2386.3636363636365</v>
      </c>
      <c r="AF261" s="546">
        <f t="shared" si="399"/>
        <v>3.2999999999999995E-2</v>
      </c>
      <c r="AH261" s="179">
        <f t="shared" si="400"/>
        <v>0.54056247761733534</v>
      </c>
      <c r="AI261" s="179">
        <f t="shared" si="401"/>
        <v>0.54056247761733534</v>
      </c>
      <c r="AJ261" s="179">
        <f t="shared" si="402"/>
        <v>1.4893055389758039</v>
      </c>
      <c r="AL261" s="563">
        <f t="shared" si="403"/>
        <v>225</v>
      </c>
      <c r="AM261" s="472">
        <f t="shared" si="404"/>
        <v>350</v>
      </c>
      <c r="AO261">
        <f t="shared" si="377"/>
        <v>225</v>
      </c>
      <c r="AP261">
        <f t="shared" si="378"/>
        <v>350</v>
      </c>
      <c r="AR261" s="6">
        <f t="shared" si="342"/>
        <v>2.8571428571428572</v>
      </c>
      <c r="AS261" s="6">
        <f t="shared" si="386"/>
        <v>0.49551560448255733</v>
      </c>
      <c r="AT261" s="6">
        <f t="shared" si="387"/>
        <v>2.3616272526602997</v>
      </c>
      <c r="AU261" s="179">
        <f t="shared" si="388"/>
        <v>0.17343046156889505</v>
      </c>
      <c r="AW261" s="6">
        <f t="shared" si="405"/>
        <v>6.7055121527777786</v>
      </c>
      <c r="AX261" s="472">
        <f t="shared" si="406"/>
        <v>2.1195385222739365</v>
      </c>
      <c r="AY261" s="6">
        <f t="shared" si="407"/>
        <v>6.7055121527777786</v>
      </c>
      <c r="AZ261" s="472">
        <f t="shared" si="408"/>
        <v>3.7610595703125007</v>
      </c>
      <c r="BB261" s="6">
        <f t="shared" si="409"/>
        <v>0</v>
      </c>
      <c r="CG261" s="581">
        <f t="shared" si="410"/>
        <v>-50</v>
      </c>
    </row>
    <row r="262" spans="5:85" x14ac:dyDescent="0.2">
      <c r="E262" s="176">
        <v>46</v>
      </c>
      <c r="F262" s="223">
        <f t="shared" si="411"/>
        <v>0.23</v>
      </c>
      <c r="G262" s="223">
        <f t="shared" si="389"/>
        <v>0.23</v>
      </c>
      <c r="H262" s="223">
        <f t="shared" si="390"/>
        <v>1.1500000000000001</v>
      </c>
      <c r="I262" s="223">
        <f t="shared" si="391"/>
        <v>1.1500000000000001</v>
      </c>
      <c r="J262" s="559">
        <f t="shared" si="352"/>
        <v>48</v>
      </c>
      <c r="K262" s="454">
        <f t="shared" si="353"/>
        <v>15.75</v>
      </c>
      <c r="L262" s="454">
        <f t="shared" si="354"/>
        <v>63.75</v>
      </c>
      <c r="M262" s="454"/>
      <c r="N262" s="223">
        <f t="shared" si="355"/>
        <v>0.24705882352941178</v>
      </c>
      <c r="O262" s="178">
        <f t="shared" si="392"/>
        <v>2.0011764705882356</v>
      </c>
      <c r="P262" s="178">
        <f t="shared" si="393"/>
        <v>4.0023529411764711</v>
      </c>
      <c r="Q262" s="223">
        <f t="shared" si="358"/>
        <v>0.40023529411764713</v>
      </c>
      <c r="R262" s="223">
        <f t="shared" si="394"/>
        <v>0.40023529411764713</v>
      </c>
      <c r="S262" s="223">
        <f t="shared" si="395"/>
        <v>5</v>
      </c>
      <c r="T262" s="223">
        <f t="shared" si="396"/>
        <v>0.43099647266313934</v>
      </c>
      <c r="U262" s="223">
        <f t="shared" si="362"/>
        <v>0.39508009994121107</v>
      </c>
      <c r="V262" s="223">
        <f t="shared" si="363"/>
        <v>1.2040536379160718</v>
      </c>
      <c r="W262" s="203">
        <f t="shared" si="364"/>
        <v>350</v>
      </c>
      <c r="X262" s="454">
        <f t="shared" si="365"/>
        <v>350</v>
      </c>
      <c r="Z262" s="223">
        <f t="shared" si="366"/>
        <v>0.77005347593582896</v>
      </c>
      <c r="AA262" s="179">
        <f t="shared" si="367"/>
        <v>2.151260504201681</v>
      </c>
      <c r="AB262" s="179">
        <f t="shared" si="397"/>
        <v>0.43485372758729168</v>
      </c>
      <c r="AC262" s="179"/>
      <c r="AD262" s="179">
        <f t="shared" si="369"/>
        <v>0.419047619047619</v>
      </c>
      <c r="AE262" s="563">
        <f t="shared" si="398"/>
        <v>2439.3939393939399</v>
      </c>
      <c r="AF262" s="546">
        <f t="shared" si="399"/>
        <v>3.2999999999999995E-2</v>
      </c>
      <c r="AH262" s="179">
        <f t="shared" si="400"/>
        <v>0.54653572500002112</v>
      </c>
      <c r="AI262" s="179">
        <f t="shared" si="401"/>
        <v>0.54653572500002112</v>
      </c>
      <c r="AJ262" s="179">
        <f t="shared" si="402"/>
        <v>1.4937301666666822</v>
      </c>
      <c r="AL262" s="563">
        <f t="shared" si="403"/>
        <v>230</v>
      </c>
      <c r="AM262" s="472">
        <f t="shared" si="404"/>
        <v>350</v>
      </c>
      <c r="AO262">
        <f t="shared" si="377"/>
        <v>230</v>
      </c>
      <c r="AP262">
        <f t="shared" si="378"/>
        <v>350</v>
      </c>
      <c r="AR262" s="6">
        <f t="shared" si="342"/>
        <v>2.8571428571428572</v>
      </c>
      <c r="AS262" s="6">
        <f t="shared" si="386"/>
        <v>0.50099108125001934</v>
      </c>
      <c r="AT262" s="6">
        <f t="shared" si="387"/>
        <v>2.3561517758928376</v>
      </c>
      <c r="AU262" s="179">
        <f t="shared" si="388"/>
        <v>0.17534687843750676</v>
      </c>
      <c r="AW262" s="6">
        <f t="shared" si="405"/>
        <v>6.7055121527777786</v>
      </c>
      <c r="AX262" s="472">
        <f t="shared" si="406"/>
        <v>2.1994535867316785</v>
      </c>
      <c r="AY262" s="6">
        <f t="shared" si="407"/>
        <v>6.7055121527777786</v>
      </c>
      <c r="AZ262" s="472">
        <f t="shared" si="408"/>
        <v>3.9147417534722218</v>
      </c>
      <c r="BB262" s="6">
        <f t="shared" si="409"/>
        <v>0</v>
      </c>
      <c r="CG262" s="581">
        <f t="shared" si="410"/>
        <v>-50</v>
      </c>
    </row>
    <row r="263" spans="5:85" x14ac:dyDescent="0.2">
      <c r="E263" s="176">
        <v>47</v>
      </c>
      <c r="F263" s="223">
        <f t="shared" si="411"/>
        <v>0.23499999999999999</v>
      </c>
      <c r="G263" s="223">
        <f t="shared" si="389"/>
        <v>0.23499999999999999</v>
      </c>
      <c r="H263" s="223">
        <f t="shared" si="390"/>
        <v>1.1749999999999998</v>
      </c>
      <c r="I263" s="223">
        <f t="shared" si="391"/>
        <v>1.1749999999999998</v>
      </c>
      <c r="J263" s="559">
        <f t="shared" si="352"/>
        <v>48</v>
      </c>
      <c r="K263" s="454">
        <f t="shared" si="353"/>
        <v>15.75</v>
      </c>
      <c r="L263" s="454">
        <f t="shared" si="354"/>
        <v>63.75</v>
      </c>
      <c r="M263" s="454"/>
      <c r="N263" s="223">
        <f t="shared" si="355"/>
        <v>0.24705882352941178</v>
      </c>
      <c r="O263" s="178">
        <f t="shared" si="392"/>
        <v>2.0011764705882356</v>
      </c>
      <c r="P263" s="178">
        <f t="shared" si="393"/>
        <v>4.0023529411764711</v>
      </c>
      <c r="Q263" s="223">
        <f t="shared" si="358"/>
        <v>0.40023529411764713</v>
      </c>
      <c r="R263" s="223">
        <f t="shared" si="394"/>
        <v>0.40023529411764713</v>
      </c>
      <c r="S263" s="223">
        <f t="shared" si="395"/>
        <v>5</v>
      </c>
      <c r="T263" s="223">
        <f t="shared" si="396"/>
        <v>0.44036596119929444</v>
      </c>
      <c r="U263" s="223">
        <f t="shared" si="362"/>
        <v>0.40366879776601983</v>
      </c>
      <c r="V263" s="223">
        <f t="shared" si="363"/>
        <v>1.2302287170012034</v>
      </c>
      <c r="W263" s="203">
        <f t="shared" si="364"/>
        <v>350</v>
      </c>
      <c r="X263" s="454">
        <f t="shared" si="365"/>
        <v>350</v>
      </c>
      <c r="Z263" s="223">
        <f t="shared" si="366"/>
        <v>0.77005347593582896</v>
      </c>
      <c r="AA263" s="179">
        <f t="shared" si="367"/>
        <v>2.151260504201681</v>
      </c>
      <c r="AB263" s="179">
        <f t="shared" si="397"/>
        <v>0.43485372758729168</v>
      </c>
      <c r="AC263" s="179"/>
      <c r="AD263" s="179">
        <f t="shared" si="369"/>
        <v>0.419047619047619</v>
      </c>
      <c r="AE263" s="563">
        <f t="shared" si="398"/>
        <v>2492.4242424242425</v>
      </c>
      <c r="AF263" s="546">
        <f t="shared" si="399"/>
        <v>3.2999999999999995E-2</v>
      </c>
      <c r="AH263" s="179">
        <f t="shared" si="400"/>
        <v>0.5524443910429403</v>
      </c>
      <c r="AI263" s="179">
        <f t="shared" si="401"/>
        <v>0.5524443910429403</v>
      </c>
      <c r="AJ263" s="179">
        <f t="shared" si="402"/>
        <v>1.4981069563281038</v>
      </c>
      <c r="AL263" s="563">
        <f t="shared" si="403"/>
        <v>235</v>
      </c>
      <c r="AM263" s="472">
        <f t="shared" si="404"/>
        <v>350</v>
      </c>
      <c r="AO263">
        <f t="shared" si="377"/>
        <v>235</v>
      </c>
      <c r="AP263">
        <f t="shared" si="378"/>
        <v>350</v>
      </c>
      <c r="AR263" s="6">
        <f t="shared" ref="AR263:AR316" si="412">1/AM263*1000</f>
        <v>2.8571428571428572</v>
      </c>
      <c r="AS263" s="6">
        <f t="shared" si="386"/>
        <v>0.50640735845602858</v>
      </c>
      <c r="AT263" s="6">
        <f t="shared" si="387"/>
        <v>2.3507354986868285</v>
      </c>
      <c r="AU263" s="179">
        <f t="shared" si="388"/>
        <v>0.17724257545961</v>
      </c>
      <c r="AW263" s="6">
        <f t="shared" si="405"/>
        <v>6.7055121527777786</v>
      </c>
      <c r="AX263" s="472">
        <f t="shared" si="406"/>
        <v>2.2807953559027778</v>
      </c>
      <c r="AY263" s="6">
        <f t="shared" si="407"/>
        <v>6.7055121527777786</v>
      </c>
      <c r="AZ263" s="472">
        <f t="shared" si="408"/>
        <v>4.0714718967013885</v>
      </c>
      <c r="BB263" s="6">
        <f t="shared" si="409"/>
        <v>0</v>
      </c>
      <c r="CG263" s="581">
        <f t="shared" si="410"/>
        <v>-50</v>
      </c>
    </row>
    <row r="264" spans="5:85" x14ac:dyDescent="0.2">
      <c r="E264" s="176">
        <v>48</v>
      </c>
      <c r="F264" s="223">
        <f t="shared" si="411"/>
        <v>0.24</v>
      </c>
      <c r="G264" s="223">
        <f t="shared" si="389"/>
        <v>0.24</v>
      </c>
      <c r="H264" s="223">
        <f t="shared" si="390"/>
        <v>1.2</v>
      </c>
      <c r="I264" s="223">
        <f t="shared" si="391"/>
        <v>1.2</v>
      </c>
      <c r="J264" s="559">
        <f t="shared" si="352"/>
        <v>48</v>
      </c>
      <c r="K264" s="454">
        <f t="shared" si="353"/>
        <v>15.75</v>
      </c>
      <c r="L264" s="454">
        <f t="shared" si="354"/>
        <v>63.75</v>
      </c>
      <c r="M264" s="454"/>
      <c r="N264" s="223">
        <f t="shared" si="355"/>
        <v>0.24705882352941178</v>
      </c>
      <c r="O264" s="178">
        <f t="shared" si="392"/>
        <v>2.0011764705882356</v>
      </c>
      <c r="P264" s="178">
        <f t="shared" si="393"/>
        <v>4.0023529411764711</v>
      </c>
      <c r="Q264" s="223">
        <f t="shared" si="358"/>
        <v>0.40023529411764713</v>
      </c>
      <c r="R264" s="223">
        <f t="shared" si="394"/>
        <v>0.40023529411764713</v>
      </c>
      <c r="S264" s="223">
        <f t="shared" si="395"/>
        <v>5</v>
      </c>
      <c r="T264" s="223">
        <f t="shared" si="396"/>
        <v>0.44973544973544971</v>
      </c>
      <c r="U264" s="223">
        <f t="shared" si="362"/>
        <v>0.41225749559082892</v>
      </c>
      <c r="V264" s="223">
        <f t="shared" si="363"/>
        <v>1.2564037960863357</v>
      </c>
      <c r="W264" s="203">
        <f t="shared" si="364"/>
        <v>350</v>
      </c>
      <c r="X264" s="454">
        <f t="shared" si="365"/>
        <v>350</v>
      </c>
      <c r="Z264" s="223">
        <f t="shared" si="366"/>
        <v>0.77005347593582896</v>
      </c>
      <c r="AA264" s="179">
        <f t="shared" si="367"/>
        <v>2.151260504201681</v>
      </c>
      <c r="AB264" s="179">
        <f t="shared" si="397"/>
        <v>0.43485372758729168</v>
      </c>
      <c r="AC264" s="179"/>
      <c r="AD264" s="179">
        <f t="shared" si="369"/>
        <v>0.419047619047619</v>
      </c>
      <c r="AE264" s="563">
        <f t="shared" si="398"/>
        <v>2545.454545454546</v>
      </c>
      <c r="AF264" s="546">
        <f t="shared" si="399"/>
        <v>3.2999999999999995E-2</v>
      </c>
      <c r="AH264" s="179">
        <f t="shared" si="400"/>
        <v>0.55829052623908249</v>
      </c>
      <c r="AI264" s="179">
        <f t="shared" si="401"/>
        <v>0.55829052623908249</v>
      </c>
      <c r="AJ264" s="179">
        <f t="shared" si="402"/>
        <v>1.5024374268437648</v>
      </c>
      <c r="AL264" s="563">
        <f t="shared" si="403"/>
        <v>240</v>
      </c>
      <c r="AM264" s="472">
        <f t="shared" si="404"/>
        <v>350</v>
      </c>
      <c r="AO264">
        <f t="shared" si="377"/>
        <v>240</v>
      </c>
      <c r="AP264">
        <f t="shared" si="378"/>
        <v>350</v>
      </c>
      <c r="AR264" s="6">
        <f t="shared" si="412"/>
        <v>2.8571428571428572</v>
      </c>
      <c r="AS264" s="6">
        <f t="shared" si="386"/>
        <v>0.51176631571915898</v>
      </c>
      <c r="AT264" s="6">
        <f t="shared" si="387"/>
        <v>2.3453765414236982</v>
      </c>
      <c r="AU264" s="179">
        <f t="shared" si="388"/>
        <v>0.17911821050170565</v>
      </c>
      <c r="AW264" s="6">
        <f t="shared" si="405"/>
        <v>6.7055121527777786</v>
      </c>
      <c r="AX264" s="472">
        <f t="shared" si="406"/>
        <v>2.3635638297872337</v>
      </c>
      <c r="AY264" s="6">
        <f t="shared" si="407"/>
        <v>6.7055121527777786</v>
      </c>
      <c r="AZ264" s="472">
        <f t="shared" si="408"/>
        <v>4.2312500000000002</v>
      </c>
      <c r="BB264" s="6">
        <f t="shared" si="409"/>
        <v>0</v>
      </c>
      <c r="CG264" s="581">
        <f t="shared" si="410"/>
        <v>-50</v>
      </c>
    </row>
    <row r="265" spans="5:85" x14ac:dyDescent="0.2">
      <c r="E265" s="176">
        <v>49</v>
      </c>
      <c r="F265" s="223">
        <f t="shared" si="411"/>
        <v>0.245</v>
      </c>
      <c r="G265" s="223">
        <f t="shared" si="389"/>
        <v>0.245</v>
      </c>
      <c r="H265" s="223">
        <f t="shared" si="390"/>
        <v>1.2250000000000001</v>
      </c>
      <c r="I265" s="223">
        <f t="shared" si="391"/>
        <v>1.2250000000000001</v>
      </c>
      <c r="J265" s="559">
        <f t="shared" si="352"/>
        <v>48</v>
      </c>
      <c r="K265" s="454">
        <f t="shared" si="353"/>
        <v>15.75</v>
      </c>
      <c r="L265" s="454">
        <f t="shared" si="354"/>
        <v>63.75</v>
      </c>
      <c r="M265" s="454"/>
      <c r="N265" s="223">
        <f t="shared" si="355"/>
        <v>0.24705882352941178</v>
      </c>
      <c r="O265" s="178">
        <f t="shared" si="392"/>
        <v>2.0011764705882356</v>
      </c>
      <c r="P265" s="178">
        <f t="shared" si="393"/>
        <v>4.0023529411764711</v>
      </c>
      <c r="Q265" s="223">
        <f t="shared" si="358"/>
        <v>0.40023529411764713</v>
      </c>
      <c r="R265" s="223">
        <f t="shared" si="394"/>
        <v>0.40023529411764713</v>
      </c>
      <c r="S265" s="223">
        <f t="shared" si="395"/>
        <v>5</v>
      </c>
      <c r="T265" s="223">
        <f t="shared" si="396"/>
        <v>0.45910493827160492</v>
      </c>
      <c r="U265" s="223">
        <f t="shared" si="362"/>
        <v>0.42084619341563784</v>
      </c>
      <c r="V265" s="223">
        <f t="shared" si="363"/>
        <v>1.2825788751714675</v>
      </c>
      <c r="W265" s="203">
        <f t="shared" si="364"/>
        <v>350</v>
      </c>
      <c r="X265" s="454">
        <f t="shared" si="365"/>
        <v>350</v>
      </c>
      <c r="Z265" s="223">
        <f t="shared" si="366"/>
        <v>0.77005347593582896</v>
      </c>
      <c r="AA265" s="179">
        <f t="shared" si="367"/>
        <v>2.151260504201681</v>
      </c>
      <c r="AB265" s="179">
        <f t="shared" si="397"/>
        <v>0.43485372758729168</v>
      </c>
      <c r="AC265" s="179"/>
      <c r="AD265" s="179">
        <f t="shared" si="369"/>
        <v>0.419047619047619</v>
      </c>
      <c r="AE265" s="563">
        <f t="shared" si="398"/>
        <v>2598.484848484849</v>
      </c>
      <c r="AF265" s="546">
        <f t="shared" si="399"/>
        <v>3.2999999999999995E-2</v>
      </c>
      <c r="AH265" s="179">
        <f t="shared" si="400"/>
        <v>0.56407607481776623</v>
      </c>
      <c r="AI265" s="179">
        <f t="shared" si="401"/>
        <v>0.56407607481776623</v>
      </c>
      <c r="AJ265" s="179">
        <f t="shared" si="402"/>
        <v>1.5067230183835305</v>
      </c>
      <c r="AL265" s="563">
        <f t="shared" si="403"/>
        <v>245</v>
      </c>
      <c r="AM265" s="472">
        <f t="shared" si="404"/>
        <v>350</v>
      </c>
      <c r="AO265">
        <f t="shared" si="377"/>
        <v>245</v>
      </c>
      <c r="AP265">
        <f t="shared" si="378"/>
        <v>350</v>
      </c>
      <c r="AR265" s="6">
        <f t="shared" si="412"/>
        <v>2.8571428571428572</v>
      </c>
      <c r="AS265" s="6">
        <f t="shared" si="386"/>
        <v>0.51706973524961908</v>
      </c>
      <c r="AT265" s="6">
        <f t="shared" si="387"/>
        <v>2.340073121893238</v>
      </c>
      <c r="AU265" s="179">
        <f t="shared" si="388"/>
        <v>0.18097440733736667</v>
      </c>
      <c r="AW265" s="6">
        <f t="shared" si="405"/>
        <v>6.7055121527777786</v>
      </c>
      <c r="AX265" s="472">
        <f t="shared" si="406"/>
        <v>2.4477590083850469</v>
      </c>
      <c r="AY265" s="6">
        <f t="shared" si="407"/>
        <v>6.7055121527777786</v>
      </c>
      <c r="AZ265" s="472">
        <f t="shared" si="408"/>
        <v>4.3940760633680549</v>
      </c>
      <c r="BB265" s="6">
        <f t="shared" si="409"/>
        <v>0</v>
      </c>
      <c r="CG265" s="581">
        <f t="shared" si="410"/>
        <v>-50</v>
      </c>
    </row>
    <row r="266" spans="5:85" x14ac:dyDescent="0.2">
      <c r="E266" s="176">
        <v>50</v>
      </c>
      <c r="F266" s="223">
        <f t="shared" si="411"/>
        <v>0.25</v>
      </c>
      <c r="G266" s="223">
        <f t="shared" si="389"/>
        <v>0.25</v>
      </c>
      <c r="H266" s="223">
        <f t="shared" si="390"/>
        <v>1.25</v>
      </c>
      <c r="I266" s="223">
        <f t="shared" si="391"/>
        <v>1.25</v>
      </c>
      <c r="J266" s="559">
        <f t="shared" si="352"/>
        <v>48</v>
      </c>
      <c r="K266" s="454">
        <f t="shared" si="353"/>
        <v>15.75</v>
      </c>
      <c r="L266" s="454">
        <f t="shared" si="354"/>
        <v>63.75</v>
      </c>
      <c r="M266" s="454"/>
      <c r="N266" s="223">
        <f t="shared" si="355"/>
        <v>0.24705882352941178</v>
      </c>
      <c r="O266" s="178">
        <f t="shared" si="392"/>
        <v>2.0011764705882356</v>
      </c>
      <c r="P266" s="178">
        <f t="shared" si="393"/>
        <v>4.0023529411764711</v>
      </c>
      <c r="Q266" s="223">
        <f t="shared" si="358"/>
        <v>0.40023529411764713</v>
      </c>
      <c r="R266" s="223">
        <f t="shared" si="394"/>
        <v>0.40023529411764713</v>
      </c>
      <c r="S266" s="223">
        <f t="shared" si="395"/>
        <v>5</v>
      </c>
      <c r="T266" s="223">
        <f t="shared" si="396"/>
        <v>0.46847442680776008</v>
      </c>
      <c r="U266" s="223">
        <f t="shared" si="362"/>
        <v>0.4294348912404467</v>
      </c>
      <c r="V266" s="223">
        <f t="shared" si="363"/>
        <v>1.3087539542565994</v>
      </c>
      <c r="W266" s="203">
        <f t="shared" si="364"/>
        <v>350</v>
      </c>
      <c r="X266" s="454">
        <f t="shared" si="365"/>
        <v>350</v>
      </c>
      <c r="Z266" s="223">
        <f t="shared" si="366"/>
        <v>0.77005347593582896</v>
      </c>
      <c r="AA266" s="179">
        <f t="shared" si="367"/>
        <v>2.151260504201681</v>
      </c>
      <c r="AB266" s="179">
        <f t="shared" si="397"/>
        <v>0.43485372758729168</v>
      </c>
      <c r="AC266" s="179"/>
      <c r="AD266" s="179">
        <f t="shared" si="369"/>
        <v>0.419047619047619</v>
      </c>
      <c r="AE266" s="563">
        <f t="shared" si="398"/>
        <v>2651.515151515152</v>
      </c>
      <c r="AF266" s="546">
        <f t="shared" si="399"/>
        <v>3.2999999999999995E-2</v>
      </c>
      <c r="AH266" s="179">
        <f t="shared" si="400"/>
        <v>0.56980288229818976</v>
      </c>
      <c r="AI266" s="179">
        <f t="shared" si="401"/>
        <v>0.56980288229818976</v>
      </c>
      <c r="AJ266" s="179">
        <f t="shared" si="402"/>
        <v>1.5109650979986591</v>
      </c>
      <c r="AL266" s="563">
        <f t="shared" si="403"/>
        <v>250</v>
      </c>
      <c r="AM266" s="472">
        <f t="shared" si="404"/>
        <v>350</v>
      </c>
      <c r="AO266">
        <f t="shared" si="377"/>
        <v>250</v>
      </c>
      <c r="AP266">
        <f t="shared" si="378"/>
        <v>350</v>
      </c>
      <c r="AR266" s="6">
        <f t="shared" si="412"/>
        <v>2.8571428571428572</v>
      </c>
      <c r="AS266" s="6">
        <f t="shared" si="386"/>
        <v>0.52231930877334054</v>
      </c>
      <c r="AT266" s="6">
        <f t="shared" si="387"/>
        <v>2.3348235483695166</v>
      </c>
      <c r="AU266" s="179">
        <f t="shared" si="388"/>
        <v>0.18281175807066918</v>
      </c>
      <c r="AW266" s="6">
        <f t="shared" si="405"/>
        <v>6.7055121527777786</v>
      </c>
      <c r="AX266" s="472">
        <f t="shared" si="406"/>
        <v>2.5333808916962175</v>
      </c>
      <c r="AY266" s="6">
        <f t="shared" si="407"/>
        <v>6.7055121527777786</v>
      </c>
      <c r="AZ266" s="472">
        <f t="shared" si="408"/>
        <v>4.5599500868055554</v>
      </c>
      <c r="BB266" s="6">
        <f t="shared" si="409"/>
        <v>0</v>
      </c>
      <c r="CG266" s="581">
        <f t="shared" si="410"/>
        <v>-50</v>
      </c>
    </row>
    <row r="267" spans="5:85" x14ac:dyDescent="0.2">
      <c r="E267" s="176">
        <v>51</v>
      </c>
      <c r="F267" s="223">
        <f t="shared" si="411"/>
        <v>0.255</v>
      </c>
      <c r="G267" s="223">
        <f t="shared" si="389"/>
        <v>0.255</v>
      </c>
      <c r="H267" s="223">
        <f t="shared" si="390"/>
        <v>1.2749999999999999</v>
      </c>
      <c r="I267" s="223">
        <f t="shared" si="391"/>
        <v>1.2749999999999999</v>
      </c>
      <c r="J267" s="559">
        <f t="shared" si="352"/>
        <v>48</v>
      </c>
      <c r="K267" s="454">
        <f t="shared" si="353"/>
        <v>15.75</v>
      </c>
      <c r="L267" s="454">
        <f t="shared" si="354"/>
        <v>63.75</v>
      </c>
      <c r="M267" s="454"/>
      <c r="N267" s="223">
        <f t="shared" si="355"/>
        <v>0.24705882352941178</v>
      </c>
      <c r="O267" s="178">
        <f t="shared" si="392"/>
        <v>2.0011764705882356</v>
      </c>
      <c r="P267" s="178">
        <f t="shared" si="393"/>
        <v>4.0023529411764711</v>
      </c>
      <c r="Q267" s="223">
        <f t="shared" si="358"/>
        <v>0.40023529411764713</v>
      </c>
      <c r="R267" s="223">
        <f t="shared" si="394"/>
        <v>0.40023529411764713</v>
      </c>
      <c r="S267" s="223">
        <f t="shared" si="395"/>
        <v>5</v>
      </c>
      <c r="T267" s="223">
        <f t="shared" si="396"/>
        <v>0.47784391534391529</v>
      </c>
      <c r="U267" s="223">
        <f t="shared" si="362"/>
        <v>0.43802358906525568</v>
      </c>
      <c r="V267" s="223">
        <f t="shared" si="363"/>
        <v>1.3349290333417316</v>
      </c>
      <c r="W267" s="203">
        <f t="shared" si="364"/>
        <v>350</v>
      </c>
      <c r="X267" s="454">
        <f t="shared" si="365"/>
        <v>350</v>
      </c>
      <c r="Z267" s="223">
        <f t="shared" si="366"/>
        <v>0.77005347593582896</v>
      </c>
      <c r="AA267" s="179">
        <f t="shared" si="367"/>
        <v>2.151260504201681</v>
      </c>
      <c r="AB267" s="179">
        <f t="shared" si="397"/>
        <v>0.43485372758729168</v>
      </c>
      <c r="AC267" s="179"/>
      <c r="AD267" s="179">
        <f t="shared" si="369"/>
        <v>0.419047619047619</v>
      </c>
      <c r="AE267" s="563">
        <f t="shared" si="398"/>
        <v>2704.545454545455</v>
      </c>
      <c r="AF267" s="546">
        <f t="shared" si="399"/>
        <v>3.2999999999999995E-2</v>
      </c>
      <c r="AH267" s="179">
        <f t="shared" si="400"/>
        <v>0.57547270236635129</v>
      </c>
      <c r="AI267" s="179">
        <f t="shared" si="401"/>
        <v>0.57547270236635129</v>
      </c>
      <c r="AJ267" s="179">
        <f t="shared" si="402"/>
        <v>1.5151649647158156</v>
      </c>
      <c r="AL267" s="563">
        <f t="shared" si="403"/>
        <v>255</v>
      </c>
      <c r="AM267" s="472">
        <f t="shared" si="404"/>
        <v>350</v>
      </c>
      <c r="AO267">
        <f t="shared" si="377"/>
        <v>255</v>
      </c>
      <c r="AP267">
        <f t="shared" si="378"/>
        <v>350</v>
      </c>
      <c r="AR267" s="6">
        <f t="shared" si="412"/>
        <v>2.8571428571428572</v>
      </c>
      <c r="AS267" s="6">
        <f t="shared" si="386"/>
        <v>0.52751664383582197</v>
      </c>
      <c r="AT267" s="6">
        <f t="shared" si="387"/>
        <v>2.3296262133070353</v>
      </c>
      <c r="AU267" s="179">
        <f t="shared" si="388"/>
        <v>0.18463082534253769</v>
      </c>
      <c r="AW267" s="6">
        <f t="shared" si="405"/>
        <v>6.7055121527777786</v>
      </c>
      <c r="AX267" s="472">
        <f t="shared" si="406"/>
        <v>2.6204294797207446</v>
      </c>
      <c r="AY267" s="6">
        <f t="shared" si="407"/>
        <v>6.7055121527777786</v>
      </c>
      <c r="AZ267" s="472">
        <f t="shared" si="408"/>
        <v>4.7288720703124998</v>
      </c>
      <c r="BB267" s="6">
        <f t="shared" si="409"/>
        <v>0</v>
      </c>
      <c r="CG267" s="581">
        <f t="shared" si="410"/>
        <v>-50</v>
      </c>
    </row>
    <row r="268" spans="5:85" x14ac:dyDescent="0.2">
      <c r="E268" s="176">
        <v>52</v>
      </c>
      <c r="F268" s="223">
        <f t="shared" si="411"/>
        <v>0.26</v>
      </c>
      <c r="G268" s="223">
        <f t="shared" si="389"/>
        <v>0.26</v>
      </c>
      <c r="H268" s="223">
        <f t="shared" si="390"/>
        <v>1.3</v>
      </c>
      <c r="I268" s="223">
        <f t="shared" si="391"/>
        <v>1.3</v>
      </c>
      <c r="J268" s="559">
        <f t="shared" si="352"/>
        <v>48</v>
      </c>
      <c r="K268" s="454">
        <f t="shared" si="353"/>
        <v>15.75</v>
      </c>
      <c r="L268" s="454">
        <f t="shared" si="354"/>
        <v>63.75</v>
      </c>
      <c r="M268" s="454"/>
      <c r="N268" s="223">
        <f t="shared" si="355"/>
        <v>0.24705882352941178</v>
      </c>
      <c r="O268" s="178">
        <f t="shared" si="392"/>
        <v>2.0011764705882356</v>
      </c>
      <c r="P268" s="178">
        <f t="shared" si="393"/>
        <v>4.0023529411764711</v>
      </c>
      <c r="Q268" s="223">
        <f t="shared" si="358"/>
        <v>0.40023529411764713</v>
      </c>
      <c r="R268" s="223">
        <f t="shared" si="394"/>
        <v>0.40023529411764713</v>
      </c>
      <c r="S268" s="223">
        <f t="shared" si="395"/>
        <v>5</v>
      </c>
      <c r="T268" s="223">
        <f t="shared" si="396"/>
        <v>0.48721340388007051</v>
      </c>
      <c r="U268" s="223">
        <f t="shared" si="362"/>
        <v>0.4466122868900646</v>
      </c>
      <c r="V268" s="223">
        <f t="shared" si="363"/>
        <v>1.3611041124268637</v>
      </c>
      <c r="W268" s="203">
        <f t="shared" si="364"/>
        <v>350</v>
      </c>
      <c r="X268" s="454">
        <f t="shared" si="365"/>
        <v>350</v>
      </c>
      <c r="Z268" s="223">
        <f t="shared" si="366"/>
        <v>0.77005347593582896</v>
      </c>
      <c r="AA268" s="179">
        <f t="shared" si="367"/>
        <v>2.151260504201681</v>
      </c>
      <c r="AB268" s="179">
        <f t="shared" si="397"/>
        <v>0.43485372758729168</v>
      </c>
      <c r="AC268" s="179"/>
      <c r="AD268" s="179">
        <f t="shared" si="369"/>
        <v>0.419047619047619</v>
      </c>
      <c r="AE268" s="563">
        <f t="shared" si="398"/>
        <v>2757.5757575757584</v>
      </c>
      <c r="AF268" s="546">
        <f t="shared" si="399"/>
        <v>3.2999999999999995E-2</v>
      </c>
      <c r="AH268" s="179">
        <f t="shared" si="400"/>
        <v>0.58108720314797646</v>
      </c>
      <c r="AI268" s="179">
        <f t="shared" si="401"/>
        <v>0.58108720314797646</v>
      </c>
      <c r="AJ268" s="179">
        <f t="shared" si="402"/>
        <v>1.5193238541836862</v>
      </c>
      <c r="AL268" s="563">
        <f t="shared" si="403"/>
        <v>260</v>
      </c>
      <c r="AM268" s="472">
        <f t="shared" si="404"/>
        <v>350</v>
      </c>
      <c r="AO268">
        <f t="shared" si="377"/>
        <v>260</v>
      </c>
      <c r="AP268">
        <f t="shared" si="378"/>
        <v>350</v>
      </c>
      <c r="AR268" s="6">
        <f t="shared" si="412"/>
        <v>2.8571428571428572</v>
      </c>
      <c r="AS268" s="6">
        <f t="shared" si="386"/>
        <v>0.5326632695523118</v>
      </c>
      <c r="AT268" s="6">
        <f t="shared" si="387"/>
        <v>2.3244795875905453</v>
      </c>
      <c r="AU268" s="179">
        <f t="shared" si="388"/>
        <v>0.18643214434330913</v>
      </c>
      <c r="AW268" s="6">
        <f t="shared" si="405"/>
        <v>6.7055121527777786</v>
      </c>
      <c r="AX268" s="472">
        <f t="shared" si="406"/>
        <v>2.708904772458629</v>
      </c>
      <c r="AY268" s="6">
        <f t="shared" si="407"/>
        <v>6.7055121527777786</v>
      </c>
      <c r="AZ268" s="472">
        <f t="shared" si="408"/>
        <v>4.9008420138888891</v>
      </c>
      <c r="BB268" s="6">
        <f t="shared" si="409"/>
        <v>0</v>
      </c>
      <c r="CG268" s="581">
        <f t="shared" si="410"/>
        <v>-50</v>
      </c>
    </row>
    <row r="269" spans="5:85" x14ac:dyDescent="0.2">
      <c r="E269" s="176">
        <v>53</v>
      </c>
      <c r="F269" s="223">
        <f t="shared" si="411"/>
        <v>0.26500000000000001</v>
      </c>
      <c r="G269" s="223">
        <f t="shared" si="389"/>
        <v>0.26500000000000001</v>
      </c>
      <c r="H269" s="223">
        <f t="shared" si="390"/>
        <v>1.3250000000000002</v>
      </c>
      <c r="I269" s="223">
        <f t="shared" si="391"/>
        <v>1.3250000000000002</v>
      </c>
      <c r="J269" s="559">
        <f t="shared" si="352"/>
        <v>48</v>
      </c>
      <c r="K269" s="454">
        <f t="shared" si="353"/>
        <v>15.75</v>
      </c>
      <c r="L269" s="454">
        <f t="shared" si="354"/>
        <v>63.75</v>
      </c>
      <c r="M269" s="454"/>
      <c r="N269" s="223">
        <f t="shared" si="355"/>
        <v>0.24705882352941178</v>
      </c>
      <c r="O269" s="178">
        <f t="shared" si="392"/>
        <v>2.0011764705882356</v>
      </c>
      <c r="P269" s="178">
        <f t="shared" si="393"/>
        <v>4.0023529411764711</v>
      </c>
      <c r="Q269" s="223">
        <f t="shared" si="358"/>
        <v>0.40023529411764713</v>
      </c>
      <c r="R269" s="223">
        <f t="shared" si="394"/>
        <v>0.40023529411764713</v>
      </c>
      <c r="S269" s="223">
        <f t="shared" si="395"/>
        <v>5</v>
      </c>
      <c r="T269" s="223">
        <f t="shared" si="396"/>
        <v>0.49658289241622577</v>
      </c>
      <c r="U269" s="223">
        <f t="shared" si="362"/>
        <v>0.45520098471487364</v>
      </c>
      <c r="V269" s="223">
        <f t="shared" si="363"/>
        <v>1.387279191511996</v>
      </c>
      <c r="W269" s="203">
        <f t="shared" si="364"/>
        <v>350</v>
      </c>
      <c r="X269" s="454">
        <f t="shared" si="365"/>
        <v>350</v>
      </c>
      <c r="Z269" s="223">
        <f t="shared" si="366"/>
        <v>0.77005347593582896</v>
      </c>
      <c r="AA269" s="179">
        <f t="shared" si="367"/>
        <v>2.151260504201681</v>
      </c>
      <c r="AB269" s="179">
        <f t="shared" si="397"/>
        <v>0.43485372758729168</v>
      </c>
      <c r="AC269" s="179"/>
      <c r="AD269" s="179">
        <f t="shared" si="369"/>
        <v>0.419047619047619</v>
      </c>
      <c r="AE269" s="563">
        <f t="shared" si="398"/>
        <v>2810.6060606060614</v>
      </c>
      <c r="AF269" s="546">
        <f t="shared" si="399"/>
        <v>3.2999999999999995E-2</v>
      </c>
      <c r="AH269" s="179">
        <f t="shared" si="400"/>
        <v>0.58664797294105109</v>
      </c>
      <c r="AI269" s="179">
        <f t="shared" si="401"/>
        <v>0.58664797294105109</v>
      </c>
      <c r="AJ269" s="179">
        <f t="shared" si="402"/>
        <v>1.523442942919297</v>
      </c>
      <c r="AL269" s="563">
        <f t="shared" si="403"/>
        <v>265</v>
      </c>
      <c r="AM269" s="472">
        <f t="shared" si="404"/>
        <v>350</v>
      </c>
      <c r="AO269">
        <f t="shared" si="377"/>
        <v>265</v>
      </c>
      <c r="AP269">
        <f t="shared" si="378"/>
        <v>350</v>
      </c>
      <c r="AR269" s="6">
        <f t="shared" si="412"/>
        <v>2.8571428571428572</v>
      </c>
      <c r="AS269" s="6">
        <f t="shared" si="386"/>
        <v>0.53776064186263017</v>
      </c>
      <c r="AT269" s="6">
        <f t="shared" si="387"/>
        <v>2.319382215280227</v>
      </c>
      <c r="AU269" s="179">
        <f t="shared" si="388"/>
        <v>0.18821622465192056</v>
      </c>
      <c r="AW269" s="6">
        <f t="shared" si="405"/>
        <v>6.7055121527777786</v>
      </c>
      <c r="AX269" s="472">
        <f t="shared" si="406"/>
        <v>2.79880676990987</v>
      </c>
      <c r="AY269" s="6">
        <f t="shared" si="407"/>
        <v>6.7055121527777786</v>
      </c>
      <c r="AZ269" s="472">
        <f t="shared" si="408"/>
        <v>5.0758599175347223</v>
      </c>
      <c r="BB269" s="6">
        <f t="shared" si="409"/>
        <v>0</v>
      </c>
      <c r="CG269" s="581">
        <f t="shared" si="410"/>
        <v>-50</v>
      </c>
    </row>
    <row r="270" spans="5:85" x14ac:dyDescent="0.2">
      <c r="E270" s="176">
        <v>54</v>
      </c>
      <c r="F270" s="223">
        <f t="shared" si="411"/>
        <v>0.27</v>
      </c>
      <c r="G270" s="223">
        <f t="shared" si="389"/>
        <v>0.27</v>
      </c>
      <c r="H270" s="223">
        <f t="shared" si="390"/>
        <v>1.35</v>
      </c>
      <c r="I270" s="223">
        <f t="shared" si="391"/>
        <v>1.35</v>
      </c>
      <c r="J270" s="559">
        <f t="shared" si="352"/>
        <v>48</v>
      </c>
      <c r="K270" s="454">
        <f t="shared" si="353"/>
        <v>15.75</v>
      </c>
      <c r="L270" s="454">
        <f t="shared" si="354"/>
        <v>63.75</v>
      </c>
      <c r="M270" s="454"/>
      <c r="N270" s="223">
        <f t="shared" si="355"/>
        <v>0.24705882352941178</v>
      </c>
      <c r="O270" s="178">
        <f t="shared" si="392"/>
        <v>2.0011764705882356</v>
      </c>
      <c r="P270" s="178">
        <f t="shared" si="393"/>
        <v>4.0023529411764711</v>
      </c>
      <c r="Q270" s="223">
        <f t="shared" si="358"/>
        <v>0.40023529411764713</v>
      </c>
      <c r="R270" s="223">
        <f t="shared" si="394"/>
        <v>0.40023529411764713</v>
      </c>
      <c r="S270" s="223">
        <f t="shared" si="395"/>
        <v>5</v>
      </c>
      <c r="T270" s="223">
        <f t="shared" si="396"/>
        <v>0.50595238095238093</v>
      </c>
      <c r="U270" s="223">
        <f t="shared" si="362"/>
        <v>0.4637896825396825</v>
      </c>
      <c r="V270" s="223">
        <f t="shared" si="363"/>
        <v>1.4134542705971276</v>
      </c>
      <c r="W270" s="203">
        <f t="shared" si="364"/>
        <v>350</v>
      </c>
      <c r="X270" s="454">
        <f t="shared" si="365"/>
        <v>350</v>
      </c>
      <c r="Z270" s="223">
        <f t="shared" si="366"/>
        <v>0.77005347593582896</v>
      </c>
      <c r="AA270" s="179">
        <f t="shared" si="367"/>
        <v>2.151260504201681</v>
      </c>
      <c r="AB270" s="179">
        <f t="shared" si="397"/>
        <v>0.43485372758729168</v>
      </c>
      <c r="AC270" s="179"/>
      <c r="AD270" s="179">
        <f t="shared" si="369"/>
        <v>0.419047619047619</v>
      </c>
      <c r="AE270" s="563">
        <f t="shared" si="398"/>
        <v>2863.6363636363644</v>
      </c>
      <c r="AF270" s="546">
        <f t="shared" si="399"/>
        <v>3.2999999999999995E-2</v>
      </c>
      <c r="AH270" s="179">
        <f t="shared" si="400"/>
        <v>0.59215652546379205</v>
      </c>
      <c r="AI270" s="179">
        <f t="shared" si="401"/>
        <v>0.59215652546379205</v>
      </c>
      <c r="AJ270" s="179">
        <f t="shared" si="402"/>
        <v>1.5275233521954015</v>
      </c>
      <c r="AL270" s="563">
        <f t="shared" si="403"/>
        <v>270</v>
      </c>
      <c r="AM270" s="472">
        <f t="shared" si="404"/>
        <v>350</v>
      </c>
      <c r="AO270">
        <f t="shared" si="377"/>
        <v>270</v>
      </c>
      <c r="AP270">
        <f t="shared" si="378"/>
        <v>350</v>
      </c>
      <c r="AR270" s="6">
        <f t="shared" si="412"/>
        <v>2.8571428571428572</v>
      </c>
      <c r="AS270" s="6">
        <f t="shared" si="386"/>
        <v>0.5428101483418093</v>
      </c>
      <c r="AT270" s="6">
        <f t="shared" si="387"/>
        <v>2.3143327088010479</v>
      </c>
      <c r="AU270" s="179">
        <f t="shared" si="388"/>
        <v>0.18998355191963326</v>
      </c>
      <c r="AW270" s="6">
        <f t="shared" si="405"/>
        <v>6.7055121527777786</v>
      </c>
      <c r="AX270" s="472">
        <f t="shared" si="406"/>
        <v>2.8901354720744683</v>
      </c>
      <c r="AY270" s="6">
        <f t="shared" si="407"/>
        <v>6.7055121527777786</v>
      </c>
      <c r="AZ270" s="472">
        <f t="shared" si="408"/>
        <v>5.2539257812500004</v>
      </c>
      <c r="BB270" s="6">
        <f t="shared" si="409"/>
        <v>0</v>
      </c>
      <c r="CG270" s="581">
        <f t="shared" si="410"/>
        <v>-50</v>
      </c>
    </row>
    <row r="271" spans="5:85" x14ac:dyDescent="0.2">
      <c r="E271" s="176">
        <v>55</v>
      </c>
      <c r="F271" s="223">
        <f t="shared" si="411"/>
        <v>0.27500000000000002</v>
      </c>
      <c r="G271" s="223">
        <f t="shared" si="389"/>
        <v>0.27500000000000002</v>
      </c>
      <c r="H271" s="223">
        <f t="shared" si="390"/>
        <v>1.375</v>
      </c>
      <c r="I271" s="223">
        <f t="shared" si="391"/>
        <v>1.375</v>
      </c>
      <c r="J271" s="559">
        <f t="shared" si="352"/>
        <v>48</v>
      </c>
      <c r="K271" s="454">
        <f t="shared" si="353"/>
        <v>15.75</v>
      </c>
      <c r="L271" s="454">
        <f t="shared" si="354"/>
        <v>63.75</v>
      </c>
      <c r="M271" s="454"/>
      <c r="N271" s="223">
        <f t="shared" si="355"/>
        <v>0.24705882352941178</v>
      </c>
      <c r="O271" s="178">
        <f t="shared" si="392"/>
        <v>2.0011764705882356</v>
      </c>
      <c r="P271" s="178">
        <f t="shared" si="393"/>
        <v>4.0023529411764711</v>
      </c>
      <c r="Q271" s="223">
        <f t="shared" si="358"/>
        <v>0.40023529411764713</v>
      </c>
      <c r="R271" s="223">
        <f t="shared" si="394"/>
        <v>0.40023529411764713</v>
      </c>
      <c r="S271" s="223">
        <f t="shared" si="395"/>
        <v>5</v>
      </c>
      <c r="T271" s="223">
        <f t="shared" si="396"/>
        <v>0.51532186948853609</v>
      </c>
      <c r="U271" s="223">
        <f t="shared" si="362"/>
        <v>0.47237838036449142</v>
      </c>
      <c r="V271" s="223">
        <f t="shared" si="363"/>
        <v>1.4396293496822594</v>
      </c>
      <c r="W271" s="203">
        <f t="shared" si="364"/>
        <v>350</v>
      </c>
      <c r="X271" s="454">
        <f t="shared" si="365"/>
        <v>350</v>
      </c>
      <c r="Z271" s="223">
        <f t="shared" si="366"/>
        <v>0.77005347593582896</v>
      </c>
      <c r="AA271" s="179">
        <f t="shared" si="367"/>
        <v>2.151260504201681</v>
      </c>
      <c r="AB271" s="179">
        <f t="shared" si="397"/>
        <v>0.43485372758729168</v>
      </c>
      <c r="AC271" s="179"/>
      <c r="AD271" s="179">
        <f t="shared" si="369"/>
        <v>0.419047619047619</v>
      </c>
      <c r="AE271" s="563">
        <f t="shared" si="398"/>
        <v>2916.6666666666674</v>
      </c>
      <c r="AF271" s="546">
        <f t="shared" si="399"/>
        <v>3.2999999999999995E-2</v>
      </c>
      <c r="AH271" s="179">
        <f t="shared" si="400"/>
        <v>0.59761430466719678</v>
      </c>
      <c r="AI271" s="179">
        <f t="shared" si="401"/>
        <v>0.59761430466719678</v>
      </c>
      <c r="AJ271" s="179">
        <f t="shared" si="402"/>
        <v>1.5315661516053309</v>
      </c>
      <c r="AL271" s="563">
        <f t="shared" si="403"/>
        <v>275</v>
      </c>
      <c r="AM271" s="472">
        <f t="shared" si="404"/>
        <v>350</v>
      </c>
      <c r="AO271">
        <f t="shared" si="377"/>
        <v>275</v>
      </c>
      <c r="AP271">
        <f t="shared" si="378"/>
        <v>350</v>
      </c>
      <c r="AR271" s="6">
        <f t="shared" si="412"/>
        <v>2.8571428571428572</v>
      </c>
      <c r="AS271" s="6">
        <f t="shared" si="386"/>
        <v>0.54781311261159704</v>
      </c>
      <c r="AT271" s="6">
        <f t="shared" si="387"/>
        <v>2.3093297445312602</v>
      </c>
      <c r="AU271" s="179">
        <f t="shared" si="388"/>
        <v>0.19173458941405896</v>
      </c>
      <c r="AW271" s="6">
        <f t="shared" si="405"/>
        <v>6.7055121527777786</v>
      </c>
      <c r="AX271" s="472">
        <f t="shared" si="406"/>
        <v>2.9828908789524236</v>
      </c>
      <c r="AY271" s="6">
        <f t="shared" si="407"/>
        <v>6.7055121527777786</v>
      </c>
      <c r="AZ271" s="472">
        <f t="shared" si="408"/>
        <v>5.4350396050347234</v>
      </c>
      <c r="BB271" s="6">
        <f t="shared" si="409"/>
        <v>0</v>
      </c>
      <c r="CG271" s="581">
        <f t="shared" si="410"/>
        <v>-50</v>
      </c>
    </row>
    <row r="272" spans="5:85" x14ac:dyDescent="0.2">
      <c r="E272" s="176">
        <v>56</v>
      </c>
      <c r="F272" s="223">
        <f t="shared" si="411"/>
        <v>0.28000000000000003</v>
      </c>
      <c r="G272" s="223">
        <f t="shared" si="389"/>
        <v>0.28000000000000003</v>
      </c>
      <c r="H272" s="223">
        <f t="shared" si="390"/>
        <v>1.4000000000000001</v>
      </c>
      <c r="I272" s="223">
        <f t="shared" si="391"/>
        <v>1.4000000000000001</v>
      </c>
      <c r="J272" s="559">
        <f t="shared" si="352"/>
        <v>48</v>
      </c>
      <c r="K272" s="454">
        <f t="shared" si="353"/>
        <v>15.75</v>
      </c>
      <c r="L272" s="454">
        <f t="shared" si="354"/>
        <v>63.75</v>
      </c>
      <c r="M272" s="454"/>
      <c r="N272" s="223">
        <f t="shared" si="355"/>
        <v>0.24705882352941178</v>
      </c>
      <c r="O272" s="178">
        <f t="shared" si="392"/>
        <v>2.0011764705882356</v>
      </c>
      <c r="P272" s="178">
        <f t="shared" si="393"/>
        <v>4.0023529411764711</v>
      </c>
      <c r="Q272" s="223">
        <f t="shared" si="358"/>
        <v>0.40023529411764713</v>
      </c>
      <c r="R272" s="223">
        <f t="shared" si="394"/>
        <v>0.40023529411764713</v>
      </c>
      <c r="S272" s="223">
        <f t="shared" si="395"/>
        <v>5</v>
      </c>
      <c r="T272" s="223">
        <f t="shared" si="396"/>
        <v>0.52469135802469136</v>
      </c>
      <c r="U272" s="223">
        <f t="shared" si="362"/>
        <v>0.48096707818930046</v>
      </c>
      <c r="V272" s="223">
        <f t="shared" si="363"/>
        <v>1.4658044287673917</v>
      </c>
      <c r="W272" s="203">
        <f t="shared" si="364"/>
        <v>350</v>
      </c>
      <c r="X272" s="454">
        <f t="shared" si="365"/>
        <v>350</v>
      </c>
      <c r="Z272" s="223">
        <f t="shared" si="366"/>
        <v>0.77005347593582896</v>
      </c>
      <c r="AA272" s="179">
        <f t="shared" si="367"/>
        <v>2.151260504201681</v>
      </c>
      <c r="AB272" s="179">
        <f t="shared" si="397"/>
        <v>0.43485372758729168</v>
      </c>
      <c r="AC272" s="179"/>
      <c r="AD272" s="179">
        <f t="shared" si="369"/>
        <v>0.419047619047619</v>
      </c>
      <c r="AE272" s="563">
        <f t="shared" si="398"/>
        <v>2969.6969696969709</v>
      </c>
      <c r="AF272" s="546">
        <f t="shared" si="399"/>
        <v>3.2999999999999995E-2</v>
      </c>
      <c r="AH272" s="179">
        <f t="shared" si="400"/>
        <v>0.60302268915552726</v>
      </c>
      <c r="AI272" s="179">
        <f t="shared" si="401"/>
        <v>0.60302268915552726</v>
      </c>
      <c r="AJ272" s="179">
        <f t="shared" si="402"/>
        <v>1.5355723623374276</v>
      </c>
      <c r="AL272" s="563">
        <f t="shared" si="403"/>
        <v>280</v>
      </c>
      <c r="AM272" s="472">
        <f t="shared" si="404"/>
        <v>350</v>
      </c>
      <c r="AO272">
        <f t="shared" si="377"/>
        <v>280</v>
      </c>
      <c r="AP272">
        <f t="shared" si="378"/>
        <v>350</v>
      </c>
      <c r="AR272" s="6">
        <f t="shared" si="412"/>
        <v>2.8571428571428572</v>
      </c>
      <c r="AS272" s="6">
        <f t="shared" si="386"/>
        <v>0.5527707983925666</v>
      </c>
      <c r="AT272" s="6">
        <f t="shared" si="387"/>
        <v>2.3043720587502907</v>
      </c>
      <c r="AU272" s="179">
        <f t="shared" si="388"/>
        <v>0.19346977943739829</v>
      </c>
      <c r="AW272" s="6">
        <f t="shared" si="405"/>
        <v>6.7055121527777786</v>
      </c>
      <c r="AX272" s="472">
        <f t="shared" si="406"/>
        <v>3.0770729905437353</v>
      </c>
      <c r="AY272" s="6">
        <f t="shared" si="407"/>
        <v>6.7055121527777786</v>
      </c>
      <c r="AZ272" s="472">
        <f t="shared" si="408"/>
        <v>5.6192013888888894</v>
      </c>
      <c r="BB272" s="6">
        <f t="shared" si="409"/>
        <v>0</v>
      </c>
      <c r="CG272" s="581">
        <f t="shared" si="410"/>
        <v>-50</v>
      </c>
    </row>
    <row r="273" spans="5:85" x14ac:dyDescent="0.2">
      <c r="E273" s="176">
        <v>57</v>
      </c>
      <c r="F273" s="223">
        <f t="shared" si="411"/>
        <v>0.28499999999999998</v>
      </c>
      <c r="G273" s="223">
        <f t="shared" si="389"/>
        <v>0.28499999999999998</v>
      </c>
      <c r="H273" s="223">
        <f t="shared" si="390"/>
        <v>1.4249999999999998</v>
      </c>
      <c r="I273" s="223">
        <f t="shared" si="391"/>
        <v>1.4249999999999998</v>
      </c>
      <c r="J273" s="559">
        <f t="shared" si="352"/>
        <v>48</v>
      </c>
      <c r="K273" s="454">
        <f t="shared" si="353"/>
        <v>15.75</v>
      </c>
      <c r="L273" s="454">
        <f t="shared" si="354"/>
        <v>63.75</v>
      </c>
      <c r="M273" s="454"/>
      <c r="N273" s="223">
        <f t="shared" si="355"/>
        <v>0.24705882352941178</v>
      </c>
      <c r="O273" s="178">
        <f t="shared" si="392"/>
        <v>2.0011764705882356</v>
      </c>
      <c r="P273" s="178">
        <f t="shared" si="393"/>
        <v>4.0023529411764711</v>
      </c>
      <c r="Q273" s="223">
        <f t="shared" si="358"/>
        <v>0.40023529411764713</v>
      </c>
      <c r="R273" s="223">
        <f t="shared" si="394"/>
        <v>0.40023529411764713</v>
      </c>
      <c r="S273" s="223">
        <f t="shared" si="395"/>
        <v>5</v>
      </c>
      <c r="T273" s="223">
        <f t="shared" si="396"/>
        <v>0.5340608465608464</v>
      </c>
      <c r="U273" s="223">
        <f t="shared" si="362"/>
        <v>0.48955577601410916</v>
      </c>
      <c r="V273" s="223">
        <f t="shared" si="363"/>
        <v>1.4919795078525233</v>
      </c>
      <c r="W273" s="203">
        <f t="shared" si="364"/>
        <v>350</v>
      </c>
      <c r="X273" s="454">
        <f t="shared" si="365"/>
        <v>350</v>
      </c>
      <c r="Z273" s="223">
        <f t="shared" si="366"/>
        <v>0.77005347593582896</v>
      </c>
      <c r="AA273" s="179">
        <f t="shared" si="367"/>
        <v>2.151260504201681</v>
      </c>
      <c r="AB273" s="179">
        <f t="shared" si="397"/>
        <v>0.43485372758729168</v>
      </c>
      <c r="AC273" s="179"/>
      <c r="AD273" s="179">
        <f t="shared" si="369"/>
        <v>0.419047619047619</v>
      </c>
      <c r="AE273" s="563">
        <f t="shared" si="398"/>
        <v>3022.727272727273</v>
      </c>
      <c r="AF273" s="546">
        <f t="shared" si="399"/>
        <v>3.2999999999999995E-2</v>
      </c>
      <c r="AH273" s="179">
        <f t="shared" si="400"/>
        <v>0.60838299625307579</v>
      </c>
      <c r="AI273" s="179">
        <f t="shared" si="401"/>
        <v>0.60838299625307579</v>
      </c>
      <c r="AJ273" s="179">
        <f t="shared" si="402"/>
        <v>1.5395429601874635</v>
      </c>
      <c r="AL273" s="563">
        <f t="shared" si="403"/>
        <v>285</v>
      </c>
      <c r="AM273" s="472">
        <f t="shared" si="404"/>
        <v>350</v>
      </c>
      <c r="AO273">
        <f t="shared" si="377"/>
        <v>285</v>
      </c>
      <c r="AP273">
        <f t="shared" si="378"/>
        <v>350</v>
      </c>
      <c r="AR273" s="6">
        <f t="shared" si="412"/>
        <v>2.8571428571428572</v>
      </c>
      <c r="AS273" s="6">
        <f t="shared" si="386"/>
        <v>0.55768441323198614</v>
      </c>
      <c r="AT273" s="6">
        <f t="shared" si="387"/>
        <v>2.2994584439108712</v>
      </c>
      <c r="AU273" s="179">
        <f t="shared" si="388"/>
        <v>0.19518954463119514</v>
      </c>
      <c r="AW273" s="6">
        <f t="shared" si="405"/>
        <v>6.7055121527777786</v>
      </c>
      <c r="AX273" s="472">
        <f t="shared" si="406"/>
        <v>3.172681806848404</v>
      </c>
      <c r="AY273" s="6">
        <f t="shared" si="407"/>
        <v>6.7055121527777786</v>
      </c>
      <c r="AZ273" s="472">
        <f t="shared" si="408"/>
        <v>5.8064111328124994</v>
      </c>
      <c r="BB273" s="6">
        <f t="shared" si="409"/>
        <v>0</v>
      </c>
      <c r="CG273" s="581">
        <f t="shared" si="410"/>
        <v>-50</v>
      </c>
    </row>
    <row r="274" spans="5:85" x14ac:dyDescent="0.2">
      <c r="E274" s="176">
        <v>58</v>
      </c>
      <c r="F274" s="223">
        <f t="shared" si="411"/>
        <v>0.28999999999999998</v>
      </c>
      <c r="G274" s="223">
        <f t="shared" si="389"/>
        <v>0.28999999999999998</v>
      </c>
      <c r="H274" s="223">
        <f t="shared" si="390"/>
        <v>1.45</v>
      </c>
      <c r="I274" s="223">
        <f t="shared" si="391"/>
        <v>1.45</v>
      </c>
      <c r="J274" s="559">
        <f t="shared" si="352"/>
        <v>48</v>
      </c>
      <c r="K274" s="454">
        <f t="shared" si="353"/>
        <v>15.75</v>
      </c>
      <c r="L274" s="454">
        <f t="shared" si="354"/>
        <v>63.75</v>
      </c>
      <c r="M274" s="454"/>
      <c r="N274" s="223">
        <f t="shared" si="355"/>
        <v>0.24705882352941178</v>
      </c>
      <c r="O274" s="178">
        <f t="shared" si="392"/>
        <v>2.0011764705882356</v>
      </c>
      <c r="P274" s="178">
        <f t="shared" si="393"/>
        <v>4.0023529411764711</v>
      </c>
      <c r="Q274" s="223">
        <f t="shared" si="358"/>
        <v>0.40023529411764713</v>
      </c>
      <c r="R274" s="223">
        <f t="shared" si="394"/>
        <v>0.40023529411764713</v>
      </c>
      <c r="S274" s="223">
        <f t="shared" si="395"/>
        <v>5</v>
      </c>
      <c r="T274" s="223">
        <f t="shared" si="396"/>
        <v>0.54343033509700167</v>
      </c>
      <c r="U274" s="223">
        <f t="shared" si="362"/>
        <v>0.49814447383891819</v>
      </c>
      <c r="V274" s="223">
        <f t="shared" si="363"/>
        <v>1.5181545869376554</v>
      </c>
      <c r="W274" s="203">
        <f t="shared" si="364"/>
        <v>350</v>
      </c>
      <c r="X274" s="454">
        <f t="shared" si="365"/>
        <v>350</v>
      </c>
      <c r="Z274" s="223">
        <f t="shared" si="366"/>
        <v>0.77005347593582896</v>
      </c>
      <c r="AA274" s="179">
        <f t="shared" si="367"/>
        <v>2.151260504201681</v>
      </c>
      <c r="AB274" s="179">
        <f t="shared" si="397"/>
        <v>0.43485372758729168</v>
      </c>
      <c r="AC274" s="179"/>
      <c r="AD274" s="179">
        <f t="shared" si="369"/>
        <v>0.419047619047619</v>
      </c>
      <c r="AE274" s="563">
        <f t="shared" si="398"/>
        <v>3075.757575757576</v>
      </c>
      <c r="AF274" s="546">
        <f t="shared" si="399"/>
        <v>3.2999999999999995E-2</v>
      </c>
      <c r="AH274" s="179">
        <f t="shared" si="400"/>
        <v>0.61369648575120306</v>
      </c>
      <c r="AI274" s="179">
        <f t="shared" si="401"/>
        <v>0.61369648575120306</v>
      </c>
      <c r="AJ274" s="179">
        <f t="shared" si="402"/>
        <v>1.5434788783342244</v>
      </c>
      <c r="AL274" s="563">
        <f t="shared" si="403"/>
        <v>290</v>
      </c>
      <c r="AM274" s="472">
        <f t="shared" si="404"/>
        <v>350</v>
      </c>
      <c r="AO274">
        <f t="shared" si="377"/>
        <v>290</v>
      </c>
      <c r="AP274">
        <f t="shared" si="378"/>
        <v>350</v>
      </c>
      <c r="AR274" s="6">
        <f t="shared" si="412"/>
        <v>2.8571428571428572</v>
      </c>
      <c r="AS274" s="6">
        <f t="shared" si="386"/>
        <v>0.56255511193860286</v>
      </c>
      <c r="AT274" s="6">
        <f t="shared" si="387"/>
        <v>2.2945877452042542</v>
      </c>
      <c r="AU274" s="179">
        <f t="shared" si="388"/>
        <v>0.19689428917851098</v>
      </c>
      <c r="AW274" s="6">
        <f t="shared" si="405"/>
        <v>6.7055121527777786</v>
      </c>
      <c r="AX274" s="472">
        <f t="shared" si="406"/>
        <v>3.26971732786643</v>
      </c>
      <c r="AY274" s="6">
        <f t="shared" si="407"/>
        <v>6.7055121527777786</v>
      </c>
      <c r="AZ274" s="472">
        <f t="shared" si="408"/>
        <v>5.9966688368055552</v>
      </c>
      <c r="BB274" s="6">
        <f t="shared" si="409"/>
        <v>0</v>
      </c>
      <c r="CG274" s="581">
        <f t="shared" si="410"/>
        <v>-50</v>
      </c>
    </row>
    <row r="275" spans="5:85" x14ac:dyDescent="0.2">
      <c r="E275" s="176">
        <v>59</v>
      </c>
      <c r="F275" s="223">
        <f t="shared" si="411"/>
        <v>0.29499999999999998</v>
      </c>
      <c r="G275" s="223">
        <f t="shared" si="389"/>
        <v>0.29499999999999998</v>
      </c>
      <c r="H275" s="223">
        <f t="shared" si="390"/>
        <v>1.4749999999999999</v>
      </c>
      <c r="I275" s="223">
        <f t="shared" si="391"/>
        <v>1.4749999999999999</v>
      </c>
      <c r="J275" s="559">
        <f t="shared" si="352"/>
        <v>48</v>
      </c>
      <c r="K275" s="454">
        <f t="shared" si="353"/>
        <v>15.75</v>
      </c>
      <c r="L275" s="454">
        <f t="shared" si="354"/>
        <v>63.75</v>
      </c>
      <c r="M275" s="454"/>
      <c r="N275" s="223">
        <f t="shared" si="355"/>
        <v>0.24705882352941178</v>
      </c>
      <c r="O275" s="178">
        <f t="shared" si="392"/>
        <v>2.0011764705882356</v>
      </c>
      <c r="P275" s="178">
        <f t="shared" si="393"/>
        <v>4.0023529411764711</v>
      </c>
      <c r="Q275" s="223">
        <f t="shared" si="358"/>
        <v>0.40023529411764713</v>
      </c>
      <c r="R275" s="223">
        <f t="shared" si="394"/>
        <v>0.40023529411764713</v>
      </c>
      <c r="S275" s="223">
        <f t="shared" si="395"/>
        <v>5</v>
      </c>
      <c r="T275" s="223">
        <f t="shared" si="396"/>
        <v>0.55279982363315683</v>
      </c>
      <c r="U275" s="223">
        <f t="shared" si="362"/>
        <v>0.50673317166372711</v>
      </c>
      <c r="V275" s="223">
        <f t="shared" si="363"/>
        <v>1.5443296660227874</v>
      </c>
      <c r="W275" s="203">
        <f t="shared" si="364"/>
        <v>350</v>
      </c>
      <c r="X275" s="454">
        <f t="shared" si="365"/>
        <v>350</v>
      </c>
      <c r="Z275" s="223">
        <f t="shared" si="366"/>
        <v>0.77005347593582896</v>
      </c>
      <c r="AA275" s="179">
        <f t="shared" si="367"/>
        <v>2.151260504201681</v>
      </c>
      <c r="AB275" s="179">
        <f t="shared" si="397"/>
        <v>0.43485372758729168</v>
      </c>
      <c r="AC275" s="179"/>
      <c r="AD275" s="179">
        <f t="shared" si="369"/>
        <v>0.419047619047619</v>
      </c>
      <c r="AE275" s="563">
        <f t="shared" si="398"/>
        <v>3128.7878787878794</v>
      </c>
      <c r="AF275" s="546">
        <f t="shared" si="399"/>
        <v>3.2999999999999995E-2</v>
      </c>
      <c r="AH275" s="179">
        <f t="shared" si="400"/>
        <v>0.61896436336584282</v>
      </c>
      <c r="AI275" s="179">
        <f t="shared" si="401"/>
        <v>0.61896436336584282</v>
      </c>
      <c r="AJ275" s="179">
        <f t="shared" si="402"/>
        <v>1.5473810099006242</v>
      </c>
      <c r="AL275" s="563">
        <f t="shared" si="403"/>
        <v>295</v>
      </c>
      <c r="AM275" s="472">
        <f t="shared" si="404"/>
        <v>350</v>
      </c>
      <c r="AO275">
        <f t="shared" si="377"/>
        <v>295</v>
      </c>
      <c r="AP275">
        <f t="shared" si="378"/>
        <v>350</v>
      </c>
      <c r="AR275" s="6">
        <f t="shared" si="412"/>
        <v>2.8571428571428572</v>
      </c>
      <c r="AS275" s="6">
        <f t="shared" si="386"/>
        <v>0.56738399975202258</v>
      </c>
      <c r="AT275" s="6">
        <f t="shared" si="387"/>
        <v>2.2897588573908347</v>
      </c>
      <c r="AU275" s="179">
        <f t="shared" si="388"/>
        <v>0.19858439991320789</v>
      </c>
      <c r="AW275" s="6">
        <f t="shared" si="405"/>
        <v>6.7055121527777786</v>
      </c>
      <c r="AX275" s="472">
        <f t="shared" si="406"/>
        <v>3.3681795535978125</v>
      </c>
      <c r="AY275" s="6">
        <f t="shared" si="407"/>
        <v>6.7055121527777786</v>
      </c>
      <c r="AZ275" s="472">
        <f t="shared" si="408"/>
        <v>6.189974500868054</v>
      </c>
      <c r="BB275" s="6">
        <f t="shared" si="409"/>
        <v>0</v>
      </c>
      <c r="CG275" s="581">
        <f t="shared" si="410"/>
        <v>-50</v>
      </c>
    </row>
    <row r="276" spans="5:85" x14ac:dyDescent="0.2">
      <c r="E276" s="176">
        <v>60</v>
      </c>
      <c r="F276" s="223">
        <f t="shared" si="411"/>
        <v>0.3</v>
      </c>
      <c r="G276" s="223">
        <f t="shared" si="389"/>
        <v>0.3</v>
      </c>
      <c r="H276" s="223">
        <f t="shared" si="390"/>
        <v>1.5</v>
      </c>
      <c r="I276" s="223">
        <f t="shared" si="391"/>
        <v>1.5</v>
      </c>
      <c r="J276" s="559">
        <f t="shared" si="352"/>
        <v>48</v>
      </c>
      <c r="K276" s="454">
        <f t="shared" si="353"/>
        <v>15.75</v>
      </c>
      <c r="L276" s="454">
        <f t="shared" si="354"/>
        <v>63.75</v>
      </c>
      <c r="M276" s="454"/>
      <c r="N276" s="223">
        <f t="shared" si="355"/>
        <v>0.24705882352941178</v>
      </c>
      <c r="O276" s="178">
        <f t="shared" si="392"/>
        <v>2.0011764705882356</v>
      </c>
      <c r="P276" s="178">
        <f t="shared" si="393"/>
        <v>4.0023529411764711</v>
      </c>
      <c r="Q276" s="223">
        <f t="shared" si="358"/>
        <v>0.40023529411764713</v>
      </c>
      <c r="R276" s="223">
        <f t="shared" si="394"/>
        <v>0.40023529411764713</v>
      </c>
      <c r="S276" s="223">
        <f t="shared" si="395"/>
        <v>5</v>
      </c>
      <c r="T276" s="223">
        <f t="shared" si="396"/>
        <v>0.5621693121693121</v>
      </c>
      <c r="U276" s="223">
        <f t="shared" si="362"/>
        <v>0.51532186948853609</v>
      </c>
      <c r="V276" s="223">
        <f t="shared" si="363"/>
        <v>1.5705047451079195</v>
      </c>
      <c r="W276" s="203">
        <f t="shared" si="364"/>
        <v>350</v>
      </c>
      <c r="X276" s="454">
        <f t="shared" si="365"/>
        <v>350</v>
      </c>
      <c r="Z276" s="223">
        <f t="shared" si="366"/>
        <v>0.77005347593582896</v>
      </c>
      <c r="AA276" s="179">
        <f t="shared" si="367"/>
        <v>2.151260504201681</v>
      </c>
      <c r="AB276" s="179">
        <f t="shared" si="397"/>
        <v>0.43485372758729168</v>
      </c>
      <c r="AC276" s="179"/>
      <c r="AD276" s="179">
        <f t="shared" si="369"/>
        <v>0.419047619047619</v>
      </c>
      <c r="AE276" s="563">
        <f t="shared" si="398"/>
        <v>3181.818181818182</v>
      </c>
      <c r="AF276" s="546">
        <f t="shared" si="399"/>
        <v>3.2999999999999995E-2</v>
      </c>
      <c r="AH276" s="179">
        <f t="shared" si="400"/>
        <v>0.6241877839323593</v>
      </c>
      <c r="AI276" s="179">
        <f t="shared" si="401"/>
        <v>0.6241877839323593</v>
      </c>
      <c r="AJ276" s="179">
        <f t="shared" si="402"/>
        <v>1.5512502103202661</v>
      </c>
      <c r="AL276" s="563">
        <f t="shared" si="403"/>
        <v>300</v>
      </c>
      <c r="AM276" s="472">
        <f t="shared" si="404"/>
        <v>350</v>
      </c>
      <c r="AO276">
        <f t="shared" si="377"/>
        <v>300</v>
      </c>
      <c r="AP276">
        <f t="shared" si="378"/>
        <v>350</v>
      </c>
      <c r="AR276" s="6">
        <f t="shared" si="412"/>
        <v>2.8571428571428572</v>
      </c>
      <c r="AS276" s="6">
        <f t="shared" si="386"/>
        <v>0.57217213527132937</v>
      </c>
      <c r="AT276" s="6">
        <f t="shared" si="387"/>
        <v>2.2849707218715278</v>
      </c>
      <c r="AU276" s="179">
        <f t="shared" si="388"/>
        <v>0.20026024734496528</v>
      </c>
      <c r="AW276" s="6">
        <f t="shared" si="405"/>
        <v>6.7055121527777786</v>
      </c>
      <c r="AX276" s="472">
        <f t="shared" si="406"/>
        <v>3.4680684840425529</v>
      </c>
      <c r="AY276" s="6">
        <f t="shared" si="407"/>
        <v>6.7055121527777786</v>
      </c>
      <c r="AZ276" s="472">
        <f t="shared" si="408"/>
        <v>6.3863281249999986</v>
      </c>
      <c r="BB276" s="6">
        <f t="shared" si="409"/>
        <v>0</v>
      </c>
      <c r="CG276" s="581">
        <f t="shared" si="410"/>
        <v>-50</v>
      </c>
    </row>
    <row r="277" spans="5:85" x14ac:dyDescent="0.2">
      <c r="E277" s="176">
        <v>61</v>
      </c>
      <c r="F277" s="223">
        <f t="shared" si="411"/>
        <v>0.30499999999999999</v>
      </c>
      <c r="G277" s="223">
        <f t="shared" si="389"/>
        <v>0.30499999999999999</v>
      </c>
      <c r="H277" s="223">
        <f t="shared" si="390"/>
        <v>1.5249999999999999</v>
      </c>
      <c r="I277" s="223">
        <f t="shared" si="391"/>
        <v>1.5249999999999999</v>
      </c>
      <c r="J277" s="559">
        <f t="shared" si="352"/>
        <v>48</v>
      </c>
      <c r="K277" s="454">
        <f t="shared" si="353"/>
        <v>15.75</v>
      </c>
      <c r="L277" s="454">
        <f t="shared" si="354"/>
        <v>63.75</v>
      </c>
      <c r="M277" s="454"/>
      <c r="N277" s="223">
        <f t="shared" si="355"/>
        <v>0.24705882352941178</v>
      </c>
      <c r="O277" s="178">
        <f t="shared" si="392"/>
        <v>2.0011764705882356</v>
      </c>
      <c r="P277" s="178">
        <f t="shared" si="393"/>
        <v>4.0023529411764711</v>
      </c>
      <c r="Q277" s="223">
        <f t="shared" si="358"/>
        <v>0.40023529411764713</v>
      </c>
      <c r="R277" s="223">
        <f t="shared" si="394"/>
        <v>0.40023529411764713</v>
      </c>
      <c r="S277" s="223">
        <f t="shared" si="395"/>
        <v>5</v>
      </c>
      <c r="T277" s="223">
        <f t="shared" si="396"/>
        <v>0.57153880070546725</v>
      </c>
      <c r="U277" s="223">
        <f t="shared" si="362"/>
        <v>0.52391056731334495</v>
      </c>
      <c r="V277" s="223">
        <f t="shared" si="363"/>
        <v>1.5966798241930513</v>
      </c>
      <c r="W277" s="203">
        <f t="shared" si="364"/>
        <v>350</v>
      </c>
      <c r="X277" s="454">
        <f t="shared" si="365"/>
        <v>350</v>
      </c>
      <c r="Z277" s="223">
        <f t="shared" si="366"/>
        <v>0.77005347593582896</v>
      </c>
      <c r="AA277" s="179">
        <f t="shared" si="367"/>
        <v>2.151260504201681</v>
      </c>
      <c r="AB277" s="179">
        <f t="shared" si="397"/>
        <v>0.43485372758729168</v>
      </c>
      <c r="AC277" s="179"/>
      <c r="AD277" s="179">
        <f t="shared" si="369"/>
        <v>0.419047619047619</v>
      </c>
      <c r="AE277" s="563">
        <f t="shared" si="398"/>
        <v>3234.8484848484854</v>
      </c>
      <c r="AF277" s="546">
        <f t="shared" si="399"/>
        <v>3.2999999999999995E-2</v>
      </c>
      <c r="AH277" s="179">
        <f t="shared" si="400"/>
        <v>0.62936785436173659</v>
      </c>
      <c r="AI277" s="179">
        <f t="shared" si="401"/>
        <v>0.62936785436173659</v>
      </c>
      <c r="AJ277" s="179">
        <f t="shared" si="402"/>
        <v>1.5550872995272123</v>
      </c>
      <c r="AL277" s="563">
        <f t="shared" si="403"/>
        <v>305</v>
      </c>
      <c r="AM277" s="472">
        <f t="shared" si="404"/>
        <v>350</v>
      </c>
      <c r="AO277">
        <f t="shared" si="377"/>
        <v>305</v>
      </c>
      <c r="AP277">
        <f t="shared" si="378"/>
        <v>350</v>
      </c>
      <c r="AR277" s="6">
        <f t="shared" si="412"/>
        <v>2.8571428571428572</v>
      </c>
      <c r="AS277" s="6">
        <f t="shared" si="386"/>
        <v>0.5769205331649252</v>
      </c>
      <c r="AT277" s="6">
        <f t="shared" si="387"/>
        <v>2.2802223239779318</v>
      </c>
      <c r="AU277" s="179">
        <f t="shared" si="388"/>
        <v>0.20192218660772382</v>
      </c>
      <c r="AW277" s="6">
        <f t="shared" si="405"/>
        <v>6.7055121527777786</v>
      </c>
      <c r="AX277" s="472">
        <f t="shared" si="406"/>
        <v>3.5693841192006501</v>
      </c>
      <c r="AY277" s="6">
        <f t="shared" si="407"/>
        <v>6.7055121527777786</v>
      </c>
      <c r="AZ277" s="472">
        <f t="shared" si="408"/>
        <v>6.5857297092013889</v>
      </c>
      <c r="BB277" s="6">
        <f t="shared" si="409"/>
        <v>0</v>
      </c>
      <c r="CG277" s="581">
        <f t="shared" si="410"/>
        <v>-50</v>
      </c>
    </row>
    <row r="278" spans="5:85" x14ac:dyDescent="0.2">
      <c r="E278" s="176">
        <v>62</v>
      </c>
      <c r="F278" s="223">
        <f t="shared" si="411"/>
        <v>0.31</v>
      </c>
      <c r="G278" s="223">
        <f t="shared" si="389"/>
        <v>0.31</v>
      </c>
      <c r="H278" s="223">
        <f t="shared" si="390"/>
        <v>1.55</v>
      </c>
      <c r="I278" s="223">
        <f t="shared" si="391"/>
        <v>1.55</v>
      </c>
      <c r="J278" s="559">
        <f t="shared" si="352"/>
        <v>48</v>
      </c>
      <c r="K278" s="454">
        <f t="shared" si="353"/>
        <v>15.75</v>
      </c>
      <c r="L278" s="454">
        <f t="shared" si="354"/>
        <v>63.75</v>
      </c>
      <c r="M278" s="454"/>
      <c r="N278" s="223">
        <f t="shared" si="355"/>
        <v>0.24705882352941178</v>
      </c>
      <c r="O278" s="178">
        <f t="shared" si="392"/>
        <v>2.0011764705882356</v>
      </c>
      <c r="P278" s="178">
        <f t="shared" si="393"/>
        <v>4.0023529411764711</v>
      </c>
      <c r="Q278" s="223">
        <f t="shared" si="358"/>
        <v>0.40023529411764713</v>
      </c>
      <c r="R278" s="223">
        <f t="shared" si="394"/>
        <v>0.40023529411764713</v>
      </c>
      <c r="S278" s="223">
        <f t="shared" si="395"/>
        <v>5</v>
      </c>
      <c r="T278" s="223">
        <f t="shared" si="396"/>
        <v>0.58090828924162252</v>
      </c>
      <c r="U278" s="223">
        <f t="shared" si="362"/>
        <v>0.53249926513815393</v>
      </c>
      <c r="V278" s="223">
        <f t="shared" si="363"/>
        <v>1.6228549032781834</v>
      </c>
      <c r="W278" s="203">
        <f t="shared" si="364"/>
        <v>350</v>
      </c>
      <c r="X278" s="454">
        <f t="shared" si="365"/>
        <v>350</v>
      </c>
      <c r="Z278" s="223">
        <f t="shared" si="366"/>
        <v>0.77005347593582896</v>
      </c>
      <c r="AA278" s="179">
        <f t="shared" si="367"/>
        <v>2.151260504201681</v>
      </c>
      <c r="AB278" s="179">
        <f t="shared" si="397"/>
        <v>0.43485372758729168</v>
      </c>
      <c r="AC278" s="179"/>
      <c r="AD278" s="179">
        <f t="shared" si="369"/>
        <v>0.419047619047619</v>
      </c>
      <c r="AE278" s="563">
        <f t="shared" si="398"/>
        <v>3287.8787878787889</v>
      </c>
      <c r="AF278" s="546">
        <f t="shared" si="399"/>
        <v>3.2999999999999995E-2</v>
      </c>
      <c r="AH278" s="179">
        <f t="shared" si="400"/>
        <v>0.63450563637953805</v>
      </c>
      <c r="AI278" s="179">
        <f t="shared" si="401"/>
        <v>0.63450563637953805</v>
      </c>
      <c r="AJ278" s="179">
        <f t="shared" si="402"/>
        <v>1.5588930639848431</v>
      </c>
      <c r="AL278" s="563">
        <f t="shared" si="403"/>
        <v>310</v>
      </c>
      <c r="AM278" s="472">
        <f t="shared" si="404"/>
        <v>350</v>
      </c>
      <c r="AO278">
        <f t="shared" si="377"/>
        <v>310</v>
      </c>
      <c r="AP278">
        <f t="shared" si="378"/>
        <v>350</v>
      </c>
      <c r="AR278" s="6">
        <f t="shared" si="412"/>
        <v>2.8571428571428572</v>
      </c>
      <c r="AS278" s="6">
        <f t="shared" si="386"/>
        <v>0.58163016668124323</v>
      </c>
      <c r="AT278" s="6">
        <f t="shared" si="387"/>
        <v>2.2755126904616141</v>
      </c>
      <c r="AU278" s="179">
        <f t="shared" si="388"/>
        <v>0.20357055833843513</v>
      </c>
      <c r="AW278" s="6">
        <f t="shared" si="405"/>
        <v>6.7055121527777786</v>
      </c>
      <c r="AX278" s="472">
        <f t="shared" si="406"/>
        <v>3.6721264590721034</v>
      </c>
      <c r="AY278" s="6">
        <f t="shared" si="407"/>
        <v>6.7055121527777786</v>
      </c>
      <c r="AZ278" s="472">
        <f t="shared" si="408"/>
        <v>6.7881792534722232</v>
      </c>
      <c r="BB278" s="6">
        <f t="shared" si="409"/>
        <v>0</v>
      </c>
      <c r="CG278" s="581">
        <f t="shared" si="410"/>
        <v>-50</v>
      </c>
    </row>
    <row r="279" spans="5:85" x14ac:dyDescent="0.2">
      <c r="E279" s="176">
        <v>63</v>
      </c>
      <c r="F279" s="223">
        <f t="shared" si="411"/>
        <v>0.315</v>
      </c>
      <c r="G279" s="223">
        <f t="shared" si="389"/>
        <v>0.315</v>
      </c>
      <c r="H279" s="223">
        <f t="shared" si="390"/>
        <v>1.575</v>
      </c>
      <c r="I279" s="223">
        <f t="shared" si="391"/>
        <v>1.575</v>
      </c>
      <c r="J279" s="559">
        <f t="shared" si="352"/>
        <v>48</v>
      </c>
      <c r="K279" s="454">
        <f t="shared" si="353"/>
        <v>15.75</v>
      </c>
      <c r="L279" s="454">
        <f t="shared" si="354"/>
        <v>63.75</v>
      </c>
      <c r="M279" s="454"/>
      <c r="N279" s="223">
        <f t="shared" si="355"/>
        <v>0.24705882352941178</v>
      </c>
      <c r="O279" s="178">
        <f t="shared" si="392"/>
        <v>2.0011764705882356</v>
      </c>
      <c r="P279" s="178">
        <f t="shared" si="393"/>
        <v>4.0023529411764711</v>
      </c>
      <c r="Q279" s="223">
        <f t="shared" si="358"/>
        <v>0.40023529411764713</v>
      </c>
      <c r="R279" s="223">
        <f t="shared" si="394"/>
        <v>0.40023529411764713</v>
      </c>
      <c r="S279" s="223">
        <f t="shared" si="395"/>
        <v>5</v>
      </c>
      <c r="T279" s="223">
        <f t="shared" si="396"/>
        <v>0.59027777777777768</v>
      </c>
      <c r="U279" s="223">
        <f t="shared" si="362"/>
        <v>0.5410879629629628</v>
      </c>
      <c r="V279" s="223">
        <f t="shared" si="363"/>
        <v>1.6490299823633152</v>
      </c>
      <c r="W279" s="203">
        <f t="shared" si="364"/>
        <v>350</v>
      </c>
      <c r="X279" s="454">
        <f t="shared" si="365"/>
        <v>350</v>
      </c>
      <c r="Z279" s="223">
        <f t="shared" si="366"/>
        <v>0.77005347593582896</v>
      </c>
      <c r="AA279" s="179">
        <f t="shared" si="367"/>
        <v>2.151260504201681</v>
      </c>
      <c r="AB279" s="179">
        <f t="shared" si="397"/>
        <v>0.43485372758729168</v>
      </c>
      <c r="AC279" s="179"/>
      <c r="AD279" s="179">
        <f t="shared" si="369"/>
        <v>0.419047619047619</v>
      </c>
      <c r="AE279" s="563">
        <f t="shared" si="398"/>
        <v>3340.9090909090919</v>
      </c>
      <c r="AF279" s="546">
        <f t="shared" si="399"/>
        <v>3.2999999999999995E-2</v>
      </c>
      <c r="AH279" s="179">
        <f t="shared" si="400"/>
        <v>0.63960214906683133</v>
      </c>
      <c r="AI279" s="179">
        <f t="shared" si="401"/>
        <v>0.63960214906683133</v>
      </c>
      <c r="AJ279" s="179">
        <f t="shared" si="402"/>
        <v>1.5626682585680232</v>
      </c>
      <c r="AL279" s="563">
        <f t="shared" si="403"/>
        <v>315</v>
      </c>
      <c r="AM279" s="472">
        <f t="shared" si="404"/>
        <v>350</v>
      </c>
      <c r="AO279">
        <f t="shared" si="377"/>
        <v>315</v>
      </c>
      <c r="AP279">
        <f t="shared" si="378"/>
        <v>350</v>
      </c>
      <c r="AR279" s="6">
        <f t="shared" si="412"/>
        <v>2.8571428571428572</v>
      </c>
      <c r="AS279" s="6">
        <f t="shared" si="386"/>
        <v>0.58630196997792872</v>
      </c>
      <c r="AT279" s="6">
        <f t="shared" si="387"/>
        <v>2.2708408871649284</v>
      </c>
      <c r="AU279" s="179">
        <f t="shared" si="388"/>
        <v>0.20520568949227505</v>
      </c>
      <c r="AW279" s="6">
        <f t="shared" si="405"/>
        <v>6.7055121527777786</v>
      </c>
      <c r="AX279" s="472">
        <f t="shared" si="406"/>
        <v>3.7762955036569146</v>
      </c>
      <c r="AY279" s="6">
        <f t="shared" si="407"/>
        <v>6.7055121527777786</v>
      </c>
      <c r="AZ279" s="472">
        <f t="shared" si="408"/>
        <v>6.9936767578125005</v>
      </c>
      <c r="BB279" s="6">
        <f t="shared" si="409"/>
        <v>0</v>
      </c>
      <c r="CG279" s="581">
        <f t="shared" si="410"/>
        <v>-50</v>
      </c>
    </row>
    <row r="280" spans="5:85" x14ac:dyDescent="0.2">
      <c r="E280" s="176">
        <v>64</v>
      </c>
      <c r="F280" s="223">
        <f t="shared" si="411"/>
        <v>0.32</v>
      </c>
      <c r="G280" s="223">
        <f t="shared" ref="G280:G316" si="413">IF(PLOT_TYPE=1, E280/100*Iout2, min_I*EXP(Q280*rr/100))</f>
        <v>0.32</v>
      </c>
      <c r="H280" s="223">
        <f t="shared" ref="H280:H316" si="414">F280*Vout</f>
        <v>1.6</v>
      </c>
      <c r="I280" s="223">
        <f t="shared" ref="I280:I316" si="415">Vout2*G280</f>
        <v>1.6</v>
      </c>
      <c r="J280" s="559">
        <f t="shared" ref="J280:J316" si="416">VIN_max</f>
        <v>48</v>
      </c>
      <c r="K280" s="454">
        <f t="shared" ref="K280:K316" si="417">(S280+Vfwd1)*Nps</f>
        <v>15.75</v>
      </c>
      <c r="L280" s="454">
        <f t="shared" ref="L280:L316" si="418">(Vout+Vfwd1)*Nps+J280</f>
        <v>63.75</v>
      </c>
      <c r="M280" s="454"/>
      <c r="N280" s="223">
        <f t="shared" ref="N280:N316" si="419">(Vout+Vfwd1)*Nps/((Vout+Vfwd1)*Nps+J280)</f>
        <v>0.24705882352941178</v>
      </c>
      <c r="O280" s="178">
        <f t="shared" ref="O280:O311" si="420">N280*J280*Isw_max*0.5*Efficiency*Pout/(Pout+Pout2)</f>
        <v>2.0011764705882356</v>
      </c>
      <c r="P280" s="178">
        <f t="shared" ref="P280:P316" si="421">N280*J280*Isw_max*0.5*Efficiency*(Pout2/Pout_total)</f>
        <v>4.0023529411764711</v>
      </c>
      <c r="Q280" s="223">
        <f t="shared" ref="Q280:Q316" si="422">O280/Vout</f>
        <v>0.40023529411764713</v>
      </c>
      <c r="R280" s="223">
        <f t="shared" ref="R280:R316" si="423">O280/Vout2</f>
        <v>0.40023529411764713</v>
      </c>
      <c r="S280" s="223">
        <f t="shared" ref="S280:S316" si="424">MIN(Vout,O280/F280)</f>
        <v>5</v>
      </c>
      <c r="T280" s="223">
        <f t="shared" ref="T280:T316" si="425">MIN(2*(Vout*F280+Vout2*G280)/(Efficiency*J280*N280), Isw_max)</f>
        <v>0.59964726631393295</v>
      </c>
      <c r="U280" s="223">
        <f t="shared" ref="U280:U316" si="426">L*T280/J280*1000000</f>
        <v>0.54967666078777189</v>
      </c>
      <c r="V280" s="223">
        <f t="shared" ref="V280:V316" si="427">L*T280/K280*1000000</f>
        <v>1.6752050614484477</v>
      </c>
      <c r="W280" s="203">
        <f t="shared" ref="W280:W316" si="428">IF(1/((350000*L)*(1/J280+1/K280))&gt;Isw_min, 350, 0.001/((Isw_min*L)*(1/J280+1/K280)))</f>
        <v>350</v>
      </c>
      <c r="X280" s="454">
        <f t="shared" ref="X280:X316" si="429">MIN(1/(U280+V280)*1000, 350)</f>
        <v>350</v>
      </c>
      <c r="Z280" s="223">
        <f t="shared" ref="Z280:Z316" si="430">1/((W280*1000*L)*(1/J280+1/K280))</f>
        <v>0.77005347593582896</v>
      </c>
      <c r="AA280" s="179">
        <f t="shared" ref="AA280:AA316" si="431">L*Z280/K280*1000000</f>
        <v>2.151260504201681</v>
      </c>
      <c r="AB280" s="179">
        <f t="shared" ref="AB280:AB311" si="432">0.5*AA280*Z280*Nps*W280/1000*(Pout/(Pout+Pout2))</f>
        <v>0.43485372758729168</v>
      </c>
      <c r="AC280" s="179"/>
      <c r="AD280" s="179">
        <f t="shared" ref="AD280:AD316" si="433">L*Isw_min/K280*1000000</f>
        <v>0.419047619047619</v>
      </c>
      <c r="AE280" s="563">
        <f t="shared" ref="AE280:AE311" si="434">MAX(10, F280/(0.5*AD280/1000000*Isw_min*Nps)/1000*Pout_total/Pout)</f>
        <v>3393.9393939393944</v>
      </c>
      <c r="AF280" s="546">
        <f t="shared" ref="AF280:AF316" si="435">0.5*AD280/1000000*Isw_min*Nps*W280*1000*(Pout/Pout_total)</f>
        <v>3.2999999999999995E-2</v>
      </c>
      <c r="AH280" s="179">
        <f t="shared" ref="AH280:AH316" si="436">SQRT((H280+I280)/(0.5*L*Fsw_DCM))</f>
        <v>0.64465837122030423</v>
      </c>
      <c r="AI280" s="179">
        <f t="shared" ref="AI280:AI311" si="437">MAX(IF(F280&gt;AB280,T280,AH280),Isw_min)</f>
        <v>0.64465837122030423</v>
      </c>
      <c r="AJ280" s="179">
        <f t="shared" ref="AJ280:AJ311" si="438">IF(F280&gt;AF280, (AI280-Isw_min)/1.08*0.8+1.2, AE280*0.2/350+1)</f>
        <v>1.5664136083113365</v>
      </c>
      <c r="AL280" s="563">
        <f t="shared" ref="AL280:AL316" si="439">F280*1000</f>
        <v>320</v>
      </c>
      <c r="AM280" s="472">
        <f t="shared" ref="AM280:AM316" si="440">IF(F280&gt;AF280, X280, AE280)</f>
        <v>350</v>
      </c>
      <c r="AO280">
        <f t="shared" ref="AO280:AO316" si="441">IF(H280&gt;O280, "",AL280)</f>
        <v>320</v>
      </c>
      <c r="AP280">
        <f t="shared" ref="AP280:AP316" si="442">IF(H280&gt;O280, "",AM280)</f>
        <v>350</v>
      </c>
      <c r="AR280" s="6">
        <f t="shared" si="412"/>
        <v>2.8571428571428572</v>
      </c>
      <c r="AS280" s="6">
        <f t="shared" si="386"/>
        <v>0.59093684028527882</v>
      </c>
      <c r="AT280" s="6">
        <f t="shared" si="387"/>
        <v>2.2662060168575784</v>
      </c>
      <c r="AU280" s="179">
        <f t="shared" si="388"/>
        <v>0.20682789409984759</v>
      </c>
      <c r="AW280" s="6">
        <f t="shared" ref="AW280:AW316" si="443">L*Iout^2/(2*Vripple1_spec*Vout*Npri_sec1^2)*1000000000*((1+N280)/(1-N280))^2</f>
        <v>6.7055121527777786</v>
      </c>
      <c r="AX280" s="472">
        <f t="shared" ref="AX280:AX316" si="444">L*F280^2/(2*Cout*Vout*Nps^2)*1000000000*((1+N280)/(1-N280))^2+F280*RCoutEsr</f>
        <v>3.8818912529550822</v>
      </c>
      <c r="AY280" s="6">
        <f t="shared" ref="AY280:AY316" si="445">L*Iout2^2/(2*Vripple2_spec*Vout2*Npri_sec2^2)*1000000000*((1+N280)/(1-N280))^2</f>
        <v>6.7055121527777786</v>
      </c>
      <c r="AZ280" s="472">
        <f t="shared" ref="AZ280:AZ316" si="446">L*G280^2/(2*Cout2*Vout2*Npri_sec2^2)*1000000000*((1+N280)/(1-N280))^2+G280*CoutEsr2</f>
        <v>7.202222222222221</v>
      </c>
      <c r="BB280" s="6">
        <f t="shared" ref="BB280:BB316" si="447">((CB280/J280/Efficiency)*AT280/Cin+(CB280/J280/Efficiency)*RCinEsr)*1000</f>
        <v>0</v>
      </c>
      <c r="CG280" s="581">
        <f t="shared" ref="CG280:CG316" si="448">IF(ABS(F280-Ioutmax_Vinmax)&lt;Iout/200, AM280, -50)</f>
        <v>-50</v>
      </c>
    </row>
    <row r="281" spans="5:85" x14ac:dyDescent="0.2">
      <c r="E281" s="176">
        <v>65</v>
      </c>
      <c r="F281" s="223">
        <f t="shared" ref="F281:F312" si="449">IF(PLOT_TYPE=1, E281/100*Iout_max, min_I*EXP(O281*rr/100))</f>
        <v>0.32500000000000001</v>
      </c>
      <c r="G281" s="223">
        <f t="shared" si="413"/>
        <v>0.32500000000000001</v>
      </c>
      <c r="H281" s="223">
        <f t="shared" si="414"/>
        <v>1.625</v>
      </c>
      <c r="I281" s="223">
        <f t="shared" si="415"/>
        <v>1.625</v>
      </c>
      <c r="J281" s="559">
        <f t="shared" si="416"/>
        <v>48</v>
      </c>
      <c r="K281" s="454">
        <f t="shared" si="417"/>
        <v>15.75</v>
      </c>
      <c r="L281" s="454">
        <f t="shared" si="418"/>
        <v>63.75</v>
      </c>
      <c r="M281" s="454"/>
      <c r="N281" s="223">
        <f t="shared" si="419"/>
        <v>0.24705882352941178</v>
      </c>
      <c r="O281" s="178">
        <f t="shared" si="420"/>
        <v>2.0011764705882356</v>
      </c>
      <c r="P281" s="178">
        <f t="shared" si="421"/>
        <v>4.0023529411764711</v>
      </c>
      <c r="Q281" s="223">
        <f t="shared" si="422"/>
        <v>0.40023529411764713</v>
      </c>
      <c r="R281" s="223">
        <f t="shared" si="423"/>
        <v>0.40023529411764713</v>
      </c>
      <c r="S281" s="223">
        <f t="shared" si="424"/>
        <v>5</v>
      </c>
      <c r="T281" s="223">
        <f t="shared" si="425"/>
        <v>0.6090167548500881</v>
      </c>
      <c r="U281" s="223">
        <f t="shared" si="426"/>
        <v>0.55826535861258075</v>
      </c>
      <c r="V281" s="223">
        <f t="shared" si="427"/>
        <v>1.7013801405335793</v>
      </c>
      <c r="W281" s="203">
        <f t="shared" si="428"/>
        <v>350</v>
      </c>
      <c r="X281" s="454">
        <f t="shared" si="429"/>
        <v>350</v>
      </c>
      <c r="Z281" s="223">
        <f t="shared" si="430"/>
        <v>0.77005347593582896</v>
      </c>
      <c r="AA281" s="179">
        <f t="shared" si="431"/>
        <v>2.151260504201681</v>
      </c>
      <c r="AB281" s="179">
        <f t="shared" si="432"/>
        <v>0.43485372758729168</v>
      </c>
      <c r="AC281" s="179"/>
      <c r="AD281" s="179">
        <f t="shared" si="433"/>
        <v>0.419047619047619</v>
      </c>
      <c r="AE281" s="563">
        <f t="shared" si="434"/>
        <v>3446.9696969696975</v>
      </c>
      <c r="AF281" s="546">
        <f t="shared" si="435"/>
        <v>3.2999999999999995E-2</v>
      </c>
      <c r="AH281" s="179">
        <f t="shared" si="436"/>
        <v>0.64967524354705253</v>
      </c>
      <c r="AI281" s="179">
        <f t="shared" si="437"/>
        <v>0.64967524354705253</v>
      </c>
      <c r="AJ281" s="179">
        <f t="shared" si="438"/>
        <v>1.5701298100348537</v>
      </c>
      <c r="AL281" s="563">
        <f t="shared" si="439"/>
        <v>325</v>
      </c>
      <c r="AM281" s="472">
        <f t="shared" si="440"/>
        <v>350</v>
      </c>
      <c r="AO281">
        <f t="shared" si="441"/>
        <v>325</v>
      </c>
      <c r="AP281">
        <f t="shared" si="442"/>
        <v>350</v>
      </c>
      <c r="AR281" s="6">
        <f t="shared" si="412"/>
        <v>2.8571428571428572</v>
      </c>
      <c r="AS281" s="6">
        <f t="shared" si="386"/>
        <v>0.59553563991813152</v>
      </c>
      <c r="AT281" s="6">
        <f t="shared" si="387"/>
        <v>2.2616072172247259</v>
      </c>
      <c r="AU281" s="179">
        <f t="shared" si="388"/>
        <v>0.20843747397134602</v>
      </c>
      <c r="AW281" s="6">
        <f t="shared" si="443"/>
        <v>6.7055121527777786</v>
      </c>
      <c r="AX281" s="472">
        <f t="shared" si="444"/>
        <v>3.9889137069666076</v>
      </c>
      <c r="AY281" s="6">
        <f t="shared" si="445"/>
        <v>6.7055121527777786</v>
      </c>
      <c r="AZ281" s="472">
        <f t="shared" si="446"/>
        <v>7.4138156467013872</v>
      </c>
      <c r="BB281" s="6">
        <f t="shared" si="447"/>
        <v>0</v>
      </c>
      <c r="CG281" s="581">
        <f t="shared" si="448"/>
        <v>-50</v>
      </c>
    </row>
    <row r="282" spans="5:85" x14ac:dyDescent="0.2">
      <c r="E282" s="176">
        <v>66</v>
      </c>
      <c r="F282" s="223">
        <f t="shared" si="449"/>
        <v>0.33</v>
      </c>
      <c r="G282" s="223">
        <f t="shared" si="413"/>
        <v>0.33</v>
      </c>
      <c r="H282" s="223">
        <f t="shared" si="414"/>
        <v>1.6500000000000001</v>
      </c>
      <c r="I282" s="223">
        <f t="shared" si="415"/>
        <v>1.6500000000000001</v>
      </c>
      <c r="J282" s="559">
        <f t="shared" si="416"/>
        <v>48</v>
      </c>
      <c r="K282" s="454">
        <f t="shared" si="417"/>
        <v>15.75</v>
      </c>
      <c r="L282" s="454">
        <f t="shared" si="418"/>
        <v>63.75</v>
      </c>
      <c r="M282" s="454"/>
      <c r="N282" s="223">
        <f t="shared" si="419"/>
        <v>0.24705882352941178</v>
      </c>
      <c r="O282" s="178">
        <f t="shared" si="420"/>
        <v>2.0011764705882356</v>
      </c>
      <c r="P282" s="178">
        <f t="shared" si="421"/>
        <v>4.0023529411764711</v>
      </c>
      <c r="Q282" s="223">
        <f t="shared" si="422"/>
        <v>0.40023529411764713</v>
      </c>
      <c r="R282" s="223">
        <f t="shared" si="423"/>
        <v>0.40023529411764713</v>
      </c>
      <c r="S282" s="223">
        <f t="shared" si="424"/>
        <v>5</v>
      </c>
      <c r="T282" s="223">
        <f t="shared" si="425"/>
        <v>0.61838624338624337</v>
      </c>
      <c r="U282" s="223">
        <f t="shared" si="426"/>
        <v>0.56685405643738973</v>
      </c>
      <c r="V282" s="223">
        <f t="shared" si="427"/>
        <v>1.7275552196187116</v>
      </c>
      <c r="W282" s="203">
        <f t="shared" si="428"/>
        <v>350</v>
      </c>
      <c r="X282" s="454">
        <f t="shared" si="429"/>
        <v>350</v>
      </c>
      <c r="Z282" s="223">
        <f t="shared" si="430"/>
        <v>0.77005347593582896</v>
      </c>
      <c r="AA282" s="179">
        <f t="shared" si="431"/>
        <v>2.151260504201681</v>
      </c>
      <c r="AB282" s="179">
        <f t="shared" si="432"/>
        <v>0.43485372758729168</v>
      </c>
      <c r="AC282" s="179"/>
      <c r="AD282" s="179">
        <f t="shared" si="433"/>
        <v>0.419047619047619</v>
      </c>
      <c r="AE282" s="563">
        <f t="shared" si="434"/>
        <v>3500.0000000000009</v>
      </c>
      <c r="AF282" s="546">
        <f t="shared" si="435"/>
        <v>3.2999999999999995E-2</v>
      </c>
      <c r="AH282" s="179">
        <f t="shared" si="436"/>
        <v>0.6546536707079772</v>
      </c>
      <c r="AI282" s="179">
        <f t="shared" si="437"/>
        <v>0.6546536707079772</v>
      </c>
      <c r="AJ282" s="179">
        <f t="shared" si="438"/>
        <v>1.5738175338577609</v>
      </c>
      <c r="AL282" s="563">
        <f t="shared" si="439"/>
        <v>330</v>
      </c>
      <c r="AM282" s="472">
        <f t="shared" si="440"/>
        <v>350</v>
      </c>
      <c r="AO282">
        <f t="shared" si="441"/>
        <v>330</v>
      </c>
      <c r="AP282">
        <f t="shared" si="442"/>
        <v>350</v>
      </c>
      <c r="AR282" s="6">
        <f t="shared" si="412"/>
        <v>2.8571428571428572</v>
      </c>
      <c r="AS282" s="6">
        <f t="shared" si="386"/>
        <v>0.60009919814897905</v>
      </c>
      <c r="AT282" s="6">
        <f t="shared" si="387"/>
        <v>2.257043658993878</v>
      </c>
      <c r="AU282" s="179">
        <f t="shared" si="388"/>
        <v>0.21003471935214266</v>
      </c>
      <c r="AW282" s="6">
        <f t="shared" si="443"/>
        <v>6.7055121527777786</v>
      </c>
      <c r="AX282" s="472">
        <f t="shared" si="444"/>
        <v>4.0973628656914896</v>
      </c>
      <c r="AY282" s="6">
        <f t="shared" si="445"/>
        <v>6.7055121527777786</v>
      </c>
      <c r="AZ282" s="472">
        <f t="shared" si="446"/>
        <v>7.62845703125</v>
      </c>
      <c r="BB282" s="6">
        <f t="shared" si="447"/>
        <v>0</v>
      </c>
      <c r="CG282" s="581">
        <f t="shared" si="448"/>
        <v>-50</v>
      </c>
    </row>
    <row r="283" spans="5:85" x14ac:dyDescent="0.2">
      <c r="E283" s="176">
        <v>67</v>
      </c>
      <c r="F283" s="223">
        <f t="shared" si="449"/>
        <v>0.33500000000000002</v>
      </c>
      <c r="G283" s="223">
        <f t="shared" si="413"/>
        <v>0.33500000000000002</v>
      </c>
      <c r="H283" s="223">
        <f t="shared" si="414"/>
        <v>1.675</v>
      </c>
      <c r="I283" s="223">
        <f t="shared" si="415"/>
        <v>1.675</v>
      </c>
      <c r="J283" s="559">
        <f t="shared" si="416"/>
        <v>48</v>
      </c>
      <c r="K283" s="454">
        <f t="shared" si="417"/>
        <v>15.75</v>
      </c>
      <c r="L283" s="454">
        <f t="shared" si="418"/>
        <v>63.75</v>
      </c>
      <c r="M283" s="454"/>
      <c r="N283" s="223">
        <f t="shared" si="419"/>
        <v>0.24705882352941178</v>
      </c>
      <c r="O283" s="178">
        <f t="shared" si="420"/>
        <v>2.0011764705882356</v>
      </c>
      <c r="P283" s="178">
        <f t="shared" si="421"/>
        <v>4.0023529411764711</v>
      </c>
      <c r="Q283" s="223">
        <f t="shared" si="422"/>
        <v>0.40023529411764713</v>
      </c>
      <c r="R283" s="223">
        <f t="shared" si="423"/>
        <v>0.40023529411764713</v>
      </c>
      <c r="S283" s="223">
        <f t="shared" si="424"/>
        <v>5</v>
      </c>
      <c r="T283" s="223">
        <f t="shared" si="425"/>
        <v>0.62775573192239853</v>
      </c>
      <c r="U283" s="223">
        <f t="shared" si="426"/>
        <v>0.5754427542621986</v>
      </c>
      <c r="V283" s="223">
        <f t="shared" si="427"/>
        <v>1.7537302987038434</v>
      </c>
      <c r="W283" s="203">
        <f t="shared" si="428"/>
        <v>350</v>
      </c>
      <c r="X283" s="454">
        <f t="shared" si="429"/>
        <v>350</v>
      </c>
      <c r="Z283" s="223">
        <f t="shared" si="430"/>
        <v>0.77005347593582896</v>
      </c>
      <c r="AA283" s="179">
        <f t="shared" si="431"/>
        <v>2.151260504201681</v>
      </c>
      <c r="AB283" s="179">
        <f t="shared" si="432"/>
        <v>0.43485372758729168</v>
      </c>
      <c r="AC283" s="179"/>
      <c r="AD283" s="179">
        <f t="shared" si="433"/>
        <v>0.419047619047619</v>
      </c>
      <c r="AE283" s="563">
        <f t="shared" si="434"/>
        <v>3553.0303030303048</v>
      </c>
      <c r="AF283" s="546">
        <f t="shared" si="435"/>
        <v>3.2999999999999995E-2</v>
      </c>
      <c r="AH283" s="179">
        <f t="shared" si="436"/>
        <v>0.65959452322236201</v>
      </c>
      <c r="AI283" s="179">
        <f t="shared" si="437"/>
        <v>0.65959452322236201</v>
      </c>
      <c r="AJ283" s="179">
        <f t="shared" si="438"/>
        <v>1.577477424609157</v>
      </c>
      <c r="AL283" s="563">
        <f t="shared" si="439"/>
        <v>335</v>
      </c>
      <c r="AM283" s="472">
        <f t="shared" si="440"/>
        <v>350</v>
      </c>
      <c r="AO283">
        <f t="shared" si="441"/>
        <v>335</v>
      </c>
      <c r="AP283">
        <f t="shared" si="442"/>
        <v>350</v>
      </c>
      <c r="AR283" s="6">
        <f t="shared" si="412"/>
        <v>2.8571428571428572</v>
      </c>
      <c r="AS283" s="6">
        <f t="shared" si="386"/>
        <v>0.60462831295383179</v>
      </c>
      <c r="AT283" s="6">
        <f t="shared" si="387"/>
        <v>2.2525145441890255</v>
      </c>
      <c r="AU283" s="179">
        <f t="shared" si="388"/>
        <v>0.21161990953384113</v>
      </c>
      <c r="AW283" s="6">
        <f t="shared" si="443"/>
        <v>6.7055121527777786</v>
      </c>
      <c r="AX283" s="472">
        <f t="shared" si="444"/>
        <v>4.2072387291297284</v>
      </c>
      <c r="AY283" s="6">
        <f t="shared" si="445"/>
        <v>6.7055121527777786</v>
      </c>
      <c r="AZ283" s="472">
        <f t="shared" si="446"/>
        <v>7.846146375868055</v>
      </c>
      <c r="BB283" s="6">
        <f t="shared" si="447"/>
        <v>0</v>
      </c>
      <c r="CG283" s="581">
        <f t="shared" si="448"/>
        <v>-50</v>
      </c>
    </row>
    <row r="284" spans="5:85" x14ac:dyDescent="0.2">
      <c r="E284" s="176">
        <v>68</v>
      </c>
      <c r="F284" s="223">
        <f t="shared" si="449"/>
        <v>0.34</v>
      </c>
      <c r="G284" s="223">
        <f t="shared" si="413"/>
        <v>0.34</v>
      </c>
      <c r="H284" s="223">
        <f t="shared" si="414"/>
        <v>1.7000000000000002</v>
      </c>
      <c r="I284" s="223">
        <f t="shared" si="415"/>
        <v>1.7000000000000002</v>
      </c>
      <c r="J284" s="559">
        <f t="shared" si="416"/>
        <v>48</v>
      </c>
      <c r="K284" s="454">
        <f t="shared" si="417"/>
        <v>15.75</v>
      </c>
      <c r="L284" s="454">
        <f t="shared" si="418"/>
        <v>63.75</v>
      </c>
      <c r="M284" s="454"/>
      <c r="N284" s="223">
        <f t="shared" si="419"/>
        <v>0.24705882352941178</v>
      </c>
      <c r="O284" s="178">
        <f t="shared" si="420"/>
        <v>2.0011764705882356</v>
      </c>
      <c r="P284" s="178">
        <f t="shared" si="421"/>
        <v>4.0023529411764711</v>
      </c>
      <c r="Q284" s="223">
        <f t="shared" si="422"/>
        <v>0.40023529411764713</v>
      </c>
      <c r="R284" s="223">
        <f t="shared" si="423"/>
        <v>0.40023529411764713</v>
      </c>
      <c r="S284" s="223">
        <f t="shared" si="424"/>
        <v>5</v>
      </c>
      <c r="T284" s="223">
        <f t="shared" si="425"/>
        <v>0.6371252204585538</v>
      </c>
      <c r="U284" s="223">
        <f t="shared" si="426"/>
        <v>0.58403145208700769</v>
      </c>
      <c r="V284" s="223">
        <f t="shared" si="427"/>
        <v>1.7799053777889757</v>
      </c>
      <c r="W284" s="203">
        <f t="shared" si="428"/>
        <v>350</v>
      </c>
      <c r="X284" s="454">
        <f t="shared" si="429"/>
        <v>350</v>
      </c>
      <c r="Z284" s="223">
        <f t="shared" si="430"/>
        <v>0.77005347593582896</v>
      </c>
      <c r="AA284" s="179">
        <f t="shared" si="431"/>
        <v>2.151260504201681</v>
      </c>
      <c r="AB284" s="179">
        <f t="shared" si="432"/>
        <v>0.43485372758729168</v>
      </c>
      <c r="AC284" s="179"/>
      <c r="AD284" s="179">
        <f t="shared" si="433"/>
        <v>0.419047619047619</v>
      </c>
      <c r="AE284" s="563">
        <f t="shared" si="434"/>
        <v>3606.0606060606069</v>
      </c>
      <c r="AF284" s="546">
        <f t="shared" si="435"/>
        <v>3.2999999999999995E-2</v>
      </c>
      <c r="AH284" s="179">
        <f t="shared" si="436"/>
        <v>0.66449863924498864</v>
      </c>
      <c r="AI284" s="179">
        <f t="shared" si="437"/>
        <v>0.66449863924498864</v>
      </c>
      <c r="AJ284" s="179">
        <f t="shared" si="438"/>
        <v>1.5811101031444359</v>
      </c>
      <c r="AL284" s="563">
        <f t="shared" si="439"/>
        <v>340</v>
      </c>
      <c r="AM284" s="472">
        <f t="shared" si="440"/>
        <v>350</v>
      </c>
      <c r="AO284">
        <f t="shared" si="441"/>
        <v>340</v>
      </c>
      <c r="AP284">
        <f t="shared" si="442"/>
        <v>350</v>
      </c>
      <c r="AR284" s="6">
        <f t="shared" si="412"/>
        <v>2.8571428571428572</v>
      </c>
      <c r="AS284" s="6">
        <f t="shared" si="386"/>
        <v>0.60912375264123964</v>
      </c>
      <c r="AT284" s="6">
        <f t="shared" si="387"/>
        <v>2.2480191045016173</v>
      </c>
      <c r="AU284" s="179">
        <f t="shared" si="388"/>
        <v>0.21319331342443387</v>
      </c>
      <c r="AW284" s="6">
        <f t="shared" si="443"/>
        <v>6.7055121527777786</v>
      </c>
      <c r="AX284" s="472">
        <f t="shared" si="444"/>
        <v>4.3185412972813246</v>
      </c>
      <c r="AY284" s="6">
        <f t="shared" si="445"/>
        <v>6.7055121527777786</v>
      </c>
      <c r="AZ284" s="472">
        <f t="shared" si="446"/>
        <v>8.0668836805555575</v>
      </c>
      <c r="BB284" s="6">
        <f t="shared" si="447"/>
        <v>0</v>
      </c>
      <c r="CG284" s="581">
        <f t="shared" si="448"/>
        <v>-50</v>
      </c>
    </row>
    <row r="285" spans="5:85" x14ac:dyDescent="0.2">
      <c r="E285" s="176">
        <v>69</v>
      </c>
      <c r="F285" s="223">
        <f t="shared" si="449"/>
        <v>0.34499999999999997</v>
      </c>
      <c r="G285" s="223">
        <f t="shared" si="413"/>
        <v>0.34499999999999997</v>
      </c>
      <c r="H285" s="223">
        <f t="shared" si="414"/>
        <v>1.7249999999999999</v>
      </c>
      <c r="I285" s="223">
        <f t="shared" si="415"/>
        <v>1.7249999999999999</v>
      </c>
      <c r="J285" s="559">
        <f t="shared" si="416"/>
        <v>48</v>
      </c>
      <c r="K285" s="454">
        <f t="shared" si="417"/>
        <v>15.75</v>
      </c>
      <c r="L285" s="454">
        <f t="shared" si="418"/>
        <v>63.75</v>
      </c>
      <c r="M285" s="454"/>
      <c r="N285" s="223">
        <f t="shared" si="419"/>
        <v>0.24705882352941178</v>
      </c>
      <c r="O285" s="178">
        <f t="shared" si="420"/>
        <v>2.0011764705882356</v>
      </c>
      <c r="P285" s="178">
        <f t="shared" si="421"/>
        <v>4.0023529411764711</v>
      </c>
      <c r="Q285" s="223">
        <f t="shared" si="422"/>
        <v>0.40023529411764713</v>
      </c>
      <c r="R285" s="223">
        <f t="shared" si="423"/>
        <v>0.40023529411764713</v>
      </c>
      <c r="S285" s="223">
        <f t="shared" si="424"/>
        <v>5</v>
      </c>
      <c r="T285" s="223">
        <f t="shared" si="425"/>
        <v>0.64649470899470884</v>
      </c>
      <c r="U285" s="223">
        <f t="shared" si="426"/>
        <v>0.59262014991181644</v>
      </c>
      <c r="V285" s="223">
        <f t="shared" si="427"/>
        <v>1.8060804568741071</v>
      </c>
      <c r="W285" s="203">
        <f t="shared" si="428"/>
        <v>350</v>
      </c>
      <c r="X285" s="454">
        <f t="shared" si="429"/>
        <v>350</v>
      </c>
      <c r="Z285" s="223">
        <f t="shared" si="430"/>
        <v>0.77005347593582896</v>
      </c>
      <c r="AA285" s="179">
        <f t="shared" si="431"/>
        <v>2.151260504201681</v>
      </c>
      <c r="AB285" s="179">
        <f t="shared" si="432"/>
        <v>0.43485372758729168</v>
      </c>
      <c r="AC285" s="179"/>
      <c r="AD285" s="179">
        <f t="shared" si="433"/>
        <v>0.419047619047619</v>
      </c>
      <c r="AE285" s="563">
        <f t="shared" si="434"/>
        <v>3659.0909090909095</v>
      </c>
      <c r="AF285" s="546">
        <f t="shared" si="435"/>
        <v>3.2999999999999995E-2</v>
      </c>
      <c r="AH285" s="179">
        <f t="shared" si="436"/>
        <v>0.6693668262260597</v>
      </c>
      <c r="AI285" s="179">
        <f t="shared" si="437"/>
        <v>0.6693668262260597</v>
      </c>
      <c r="AJ285" s="179">
        <f t="shared" si="438"/>
        <v>1.5847161675748589</v>
      </c>
      <c r="AL285" s="563">
        <f t="shared" si="439"/>
        <v>345</v>
      </c>
      <c r="AM285" s="472">
        <f t="shared" si="440"/>
        <v>350</v>
      </c>
      <c r="AO285">
        <f t="shared" si="441"/>
        <v>345</v>
      </c>
      <c r="AP285">
        <f t="shared" si="442"/>
        <v>350</v>
      </c>
      <c r="AR285" s="6">
        <f t="shared" si="412"/>
        <v>2.8571428571428572</v>
      </c>
      <c r="AS285" s="6">
        <f t="shared" si="386"/>
        <v>0.61358625737388806</v>
      </c>
      <c r="AT285" s="6">
        <f t="shared" si="387"/>
        <v>2.243556599768969</v>
      </c>
      <c r="AU285" s="179">
        <f t="shared" si="388"/>
        <v>0.2147551900808608</v>
      </c>
      <c r="AW285" s="6">
        <f t="shared" si="443"/>
        <v>6.7055121527777786</v>
      </c>
      <c r="AX285" s="472">
        <f t="shared" si="444"/>
        <v>4.4312705701462756</v>
      </c>
      <c r="AY285" s="6">
        <f t="shared" si="445"/>
        <v>6.7055121527777786</v>
      </c>
      <c r="AZ285" s="472">
        <f t="shared" si="446"/>
        <v>8.2906689453124986</v>
      </c>
      <c r="BB285" s="6">
        <f t="shared" si="447"/>
        <v>0</v>
      </c>
      <c r="CG285" s="581">
        <f t="shared" si="448"/>
        <v>-50</v>
      </c>
    </row>
    <row r="286" spans="5:85" x14ac:dyDescent="0.2">
      <c r="E286" s="176">
        <v>70</v>
      </c>
      <c r="F286" s="223">
        <f t="shared" si="449"/>
        <v>0.35</v>
      </c>
      <c r="G286" s="223">
        <f t="shared" si="413"/>
        <v>0.35</v>
      </c>
      <c r="H286" s="223">
        <f t="shared" si="414"/>
        <v>1.75</v>
      </c>
      <c r="I286" s="223">
        <f t="shared" si="415"/>
        <v>1.75</v>
      </c>
      <c r="J286" s="559">
        <f t="shared" si="416"/>
        <v>48</v>
      </c>
      <c r="K286" s="454">
        <f t="shared" si="417"/>
        <v>15.75</v>
      </c>
      <c r="L286" s="454">
        <f t="shared" si="418"/>
        <v>63.75</v>
      </c>
      <c r="M286" s="454"/>
      <c r="N286" s="223">
        <f t="shared" si="419"/>
        <v>0.24705882352941178</v>
      </c>
      <c r="O286" s="178">
        <f t="shared" si="420"/>
        <v>2.0011764705882356</v>
      </c>
      <c r="P286" s="178">
        <f t="shared" si="421"/>
        <v>4.0023529411764711</v>
      </c>
      <c r="Q286" s="223">
        <f t="shared" si="422"/>
        <v>0.40023529411764713</v>
      </c>
      <c r="R286" s="223">
        <f t="shared" si="423"/>
        <v>0.40023529411764713</v>
      </c>
      <c r="S286" s="223">
        <f t="shared" si="424"/>
        <v>5</v>
      </c>
      <c r="T286" s="223">
        <f t="shared" si="425"/>
        <v>0.65586419753086411</v>
      </c>
      <c r="U286" s="223">
        <f t="shared" si="426"/>
        <v>0.60120884773662542</v>
      </c>
      <c r="V286" s="223">
        <f t="shared" si="427"/>
        <v>1.8322555359592394</v>
      </c>
      <c r="W286" s="203">
        <f t="shared" si="428"/>
        <v>350</v>
      </c>
      <c r="X286" s="454">
        <f t="shared" si="429"/>
        <v>350</v>
      </c>
      <c r="Z286" s="223">
        <f t="shared" si="430"/>
        <v>0.77005347593582896</v>
      </c>
      <c r="AA286" s="179">
        <f t="shared" si="431"/>
        <v>2.151260504201681</v>
      </c>
      <c r="AB286" s="179">
        <f t="shared" si="432"/>
        <v>0.43485372758729168</v>
      </c>
      <c r="AC286" s="179"/>
      <c r="AD286" s="179">
        <f t="shared" si="433"/>
        <v>0.419047619047619</v>
      </c>
      <c r="AE286" s="563">
        <f t="shared" si="434"/>
        <v>3712.1212121212129</v>
      </c>
      <c r="AF286" s="546">
        <f t="shared" si="435"/>
        <v>3.2999999999999995E-2</v>
      </c>
      <c r="AH286" s="179">
        <f t="shared" si="436"/>
        <v>0.67419986246324204</v>
      </c>
      <c r="AI286" s="179">
        <f t="shared" si="437"/>
        <v>0.67419986246324204</v>
      </c>
      <c r="AJ286" s="179">
        <f t="shared" si="438"/>
        <v>1.5882961944172163</v>
      </c>
      <c r="AL286" s="563">
        <f t="shared" si="439"/>
        <v>350</v>
      </c>
      <c r="AM286" s="472">
        <f t="shared" si="440"/>
        <v>350</v>
      </c>
      <c r="AO286">
        <f t="shared" si="441"/>
        <v>350</v>
      </c>
      <c r="AP286">
        <f t="shared" si="442"/>
        <v>350</v>
      </c>
      <c r="AR286" s="6">
        <f t="shared" si="412"/>
        <v>2.8571428571428572</v>
      </c>
      <c r="AS286" s="6">
        <f t="shared" si="386"/>
        <v>0.61801654059130529</v>
      </c>
      <c r="AT286" s="6">
        <f t="shared" si="387"/>
        <v>2.2391263165515518</v>
      </c>
      <c r="AU286" s="179">
        <f t="shared" si="388"/>
        <v>0.21630578920695684</v>
      </c>
      <c r="AW286" s="6">
        <f t="shared" si="443"/>
        <v>6.7055121527777786</v>
      </c>
      <c r="AX286" s="472">
        <f t="shared" si="444"/>
        <v>4.5454265477245848</v>
      </c>
      <c r="AY286" s="6">
        <f t="shared" si="445"/>
        <v>6.7055121527777786</v>
      </c>
      <c r="AZ286" s="472">
        <f t="shared" si="446"/>
        <v>8.5175021701388864</v>
      </c>
      <c r="BB286" s="6">
        <f t="shared" si="447"/>
        <v>0</v>
      </c>
      <c r="CG286" s="581">
        <f t="shared" si="448"/>
        <v>-50</v>
      </c>
    </row>
    <row r="287" spans="5:85" x14ac:dyDescent="0.2">
      <c r="E287" s="176">
        <v>71</v>
      </c>
      <c r="F287" s="223">
        <f t="shared" si="449"/>
        <v>0.35499999999999998</v>
      </c>
      <c r="G287" s="223">
        <f t="shared" si="413"/>
        <v>0.35499999999999998</v>
      </c>
      <c r="H287" s="223">
        <f t="shared" si="414"/>
        <v>1.7749999999999999</v>
      </c>
      <c r="I287" s="223">
        <f t="shared" si="415"/>
        <v>1.7749999999999999</v>
      </c>
      <c r="J287" s="559">
        <f t="shared" si="416"/>
        <v>48</v>
      </c>
      <c r="K287" s="454">
        <f t="shared" si="417"/>
        <v>15.75</v>
      </c>
      <c r="L287" s="454">
        <f t="shared" si="418"/>
        <v>63.75</v>
      </c>
      <c r="M287" s="454"/>
      <c r="N287" s="223">
        <f t="shared" si="419"/>
        <v>0.24705882352941178</v>
      </c>
      <c r="O287" s="178">
        <f t="shared" si="420"/>
        <v>2.0011764705882356</v>
      </c>
      <c r="P287" s="178">
        <f t="shared" si="421"/>
        <v>4.0023529411764711</v>
      </c>
      <c r="Q287" s="223">
        <f t="shared" si="422"/>
        <v>0.40023529411764713</v>
      </c>
      <c r="R287" s="223">
        <f t="shared" si="423"/>
        <v>0.40023529411764713</v>
      </c>
      <c r="S287" s="223">
        <f t="shared" si="424"/>
        <v>5</v>
      </c>
      <c r="T287" s="223">
        <f t="shared" si="425"/>
        <v>0.66523368606701927</v>
      </c>
      <c r="U287" s="223">
        <f t="shared" si="426"/>
        <v>0.60979754556143428</v>
      </c>
      <c r="V287" s="223">
        <f t="shared" si="427"/>
        <v>1.8584306150443712</v>
      </c>
      <c r="W287" s="203">
        <f t="shared" si="428"/>
        <v>350</v>
      </c>
      <c r="X287" s="454">
        <f t="shared" si="429"/>
        <v>350</v>
      </c>
      <c r="Z287" s="223">
        <f t="shared" si="430"/>
        <v>0.77005347593582896</v>
      </c>
      <c r="AA287" s="179">
        <f t="shared" si="431"/>
        <v>2.151260504201681</v>
      </c>
      <c r="AB287" s="179">
        <f t="shared" si="432"/>
        <v>0.43485372758729168</v>
      </c>
      <c r="AC287" s="179"/>
      <c r="AD287" s="179">
        <f t="shared" si="433"/>
        <v>0.419047619047619</v>
      </c>
      <c r="AE287" s="563">
        <f t="shared" si="434"/>
        <v>3765.151515151515</v>
      </c>
      <c r="AF287" s="546">
        <f t="shared" si="435"/>
        <v>3.2999999999999995E-2</v>
      </c>
      <c r="AH287" s="179">
        <f t="shared" si="436"/>
        <v>0.67899849855427596</v>
      </c>
      <c r="AI287" s="179">
        <f t="shared" si="437"/>
        <v>0.67899849855427596</v>
      </c>
      <c r="AJ287" s="179">
        <f t="shared" si="438"/>
        <v>1.591850739669834</v>
      </c>
      <c r="AL287" s="563">
        <f t="shared" si="439"/>
        <v>355</v>
      </c>
      <c r="AM287" s="472">
        <f t="shared" si="440"/>
        <v>350</v>
      </c>
      <c r="AO287">
        <f t="shared" si="441"/>
        <v>355</v>
      </c>
      <c r="AP287">
        <f t="shared" si="442"/>
        <v>350</v>
      </c>
      <c r="AR287" s="6">
        <f t="shared" si="412"/>
        <v>2.8571428571428572</v>
      </c>
      <c r="AS287" s="6">
        <f t="shared" si="386"/>
        <v>0.62241529034141951</v>
      </c>
      <c r="AT287" s="6">
        <f t="shared" si="387"/>
        <v>2.2347275668014377</v>
      </c>
      <c r="AU287" s="179">
        <f t="shared" si="388"/>
        <v>0.21784535161949684</v>
      </c>
      <c r="AW287" s="6">
        <f t="shared" si="443"/>
        <v>6.7055121527777786</v>
      </c>
      <c r="AX287" s="472">
        <f t="shared" si="444"/>
        <v>4.6610092300162531</v>
      </c>
      <c r="AY287" s="6">
        <f t="shared" si="445"/>
        <v>6.7055121527777786</v>
      </c>
      <c r="AZ287" s="472">
        <f t="shared" si="446"/>
        <v>8.7473833550347226</v>
      </c>
      <c r="BB287" s="6">
        <f t="shared" si="447"/>
        <v>0</v>
      </c>
      <c r="CG287" s="581">
        <f t="shared" si="448"/>
        <v>-50</v>
      </c>
    </row>
    <row r="288" spans="5:85" x14ac:dyDescent="0.2">
      <c r="E288" s="176">
        <v>72</v>
      </c>
      <c r="F288" s="223">
        <f t="shared" si="449"/>
        <v>0.36</v>
      </c>
      <c r="G288" s="223">
        <f t="shared" si="413"/>
        <v>0.36</v>
      </c>
      <c r="H288" s="223">
        <f t="shared" si="414"/>
        <v>1.7999999999999998</v>
      </c>
      <c r="I288" s="223">
        <f t="shared" si="415"/>
        <v>1.7999999999999998</v>
      </c>
      <c r="J288" s="559">
        <f t="shared" si="416"/>
        <v>48</v>
      </c>
      <c r="K288" s="454">
        <f t="shared" si="417"/>
        <v>15.75</v>
      </c>
      <c r="L288" s="454">
        <f t="shared" si="418"/>
        <v>63.75</v>
      </c>
      <c r="M288" s="454"/>
      <c r="N288" s="223">
        <f t="shared" si="419"/>
        <v>0.24705882352941178</v>
      </c>
      <c r="O288" s="178">
        <f t="shared" si="420"/>
        <v>2.0011764705882356</v>
      </c>
      <c r="P288" s="178">
        <f t="shared" si="421"/>
        <v>4.0023529411764711</v>
      </c>
      <c r="Q288" s="223">
        <f t="shared" si="422"/>
        <v>0.40023529411764713</v>
      </c>
      <c r="R288" s="223">
        <f t="shared" si="423"/>
        <v>0.40023529411764713</v>
      </c>
      <c r="S288" s="223">
        <f t="shared" si="424"/>
        <v>5</v>
      </c>
      <c r="T288" s="223">
        <f t="shared" si="425"/>
        <v>0.67460317460317454</v>
      </c>
      <c r="U288" s="223">
        <f t="shared" si="426"/>
        <v>0.61838624338624337</v>
      </c>
      <c r="V288" s="223">
        <f t="shared" si="427"/>
        <v>1.8846056941295035</v>
      </c>
      <c r="W288" s="203">
        <f t="shared" si="428"/>
        <v>350</v>
      </c>
      <c r="X288" s="454">
        <f t="shared" si="429"/>
        <v>350</v>
      </c>
      <c r="Z288" s="223">
        <f t="shared" si="430"/>
        <v>0.77005347593582896</v>
      </c>
      <c r="AA288" s="179">
        <f t="shared" si="431"/>
        <v>2.151260504201681</v>
      </c>
      <c r="AB288" s="179">
        <f t="shared" si="432"/>
        <v>0.43485372758729168</v>
      </c>
      <c r="AC288" s="179"/>
      <c r="AD288" s="179">
        <f t="shared" si="433"/>
        <v>0.419047619047619</v>
      </c>
      <c r="AE288" s="563">
        <f t="shared" si="434"/>
        <v>3818.1818181818189</v>
      </c>
      <c r="AF288" s="546">
        <f t="shared" si="435"/>
        <v>3.2999999999999995E-2</v>
      </c>
      <c r="AH288" s="179">
        <f t="shared" si="436"/>
        <v>0.68376345875782762</v>
      </c>
      <c r="AI288" s="179">
        <f t="shared" si="437"/>
        <v>0.68376345875782762</v>
      </c>
      <c r="AJ288" s="179">
        <f t="shared" si="438"/>
        <v>1.595380339820613</v>
      </c>
      <c r="AL288" s="563">
        <f t="shared" si="439"/>
        <v>360</v>
      </c>
      <c r="AM288" s="472">
        <f t="shared" si="440"/>
        <v>350</v>
      </c>
      <c r="AO288">
        <f t="shared" si="441"/>
        <v>360</v>
      </c>
      <c r="AP288">
        <f t="shared" si="442"/>
        <v>350</v>
      </c>
      <c r="AR288" s="6">
        <f t="shared" si="412"/>
        <v>2.8571428571428572</v>
      </c>
      <c r="AS288" s="6">
        <f t="shared" si="386"/>
        <v>0.62678317052800869</v>
      </c>
      <c r="AT288" s="6">
        <f t="shared" si="387"/>
        <v>2.2303596866148485</v>
      </c>
      <c r="AU288" s="179">
        <f t="shared" si="388"/>
        <v>0.21937410968480303</v>
      </c>
      <c r="AW288" s="6">
        <f t="shared" si="443"/>
        <v>6.7055121527777786</v>
      </c>
      <c r="AX288" s="472">
        <f t="shared" si="444"/>
        <v>4.7780186170212762</v>
      </c>
      <c r="AY288" s="6">
        <f t="shared" si="445"/>
        <v>6.7055121527777786</v>
      </c>
      <c r="AZ288" s="472">
        <f t="shared" si="446"/>
        <v>8.9803125000000001</v>
      </c>
      <c r="BB288" s="6">
        <f t="shared" si="447"/>
        <v>0</v>
      </c>
      <c r="CG288" s="581">
        <f t="shared" si="448"/>
        <v>-50</v>
      </c>
    </row>
    <row r="289" spans="5:85" x14ac:dyDescent="0.2">
      <c r="E289" s="176">
        <v>73</v>
      </c>
      <c r="F289" s="223">
        <f t="shared" si="449"/>
        <v>0.36499999999999999</v>
      </c>
      <c r="G289" s="223">
        <f t="shared" si="413"/>
        <v>0.36499999999999999</v>
      </c>
      <c r="H289" s="223">
        <f t="shared" si="414"/>
        <v>1.825</v>
      </c>
      <c r="I289" s="223">
        <f t="shared" si="415"/>
        <v>1.825</v>
      </c>
      <c r="J289" s="559">
        <f t="shared" si="416"/>
        <v>48</v>
      </c>
      <c r="K289" s="454">
        <f t="shared" si="417"/>
        <v>15.75</v>
      </c>
      <c r="L289" s="454">
        <f t="shared" si="418"/>
        <v>63.75</v>
      </c>
      <c r="M289" s="454"/>
      <c r="N289" s="223">
        <f t="shared" si="419"/>
        <v>0.24705882352941178</v>
      </c>
      <c r="O289" s="178">
        <f t="shared" si="420"/>
        <v>2.0011764705882356</v>
      </c>
      <c r="P289" s="178">
        <f t="shared" si="421"/>
        <v>4.0023529411764711</v>
      </c>
      <c r="Q289" s="223">
        <f t="shared" si="422"/>
        <v>0.40023529411764713</v>
      </c>
      <c r="R289" s="223">
        <f t="shared" si="423"/>
        <v>0.40023529411764713</v>
      </c>
      <c r="S289" s="223">
        <f t="shared" si="424"/>
        <v>5</v>
      </c>
      <c r="T289" s="223">
        <f t="shared" si="425"/>
        <v>0.6839726631393297</v>
      </c>
      <c r="U289" s="223">
        <f t="shared" si="426"/>
        <v>0.62697494121105224</v>
      </c>
      <c r="V289" s="223">
        <f t="shared" si="427"/>
        <v>1.9107807732146351</v>
      </c>
      <c r="W289" s="203">
        <f t="shared" si="428"/>
        <v>350</v>
      </c>
      <c r="X289" s="454">
        <f t="shared" si="429"/>
        <v>350</v>
      </c>
      <c r="Z289" s="223">
        <f t="shared" si="430"/>
        <v>0.77005347593582896</v>
      </c>
      <c r="AA289" s="179">
        <f t="shared" si="431"/>
        <v>2.151260504201681</v>
      </c>
      <c r="AB289" s="179">
        <f t="shared" si="432"/>
        <v>0.43485372758729168</v>
      </c>
      <c r="AC289" s="179"/>
      <c r="AD289" s="179">
        <f t="shared" si="433"/>
        <v>0.419047619047619</v>
      </c>
      <c r="AE289" s="563">
        <f t="shared" si="434"/>
        <v>3871.2121212121215</v>
      </c>
      <c r="AF289" s="546">
        <f t="shared" si="435"/>
        <v>3.2999999999999995E-2</v>
      </c>
      <c r="AH289" s="179">
        <f t="shared" si="436"/>
        <v>0.68849544226957238</v>
      </c>
      <c r="AI289" s="179">
        <f t="shared" si="437"/>
        <v>0.68849544226957238</v>
      </c>
      <c r="AJ289" s="179">
        <f t="shared" si="438"/>
        <v>1.5988855127922759</v>
      </c>
      <c r="AL289" s="563">
        <f t="shared" si="439"/>
        <v>365</v>
      </c>
      <c r="AM289" s="472">
        <f t="shared" si="440"/>
        <v>350</v>
      </c>
      <c r="AO289">
        <f t="shared" si="441"/>
        <v>365</v>
      </c>
      <c r="AP289">
        <f t="shared" si="442"/>
        <v>350</v>
      </c>
      <c r="AR289" s="6">
        <f t="shared" si="412"/>
        <v>2.8571428571428572</v>
      </c>
      <c r="AS289" s="6">
        <f t="shared" si="386"/>
        <v>0.6311208220804414</v>
      </c>
      <c r="AT289" s="6">
        <f t="shared" si="387"/>
        <v>2.2260220350624156</v>
      </c>
      <c r="AU289" s="179">
        <f t="shared" si="388"/>
        <v>0.22089228772815447</v>
      </c>
      <c r="AW289" s="6">
        <f t="shared" si="443"/>
        <v>6.7055121527777786</v>
      </c>
      <c r="AX289" s="472">
        <f t="shared" si="444"/>
        <v>4.8964547087396566</v>
      </c>
      <c r="AY289" s="6">
        <f t="shared" si="445"/>
        <v>6.7055121527777786</v>
      </c>
      <c r="AZ289" s="472">
        <f t="shared" si="446"/>
        <v>9.2162896050347207</v>
      </c>
      <c r="BB289" s="6">
        <f t="shared" si="447"/>
        <v>0</v>
      </c>
      <c r="CG289" s="581">
        <f t="shared" si="448"/>
        <v>-50</v>
      </c>
    </row>
    <row r="290" spans="5:85" x14ac:dyDescent="0.2">
      <c r="E290" s="176">
        <v>74</v>
      </c>
      <c r="F290" s="223">
        <f t="shared" si="449"/>
        <v>0.37</v>
      </c>
      <c r="G290" s="223">
        <f t="shared" si="413"/>
        <v>0.37</v>
      </c>
      <c r="H290" s="223">
        <f t="shared" si="414"/>
        <v>1.85</v>
      </c>
      <c r="I290" s="223">
        <f t="shared" si="415"/>
        <v>1.85</v>
      </c>
      <c r="J290" s="559">
        <f t="shared" si="416"/>
        <v>48</v>
      </c>
      <c r="K290" s="454">
        <f t="shared" si="417"/>
        <v>15.75</v>
      </c>
      <c r="L290" s="454">
        <f t="shared" si="418"/>
        <v>63.75</v>
      </c>
      <c r="M290" s="454"/>
      <c r="N290" s="223">
        <f t="shared" si="419"/>
        <v>0.24705882352941178</v>
      </c>
      <c r="O290" s="178">
        <f t="shared" si="420"/>
        <v>2.0011764705882356</v>
      </c>
      <c r="P290" s="178">
        <f t="shared" si="421"/>
        <v>4.0023529411764711</v>
      </c>
      <c r="Q290" s="223">
        <f t="shared" si="422"/>
        <v>0.40023529411764713</v>
      </c>
      <c r="R290" s="223">
        <f t="shared" si="423"/>
        <v>0.40023529411764713</v>
      </c>
      <c r="S290" s="223">
        <f t="shared" si="424"/>
        <v>5</v>
      </c>
      <c r="T290" s="223">
        <f t="shared" si="425"/>
        <v>0.69334215167548496</v>
      </c>
      <c r="U290" s="223">
        <f t="shared" si="426"/>
        <v>0.63556363903586122</v>
      </c>
      <c r="V290" s="223">
        <f t="shared" si="427"/>
        <v>1.9369558522997676</v>
      </c>
      <c r="W290" s="203">
        <f t="shared" si="428"/>
        <v>350</v>
      </c>
      <c r="X290" s="454">
        <f t="shared" si="429"/>
        <v>350</v>
      </c>
      <c r="Z290" s="223">
        <f t="shared" si="430"/>
        <v>0.77005347593582896</v>
      </c>
      <c r="AA290" s="179">
        <f t="shared" si="431"/>
        <v>2.151260504201681</v>
      </c>
      <c r="AB290" s="179">
        <f t="shared" si="432"/>
        <v>0.43485372758729168</v>
      </c>
      <c r="AC290" s="179"/>
      <c r="AD290" s="179">
        <f t="shared" si="433"/>
        <v>0.419047619047619</v>
      </c>
      <c r="AE290" s="563">
        <f t="shared" si="434"/>
        <v>3924.2424242424249</v>
      </c>
      <c r="AF290" s="546">
        <f t="shared" si="435"/>
        <v>3.2999999999999995E-2</v>
      </c>
      <c r="AH290" s="179">
        <f t="shared" si="436"/>
        <v>0.69319512441987108</v>
      </c>
      <c r="AI290" s="179">
        <f t="shared" si="437"/>
        <v>0.69319512441987108</v>
      </c>
      <c r="AJ290" s="179">
        <f t="shared" si="438"/>
        <v>1.6023667588295341</v>
      </c>
      <c r="AL290" s="563">
        <f t="shared" si="439"/>
        <v>370</v>
      </c>
      <c r="AM290" s="472">
        <f t="shared" si="440"/>
        <v>350</v>
      </c>
      <c r="AO290">
        <f t="shared" si="441"/>
        <v>370</v>
      </c>
      <c r="AP290">
        <f t="shared" si="442"/>
        <v>350</v>
      </c>
      <c r="AR290" s="6">
        <f t="shared" si="412"/>
        <v>2.8571428571428572</v>
      </c>
      <c r="AS290" s="6">
        <f t="shared" si="386"/>
        <v>0.63542886405154853</v>
      </c>
      <c r="AT290" s="6">
        <f t="shared" si="387"/>
        <v>2.2217139930913086</v>
      </c>
      <c r="AU290" s="179">
        <f t="shared" si="388"/>
        <v>0.22240010241804198</v>
      </c>
      <c r="AW290" s="6">
        <f t="shared" si="443"/>
        <v>6.7055121527777786</v>
      </c>
      <c r="AX290" s="472">
        <f t="shared" si="444"/>
        <v>5.0163175051713935</v>
      </c>
      <c r="AY290" s="6">
        <f t="shared" si="445"/>
        <v>6.7055121527777786</v>
      </c>
      <c r="AZ290" s="472">
        <f t="shared" si="446"/>
        <v>9.4553146701388862</v>
      </c>
      <c r="BB290" s="6">
        <f t="shared" si="447"/>
        <v>0</v>
      </c>
      <c r="CG290" s="581">
        <f t="shared" si="448"/>
        <v>-50</v>
      </c>
    </row>
    <row r="291" spans="5:85" x14ac:dyDescent="0.2">
      <c r="E291" s="176">
        <v>75</v>
      </c>
      <c r="F291" s="223">
        <f t="shared" si="449"/>
        <v>0.375</v>
      </c>
      <c r="G291" s="223">
        <f t="shared" si="413"/>
        <v>0.375</v>
      </c>
      <c r="H291" s="223">
        <f t="shared" si="414"/>
        <v>1.875</v>
      </c>
      <c r="I291" s="223">
        <f t="shared" si="415"/>
        <v>1.875</v>
      </c>
      <c r="J291" s="559">
        <f t="shared" si="416"/>
        <v>48</v>
      </c>
      <c r="K291" s="454">
        <f t="shared" si="417"/>
        <v>15.75</v>
      </c>
      <c r="L291" s="454">
        <f t="shared" si="418"/>
        <v>63.75</v>
      </c>
      <c r="M291" s="454"/>
      <c r="N291" s="223">
        <f t="shared" si="419"/>
        <v>0.24705882352941178</v>
      </c>
      <c r="O291" s="178">
        <f t="shared" si="420"/>
        <v>2.0011764705882356</v>
      </c>
      <c r="P291" s="178">
        <f t="shared" si="421"/>
        <v>4.0023529411764711</v>
      </c>
      <c r="Q291" s="223">
        <f t="shared" si="422"/>
        <v>0.40023529411764713</v>
      </c>
      <c r="R291" s="223">
        <f t="shared" si="423"/>
        <v>0.40023529411764713</v>
      </c>
      <c r="S291" s="223">
        <f t="shared" si="424"/>
        <v>5</v>
      </c>
      <c r="T291" s="223">
        <f t="shared" si="425"/>
        <v>0.70271164021164012</v>
      </c>
      <c r="U291" s="223">
        <f t="shared" si="426"/>
        <v>0.64415233686067008</v>
      </c>
      <c r="V291" s="223">
        <f t="shared" si="427"/>
        <v>1.9631309313848995</v>
      </c>
      <c r="W291" s="203">
        <f t="shared" si="428"/>
        <v>350</v>
      </c>
      <c r="X291" s="454">
        <f t="shared" si="429"/>
        <v>350</v>
      </c>
      <c r="Z291" s="223">
        <f t="shared" si="430"/>
        <v>0.77005347593582896</v>
      </c>
      <c r="AA291" s="179">
        <f t="shared" si="431"/>
        <v>2.151260504201681</v>
      </c>
      <c r="AB291" s="179">
        <f t="shared" si="432"/>
        <v>0.43485372758729168</v>
      </c>
      <c r="AC291" s="179"/>
      <c r="AD291" s="179">
        <f t="shared" si="433"/>
        <v>0.419047619047619</v>
      </c>
      <c r="AE291" s="563">
        <f t="shared" si="434"/>
        <v>3977.2727272727279</v>
      </c>
      <c r="AF291" s="546">
        <f t="shared" si="435"/>
        <v>3.2999999999999995E-2</v>
      </c>
      <c r="AH291" s="179">
        <f t="shared" si="436"/>
        <v>0.69786315779885311</v>
      </c>
      <c r="AI291" s="179">
        <f t="shared" si="437"/>
        <v>0.69786315779885311</v>
      </c>
      <c r="AJ291" s="179">
        <f t="shared" si="438"/>
        <v>1.6058245613324837</v>
      </c>
      <c r="AL291" s="563">
        <f t="shared" si="439"/>
        <v>375</v>
      </c>
      <c r="AM291" s="472">
        <f t="shared" si="440"/>
        <v>350</v>
      </c>
      <c r="AO291">
        <f t="shared" si="441"/>
        <v>375</v>
      </c>
      <c r="AP291">
        <f t="shared" si="442"/>
        <v>350</v>
      </c>
      <c r="AR291" s="6">
        <f t="shared" si="412"/>
        <v>2.8571428571428572</v>
      </c>
      <c r="AS291" s="6">
        <f t="shared" si="386"/>
        <v>0.63970789464894873</v>
      </c>
      <c r="AT291" s="6">
        <f t="shared" si="387"/>
        <v>2.2174349624939085</v>
      </c>
      <c r="AU291" s="179">
        <f t="shared" si="388"/>
        <v>0.22389776312713205</v>
      </c>
      <c r="AW291" s="6">
        <f t="shared" si="443"/>
        <v>6.7055121527777786</v>
      </c>
      <c r="AX291" s="472">
        <f t="shared" si="444"/>
        <v>5.1376070063164896</v>
      </c>
      <c r="AY291" s="6">
        <f t="shared" si="445"/>
        <v>6.7055121527777786</v>
      </c>
      <c r="AZ291" s="472">
        <f t="shared" si="446"/>
        <v>9.6973876953125</v>
      </c>
      <c r="BB291" s="6">
        <f t="shared" si="447"/>
        <v>0</v>
      </c>
      <c r="CG291" s="581">
        <f t="shared" si="448"/>
        <v>-50</v>
      </c>
    </row>
    <row r="292" spans="5:85" x14ac:dyDescent="0.2">
      <c r="E292" s="176">
        <v>76</v>
      </c>
      <c r="F292" s="223">
        <f t="shared" si="449"/>
        <v>0.38</v>
      </c>
      <c r="G292" s="223">
        <f t="shared" si="413"/>
        <v>0.38</v>
      </c>
      <c r="H292" s="223">
        <f t="shared" si="414"/>
        <v>1.9</v>
      </c>
      <c r="I292" s="223">
        <f t="shared" si="415"/>
        <v>1.9</v>
      </c>
      <c r="J292" s="559">
        <f t="shared" si="416"/>
        <v>48</v>
      </c>
      <c r="K292" s="454">
        <f t="shared" si="417"/>
        <v>15.75</v>
      </c>
      <c r="L292" s="454">
        <f t="shared" si="418"/>
        <v>63.75</v>
      </c>
      <c r="M292" s="454"/>
      <c r="N292" s="223">
        <f t="shared" si="419"/>
        <v>0.24705882352941178</v>
      </c>
      <c r="O292" s="178">
        <f t="shared" si="420"/>
        <v>2.0011764705882356</v>
      </c>
      <c r="P292" s="178">
        <f t="shared" si="421"/>
        <v>4.0023529411764711</v>
      </c>
      <c r="Q292" s="223">
        <f t="shared" si="422"/>
        <v>0.40023529411764713</v>
      </c>
      <c r="R292" s="223">
        <f t="shared" si="423"/>
        <v>0.40023529411764713</v>
      </c>
      <c r="S292" s="223">
        <f t="shared" si="424"/>
        <v>5</v>
      </c>
      <c r="T292" s="223">
        <f t="shared" si="425"/>
        <v>0.71208112874779528</v>
      </c>
      <c r="U292" s="223">
        <f t="shared" si="426"/>
        <v>0.65274103468547895</v>
      </c>
      <c r="V292" s="223">
        <f t="shared" si="427"/>
        <v>1.9893060104700315</v>
      </c>
      <c r="W292" s="203">
        <f t="shared" si="428"/>
        <v>350</v>
      </c>
      <c r="X292" s="454">
        <f t="shared" si="429"/>
        <v>350</v>
      </c>
      <c r="Z292" s="223">
        <f t="shared" si="430"/>
        <v>0.77005347593582896</v>
      </c>
      <c r="AA292" s="179">
        <f t="shared" si="431"/>
        <v>2.151260504201681</v>
      </c>
      <c r="AB292" s="179">
        <f t="shared" si="432"/>
        <v>0.43485372758729168</v>
      </c>
      <c r="AC292" s="179"/>
      <c r="AD292" s="179">
        <f t="shared" si="433"/>
        <v>0.419047619047619</v>
      </c>
      <c r="AE292" s="563">
        <f t="shared" si="434"/>
        <v>4030.3030303030309</v>
      </c>
      <c r="AF292" s="546">
        <f t="shared" si="435"/>
        <v>3.2999999999999995E-2</v>
      </c>
      <c r="AH292" s="179">
        <f t="shared" si="436"/>
        <v>0.70250017331420889</v>
      </c>
      <c r="AI292" s="179">
        <f t="shared" si="437"/>
        <v>0.70250017331420889</v>
      </c>
      <c r="AJ292" s="179">
        <f t="shared" si="438"/>
        <v>1.6092593876401546</v>
      </c>
      <c r="AL292" s="563">
        <f t="shared" si="439"/>
        <v>380</v>
      </c>
      <c r="AM292" s="472">
        <f t="shared" si="440"/>
        <v>350</v>
      </c>
      <c r="AO292">
        <f t="shared" si="441"/>
        <v>380</v>
      </c>
      <c r="AP292">
        <f t="shared" si="442"/>
        <v>350</v>
      </c>
      <c r="AR292" s="6">
        <f t="shared" si="412"/>
        <v>2.8571428571428572</v>
      </c>
      <c r="AS292" s="6">
        <f t="shared" si="386"/>
        <v>0.64395849220469148</v>
      </c>
      <c r="AT292" s="6">
        <f t="shared" si="387"/>
        <v>2.2131843649381659</v>
      </c>
      <c r="AU292" s="179">
        <f t="shared" si="388"/>
        <v>0.22538547227164202</v>
      </c>
      <c r="AW292" s="6">
        <f t="shared" si="443"/>
        <v>6.7055121527777786</v>
      </c>
      <c r="AX292" s="472">
        <f t="shared" si="444"/>
        <v>5.2603232121749404</v>
      </c>
      <c r="AY292" s="6">
        <f t="shared" si="445"/>
        <v>6.7055121527777786</v>
      </c>
      <c r="AZ292" s="472">
        <f t="shared" si="446"/>
        <v>9.9425086805555551</v>
      </c>
      <c r="BB292" s="6">
        <f t="shared" si="447"/>
        <v>0</v>
      </c>
      <c r="CG292" s="581">
        <f t="shared" si="448"/>
        <v>-50</v>
      </c>
    </row>
    <row r="293" spans="5:85" x14ac:dyDescent="0.2">
      <c r="E293" s="176">
        <v>77</v>
      </c>
      <c r="F293" s="223">
        <f t="shared" si="449"/>
        <v>0.38500000000000001</v>
      </c>
      <c r="G293" s="223">
        <f t="shared" si="413"/>
        <v>0.38500000000000001</v>
      </c>
      <c r="H293" s="223">
        <f t="shared" si="414"/>
        <v>1.925</v>
      </c>
      <c r="I293" s="223">
        <f t="shared" si="415"/>
        <v>1.925</v>
      </c>
      <c r="J293" s="559">
        <f t="shared" si="416"/>
        <v>48</v>
      </c>
      <c r="K293" s="454">
        <f t="shared" si="417"/>
        <v>15.75</v>
      </c>
      <c r="L293" s="454">
        <f t="shared" si="418"/>
        <v>63.75</v>
      </c>
      <c r="M293" s="454"/>
      <c r="N293" s="223">
        <f t="shared" si="419"/>
        <v>0.24705882352941178</v>
      </c>
      <c r="O293" s="178">
        <f t="shared" si="420"/>
        <v>2.0011764705882356</v>
      </c>
      <c r="P293" s="178">
        <f t="shared" si="421"/>
        <v>4.0023529411764711</v>
      </c>
      <c r="Q293" s="223">
        <f t="shared" si="422"/>
        <v>0.40023529411764713</v>
      </c>
      <c r="R293" s="223">
        <f t="shared" si="423"/>
        <v>0.40023529411764713</v>
      </c>
      <c r="S293" s="223">
        <f t="shared" si="424"/>
        <v>5</v>
      </c>
      <c r="T293" s="223">
        <f t="shared" si="425"/>
        <v>0.72145061728395055</v>
      </c>
      <c r="U293" s="223">
        <f t="shared" si="426"/>
        <v>0.66132973251028804</v>
      </c>
      <c r="V293" s="223">
        <f t="shared" si="427"/>
        <v>2.0154810895551636</v>
      </c>
      <c r="W293" s="203">
        <f t="shared" si="428"/>
        <v>350</v>
      </c>
      <c r="X293" s="454">
        <f t="shared" si="429"/>
        <v>350</v>
      </c>
      <c r="Z293" s="223">
        <f t="shared" si="430"/>
        <v>0.77005347593582896</v>
      </c>
      <c r="AA293" s="179">
        <f t="shared" si="431"/>
        <v>2.151260504201681</v>
      </c>
      <c r="AB293" s="179">
        <f t="shared" si="432"/>
        <v>0.43485372758729168</v>
      </c>
      <c r="AC293" s="179"/>
      <c r="AD293" s="179">
        <f t="shared" si="433"/>
        <v>0.419047619047619</v>
      </c>
      <c r="AE293" s="563">
        <f t="shared" si="434"/>
        <v>4083.3333333333344</v>
      </c>
      <c r="AF293" s="546">
        <f t="shared" si="435"/>
        <v>3.2999999999999995E-2</v>
      </c>
      <c r="AH293" s="179">
        <f t="shared" si="436"/>
        <v>0.70710678118654757</v>
      </c>
      <c r="AI293" s="179">
        <f t="shared" si="437"/>
        <v>0.70710678118654757</v>
      </c>
      <c r="AJ293" s="179">
        <f t="shared" si="438"/>
        <v>1.6126716897678131</v>
      </c>
      <c r="AL293" s="563">
        <f t="shared" si="439"/>
        <v>385</v>
      </c>
      <c r="AM293" s="472">
        <f t="shared" si="440"/>
        <v>350</v>
      </c>
      <c r="AO293">
        <f t="shared" si="441"/>
        <v>385</v>
      </c>
      <c r="AP293">
        <f t="shared" si="442"/>
        <v>350</v>
      </c>
      <c r="AR293" s="6">
        <f t="shared" si="412"/>
        <v>2.8571428571428572</v>
      </c>
      <c r="AS293" s="6">
        <f t="shared" si="386"/>
        <v>0.64818121608766865</v>
      </c>
      <c r="AT293" s="6">
        <f t="shared" si="387"/>
        <v>2.2089616410551884</v>
      </c>
      <c r="AU293" s="179">
        <f t="shared" si="388"/>
        <v>0.22686342563068401</v>
      </c>
      <c r="AW293" s="6">
        <f t="shared" si="443"/>
        <v>6.7055121527777786</v>
      </c>
      <c r="AX293" s="472">
        <f t="shared" si="444"/>
        <v>5.3844661227467494</v>
      </c>
      <c r="AY293" s="6">
        <f t="shared" si="445"/>
        <v>6.7055121527777786</v>
      </c>
      <c r="AZ293" s="472">
        <f t="shared" si="446"/>
        <v>10.190677625868053</v>
      </c>
      <c r="BB293" s="6">
        <f t="shared" si="447"/>
        <v>0</v>
      </c>
      <c r="CG293" s="581">
        <f t="shared" si="448"/>
        <v>-50</v>
      </c>
    </row>
    <row r="294" spans="5:85" x14ac:dyDescent="0.2">
      <c r="E294" s="176">
        <v>78</v>
      </c>
      <c r="F294" s="223">
        <f t="shared" si="449"/>
        <v>0.39</v>
      </c>
      <c r="G294" s="223">
        <f t="shared" si="413"/>
        <v>0.39</v>
      </c>
      <c r="H294" s="223">
        <f t="shared" si="414"/>
        <v>1.9500000000000002</v>
      </c>
      <c r="I294" s="223">
        <f t="shared" si="415"/>
        <v>1.9500000000000002</v>
      </c>
      <c r="J294" s="559">
        <f t="shared" si="416"/>
        <v>48</v>
      </c>
      <c r="K294" s="454">
        <f t="shared" si="417"/>
        <v>15.75</v>
      </c>
      <c r="L294" s="454">
        <f t="shared" si="418"/>
        <v>63.75</v>
      </c>
      <c r="M294" s="454"/>
      <c r="N294" s="223">
        <f t="shared" si="419"/>
        <v>0.24705882352941178</v>
      </c>
      <c r="O294" s="178">
        <f t="shared" si="420"/>
        <v>2.0011764705882356</v>
      </c>
      <c r="P294" s="178">
        <f t="shared" si="421"/>
        <v>4.0023529411764711</v>
      </c>
      <c r="Q294" s="223">
        <f t="shared" si="422"/>
        <v>0.40023529411764713</v>
      </c>
      <c r="R294" s="223">
        <f t="shared" si="423"/>
        <v>0.40023529411764713</v>
      </c>
      <c r="S294" s="223">
        <f t="shared" si="424"/>
        <v>5</v>
      </c>
      <c r="T294" s="223">
        <f t="shared" si="425"/>
        <v>0.73082010582010581</v>
      </c>
      <c r="U294" s="223">
        <f t="shared" si="426"/>
        <v>0.66991843033509701</v>
      </c>
      <c r="V294" s="223">
        <f t="shared" si="427"/>
        <v>2.0416561686402956</v>
      </c>
      <c r="W294" s="203">
        <f t="shared" si="428"/>
        <v>350</v>
      </c>
      <c r="X294" s="454">
        <f t="shared" si="429"/>
        <v>350</v>
      </c>
      <c r="Z294" s="223">
        <f t="shared" si="430"/>
        <v>0.77005347593582896</v>
      </c>
      <c r="AA294" s="179">
        <f t="shared" si="431"/>
        <v>2.151260504201681</v>
      </c>
      <c r="AB294" s="179">
        <f t="shared" si="432"/>
        <v>0.43485372758729168</v>
      </c>
      <c r="AC294" s="179"/>
      <c r="AD294" s="179">
        <f t="shared" si="433"/>
        <v>0.419047619047619</v>
      </c>
      <c r="AE294" s="563">
        <f t="shared" si="434"/>
        <v>4136.3636363636369</v>
      </c>
      <c r="AF294" s="546">
        <f t="shared" si="435"/>
        <v>3.2999999999999995E-2</v>
      </c>
      <c r="AH294" s="179">
        <f t="shared" si="436"/>
        <v>0.71168357188676667</v>
      </c>
      <c r="AI294" s="179">
        <f t="shared" si="437"/>
        <v>0.71168357188676667</v>
      </c>
      <c r="AJ294" s="179">
        <f t="shared" si="438"/>
        <v>1.6160619051013085</v>
      </c>
      <c r="AL294" s="563">
        <f t="shared" si="439"/>
        <v>390</v>
      </c>
      <c r="AM294" s="472">
        <f t="shared" si="440"/>
        <v>350</v>
      </c>
      <c r="AO294">
        <f t="shared" si="441"/>
        <v>390</v>
      </c>
      <c r="AP294">
        <f t="shared" si="442"/>
        <v>350</v>
      </c>
      <c r="AR294" s="6">
        <f t="shared" si="412"/>
        <v>2.8571428571428572</v>
      </c>
      <c r="AS294" s="6">
        <f t="shared" si="386"/>
        <v>0.65237660756286941</v>
      </c>
      <c r="AT294" s="6">
        <f t="shared" si="387"/>
        <v>2.204766249579988</v>
      </c>
      <c r="AU294" s="179">
        <f t="shared" si="388"/>
        <v>0.22833181264700428</v>
      </c>
      <c r="AW294" s="6">
        <f t="shared" si="443"/>
        <v>6.7055121527777786</v>
      </c>
      <c r="AX294" s="472">
        <f t="shared" si="444"/>
        <v>5.5100357380319149</v>
      </c>
      <c r="AY294" s="6">
        <f t="shared" si="445"/>
        <v>6.7055121527777786</v>
      </c>
      <c r="AZ294" s="472">
        <f t="shared" si="446"/>
        <v>10.44189453125</v>
      </c>
      <c r="BB294" s="6">
        <f t="shared" si="447"/>
        <v>0</v>
      </c>
      <c r="CG294" s="581">
        <f t="shared" si="448"/>
        <v>-50</v>
      </c>
    </row>
    <row r="295" spans="5:85" x14ac:dyDescent="0.2">
      <c r="E295" s="176">
        <v>79</v>
      </c>
      <c r="F295" s="223">
        <f t="shared" si="449"/>
        <v>0.39500000000000002</v>
      </c>
      <c r="G295" s="223">
        <f t="shared" si="413"/>
        <v>0.39500000000000002</v>
      </c>
      <c r="H295" s="223">
        <f t="shared" si="414"/>
        <v>1.9750000000000001</v>
      </c>
      <c r="I295" s="223">
        <f t="shared" si="415"/>
        <v>1.9750000000000001</v>
      </c>
      <c r="J295" s="559">
        <f t="shared" si="416"/>
        <v>48</v>
      </c>
      <c r="K295" s="454">
        <f t="shared" si="417"/>
        <v>15.75</v>
      </c>
      <c r="L295" s="454">
        <f t="shared" si="418"/>
        <v>63.75</v>
      </c>
      <c r="M295" s="454"/>
      <c r="N295" s="223">
        <f t="shared" si="419"/>
        <v>0.24705882352941178</v>
      </c>
      <c r="O295" s="178">
        <f t="shared" si="420"/>
        <v>2.0011764705882356</v>
      </c>
      <c r="P295" s="178">
        <f t="shared" si="421"/>
        <v>4.0023529411764711</v>
      </c>
      <c r="Q295" s="223">
        <f t="shared" si="422"/>
        <v>0.40023529411764713</v>
      </c>
      <c r="R295" s="223">
        <f t="shared" si="423"/>
        <v>0.40023529411764713</v>
      </c>
      <c r="S295" s="223">
        <f t="shared" si="424"/>
        <v>5</v>
      </c>
      <c r="T295" s="223">
        <f t="shared" si="425"/>
        <v>0.74018959435626097</v>
      </c>
      <c r="U295" s="223">
        <f t="shared" si="426"/>
        <v>0.67850712815990577</v>
      </c>
      <c r="V295" s="223">
        <f t="shared" si="427"/>
        <v>2.0678312477254273</v>
      </c>
      <c r="W295" s="203">
        <f t="shared" si="428"/>
        <v>350</v>
      </c>
      <c r="X295" s="454">
        <f t="shared" si="429"/>
        <v>350</v>
      </c>
      <c r="Z295" s="223">
        <f t="shared" si="430"/>
        <v>0.77005347593582896</v>
      </c>
      <c r="AA295" s="179">
        <f t="shared" si="431"/>
        <v>2.151260504201681</v>
      </c>
      <c r="AB295" s="179">
        <f t="shared" si="432"/>
        <v>0.43485372758729168</v>
      </c>
      <c r="AC295" s="179"/>
      <c r="AD295" s="179">
        <f t="shared" si="433"/>
        <v>0.419047619047619</v>
      </c>
      <c r="AE295" s="563">
        <f t="shared" si="434"/>
        <v>4189.3939393939399</v>
      </c>
      <c r="AF295" s="546">
        <f t="shared" si="435"/>
        <v>3.2999999999999995E-2</v>
      </c>
      <c r="AH295" s="179">
        <f t="shared" si="436"/>
        <v>0.71623111701950859</v>
      </c>
      <c r="AI295" s="179">
        <f t="shared" si="437"/>
        <v>0.71623111701950859</v>
      </c>
      <c r="AJ295" s="179">
        <f t="shared" si="438"/>
        <v>1.6194304570514877</v>
      </c>
      <c r="AL295" s="563">
        <f t="shared" si="439"/>
        <v>395</v>
      </c>
      <c r="AM295" s="472">
        <f t="shared" si="440"/>
        <v>350</v>
      </c>
      <c r="AO295">
        <f t="shared" si="441"/>
        <v>395</v>
      </c>
      <c r="AP295">
        <f t="shared" si="442"/>
        <v>350</v>
      </c>
      <c r="AR295" s="6">
        <f t="shared" si="412"/>
        <v>2.8571428571428572</v>
      </c>
      <c r="AS295" s="6">
        <f t="shared" si="386"/>
        <v>0.65654519060121619</v>
      </c>
      <c r="AT295" s="6">
        <f t="shared" si="387"/>
        <v>2.2005976665416411</v>
      </c>
      <c r="AU295" s="179">
        <f t="shared" si="388"/>
        <v>0.22979081671042567</v>
      </c>
      <c r="AW295" s="6">
        <f t="shared" si="443"/>
        <v>6.7055121527777786</v>
      </c>
      <c r="AX295" s="472">
        <f t="shared" si="444"/>
        <v>5.6370320580304369</v>
      </c>
      <c r="AY295" s="6">
        <f t="shared" si="445"/>
        <v>6.7055121527777786</v>
      </c>
      <c r="AZ295" s="472">
        <f t="shared" si="446"/>
        <v>10.696159396701391</v>
      </c>
      <c r="BB295" s="6">
        <f t="shared" si="447"/>
        <v>0</v>
      </c>
      <c r="CG295" s="581">
        <f t="shared" si="448"/>
        <v>-50</v>
      </c>
    </row>
    <row r="296" spans="5:85" x14ac:dyDescent="0.2">
      <c r="E296" s="176">
        <v>80</v>
      </c>
      <c r="F296" s="223">
        <f t="shared" si="449"/>
        <v>0.4</v>
      </c>
      <c r="G296" s="223">
        <f t="shared" si="413"/>
        <v>0.4</v>
      </c>
      <c r="H296" s="223">
        <f t="shared" si="414"/>
        <v>2</v>
      </c>
      <c r="I296" s="223">
        <f t="shared" si="415"/>
        <v>2</v>
      </c>
      <c r="J296" s="559">
        <f t="shared" si="416"/>
        <v>48</v>
      </c>
      <c r="K296" s="454">
        <f t="shared" si="417"/>
        <v>15.75</v>
      </c>
      <c r="L296" s="454">
        <f t="shared" si="418"/>
        <v>63.75</v>
      </c>
      <c r="M296" s="454"/>
      <c r="N296" s="223">
        <f t="shared" si="419"/>
        <v>0.24705882352941178</v>
      </c>
      <c r="O296" s="178">
        <f t="shared" si="420"/>
        <v>2.0011764705882356</v>
      </c>
      <c r="P296" s="178">
        <f t="shared" si="421"/>
        <v>4.0023529411764711</v>
      </c>
      <c r="Q296" s="223">
        <f t="shared" si="422"/>
        <v>0.40023529411764713</v>
      </c>
      <c r="R296" s="223">
        <f t="shared" si="423"/>
        <v>0.40023529411764713</v>
      </c>
      <c r="S296" s="223">
        <f t="shared" si="424"/>
        <v>5</v>
      </c>
      <c r="T296" s="223">
        <f t="shared" si="425"/>
        <v>0.74955908289241613</v>
      </c>
      <c r="U296" s="223">
        <f t="shared" si="426"/>
        <v>0.68709582598471486</v>
      </c>
      <c r="V296" s="223">
        <f t="shared" si="427"/>
        <v>2.0940063268105593</v>
      </c>
      <c r="W296" s="203">
        <f t="shared" si="428"/>
        <v>350</v>
      </c>
      <c r="X296" s="454">
        <f t="shared" si="429"/>
        <v>350</v>
      </c>
      <c r="Z296" s="223">
        <f t="shared" si="430"/>
        <v>0.77005347593582896</v>
      </c>
      <c r="AA296" s="179">
        <f t="shared" si="431"/>
        <v>2.151260504201681</v>
      </c>
      <c r="AB296" s="179">
        <f t="shared" si="432"/>
        <v>0.43485372758729168</v>
      </c>
      <c r="AC296" s="179"/>
      <c r="AD296" s="179">
        <f t="shared" si="433"/>
        <v>0.419047619047619</v>
      </c>
      <c r="AE296" s="563">
        <f t="shared" si="434"/>
        <v>4242.4242424242429</v>
      </c>
      <c r="AF296" s="546">
        <f t="shared" si="435"/>
        <v>3.2999999999999995E-2</v>
      </c>
      <c r="AH296" s="179">
        <f t="shared" si="436"/>
        <v>0.72074997015644715</v>
      </c>
      <c r="AI296" s="179">
        <f t="shared" si="437"/>
        <v>0.72074997015644715</v>
      </c>
      <c r="AJ296" s="179">
        <f t="shared" si="438"/>
        <v>1.6227777556714422</v>
      </c>
      <c r="AL296" s="563">
        <f t="shared" si="439"/>
        <v>400</v>
      </c>
      <c r="AM296" s="472">
        <f t="shared" si="440"/>
        <v>350</v>
      </c>
      <c r="AO296">
        <f t="shared" si="441"/>
        <v>400</v>
      </c>
      <c r="AP296">
        <f t="shared" si="442"/>
        <v>350</v>
      </c>
      <c r="AR296" s="6">
        <f t="shared" si="412"/>
        <v>2.8571428571428572</v>
      </c>
      <c r="AS296" s="6">
        <f t="shared" si="386"/>
        <v>0.66068747264340988</v>
      </c>
      <c r="AT296" s="6">
        <f t="shared" si="387"/>
        <v>2.1964553844994472</v>
      </c>
      <c r="AU296" s="179">
        <f t="shared" si="388"/>
        <v>0.23124061542519345</v>
      </c>
      <c r="AW296" s="6">
        <f t="shared" si="443"/>
        <v>6.7055121527777786</v>
      </c>
      <c r="AX296" s="472">
        <f t="shared" si="444"/>
        <v>5.7654550827423172</v>
      </c>
      <c r="AY296" s="6">
        <f t="shared" si="445"/>
        <v>6.7055121527777786</v>
      </c>
      <c r="AZ296" s="472">
        <f t="shared" si="446"/>
        <v>10.953472222222224</v>
      </c>
      <c r="BB296" s="6">
        <f t="shared" si="447"/>
        <v>0</v>
      </c>
      <c r="CG296" s="581">
        <f t="shared" si="448"/>
        <v>350</v>
      </c>
    </row>
    <row r="297" spans="5:85" x14ac:dyDescent="0.2">
      <c r="E297" s="176">
        <v>81</v>
      </c>
      <c r="F297" s="223">
        <f t="shared" si="449"/>
        <v>0.40500000000000003</v>
      </c>
      <c r="G297" s="223">
        <f t="shared" si="413"/>
        <v>0.40500000000000003</v>
      </c>
      <c r="H297" s="223">
        <f t="shared" si="414"/>
        <v>2.0250000000000004</v>
      </c>
      <c r="I297" s="223">
        <f t="shared" si="415"/>
        <v>2.0250000000000004</v>
      </c>
      <c r="J297" s="559">
        <f t="shared" si="416"/>
        <v>48</v>
      </c>
      <c r="K297" s="454">
        <f t="shared" si="417"/>
        <v>15.573529411764707</v>
      </c>
      <c r="L297" s="454">
        <f t="shared" si="418"/>
        <v>63.75</v>
      </c>
      <c r="M297" s="454"/>
      <c r="N297" s="223">
        <f t="shared" si="419"/>
        <v>0.24705882352941178</v>
      </c>
      <c r="O297" s="178">
        <f t="shared" si="420"/>
        <v>2.0011764705882356</v>
      </c>
      <c r="P297" s="178">
        <f t="shared" si="421"/>
        <v>4.0023529411764711</v>
      </c>
      <c r="Q297" s="223">
        <f t="shared" si="422"/>
        <v>0.40023529411764713</v>
      </c>
      <c r="R297" s="223">
        <f t="shared" si="423"/>
        <v>0.40023529411764713</v>
      </c>
      <c r="S297" s="223">
        <f t="shared" si="424"/>
        <v>4.9411764705882355</v>
      </c>
      <c r="T297" s="223">
        <f t="shared" si="425"/>
        <v>0.75</v>
      </c>
      <c r="U297" s="223">
        <f t="shared" si="426"/>
        <v>0.68750000000000011</v>
      </c>
      <c r="V297" s="223">
        <f t="shared" si="427"/>
        <v>2.1189801699716715</v>
      </c>
      <c r="W297" s="203">
        <f t="shared" si="428"/>
        <v>350</v>
      </c>
      <c r="X297" s="454">
        <f t="shared" si="429"/>
        <v>350</v>
      </c>
      <c r="Z297" s="223">
        <f t="shared" si="430"/>
        <v>0.76353902863271372</v>
      </c>
      <c r="AA297" s="179">
        <f t="shared" si="431"/>
        <v>2.1572320808962036</v>
      </c>
      <c r="AB297" s="179">
        <f t="shared" si="432"/>
        <v>0.43237185799048894</v>
      </c>
      <c r="AC297" s="179"/>
      <c r="AD297" s="179">
        <f t="shared" si="433"/>
        <v>0.42379603399433424</v>
      </c>
      <c r="AE297" s="563">
        <f t="shared" si="434"/>
        <v>4247.3262032085568</v>
      </c>
      <c r="AF297" s="546">
        <f t="shared" si="435"/>
        <v>3.3373937677053822E-2</v>
      </c>
      <c r="AH297" s="179">
        <f t="shared" si="436"/>
        <v>0.72524066762284234</v>
      </c>
      <c r="AI297" s="179">
        <f t="shared" si="437"/>
        <v>0.72524066762284234</v>
      </c>
      <c r="AJ297" s="179">
        <f t="shared" si="438"/>
        <v>1.6261041982391424</v>
      </c>
      <c r="AL297" s="563">
        <f t="shared" si="439"/>
        <v>405</v>
      </c>
      <c r="AM297" s="472">
        <f t="shared" si="440"/>
        <v>350</v>
      </c>
      <c r="AO297" t="str">
        <f t="shared" si="441"/>
        <v/>
      </c>
      <c r="AP297" t="str">
        <f t="shared" si="442"/>
        <v/>
      </c>
      <c r="AR297" s="6">
        <f t="shared" si="412"/>
        <v>2.8571428571428572</v>
      </c>
      <c r="AS297" s="6">
        <f t="shared" si="386"/>
        <v>0.66480394532093878</v>
      </c>
      <c r="AT297" s="6">
        <f t="shared" si="387"/>
        <v>2.1923389118219183</v>
      </c>
      <c r="AU297" s="179">
        <f t="shared" si="388"/>
        <v>0.23268138086232856</v>
      </c>
      <c r="AW297" s="6">
        <f t="shared" si="443"/>
        <v>6.7055121527777786</v>
      </c>
      <c r="AX297" s="472">
        <f t="shared" si="444"/>
        <v>5.895304812167554</v>
      </c>
      <c r="AY297" s="6">
        <f t="shared" si="445"/>
        <v>6.7055121527777786</v>
      </c>
      <c r="AZ297" s="472">
        <f t="shared" si="446"/>
        <v>11.213833007812502</v>
      </c>
      <c r="BB297" s="6">
        <f t="shared" si="447"/>
        <v>0</v>
      </c>
      <c r="CG297" s="581">
        <f t="shared" si="448"/>
        <v>-50</v>
      </c>
    </row>
    <row r="298" spans="5:85" x14ac:dyDescent="0.2">
      <c r="E298" s="176">
        <v>82</v>
      </c>
      <c r="F298" s="223">
        <f t="shared" si="449"/>
        <v>0.41</v>
      </c>
      <c r="G298" s="223">
        <f t="shared" si="413"/>
        <v>0.41</v>
      </c>
      <c r="H298" s="223">
        <f t="shared" si="414"/>
        <v>2.0499999999999998</v>
      </c>
      <c r="I298" s="223">
        <f t="shared" si="415"/>
        <v>2.0499999999999998</v>
      </c>
      <c r="J298" s="559">
        <f t="shared" si="416"/>
        <v>48</v>
      </c>
      <c r="K298" s="454">
        <f t="shared" si="417"/>
        <v>15.392754662840748</v>
      </c>
      <c r="L298" s="454">
        <f t="shared" si="418"/>
        <v>63.75</v>
      </c>
      <c r="M298" s="454"/>
      <c r="N298" s="223">
        <f t="shared" si="419"/>
        <v>0.24705882352941178</v>
      </c>
      <c r="O298" s="178">
        <f t="shared" si="420"/>
        <v>2.0011764705882356</v>
      </c>
      <c r="P298" s="178">
        <f t="shared" si="421"/>
        <v>4.0023529411764711</v>
      </c>
      <c r="Q298" s="223">
        <f t="shared" si="422"/>
        <v>0.40023529411764713</v>
      </c>
      <c r="R298" s="223">
        <f t="shared" si="423"/>
        <v>0.40023529411764713</v>
      </c>
      <c r="S298" s="223">
        <f t="shared" si="424"/>
        <v>4.8809182209469162</v>
      </c>
      <c r="T298" s="223">
        <f t="shared" si="425"/>
        <v>0.75</v>
      </c>
      <c r="U298" s="223">
        <f t="shared" si="426"/>
        <v>0.68750000000000011</v>
      </c>
      <c r="V298" s="223">
        <f t="shared" si="427"/>
        <v>2.1438657811953861</v>
      </c>
      <c r="W298" s="203">
        <f t="shared" si="428"/>
        <v>350</v>
      </c>
      <c r="X298" s="454">
        <f t="shared" si="429"/>
        <v>350</v>
      </c>
      <c r="Z298" s="223">
        <f t="shared" si="430"/>
        <v>0.756828085261538</v>
      </c>
      <c r="AA298" s="179">
        <f t="shared" si="431"/>
        <v>2.163383778986447</v>
      </c>
      <c r="AB298" s="179">
        <f t="shared" si="432"/>
        <v>0.42979377082324799</v>
      </c>
      <c r="AC298" s="179"/>
      <c r="AD298" s="179">
        <f t="shared" si="433"/>
        <v>0.42877315623907719</v>
      </c>
      <c r="AE298" s="563">
        <f t="shared" si="434"/>
        <v>4249.8514557338094</v>
      </c>
      <c r="AF298" s="546">
        <f t="shared" si="435"/>
        <v>3.376588605382732E-2</v>
      </c>
      <c r="AH298" s="179">
        <f t="shared" si="436"/>
        <v>0.72970372924052707</v>
      </c>
      <c r="AI298" s="179">
        <f t="shared" si="437"/>
        <v>0.72970372924052707</v>
      </c>
      <c r="AJ298" s="179">
        <f t="shared" si="438"/>
        <v>1.6294101698077978</v>
      </c>
      <c r="AL298" s="563">
        <f t="shared" si="439"/>
        <v>410</v>
      </c>
      <c r="AM298" s="472">
        <f t="shared" si="440"/>
        <v>350</v>
      </c>
      <c r="AO298" t="str">
        <f t="shared" si="441"/>
        <v/>
      </c>
      <c r="AP298" t="str">
        <f t="shared" si="442"/>
        <v/>
      </c>
      <c r="AR298" s="6">
        <f t="shared" si="412"/>
        <v>2.8571428571428572</v>
      </c>
      <c r="AS298" s="6">
        <f t="shared" si="386"/>
        <v>0.66889508513714979</v>
      </c>
      <c r="AT298" s="6">
        <f t="shared" si="387"/>
        <v>2.1882477720057074</v>
      </c>
      <c r="AU298" s="179">
        <f t="shared" si="388"/>
        <v>0.23411327979800242</v>
      </c>
      <c r="AW298" s="6">
        <f t="shared" si="443"/>
        <v>6.7055121527777786</v>
      </c>
      <c r="AX298" s="472">
        <f t="shared" si="444"/>
        <v>6.0265812463061454</v>
      </c>
      <c r="AY298" s="6">
        <f t="shared" si="445"/>
        <v>6.7055121527777786</v>
      </c>
      <c r="AZ298" s="472">
        <f t="shared" si="446"/>
        <v>11.477241753472219</v>
      </c>
      <c r="BB298" s="6">
        <f t="shared" si="447"/>
        <v>0</v>
      </c>
      <c r="CG298" s="581">
        <f t="shared" si="448"/>
        <v>-50</v>
      </c>
    </row>
    <row r="299" spans="5:85" x14ac:dyDescent="0.2">
      <c r="E299" s="176">
        <v>83</v>
      </c>
      <c r="F299" s="223">
        <f t="shared" si="449"/>
        <v>0.41499999999999998</v>
      </c>
      <c r="G299" s="223">
        <f t="shared" si="413"/>
        <v>0.41499999999999998</v>
      </c>
      <c r="H299" s="223">
        <f t="shared" si="414"/>
        <v>2.0749999999999997</v>
      </c>
      <c r="I299" s="223">
        <f t="shared" si="415"/>
        <v>2.0749999999999997</v>
      </c>
      <c r="J299" s="559">
        <f t="shared" si="416"/>
        <v>48</v>
      </c>
      <c r="K299" s="454">
        <f t="shared" si="417"/>
        <v>15.216335931963147</v>
      </c>
      <c r="L299" s="454">
        <f t="shared" si="418"/>
        <v>63.75</v>
      </c>
      <c r="M299" s="454"/>
      <c r="N299" s="223">
        <f t="shared" si="419"/>
        <v>0.24705882352941178</v>
      </c>
      <c r="O299" s="178">
        <f t="shared" si="420"/>
        <v>2.0011764705882356</v>
      </c>
      <c r="P299" s="178">
        <f t="shared" si="421"/>
        <v>4.0023529411764711</v>
      </c>
      <c r="Q299" s="223">
        <f t="shared" si="422"/>
        <v>0.40023529411764713</v>
      </c>
      <c r="R299" s="223">
        <f t="shared" si="423"/>
        <v>0.40023529411764713</v>
      </c>
      <c r="S299" s="223">
        <f t="shared" si="424"/>
        <v>4.8221119773210495</v>
      </c>
      <c r="T299" s="223">
        <f t="shared" si="425"/>
        <v>0.75</v>
      </c>
      <c r="U299" s="223">
        <f t="shared" si="426"/>
        <v>0.68750000000000011</v>
      </c>
      <c r="V299" s="223">
        <f t="shared" si="427"/>
        <v>2.1687218360289235</v>
      </c>
      <c r="W299" s="203">
        <f t="shared" si="428"/>
        <v>350</v>
      </c>
      <c r="X299" s="454">
        <f t="shared" si="429"/>
        <v>350</v>
      </c>
      <c r="Z299" s="223">
        <f t="shared" si="430"/>
        <v>0.75024184600325394</v>
      </c>
      <c r="AA299" s="179">
        <f t="shared" si="431"/>
        <v>2.1694211649732074</v>
      </c>
      <c r="AB299" s="179">
        <f t="shared" si="432"/>
        <v>0.42724251663660756</v>
      </c>
      <c r="AC299" s="179"/>
      <c r="AD299" s="179">
        <f t="shared" si="433"/>
        <v>0.43374436720578469</v>
      </c>
      <c r="AE299" s="563">
        <f t="shared" si="434"/>
        <v>4252.3767082590621</v>
      </c>
      <c r="AF299" s="546">
        <f t="shared" si="435"/>
        <v>3.4157368917455543E-2</v>
      </c>
      <c r="AH299" s="179">
        <f t="shared" si="436"/>
        <v>0.73413965903024125</v>
      </c>
      <c r="AI299" s="179">
        <f t="shared" si="437"/>
        <v>0.73413965903024125</v>
      </c>
      <c r="AJ299" s="179">
        <f t="shared" si="438"/>
        <v>1.6326960437261047</v>
      </c>
      <c r="AL299" s="563">
        <f t="shared" si="439"/>
        <v>415</v>
      </c>
      <c r="AM299" s="472">
        <f t="shared" si="440"/>
        <v>350</v>
      </c>
      <c r="AO299" t="str">
        <f t="shared" si="441"/>
        <v/>
      </c>
      <c r="AP299" t="str">
        <f t="shared" si="442"/>
        <v/>
      </c>
      <c r="AR299" s="6">
        <f t="shared" si="412"/>
        <v>2.8571428571428572</v>
      </c>
      <c r="AS299" s="6">
        <f t="shared" si="386"/>
        <v>0.6729613541110544</v>
      </c>
      <c r="AT299" s="6">
        <f t="shared" si="387"/>
        <v>2.1841815030318026</v>
      </c>
      <c r="AU299" s="179">
        <f t="shared" si="388"/>
        <v>0.23553647393886903</v>
      </c>
      <c r="AW299" s="6">
        <f t="shared" si="443"/>
        <v>6.7055121527777786</v>
      </c>
      <c r="AX299" s="472">
        <f t="shared" si="444"/>
        <v>6.159284385158097</v>
      </c>
      <c r="AY299" s="6">
        <f t="shared" si="445"/>
        <v>6.7055121527777786</v>
      </c>
      <c r="AZ299" s="472">
        <f t="shared" si="446"/>
        <v>11.743698459201386</v>
      </c>
      <c r="BB299" s="6">
        <f t="shared" si="447"/>
        <v>0</v>
      </c>
      <c r="CG299" s="581">
        <f t="shared" si="448"/>
        <v>-50</v>
      </c>
    </row>
    <row r="300" spans="5:85" x14ac:dyDescent="0.2">
      <c r="E300" s="176">
        <v>84</v>
      </c>
      <c r="F300" s="223">
        <f t="shared" si="449"/>
        <v>0.42</v>
      </c>
      <c r="G300" s="223">
        <f t="shared" si="413"/>
        <v>0.42</v>
      </c>
      <c r="H300" s="223">
        <f t="shared" si="414"/>
        <v>2.1</v>
      </c>
      <c r="I300" s="223">
        <f t="shared" si="415"/>
        <v>2.1</v>
      </c>
      <c r="J300" s="559">
        <f t="shared" si="416"/>
        <v>48</v>
      </c>
      <c r="K300" s="454">
        <f t="shared" si="417"/>
        <v>15.044117647058826</v>
      </c>
      <c r="L300" s="454">
        <f t="shared" si="418"/>
        <v>63.75</v>
      </c>
      <c r="M300" s="454"/>
      <c r="N300" s="223">
        <f t="shared" si="419"/>
        <v>0.24705882352941178</v>
      </c>
      <c r="O300" s="178">
        <f t="shared" si="420"/>
        <v>2.0011764705882356</v>
      </c>
      <c r="P300" s="178">
        <f t="shared" si="421"/>
        <v>4.0023529411764711</v>
      </c>
      <c r="Q300" s="223">
        <f t="shared" si="422"/>
        <v>0.40023529411764713</v>
      </c>
      <c r="R300" s="223">
        <f t="shared" si="423"/>
        <v>0.40023529411764713</v>
      </c>
      <c r="S300" s="223">
        <f t="shared" si="424"/>
        <v>4.764705882352942</v>
      </c>
      <c r="T300" s="223">
        <f t="shared" si="425"/>
        <v>0.75</v>
      </c>
      <c r="U300" s="223">
        <f t="shared" si="426"/>
        <v>0.68750000000000011</v>
      </c>
      <c r="V300" s="223">
        <f t="shared" si="427"/>
        <v>2.193548387096774</v>
      </c>
      <c r="W300" s="203">
        <f t="shared" si="428"/>
        <v>350</v>
      </c>
      <c r="X300" s="454">
        <f t="shared" si="429"/>
        <v>347.09587123862843</v>
      </c>
      <c r="Z300" s="223">
        <f t="shared" si="430"/>
        <v>0.74377686693991818</v>
      </c>
      <c r="AA300" s="179">
        <f t="shared" si="431"/>
        <v>2.1753473957812659</v>
      </c>
      <c r="AB300" s="179">
        <f t="shared" si="432"/>
        <v>0.4247179310167763</v>
      </c>
      <c r="AC300" s="179"/>
      <c r="AD300" s="179">
        <f t="shared" si="433"/>
        <v>0.43870967741935474</v>
      </c>
      <c r="AE300" s="563">
        <f t="shared" si="434"/>
        <v>4254.9019607843147</v>
      </c>
      <c r="AF300" s="546">
        <f t="shared" si="435"/>
        <v>3.4548387096774179E-2</v>
      </c>
      <c r="AH300" s="179">
        <f t="shared" si="436"/>
        <v>0.7385489458759964</v>
      </c>
      <c r="AI300" s="179">
        <f t="shared" si="437"/>
        <v>0.7385489458759964</v>
      </c>
      <c r="AJ300" s="179">
        <f t="shared" si="438"/>
        <v>1.6359621821303676</v>
      </c>
      <c r="AL300" s="563">
        <f t="shared" si="439"/>
        <v>420</v>
      </c>
      <c r="AM300" s="472">
        <f t="shared" si="440"/>
        <v>347.09587123862843</v>
      </c>
      <c r="AO300" t="str">
        <f t="shared" si="441"/>
        <v/>
      </c>
      <c r="AP300" t="str">
        <f t="shared" si="442"/>
        <v/>
      </c>
      <c r="AR300" s="6">
        <f t="shared" si="412"/>
        <v>2.881048387096774</v>
      </c>
      <c r="AS300" s="6">
        <f t="shared" si="386"/>
        <v>0.67700320038632988</v>
      </c>
      <c r="AT300" s="6">
        <f t="shared" si="387"/>
        <v>2.2040451867104442</v>
      </c>
      <c r="AU300" s="179">
        <f t="shared" si="388"/>
        <v>0.23498501566943292</v>
      </c>
      <c r="AW300" s="6">
        <f t="shared" si="443"/>
        <v>6.7055121527777786</v>
      </c>
      <c r="AX300" s="472">
        <f t="shared" si="444"/>
        <v>6.2934142287234032</v>
      </c>
      <c r="AY300" s="6">
        <f t="shared" si="445"/>
        <v>6.7055121527777786</v>
      </c>
      <c r="AZ300" s="472">
        <f t="shared" si="446"/>
        <v>12.013203124999999</v>
      </c>
      <c r="BB300" s="6">
        <f t="shared" si="447"/>
        <v>0</v>
      </c>
      <c r="CG300" s="581">
        <f t="shared" si="448"/>
        <v>-50</v>
      </c>
    </row>
    <row r="301" spans="5:85" x14ac:dyDescent="0.2">
      <c r="E301" s="176">
        <v>85</v>
      </c>
      <c r="F301" s="223">
        <f t="shared" si="449"/>
        <v>0.42499999999999999</v>
      </c>
      <c r="G301" s="223">
        <f t="shared" si="413"/>
        <v>0.42499999999999999</v>
      </c>
      <c r="H301" s="223">
        <f t="shared" si="414"/>
        <v>2.125</v>
      </c>
      <c r="I301" s="223">
        <f t="shared" si="415"/>
        <v>2.125</v>
      </c>
      <c r="J301" s="559">
        <f t="shared" si="416"/>
        <v>48</v>
      </c>
      <c r="K301" s="454">
        <f t="shared" si="417"/>
        <v>14.87595155709343</v>
      </c>
      <c r="L301" s="454">
        <f t="shared" si="418"/>
        <v>63.75</v>
      </c>
      <c r="M301" s="454"/>
      <c r="N301" s="223">
        <f t="shared" si="419"/>
        <v>0.24705882352941178</v>
      </c>
      <c r="O301" s="178">
        <f t="shared" si="420"/>
        <v>2.0011764705882356</v>
      </c>
      <c r="P301" s="178">
        <f t="shared" si="421"/>
        <v>4.0023529411764711</v>
      </c>
      <c r="Q301" s="223">
        <f t="shared" si="422"/>
        <v>0.40023529411764713</v>
      </c>
      <c r="R301" s="223">
        <f t="shared" si="423"/>
        <v>0.40023529411764713</v>
      </c>
      <c r="S301" s="223">
        <f t="shared" si="424"/>
        <v>4.708650519031143</v>
      </c>
      <c r="T301" s="223">
        <f t="shared" si="425"/>
        <v>0.75</v>
      </c>
      <c r="U301" s="223">
        <f t="shared" si="426"/>
        <v>0.68750000000000011</v>
      </c>
      <c r="V301" s="223">
        <f t="shared" si="427"/>
        <v>2.2183454868985724</v>
      </c>
      <c r="W301" s="203">
        <f t="shared" si="428"/>
        <v>350</v>
      </c>
      <c r="X301" s="454">
        <f t="shared" si="429"/>
        <v>344.13392057789918</v>
      </c>
      <c r="Z301" s="223">
        <f t="shared" si="430"/>
        <v>0.73742982980978389</v>
      </c>
      <c r="AA301" s="179">
        <f t="shared" si="431"/>
        <v>2.181165513150555</v>
      </c>
      <c r="AB301" s="179">
        <f t="shared" si="432"/>
        <v>0.42221983470176572</v>
      </c>
      <c r="AC301" s="179"/>
      <c r="AD301" s="179">
        <f t="shared" si="433"/>
        <v>0.44366909737971444</v>
      </c>
      <c r="AE301" s="563">
        <f t="shared" si="434"/>
        <v>4257.4272133095674</v>
      </c>
      <c r="AF301" s="546">
        <f t="shared" si="435"/>
        <v>3.493894141865251E-2</v>
      </c>
      <c r="AH301" s="179">
        <f t="shared" si="436"/>
        <v>0.74293206415395208</v>
      </c>
      <c r="AI301" s="179">
        <f t="shared" si="437"/>
        <v>0.75</v>
      </c>
      <c r="AJ301" s="179">
        <f t="shared" si="438"/>
        <v>1.6444444444444444</v>
      </c>
      <c r="AL301" s="563">
        <f t="shared" si="439"/>
        <v>425</v>
      </c>
      <c r="AM301" s="472">
        <f t="shared" si="440"/>
        <v>344.13392057789918</v>
      </c>
      <c r="AO301" t="str">
        <f t="shared" si="441"/>
        <v/>
      </c>
      <c r="AP301" t="str">
        <f t="shared" si="442"/>
        <v/>
      </c>
      <c r="AR301" s="6">
        <f t="shared" si="412"/>
        <v>2.9058454868985719</v>
      </c>
      <c r="AS301" s="6">
        <f t="shared" si="386"/>
        <v>0.68750000000000011</v>
      </c>
      <c r="AT301" s="6">
        <f t="shared" si="387"/>
        <v>2.2183454868985719</v>
      </c>
      <c r="AU301" s="179">
        <f t="shared" si="388"/>
        <v>0.23659207039730573</v>
      </c>
      <c r="AW301" s="6">
        <f t="shared" si="443"/>
        <v>6.7055121527777786</v>
      </c>
      <c r="AX301" s="472">
        <f t="shared" si="444"/>
        <v>6.4289707770020676</v>
      </c>
      <c r="AY301" s="6">
        <f t="shared" si="445"/>
        <v>6.7055121527777786</v>
      </c>
      <c r="AZ301" s="472">
        <f t="shared" si="446"/>
        <v>12.285755750868054</v>
      </c>
      <c r="BB301" s="6">
        <f t="shared" si="447"/>
        <v>0</v>
      </c>
      <c r="CG301" s="581">
        <f t="shared" si="448"/>
        <v>-50</v>
      </c>
    </row>
    <row r="302" spans="5:85" x14ac:dyDescent="0.2">
      <c r="E302" s="176">
        <v>86</v>
      </c>
      <c r="F302" s="223">
        <f t="shared" si="449"/>
        <v>0.43</v>
      </c>
      <c r="G302" s="223">
        <f t="shared" si="413"/>
        <v>0.43</v>
      </c>
      <c r="H302" s="223">
        <f t="shared" si="414"/>
        <v>2.15</v>
      </c>
      <c r="I302" s="223">
        <f t="shared" si="415"/>
        <v>2.15</v>
      </c>
      <c r="J302" s="559">
        <f t="shared" si="416"/>
        <v>48</v>
      </c>
      <c r="K302" s="454">
        <f t="shared" si="417"/>
        <v>14.711696306429552</v>
      </c>
      <c r="L302" s="454">
        <f t="shared" si="418"/>
        <v>63.75</v>
      </c>
      <c r="M302" s="454"/>
      <c r="N302" s="223">
        <f t="shared" si="419"/>
        <v>0.24705882352941178</v>
      </c>
      <c r="O302" s="178">
        <f t="shared" si="420"/>
        <v>2.0011764705882356</v>
      </c>
      <c r="P302" s="178">
        <f t="shared" si="421"/>
        <v>4.0023529411764711</v>
      </c>
      <c r="Q302" s="223">
        <f t="shared" si="422"/>
        <v>0.40023529411764713</v>
      </c>
      <c r="R302" s="223">
        <f t="shared" si="423"/>
        <v>0.40023529411764713</v>
      </c>
      <c r="S302" s="223">
        <f t="shared" si="424"/>
        <v>4.6538987688098503</v>
      </c>
      <c r="T302" s="223">
        <f t="shared" si="425"/>
        <v>0.75</v>
      </c>
      <c r="U302" s="223">
        <f t="shared" si="426"/>
        <v>0.68750000000000011</v>
      </c>
      <c r="V302" s="223">
        <f t="shared" si="427"/>
        <v>2.2431131878094703</v>
      </c>
      <c r="W302" s="203">
        <f t="shared" si="428"/>
        <v>350</v>
      </c>
      <c r="X302" s="454">
        <f t="shared" si="429"/>
        <v>341.2255169531482</v>
      </c>
      <c r="Z302" s="223">
        <f t="shared" si="430"/>
        <v>0.73119753632817464</v>
      </c>
      <c r="AA302" s="179">
        <f t="shared" si="431"/>
        <v>2.1868784488420299</v>
      </c>
      <c r="AB302" s="179">
        <f t="shared" si="432"/>
        <v>0.419748035186149</v>
      </c>
      <c r="AC302" s="179"/>
      <c r="AD302" s="179">
        <f t="shared" si="433"/>
        <v>0.44862263756189402</v>
      </c>
      <c r="AE302" s="563">
        <f t="shared" si="434"/>
        <v>4259.95246583482</v>
      </c>
      <c r="AF302" s="546">
        <f t="shared" si="435"/>
        <v>3.5329032707999149E-2</v>
      </c>
      <c r="AH302" s="179">
        <f t="shared" si="436"/>
        <v>0.74728947432809356</v>
      </c>
      <c r="AI302" s="179">
        <f t="shared" si="437"/>
        <v>0.75</v>
      </c>
      <c r="AJ302" s="179">
        <f t="shared" si="438"/>
        <v>1.6444444444444444</v>
      </c>
      <c r="AL302" s="563">
        <f t="shared" si="439"/>
        <v>430</v>
      </c>
      <c r="AM302" s="472">
        <f t="shared" si="440"/>
        <v>341.2255169531482</v>
      </c>
      <c r="AO302" t="str">
        <f t="shared" si="441"/>
        <v/>
      </c>
      <c r="AP302" t="str">
        <f t="shared" si="442"/>
        <v/>
      </c>
      <c r="AR302" s="6">
        <f t="shared" si="412"/>
        <v>2.9306131878094703</v>
      </c>
      <c r="AS302" s="6">
        <f t="shared" si="386"/>
        <v>0.68750000000000011</v>
      </c>
      <c r="AT302" s="6">
        <f t="shared" si="387"/>
        <v>2.2431131878094703</v>
      </c>
      <c r="AU302" s="179">
        <f t="shared" si="388"/>
        <v>0.23459254290528939</v>
      </c>
      <c r="AW302" s="6">
        <f t="shared" si="443"/>
        <v>6.7055121527777786</v>
      </c>
      <c r="AX302" s="472">
        <f t="shared" si="444"/>
        <v>6.5659540299940886</v>
      </c>
      <c r="AY302" s="6">
        <f t="shared" si="445"/>
        <v>6.7055121527777786</v>
      </c>
      <c r="AZ302" s="472">
        <f t="shared" si="446"/>
        <v>12.561356336805552</v>
      </c>
      <c r="BB302" s="6">
        <f t="shared" si="447"/>
        <v>0</v>
      </c>
      <c r="CG302" s="581">
        <f t="shared" si="448"/>
        <v>-50</v>
      </c>
    </row>
    <row r="303" spans="5:85" x14ac:dyDescent="0.2">
      <c r="E303" s="176">
        <v>87</v>
      </c>
      <c r="F303" s="223">
        <f t="shared" si="449"/>
        <v>0.435</v>
      </c>
      <c r="G303" s="223">
        <f t="shared" si="413"/>
        <v>0.435</v>
      </c>
      <c r="H303" s="223">
        <f t="shared" si="414"/>
        <v>2.1749999999999998</v>
      </c>
      <c r="I303" s="223">
        <f t="shared" si="415"/>
        <v>2.1749999999999998</v>
      </c>
      <c r="J303" s="559">
        <f t="shared" si="416"/>
        <v>48</v>
      </c>
      <c r="K303" s="454">
        <f t="shared" si="417"/>
        <v>14.551217038539557</v>
      </c>
      <c r="L303" s="454">
        <f t="shared" si="418"/>
        <v>63.75</v>
      </c>
      <c r="M303" s="454"/>
      <c r="N303" s="223">
        <f t="shared" si="419"/>
        <v>0.24705882352941178</v>
      </c>
      <c r="O303" s="178">
        <f t="shared" si="420"/>
        <v>2.0011764705882356</v>
      </c>
      <c r="P303" s="178">
        <f t="shared" si="421"/>
        <v>4.0023529411764711</v>
      </c>
      <c r="Q303" s="223">
        <f t="shared" si="422"/>
        <v>0.40023529411764713</v>
      </c>
      <c r="R303" s="223">
        <f t="shared" si="423"/>
        <v>0.40023529411764713</v>
      </c>
      <c r="S303" s="223">
        <f t="shared" si="424"/>
        <v>4.6004056795131856</v>
      </c>
      <c r="T303" s="223">
        <f t="shared" si="425"/>
        <v>0.75</v>
      </c>
      <c r="U303" s="223">
        <f t="shared" si="426"/>
        <v>0.68750000000000011</v>
      </c>
      <c r="V303" s="223">
        <f t="shared" si="427"/>
        <v>2.2678515420805017</v>
      </c>
      <c r="W303" s="203">
        <f t="shared" si="428"/>
        <v>350</v>
      </c>
      <c r="X303" s="454">
        <f t="shared" si="429"/>
        <v>338.36922131301588</v>
      </c>
      <c r="Z303" s="223">
        <f t="shared" si="430"/>
        <v>0.72507690281360548</v>
      </c>
      <c r="AA303" s="179">
        <f t="shared" si="431"/>
        <v>2.1924890295637187</v>
      </c>
      <c r="AB303" s="179">
        <f t="shared" si="432"/>
        <v>0.41730232818982799</v>
      </c>
      <c r="AC303" s="179"/>
      <c r="AD303" s="179">
        <f t="shared" si="433"/>
        <v>0.45357030841610024</v>
      </c>
      <c r="AE303" s="563">
        <f t="shared" si="434"/>
        <v>4262.4777183600727</v>
      </c>
      <c r="AF303" s="546">
        <f t="shared" si="435"/>
        <v>3.5718661787767898E-2</v>
      </c>
      <c r="AH303" s="179">
        <f t="shared" si="436"/>
        <v>0.75162162351482731</v>
      </c>
      <c r="AI303" s="179">
        <f t="shared" si="437"/>
        <v>0.75</v>
      </c>
      <c r="AJ303" s="179">
        <f t="shared" si="438"/>
        <v>1.6444444444444444</v>
      </c>
      <c r="AL303" s="563">
        <f t="shared" si="439"/>
        <v>435</v>
      </c>
      <c r="AM303" s="472">
        <f t="shared" si="440"/>
        <v>338.36922131301588</v>
      </c>
      <c r="AO303" t="str">
        <f t="shared" si="441"/>
        <v/>
      </c>
      <c r="AP303" t="str">
        <f t="shared" si="442"/>
        <v/>
      </c>
      <c r="AR303" s="6">
        <f t="shared" si="412"/>
        <v>2.9553515420805017</v>
      </c>
      <c r="AS303" s="6">
        <f t="shared" si="386"/>
        <v>0.68750000000000011</v>
      </c>
      <c r="AT303" s="6">
        <f t="shared" si="387"/>
        <v>2.2678515420805017</v>
      </c>
      <c r="AU303" s="179">
        <f t="shared" si="388"/>
        <v>0.23262883965269845</v>
      </c>
      <c r="AW303" s="6">
        <f t="shared" si="443"/>
        <v>6.7055121527777786</v>
      </c>
      <c r="AX303" s="472">
        <f t="shared" si="444"/>
        <v>6.7043639876994678</v>
      </c>
      <c r="AY303" s="6">
        <f t="shared" si="445"/>
        <v>6.7055121527777786</v>
      </c>
      <c r="AZ303" s="472">
        <f t="shared" si="446"/>
        <v>12.840004882812497</v>
      </c>
      <c r="BB303" s="6">
        <f t="shared" si="447"/>
        <v>0</v>
      </c>
      <c r="CG303" s="581">
        <f t="shared" si="448"/>
        <v>-50</v>
      </c>
    </row>
    <row r="304" spans="5:85" x14ac:dyDescent="0.2">
      <c r="E304" s="176">
        <v>88</v>
      </c>
      <c r="F304" s="223">
        <f t="shared" si="449"/>
        <v>0.44</v>
      </c>
      <c r="G304" s="223">
        <f t="shared" si="413"/>
        <v>0.44</v>
      </c>
      <c r="H304" s="223">
        <f t="shared" si="414"/>
        <v>2.2000000000000002</v>
      </c>
      <c r="I304" s="223">
        <f t="shared" si="415"/>
        <v>2.2000000000000002</v>
      </c>
      <c r="J304" s="559">
        <f t="shared" si="416"/>
        <v>48</v>
      </c>
      <c r="K304" s="454">
        <f t="shared" si="417"/>
        <v>14.39438502673797</v>
      </c>
      <c r="L304" s="454">
        <f t="shared" si="418"/>
        <v>63.75</v>
      </c>
      <c r="M304" s="454"/>
      <c r="N304" s="223">
        <f t="shared" si="419"/>
        <v>0.24705882352941178</v>
      </c>
      <c r="O304" s="178">
        <f t="shared" si="420"/>
        <v>2.0011764705882356</v>
      </c>
      <c r="P304" s="178">
        <f t="shared" si="421"/>
        <v>4.0023529411764711</v>
      </c>
      <c r="Q304" s="223">
        <f t="shared" si="422"/>
        <v>0.40023529411764713</v>
      </c>
      <c r="R304" s="223">
        <f t="shared" si="423"/>
        <v>0.40023529411764713</v>
      </c>
      <c r="S304" s="223">
        <f t="shared" si="424"/>
        <v>4.5481283422459899</v>
      </c>
      <c r="T304" s="223">
        <f t="shared" si="425"/>
        <v>0.75</v>
      </c>
      <c r="U304" s="223">
        <f t="shared" si="426"/>
        <v>0.68750000000000011</v>
      </c>
      <c r="V304" s="223">
        <f t="shared" si="427"/>
        <v>2.2925606018389524</v>
      </c>
      <c r="W304" s="203">
        <f t="shared" si="428"/>
        <v>350</v>
      </c>
      <c r="X304" s="454">
        <f t="shared" si="429"/>
        <v>335.56364571341749</v>
      </c>
      <c r="Z304" s="223">
        <f t="shared" si="430"/>
        <v>0.71906495510018054</v>
      </c>
      <c r="AA304" s="179">
        <f t="shared" si="431"/>
        <v>2.1979999816343585</v>
      </c>
      <c r="AB304" s="179">
        <f t="shared" si="432"/>
        <v>0.41488249900232826</v>
      </c>
      <c r="AC304" s="179"/>
      <c r="AD304" s="179">
        <f t="shared" si="433"/>
        <v>0.45851212036779038</v>
      </c>
      <c r="AE304" s="563">
        <f t="shared" si="434"/>
        <v>4265.0029708853244</v>
      </c>
      <c r="AF304" s="546">
        <f t="shared" si="435"/>
        <v>3.6107829478963495E-2</v>
      </c>
      <c r="AH304" s="179">
        <f t="shared" si="436"/>
        <v>0.75592894601845451</v>
      </c>
      <c r="AI304" s="179">
        <f t="shared" si="437"/>
        <v>0.75</v>
      </c>
      <c r="AJ304" s="179">
        <f t="shared" si="438"/>
        <v>1.6444444444444444</v>
      </c>
      <c r="AL304" s="563">
        <f t="shared" si="439"/>
        <v>440</v>
      </c>
      <c r="AM304" s="472">
        <f t="shared" si="440"/>
        <v>335.56364571341749</v>
      </c>
      <c r="AO304" t="str">
        <f t="shared" si="441"/>
        <v/>
      </c>
      <c r="AP304" t="str">
        <f t="shared" si="442"/>
        <v/>
      </c>
      <c r="AR304" s="6">
        <f t="shared" si="412"/>
        <v>2.9800606018389524</v>
      </c>
      <c r="AS304" s="6">
        <f t="shared" si="386"/>
        <v>0.68750000000000011</v>
      </c>
      <c r="AT304" s="6">
        <f t="shared" si="387"/>
        <v>2.2925606018389524</v>
      </c>
      <c r="AU304" s="179">
        <f t="shared" si="388"/>
        <v>0.23070000642797459</v>
      </c>
      <c r="AW304" s="6">
        <f t="shared" si="443"/>
        <v>6.7055121527777786</v>
      </c>
      <c r="AX304" s="472">
        <f t="shared" si="444"/>
        <v>6.8442006501182036</v>
      </c>
      <c r="AY304" s="6">
        <f t="shared" si="445"/>
        <v>6.7055121527777786</v>
      </c>
      <c r="AZ304" s="472">
        <f t="shared" si="446"/>
        <v>13.121701388888889</v>
      </c>
      <c r="BB304" s="6">
        <f t="shared" si="447"/>
        <v>0</v>
      </c>
      <c r="CG304" s="581">
        <f t="shared" si="448"/>
        <v>-50</v>
      </c>
    </row>
    <row r="305" spans="5:85" x14ac:dyDescent="0.2">
      <c r="E305" s="176">
        <v>89</v>
      </c>
      <c r="F305" s="223">
        <f t="shared" si="449"/>
        <v>0.44500000000000001</v>
      </c>
      <c r="G305" s="223">
        <f t="shared" si="413"/>
        <v>0.44500000000000001</v>
      </c>
      <c r="H305" s="223">
        <f t="shared" si="414"/>
        <v>2.2250000000000001</v>
      </c>
      <c r="I305" s="223">
        <f t="shared" si="415"/>
        <v>2.2250000000000001</v>
      </c>
      <c r="J305" s="559">
        <f t="shared" si="416"/>
        <v>48</v>
      </c>
      <c r="K305" s="454">
        <f t="shared" si="417"/>
        <v>14.241077329808331</v>
      </c>
      <c r="L305" s="454">
        <f t="shared" si="418"/>
        <v>63.75</v>
      </c>
      <c r="M305" s="454"/>
      <c r="N305" s="223">
        <f t="shared" si="419"/>
        <v>0.24705882352941178</v>
      </c>
      <c r="O305" s="178">
        <f t="shared" si="420"/>
        <v>2.0011764705882356</v>
      </c>
      <c r="P305" s="178">
        <f t="shared" si="421"/>
        <v>4.0023529411764711</v>
      </c>
      <c r="Q305" s="223">
        <f t="shared" si="422"/>
        <v>0.40023529411764713</v>
      </c>
      <c r="R305" s="223">
        <f t="shared" si="423"/>
        <v>0.40023529411764713</v>
      </c>
      <c r="S305" s="223">
        <f t="shared" si="424"/>
        <v>4.4970257766027766</v>
      </c>
      <c r="T305" s="223">
        <f t="shared" si="425"/>
        <v>0.75</v>
      </c>
      <c r="U305" s="223">
        <f t="shared" si="426"/>
        <v>0.68750000000000011</v>
      </c>
      <c r="V305" s="223">
        <f t="shared" si="427"/>
        <v>2.317240419088725</v>
      </c>
      <c r="W305" s="203">
        <f t="shared" si="428"/>
        <v>350</v>
      </c>
      <c r="X305" s="454">
        <f t="shared" si="429"/>
        <v>332.80745106869472</v>
      </c>
      <c r="Z305" s="223">
        <f t="shared" si="430"/>
        <v>0.71315882371863137</v>
      </c>
      <c r="AA305" s="179">
        <f t="shared" si="431"/>
        <v>2.203413935400778</v>
      </c>
      <c r="AB305" s="179">
        <f t="shared" si="432"/>
        <v>0.41248832371311056</v>
      </c>
      <c r="AC305" s="179"/>
      <c r="AD305" s="179">
        <f t="shared" si="433"/>
        <v>0.46344808381774499</v>
      </c>
      <c r="AE305" s="563">
        <f t="shared" si="434"/>
        <v>4267.5282234105771</v>
      </c>
      <c r="AF305" s="546">
        <f t="shared" si="435"/>
        <v>3.6496536600647417E-2</v>
      </c>
      <c r="AH305" s="179">
        <f t="shared" si="436"/>
        <v>0.76021186383933659</v>
      </c>
      <c r="AI305" s="179">
        <f t="shared" si="437"/>
        <v>0.75</v>
      </c>
      <c r="AJ305" s="179">
        <f t="shared" si="438"/>
        <v>1.6444444444444444</v>
      </c>
      <c r="AL305" s="563">
        <f t="shared" si="439"/>
        <v>445</v>
      </c>
      <c r="AM305" s="472">
        <f t="shared" si="440"/>
        <v>332.80745106869472</v>
      </c>
      <c r="AO305" t="str">
        <f t="shared" si="441"/>
        <v/>
      </c>
      <c r="AP305" t="str">
        <f t="shared" si="442"/>
        <v/>
      </c>
      <c r="AR305" s="6">
        <f t="shared" si="412"/>
        <v>3.0047404190887246</v>
      </c>
      <c r="AS305" s="6">
        <f t="shared" si="386"/>
        <v>0.68750000000000011</v>
      </c>
      <c r="AT305" s="6">
        <f t="shared" si="387"/>
        <v>2.3172404190887246</v>
      </c>
      <c r="AU305" s="179">
        <f t="shared" si="388"/>
        <v>0.22880512260972766</v>
      </c>
      <c r="AW305" s="6">
        <f t="shared" si="443"/>
        <v>6.7055121527777786</v>
      </c>
      <c r="AX305" s="472">
        <f t="shared" si="444"/>
        <v>6.9854640172502949</v>
      </c>
      <c r="AY305" s="6">
        <f t="shared" si="445"/>
        <v>6.7055121527777786</v>
      </c>
      <c r="AZ305" s="472">
        <f t="shared" si="446"/>
        <v>13.406445855034722</v>
      </c>
      <c r="BB305" s="6">
        <f t="shared" si="447"/>
        <v>0</v>
      </c>
      <c r="CG305" s="581">
        <f t="shared" si="448"/>
        <v>-50</v>
      </c>
    </row>
    <row r="306" spans="5:85" x14ac:dyDescent="0.2">
      <c r="E306" s="176">
        <v>90</v>
      </c>
      <c r="F306" s="223">
        <f t="shared" si="449"/>
        <v>0.45</v>
      </c>
      <c r="G306" s="223">
        <f t="shared" si="413"/>
        <v>0.45</v>
      </c>
      <c r="H306" s="223">
        <f t="shared" si="414"/>
        <v>2.25</v>
      </c>
      <c r="I306" s="223">
        <f t="shared" si="415"/>
        <v>2.25</v>
      </c>
      <c r="J306" s="559">
        <f t="shared" si="416"/>
        <v>48</v>
      </c>
      <c r="K306" s="454">
        <f t="shared" si="417"/>
        <v>14.091176470588236</v>
      </c>
      <c r="L306" s="454">
        <f t="shared" si="418"/>
        <v>63.75</v>
      </c>
      <c r="M306" s="454"/>
      <c r="N306" s="223">
        <f t="shared" si="419"/>
        <v>0.24705882352941178</v>
      </c>
      <c r="O306" s="178">
        <f t="shared" si="420"/>
        <v>2.0011764705882356</v>
      </c>
      <c r="P306" s="178">
        <f t="shared" si="421"/>
        <v>4.0023529411764711</v>
      </c>
      <c r="Q306" s="223">
        <f t="shared" si="422"/>
        <v>0.40023529411764713</v>
      </c>
      <c r="R306" s="223">
        <f t="shared" si="423"/>
        <v>0.40023529411764713</v>
      </c>
      <c r="S306" s="223">
        <f t="shared" si="424"/>
        <v>4.447058823529412</v>
      </c>
      <c r="T306" s="223">
        <f t="shared" si="425"/>
        <v>0.75</v>
      </c>
      <c r="U306" s="223">
        <f t="shared" si="426"/>
        <v>0.68750000000000011</v>
      </c>
      <c r="V306" s="223">
        <f t="shared" si="427"/>
        <v>2.3418910457107076</v>
      </c>
      <c r="W306" s="203">
        <f t="shared" si="428"/>
        <v>350</v>
      </c>
      <c r="X306" s="454">
        <f t="shared" si="429"/>
        <v>330.09934502047616</v>
      </c>
      <c r="Z306" s="223">
        <f t="shared" si="430"/>
        <v>0.70735573932959184</v>
      </c>
      <c r="AA306" s="179">
        <f t="shared" si="431"/>
        <v>2.2087334294240644</v>
      </c>
      <c r="AB306" s="179">
        <f t="shared" si="432"/>
        <v>0.41011957033746405</v>
      </c>
      <c r="AC306" s="179"/>
      <c r="AD306" s="179">
        <f t="shared" si="433"/>
        <v>0.46837820914214146</v>
      </c>
      <c r="AE306" s="563">
        <f t="shared" si="434"/>
        <v>4270.0534759358297</v>
      </c>
      <c r="AF306" s="546">
        <f t="shared" si="435"/>
        <v>3.6884783969943637E-2</v>
      </c>
      <c r="AH306" s="179">
        <f t="shared" si="436"/>
        <v>0.76447078715643835</v>
      </c>
      <c r="AI306" s="179">
        <f t="shared" si="437"/>
        <v>0.75</v>
      </c>
      <c r="AJ306" s="179">
        <f t="shared" si="438"/>
        <v>1.6444444444444444</v>
      </c>
      <c r="AL306" s="563">
        <f t="shared" si="439"/>
        <v>450</v>
      </c>
      <c r="AM306" s="472">
        <f t="shared" si="440"/>
        <v>330.09934502047616</v>
      </c>
      <c r="AO306" t="str">
        <f t="shared" si="441"/>
        <v/>
      </c>
      <c r="AP306" t="str">
        <f t="shared" si="442"/>
        <v/>
      </c>
      <c r="AR306" s="6">
        <f t="shared" si="412"/>
        <v>3.0293910457107076</v>
      </c>
      <c r="AS306" s="6">
        <f t="shared" si="386"/>
        <v>0.68750000000000011</v>
      </c>
      <c r="AT306" s="6">
        <f t="shared" si="387"/>
        <v>2.3418910457107076</v>
      </c>
      <c r="AU306" s="179">
        <f t="shared" si="388"/>
        <v>0.22694329970157742</v>
      </c>
      <c r="AW306" s="6">
        <f t="shared" si="443"/>
        <v>6.7055121527777786</v>
      </c>
      <c r="AX306" s="472">
        <f t="shared" si="444"/>
        <v>7.1281540890957462</v>
      </c>
      <c r="AY306" s="6">
        <f t="shared" si="445"/>
        <v>6.7055121527777786</v>
      </c>
      <c r="AZ306" s="472">
        <f t="shared" si="446"/>
        <v>13.694238281250001</v>
      </c>
      <c r="BB306" s="6">
        <f t="shared" si="447"/>
        <v>0</v>
      </c>
      <c r="CG306" s="581">
        <f t="shared" si="448"/>
        <v>-50</v>
      </c>
    </row>
    <row r="307" spans="5:85" x14ac:dyDescent="0.2">
      <c r="E307" s="176">
        <v>91</v>
      </c>
      <c r="F307" s="223">
        <f t="shared" si="449"/>
        <v>0.45500000000000002</v>
      </c>
      <c r="G307" s="223">
        <f t="shared" si="413"/>
        <v>0.45500000000000002</v>
      </c>
      <c r="H307" s="223">
        <f t="shared" si="414"/>
        <v>2.2749999999999999</v>
      </c>
      <c r="I307" s="223">
        <f t="shared" si="415"/>
        <v>2.2749999999999999</v>
      </c>
      <c r="J307" s="559">
        <f t="shared" si="416"/>
        <v>48</v>
      </c>
      <c r="K307" s="454">
        <f t="shared" si="417"/>
        <v>13.944570135746607</v>
      </c>
      <c r="L307" s="454">
        <f t="shared" si="418"/>
        <v>63.75</v>
      </c>
      <c r="M307" s="454"/>
      <c r="N307" s="223">
        <f t="shared" si="419"/>
        <v>0.24705882352941178</v>
      </c>
      <c r="O307" s="178">
        <f t="shared" si="420"/>
        <v>2.0011764705882356</v>
      </c>
      <c r="P307" s="178">
        <f t="shared" si="421"/>
        <v>4.0023529411764711</v>
      </c>
      <c r="Q307" s="223">
        <f t="shared" si="422"/>
        <v>0.40023529411764713</v>
      </c>
      <c r="R307" s="223">
        <f t="shared" si="423"/>
        <v>0.40023529411764713</v>
      </c>
      <c r="S307" s="223">
        <f t="shared" si="424"/>
        <v>4.3981900452488691</v>
      </c>
      <c r="T307" s="223">
        <f t="shared" si="425"/>
        <v>0.75</v>
      </c>
      <c r="U307" s="223">
        <f t="shared" si="426"/>
        <v>0.68750000000000011</v>
      </c>
      <c r="V307" s="223">
        <f t="shared" si="427"/>
        <v>2.3665125334631298</v>
      </c>
      <c r="W307" s="203">
        <f t="shared" si="428"/>
        <v>350</v>
      </c>
      <c r="X307" s="454">
        <f t="shared" si="429"/>
        <v>327.43807991712441</v>
      </c>
      <c r="Z307" s="223">
        <f t="shared" si="430"/>
        <v>0.70165302839383825</v>
      </c>
      <c r="AA307" s="179">
        <f t="shared" si="431"/>
        <v>2.213960914448506</v>
      </c>
      <c r="AB307" s="179">
        <f t="shared" si="432"/>
        <v>0.40777599984670121</v>
      </c>
      <c r="AC307" s="179"/>
      <c r="AD307" s="179">
        <f t="shared" si="433"/>
        <v>0.47330250669262586</v>
      </c>
      <c r="AE307" s="563">
        <f t="shared" si="434"/>
        <v>4272.5787284610824</v>
      </c>
      <c r="AF307" s="546">
        <f t="shared" si="435"/>
        <v>3.7272572402044284E-2</v>
      </c>
      <c r="AH307" s="179">
        <f t="shared" si="436"/>
        <v>0.7687061147858073</v>
      </c>
      <c r="AI307" s="179">
        <f t="shared" si="437"/>
        <v>0.75</v>
      </c>
      <c r="AJ307" s="179">
        <f t="shared" si="438"/>
        <v>1.6444444444444444</v>
      </c>
      <c r="AL307" s="563">
        <f t="shared" si="439"/>
        <v>455</v>
      </c>
      <c r="AM307" s="472">
        <f t="shared" si="440"/>
        <v>327.43807991712441</v>
      </c>
      <c r="AO307" t="str">
        <f t="shared" si="441"/>
        <v/>
      </c>
      <c r="AP307" t="str">
        <f t="shared" si="442"/>
        <v/>
      </c>
      <c r="AR307" s="6">
        <f t="shared" si="412"/>
        <v>3.0540125334631298</v>
      </c>
      <c r="AS307" s="6">
        <f t="shared" ref="AS307:AS316" si="450">L*AI307/J307*1000000</f>
        <v>0.68750000000000011</v>
      </c>
      <c r="AT307" s="6">
        <f t="shared" ref="AT307:AT316" si="451">AR307-AS307</f>
        <v>2.3665125334631298</v>
      </c>
      <c r="AU307" s="179">
        <f t="shared" ref="AU307:AU316" si="452">AS307/AR307</f>
        <v>0.22511367994302309</v>
      </c>
      <c r="AW307" s="6">
        <f t="shared" si="443"/>
        <v>6.7055121527777786</v>
      </c>
      <c r="AX307" s="472">
        <f t="shared" si="444"/>
        <v>7.2722708656545514</v>
      </c>
      <c r="AY307" s="6">
        <f t="shared" si="445"/>
        <v>6.7055121527777786</v>
      </c>
      <c r="AZ307" s="472">
        <f t="shared" si="446"/>
        <v>13.985078667534724</v>
      </c>
      <c r="BB307" s="6">
        <f t="shared" si="447"/>
        <v>0</v>
      </c>
      <c r="CG307" s="581">
        <f t="shared" si="448"/>
        <v>-50</v>
      </c>
    </row>
    <row r="308" spans="5:85" x14ac:dyDescent="0.2">
      <c r="E308" s="176">
        <v>92</v>
      </c>
      <c r="F308" s="223">
        <f t="shared" si="449"/>
        <v>0.46</v>
      </c>
      <c r="G308" s="223">
        <f t="shared" si="413"/>
        <v>0.46</v>
      </c>
      <c r="H308" s="223">
        <f t="shared" si="414"/>
        <v>2.3000000000000003</v>
      </c>
      <c r="I308" s="223">
        <f t="shared" si="415"/>
        <v>2.3000000000000003</v>
      </c>
      <c r="J308" s="559">
        <f t="shared" si="416"/>
        <v>48</v>
      </c>
      <c r="K308" s="454">
        <f t="shared" si="417"/>
        <v>13.801150895140665</v>
      </c>
      <c r="L308" s="454">
        <f t="shared" si="418"/>
        <v>63.75</v>
      </c>
      <c r="M308" s="454"/>
      <c r="N308" s="223">
        <f t="shared" si="419"/>
        <v>0.24705882352941178</v>
      </c>
      <c r="O308" s="178">
        <f t="shared" si="420"/>
        <v>2.0011764705882356</v>
      </c>
      <c r="P308" s="178">
        <f t="shared" si="421"/>
        <v>4.0023529411764711</v>
      </c>
      <c r="Q308" s="223">
        <f t="shared" si="422"/>
        <v>0.40023529411764713</v>
      </c>
      <c r="R308" s="223">
        <f t="shared" si="423"/>
        <v>0.40023529411764713</v>
      </c>
      <c r="S308" s="223">
        <f t="shared" si="424"/>
        <v>4.3503836317135551</v>
      </c>
      <c r="T308" s="223">
        <f t="shared" si="425"/>
        <v>0.75</v>
      </c>
      <c r="U308" s="223">
        <f t="shared" si="426"/>
        <v>0.68750000000000011</v>
      </c>
      <c r="V308" s="223">
        <f t="shared" si="427"/>
        <v>2.3911049339819321</v>
      </c>
      <c r="W308" s="203">
        <f t="shared" si="428"/>
        <v>350</v>
      </c>
      <c r="X308" s="454">
        <f t="shared" si="429"/>
        <v>324.82245089712728</v>
      </c>
      <c r="Z308" s="223">
        <f t="shared" si="430"/>
        <v>0.69604810906527292</v>
      </c>
      <c r="AA308" s="179">
        <f t="shared" si="431"/>
        <v>2.219098757166357</v>
      </c>
      <c r="AB308" s="179">
        <f t="shared" si="432"/>
        <v>0.40545736711061925</v>
      </c>
      <c r="AC308" s="179"/>
      <c r="AD308" s="179">
        <f t="shared" si="433"/>
        <v>0.47822098679638636</v>
      </c>
      <c r="AE308" s="563">
        <f t="shared" si="434"/>
        <v>4275.1039809863341</v>
      </c>
      <c r="AF308" s="546">
        <f t="shared" si="435"/>
        <v>3.765990271021543E-2</v>
      </c>
      <c r="AH308" s="179">
        <f t="shared" si="436"/>
        <v>0.77291823461644216</v>
      </c>
      <c r="AI308" s="179">
        <f t="shared" si="437"/>
        <v>0.75</v>
      </c>
      <c r="AJ308" s="179">
        <f t="shared" si="438"/>
        <v>1.6444444444444444</v>
      </c>
      <c r="AL308" s="563">
        <f t="shared" si="439"/>
        <v>460</v>
      </c>
      <c r="AM308" s="472">
        <f t="shared" si="440"/>
        <v>324.82245089712728</v>
      </c>
      <c r="AO308" t="str">
        <f t="shared" si="441"/>
        <v/>
      </c>
      <c r="AP308" t="str">
        <f t="shared" si="442"/>
        <v/>
      </c>
      <c r="AR308" s="6">
        <f t="shared" si="412"/>
        <v>3.0786049339819321</v>
      </c>
      <c r="AS308" s="6">
        <f t="shared" si="450"/>
        <v>0.68750000000000011</v>
      </c>
      <c r="AT308" s="6">
        <f t="shared" si="451"/>
        <v>2.3911049339819321</v>
      </c>
      <c r="AU308" s="179">
        <f t="shared" si="452"/>
        <v>0.22331543499177506</v>
      </c>
      <c r="AW308" s="6">
        <f t="shared" si="443"/>
        <v>6.7055121527777786</v>
      </c>
      <c r="AX308" s="472">
        <f t="shared" si="444"/>
        <v>7.417814346926713</v>
      </c>
      <c r="AY308" s="6">
        <f t="shared" si="445"/>
        <v>6.7055121527777786</v>
      </c>
      <c r="AZ308" s="472">
        <f t="shared" si="446"/>
        <v>14.278967013888888</v>
      </c>
      <c r="BB308" s="6">
        <f t="shared" si="447"/>
        <v>0</v>
      </c>
      <c r="CG308" s="581">
        <f t="shared" si="448"/>
        <v>-50</v>
      </c>
    </row>
    <row r="309" spans="5:85" x14ac:dyDescent="0.2">
      <c r="E309" s="176">
        <v>93</v>
      </c>
      <c r="F309" s="223">
        <f t="shared" si="449"/>
        <v>0.46500000000000002</v>
      </c>
      <c r="G309" s="223">
        <f t="shared" si="413"/>
        <v>0.46500000000000002</v>
      </c>
      <c r="H309" s="223">
        <f t="shared" si="414"/>
        <v>2.3250000000000002</v>
      </c>
      <c r="I309" s="223">
        <f t="shared" si="415"/>
        <v>2.3250000000000002</v>
      </c>
      <c r="J309" s="559">
        <f t="shared" si="416"/>
        <v>48</v>
      </c>
      <c r="K309" s="454">
        <f t="shared" si="417"/>
        <v>13.660815939278937</v>
      </c>
      <c r="L309" s="454">
        <f t="shared" si="418"/>
        <v>63.75</v>
      </c>
      <c r="M309" s="454"/>
      <c r="N309" s="223">
        <f t="shared" si="419"/>
        <v>0.24705882352941178</v>
      </c>
      <c r="O309" s="178">
        <f t="shared" si="420"/>
        <v>2.0011764705882356</v>
      </c>
      <c r="P309" s="178">
        <f t="shared" si="421"/>
        <v>4.0023529411764711</v>
      </c>
      <c r="Q309" s="223">
        <f t="shared" si="422"/>
        <v>0.40023529411764713</v>
      </c>
      <c r="R309" s="223">
        <f t="shared" si="423"/>
        <v>0.40023529411764713</v>
      </c>
      <c r="S309" s="223">
        <f t="shared" si="424"/>
        <v>4.3036053130929792</v>
      </c>
      <c r="T309" s="223">
        <f t="shared" si="425"/>
        <v>0.75</v>
      </c>
      <c r="U309" s="223">
        <f t="shared" si="426"/>
        <v>0.68750000000000011</v>
      </c>
      <c r="V309" s="223">
        <f t="shared" si="427"/>
        <v>2.4156682987811231</v>
      </c>
      <c r="W309" s="203">
        <f t="shared" si="428"/>
        <v>350</v>
      </c>
      <c r="X309" s="454">
        <f t="shared" si="429"/>
        <v>322.25129407025224</v>
      </c>
      <c r="Z309" s="223">
        <f t="shared" si="430"/>
        <v>0.69053848729339762</v>
      </c>
      <c r="AA309" s="179">
        <f t="shared" si="431"/>
        <v>2.2241492437905763</v>
      </c>
      <c r="AB309" s="179">
        <f t="shared" si="432"/>
        <v>0.40316342175949843</v>
      </c>
      <c r="AC309" s="179"/>
      <c r="AD309" s="179">
        <f t="shared" si="433"/>
        <v>0.48313365975622458</v>
      </c>
      <c r="AE309" s="563">
        <f t="shared" si="434"/>
        <v>4277.6292335115868</v>
      </c>
      <c r="AF309" s="546">
        <f t="shared" si="435"/>
        <v>3.8046775705802685E-2</v>
      </c>
      <c r="AH309" s="179">
        <f t="shared" si="436"/>
        <v>0.7771075240248958</v>
      </c>
      <c r="AI309" s="179">
        <f t="shared" si="437"/>
        <v>0.75</v>
      </c>
      <c r="AJ309" s="179">
        <f t="shared" si="438"/>
        <v>1.6444444444444444</v>
      </c>
      <c r="AL309" s="563">
        <f t="shared" si="439"/>
        <v>465</v>
      </c>
      <c r="AM309" s="472">
        <f t="shared" si="440"/>
        <v>322.25129407025224</v>
      </c>
      <c r="AO309" t="str">
        <f t="shared" si="441"/>
        <v/>
      </c>
      <c r="AP309" t="str">
        <f t="shared" si="442"/>
        <v/>
      </c>
      <c r="AR309" s="6">
        <f t="shared" si="412"/>
        <v>3.1031682987811231</v>
      </c>
      <c r="AS309" s="6">
        <f t="shared" si="450"/>
        <v>0.68750000000000011</v>
      </c>
      <c r="AT309" s="6">
        <f t="shared" si="451"/>
        <v>2.4156682987811231</v>
      </c>
      <c r="AU309" s="179">
        <f t="shared" si="452"/>
        <v>0.22154776467329843</v>
      </c>
      <c r="AW309" s="6">
        <f t="shared" si="443"/>
        <v>6.7055121527777786</v>
      </c>
      <c r="AX309" s="472">
        <f t="shared" si="444"/>
        <v>7.5647845329122347</v>
      </c>
      <c r="AY309" s="6">
        <f t="shared" si="445"/>
        <v>6.7055121527777786</v>
      </c>
      <c r="AZ309" s="472">
        <f t="shared" si="446"/>
        <v>14.575903320312499</v>
      </c>
      <c r="BB309" s="6">
        <f t="shared" si="447"/>
        <v>0</v>
      </c>
      <c r="CG309" s="581">
        <f t="shared" si="448"/>
        <v>-50</v>
      </c>
    </row>
    <row r="310" spans="5:85" x14ac:dyDescent="0.2">
      <c r="E310" s="176">
        <v>94</v>
      </c>
      <c r="F310" s="223">
        <f t="shared" si="449"/>
        <v>0.47</v>
      </c>
      <c r="G310" s="223">
        <f t="shared" si="413"/>
        <v>0.47</v>
      </c>
      <c r="H310" s="223">
        <f t="shared" si="414"/>
        <v>2.3499999999999996</v>
      </c>
      <c r="I310" s="223">
        <f t="shared" si="415"/>
        <v>2.3499999999999996</v>
      </c>
      <c r="J310" s="559">
        <f t="shared" si="416"/>
        <v>48</v>
      </c>
      <c r="K310" s="454">
        <f t="shared" si="417"/>
        <v>13.523466833541928</v>
      </c>
      <c r="L310" s="454">
        <f t="shared" si="418"/>
        <v>63.75</v>
      </c>
      <c r="M310" s="454"/>
      <c r="N310" s="223">
        <f t="shared" si="419"/>
        <v>0.24705882352941178</v>
      </c>
      <c r="O310" s="178">
        <f t="shared" si="420"/>
        <v>2.0011764705882356</v>
      </c>
      <c r="P310" s="178">
        <f t="shared" si="421"/>
        <v>4.0023529411764711</v>
      </c>
      <c r="Q310" s="223">
        <f t="shared" si="422"/>
        <v>0.40023529411764713</v>
      </c>
      <c r="R310" s="223">
        <f t="shared" si="423"/>
        <v>0.40023529411764713</v>
      </c>
      <c r="S310" s="223">
        <f t="shared" si="424"/>
        <v>4.2578222778473096</v>
      </c>
      <c r="T310" s="223">
        <f t="shared" si="425"/>
        <v>0.75</v>
      </c>
      <c r="U310" s="223">
        <f t="shared" si="426"/>
        <v>0.68750000000000011</v>
      </c>
      <c r="V310" s="223">
        <f t="shared" si="427"/>
        <v>2.440202679253141</v>
      </c>
      <c r="W310" s="203">
        <f t="shared" si="428"/>
        <v>350</v>
      </c>
      <c r="X310" s="454">
        <f t="shared" si="429"/>
        <v>319.72348479069257</v>
      </c>
      <c r="Z310" s="223">
        <f t="shared" si="430"/>
        <v>0.68512175312291268</v>
      </c>
      <c r="AA310" s="179">
        <f t="shared" si="431"/>
        <v>2.229114583446854</v>
      </c>
      <c r="AB310" s="179">
        <f t="shared" si="432"/>
        <v>0.40089390897227695</v>
      </c>
      <c r="AC310" s="179"/>
      <c r="AD310" s="179">
        <f t="shared" si="433"/>
        <v>0.48804053585062807</v>
      </c>
      <c r="AE310" s="563">
        <f t="shared" si="434"/>
        <v>4280.1544860368394</v>
      </c>
      <c r="AF310" s="546">
        <f t="shared" si="435"/>
        <v>3.8433192198236966E-2</v>
      </c>
      <c r="AH310" s="179">
        <f t="shared" si="436"/>
        <v>0.7812743502698718</v>
      </c>
      <c r="AI310" s="179">
        <f t="shared" si="437"/>
        <v>0.75</v>
      </c>
      <c r="AJ310" s="179">
        <f t="shared" si="438"/>
        <v>1.6444444444444444</v>
      </c>
      <c r="AL310" s="563">
        <f t="shared" si="439"/>
        <v>470</v>
      </c>
      <c r="AM310" s="472">
        <f t="shared" si="440"/>
        <v>319.72348479069257</v>
      </c>
      <c r="AO310" t="str">
        <f t="shared" si="441"/>
        <v/>
      </c>
      <c r="AP310" t="str">
        <f t="shared" si="442"/>
        <v/>
      </c>
      <c r="AR310" s="6">
        <f t="shared" si="412"/>
        <v>3.127702679253141</v>
      </c>
      <c r="AS310" s="6">
        <f t="shared" si="450"/>
        <v>0.68750000000000011</v>
      </c>
      <c r="AT310" s="6">
        <f t="shared" si="451"/>
        <v>2.440202679253141</v>
      </c>
      <c r="AU310" s="179">
        <f t="shared" si="452"/>
        <v>0.21980989579360116</v>
      </c>
      <c r="AW310" s="6">
        <f t="shared" si="443"/>
        <v>6.7055121527777786</v>
      </c>
      <c r="AX310" s="472">
        <f t="shared" si="444"/>
        <v>7.7131814236111111</v>
      </c>
      <c r="AY310" s="6">
        <f t="shared" si="445"/>
        <v>6.7055121527777786</v>
      </c>
      <c r="AZ310" s="472">
        <f t="shared" si="446"/>
        <v>14.875887586805556</v>
      </c>
      <c r="BB310" s="6">
        <f t="shared" si="447"/>
        <v>0</v>
      </c>
      <c r="CG310" s="581">
        <f t="shared" si="448"/>
        <v>-50</v>
      </c>
    </row>
    <row r="311" spans="5:85" x14ac:dyDescent="0.2">
      <c r="E311" s="176">
        <v>95</v>
      </c>
      <c r="F311" s="223">
        <f t="shared" si="449"/>
        <v>0.47499999999999998</v>
      </c>
      <c r="G311" s="223">
        <f t="shared" si="413"/>
        <v>0.47499999999999998</v>
      </c>
      <c r="H311" s="223">
        <f t="shared" si="414"/>
        <v>2.375</v>
      </c>
      <c r="I311" s="223">
        <f t="shared" si="415"/>
        <v>2.375</v>
      </c>
      <c r="J311" s="559">
        <f t="shared" si="416"/>
        <v>48</v>
      </c>
      <c r="K311" s="454">
        <f t="shared" si="417"/>
        <v>13.389009287925699</v>
      </c>
      <c r="L311" s="454">
        <f t="shared" si="418"/>
        <v>63.75</v>
      </c>
      <c r="M311" s="454"/>
      <c r="N311" s="223">
        <f t="shared" si="419"/>
        <v>0.24705882352941178</v>
      </c>
      <c r="O311" s="178">
        <f t="shared" si="420"/>
        <v>2.0011764705882356</v>
      </c>
      <c r="P311" s="178">
        <f t="shared" si="421"/>
        <v>4.0023529411764711</v>
      </c>
      <c r="Q311" s="223">
        <f t="shared" si="422"/>
        <v>0.40023529411764713</v>
      </c>
      <c r="R311" s="223">
        <f t="shared" si="423"/>
        <v>0.40023529411764713</v>
      </c>
      <c r="S311" s="223">
        <f t="shared" si="424"/>
        <v>4.2130030959752327</v>
      </c>
      <c r="T311" s="223">
        <f t="shared" si="425"/>
        <v>0.75</v>
      </c>
      <c r="U311" s="223">
        <f t="shared" si="426"/>
        <v>0.68750000000000011</v>
      </c>
      <c r="V311" s="223">
        <f t="shared" si="427"/>
        <v>2.4647081266692101</v>
      </c>
      <c r="W311" s="203">
        <f t="shared" si="428"/>
        <v>350</v>
      </c>
      <c r="X311" s="454">
        <f t="shared" si="429"/>
        <v>317.23793601682416</v>
      </c>
      <c r="Z311" s="223">
        <f t="shared" si="430"/>
        <v>0.67979557717890904</v>
      </c>
      <c r="AA311" s="179">
        <f t="shared" si="431"/>
        <v>2.2339969113955243</v>
      </c>
      <c r="AB311" s="179">
        <f t="shared" si="432"/>
        <v>0.39864857019698036</v>
      </c>
      <c r="AC311" s="179"/>
      <c r="AD311" s="179">
        <f t="shared" si="433"/>
        <v>0.49294162533384195</v>
      </c>
      <c r="AE311" s="563">
        <f t="shared" si="434"/>
        <v>4282.679738562093</v>
      </c>
      <c r="AF311" s="546">
        <f t="shared" si="435"/>
        <v>3.8819152995040046E-2</v>
      </c>
      <c r="AH311" s="179">
        <f t="shared" si="436"/>
        <v>0.78541907086797746</v>
      </c>
      <c r="AI311" s="179">
        <f t="shared" si="437"/>
        <v>0.75</v>
      </c>
      <c r="AJ311" s="179">
        <f t="shared" si="438"/>
        <v>1.6444444444444444</v>
      </c>
      <c r="AL311" s="563">
        <f t="shared" si="439"/>
        <v>475</v>
      </c>
      <c r="AM311" s="472">
        <f t="shared" si="440"/>
        <v>317.23793601682416</v>
      </c>
      <c r="AO311" t="str">
        <f t="shared" si="441"/>
        <v/>
      </c>
      <c r="AP311" t="str">
        <f t="shared" si="442"/>
        <v/>
      </c>
      <c r="AR311" s="6">
        <f t="shared" si="412"/>
        <v>3.1522081266692101</v>
      </c>
      <c r="AS311" s="6">
        <f t="shared" si="450"/>
        <v>0.68750000000000011</v>
      </c>
      <c r="AT311" s="6">
        <f t="shared" si="451"/>
        <v>2.4647081266692101</v>
      </c>
      <c r="AU311" s="179">
        <f t="shared" si="452"/>
        <v>0.21810108101156664</v>
      </c>
      <c r="AW311" s="6">
        <f t="shared" si="443"/>
        <v>6.7055121527777786</v>
      </c>
      <c r="AX311" s="472">
        <f t="shared" si="444"/>
        <v>7.863005019023344</v>
      </c>
      <c r="AY311" s="6">
        <f t="shared" si="445"/>
        <v>6.7055121527777786</v>
      </c>
      <c r="AZ311" s="472">
        <f t="shared" si="446"/>
        <v>15.178919813368054</v>
      </c>
      <c r="BB311" s="6">
        <f t="shared" si="447"/>
        <v>0</v>
      </c>
      <c r="CG311" s="581">
        <f t="shared" si="448"/>
        <v>-50</v>
      </c>
    </row>
    <row r="312" spans="5:85" x14ac:dyDescent="0.2">
      <c r="E312" s="176">
        <v>96</v>
      </c>
      <c r="F312" s="223">
        <f t="shared" si="449"/>
        <v>0.48</v>
      </c>
      <c r="G312" s="223">
        <f t="shared" si="413"/>
        <v>0.48</v>
      </c>
      <c r="H312" s="223">
        <f t="shared" si="414"/>
        <v>2.4</v>
      </c>
      <c r="I312" s="223">
        <f t="shared" si="415"/>
        <v>2.4</v>
      </c>
      <c r="J312" s="559">
        <f t="shared" si="416"/>
        <v>48</v>
      </c>
      <c r="K312" s="454">
        <f t="shared" si="417"/>
        <v>13.257352941176473</v>
      </c>
      <c r="L312" s="454">
        <f t="shared" si="418"/>
        <v>63.75</v>
      </c>
      <c r="M312" s="454"/>
      <c r="N312" s="223">
        <f t="shared" si="419"/>
        <v>0.24705882352941178</v>
      </c>
      <c r="O312" s="178">
        <f t="shared" ref="O312:O316" si="453">N312*J312*Isw_max*0.5*Efficiency*Pout/(Pout+Pout2)</f>
        <v>2.0011764705882356</v>
      </c>
      <c r="P312" s="178">
        <f t="shared" si="421"/>
        <v>4.0023529411764711</v>
      </c>
      <c r="Q312" s="223">
        <f t="shared" si="422"/>
        <v>0.40023529411764713</v>
      </c>
      <c r="R312" s="223">
        <f t="shared" si="423"/>
        <v>0.40023529411764713</v>
      </c>
      <c r="S312" s="223">
        <f t="shared" si="424"/>
        <v>4.1691176470588243</v>
      </c>
      <c r="T312" s="223">
        <f t="shared" si="425"/>
        <v>0.75</v>
      </c>
      <c r="U312" s="223">
        <f t="shared" si="426"/>
        <v>0.68750000000000011</v>
      </c>
      <c r="V312" s="223">
        <f t="shared" si="427"/>
        <v>2.4891846921797005</v>
      </c>
      <c r="W312" s="203">
        <f t="shared" si="428"/>
        <v>350</v>
      </c>
      <c r="X312" s="454">
        <f t="shared" si="429"/>
        <v>314.79359675254528</v>
      </c>
      <c r="Z312" s="223">
        <f t="shared" si="430"/>
        <v>0.6745577073268828</v>
      </c>
      <c r="AA312" s="179">
        <f t="shared" si="431"/>
        <v>2.2387982920932146</v>
      </c>
      <c r="AB312" s="179">
        <f t="shared" ref="AB312:AB316" si="454">0.5*AA312*Z312*Nps*W312/1000*(Pout/(Pout+Pout2))</f>
        <v>0.39642714380895672</v>
      </c>
      <c r="AC312" s="179"/>
      <c r="AD312" s="179">
        <f t="shared" si="433"/>
        <v>0.49783693843593996</v>
      </c>
      <c r="AE312" s="563">
        <f t="shared" ref="AE312:AE316" si="455">MAX(10, F312/(0.5*AD312/1000000*Isw_min*Nps)/1000*Pout_total/Pout)</f>
        <v>4285.2049910873448</v>
      </c>
      <c r="AF312" s="546">
        <f t="shared" si="435"/>
        <v>3.920465890183028E-2</v>
      </c>
      <c r="AH312" s="179">
        <f t="shared" si="436"/>
        <v>0.78954203395172273</v>
      </c>
      <c r="AI312" s="179">
        <f t="shared" ref="AI312:AI316" si="456">MAX(IF(F312&gt;AB312,T312,AH312),Isw_min)</f>
        <v>0.75</v>
      </c>
      <c r="AJ312" s="179">
        <f t="shared" ref="AJ312:AJ316" si="457">IF(F312&gt;AF312, (AI312-Isw_min)/1.08*0.8+1.2, AE312*0.2/350+1)</f>
        <v>1.6444444444444444</v>
      </c>
      <c r="AL312" s="563">
        <f t="shared" si="439"/>
        <v>480</v>
      </c>
      <c r="AM312" s="472">
        <f t="shared" si="440"/>
        <v>314.79359675254528</v>
      </c>
      <c r="AO312" t="str">
        <f t="shared" si="441"/>
        <v/>
      </c>
      <c r="AP312" t="str">
        <f t="shared" si="442"/>
        <v/>
      </c>
      <c r="AR312" s="6">
        <f t="shared" si="412"/>
        <v>3.1766846921797001</v>
      </c>
      <c r="AS312" s="6">
        <f t="shared" si="450"/>
        <v>0.68750000000000011</v>
      </c>
      <c r="AT312" s="6">
        <f t="shared" si="451"/>
        <v>2.4891846921797001</v>
      </c>
      <c r="AU312" s="179">
        <f t="shared" si="452"/>
        <v>0.21642059776737493</v>
      </c>
      <c r="AW312" s="6">
        <f t="shared" si="443"/>
        <v>6.7055121527777786</v>
      </c>
      <c r="AX312" s="472">
        <f t="shared" si="444"/>
        <v>8.0142553191489352</v>
      </c>
      <c r="AY312" s="6">
        <f t="shared" si="445"/>
        <v>6.7055121527777786</v>
      </c>
      <c r="AZ312" s="472">
        <f t="shared" si="446"/>
        <v>15.484999999999999</v>
      </c>
      <c r="BB312" s="6">
        <f t="shared" si="447"/>
        <v>0</v>
      </c>
      <c r="CG312" s="581">
        <f t="shared" si="448"/>
        <v>-50</v>
      </c>
    </row>
    <row r="313" spans="5:85" x14ac:dyDescent="0.2">
      <c r="E313" s="176">
        <v>97</v>
      </c>
      <c r="F313" s="223">
        <f t="shared" ref="F313:F316" si="458">IF(PLOT_TYPE=1, E313/100*Iout_max, min_I*EXP(O313*rr/100))</f>
        <v>0.48499999999999999</v>
      </c>
      <c r="G313" s="223">
        <f t="shared" si="413"/>
        <v>0.48499999999999999</v>
      </c>
      <c r="H313" s="223">
        <f t="shared" si="414"/>
        <v>2.4249999999999998</v>
      </c>
      <c r="I313" s="223">
        <f t="shared" si="415"/>
        <v>2.4249999999999998</v>
      </c>
      <c r="J313" s="559">
        <f t="shared" si="416"/>
        <v>48</v>
      </c>
      <c r="K313" s="454">
        <f t="shared" si="417"/>
        <v>13.128411158277746</v>
      </c>
      <c r="L313" s="454">
        <f t="shared" si="418"/>
        <v>63.75</v>
      </c>
      <c r="M313" s="454"/>
      <c r="N313" s="223">
        <f t="shared" si="419"/>
        <v>0.24705882352941178</v>
      </c>
      <c r="O313" s="178">
        <f t="shared" si="453"/>
        <v>2.0011764705882356</v>
      </c>
      <c r="P313" s="178">
        <f t="shared" si="421"/>
        <v>4.0023529411764711</v>
      </c>
      <c r="Q313" s="223">
        <f t="shared" si="422"/>
        <v>0.40023529411764713</v>
      </c>
      <c r="R313" s="223">
        <f t="shared" si="423"/>
        <v>0.40023529411764713</v>
      </c>
      <c r="S313" s="223">
        <f t="shared" si="424"/>
        <v>4.1261370527592485</v>
      </c>
      <c r="T313" s="223">
        <f t="shared" si="425"/>
        <v>0.75</v>
      </c>
      <c r="U313" s="223">
        <f t="shared" si="426"/>
        <v>0.68750000000000011</v>
      </c>
      <c r="V313" s="223">
        <f t="shared" si="427"/>
        <v>2.513632426814481</v>
      </c>
      <c r="W313" s="203">
        <f t="shared" si="428"/>
        <v>350</v>
      </c>
      <c r="X313" s="454">
        <f t="shared" si="429"/>
        <v>312.3894505655058</v>
      </c>
      <c r="Z313" s="223">
        <f t="shared" si="430"/>
        <v>0.66940596549751252</v>
      </c>
      <c r="AA313" s="179">
        <f t="shared" si="431"/>
        <v>2.243520722103471</v>
      </c>
      <c r="AB313" s="179">
        <f t="shared" si="454"/>
        <v>0.39422936571200445</v>
      </c>
      <c r="AC313" s="179"/>
      <c r="AD313" s="179">
        <f t="shared" si="433"/>
        <v>0.5027264853628961</v>
      </c>
      <c r="AE313" s="563">
        <f t="shared" si="455"/>
        <v>4287.7302436125974</v>
      </c>
      <c r="AF313" s="546">
        <f t="shared" si="435"/>
        <v>3.9589710722328066E-2</v>
      </c>
      <c r="AH313" s="179">
        <f t="shared" si="436"/>
        <v>0.79364357861078283</v>
      </c>
      <c r="AI313" s="179">
        <f t="shared" si="456"/>
        <v>0.75</v>
      </c>
      <c r="AJ313" s="179">
        <f t="shared" si="457"/>
        <v>1.6444444444444444</v>
      </c>
      <c r="AL313" s="563">
        <f t="shared" si="439"/>
        <v>485</v>
      </c>
      <c r="AM313" s="472">
        <f t="shared" si="440"/>
        <v>312.3894505655058</v>
      </c>
      <c r="AO313" t="str">
        <f t="shared" si="441"/>
        <v/>
      </c>
      <c r="AP313" t="str">
        <f t="shared" si="442"/>
        <v/>
      </c>
      <c r="AR313" s="6">
        <f t="shared" si="412"/>
        <v>3.201132426814481</v>
      </c>
      <c r="AS313" s="6">
        <f t="shared" si="450"/>
        <v>0.68750000000000011</v>
      </c>
      <c r="AT313" s="6">
        <f t="shared" si="451"/>
        <v>2.513632426814481</v>
      </c>
      <c r="AU313" s="179">
        <f t="shared" si="452"/>
        <v>0.21476774726378528</v>
      </c>
      <c r="AW313" s="6">
        <f t="shared" si="443"/>
        <v>6.7055121527777786</v>
      </c>
      <c r="AX313" s="472">
        <f t="shared" si="444"/>
        <v>8.1669323239878846</v>
      </c>
      <c r="AY313" s="6">
        <f t="shared" si="445"/>
        <v>6.7055121527777786</v>
      </c>
      <c r="AZ313" s="472">
        <f t="shared" si="446"/>
        <v>15.794128146701389</v>
      </c>
      <c r="BB313" s="6">
        <f t="shared" si="447"/>
        <v>0</v>
      </c>
      <c r="CG313" s="581">
        <f t="shared" si="448"/>
        <v>-50</v>
      </c>
    </row>
    <row r="314" spans="5:85" x14ac:dyDescent="0.2">
      <c r="E314" s="176">
        <v>98</v>
      </c>
      <c r="F314" s="223">
        <f t="shared" si="458"/>
        <v>0.49</v>
      </c>
      <c r="G314" s="223">
        <f t="shared" si="413"/>
        <v>0.49</v>
      </c>
      <c r="H314" s="223">
        <f t="shared" si="414"/>
        <v>2.4500000000000002</v>
      </c>
      <c r="I314" s="223">
        <f t="shared" si="415"/>
        <v>2.4500000000000002</v>
      </c>
      <c r="J314" s="559">
        <f t="shared" si="416"/>
        <v>48</v>
      </c>
      <c r="K314" s="454">
        <f t="shared" si="417"/>
        <v>13.002100840336137</v>
      </c>
      <c r="L314" s="454">
        <f t="shared" si="418"/>
        <v>63.75</v>
      </c>
      <c r="M314" s="454"/>
      <c r="N314" s="223">
        <f t="shared" si="419"/>
        <v>0.24705882352941178</v>
      </c>
      <c r="O314" s="178">
        <f t="shared" si="453"/>
        <v>2.0011764705882356</v>
      </c>
      <c r="P314" s="178">
        <f t="shared" si="421"/>
        <v>4.0023529411764711</v>
      </c>
      <c r="Q314" s="223">
        <f t="shared" si="422"/>
        <v>0.40023529411764713</v>
      </c>
      <c r="R314" s="223">
        <f t="shared" si="423"/>
        <v>0.40023529411764713</v>
      </c>
      <c r="S314" s="223">
        <f t="shared" si="424"/>
        <v>4.0840336134453787</v>
      </c>
      <c r="T314" s="223">
        <f t="shared" si="425"/>
        <v>0.75</v>
      </c>
      <c r="U314" s="223">
        <f t="shared" si="426"/>
        <v>0.68750000000000011</v>
      </c>
      <c r="V314" s="223">
        <f t="shared" si="427"/>
        <v>2.5380513814832764</v>
      </c>
      <c r="W314" s="203">
        <f t="shared" si="428"/>
        <v>350</v>
      </c>
      <c r="X314" s="454">
        <f t="shared" si="429"/>
        <v>310.02451417783584</v>
      </c>
      <c r="Z314" s="223">
        <f t="shared" si="430"/>
        <v>0.66433824466679114</v>
      </c>
      <c r="AA314" s="179">
        <f t="shared" si="431"/>
        <v>2.2481661328649656</v>
      </c>
      <c r="AB314" s="179">
        <f t="shared" si="454"/>
        <v>0.3920549698870453</v>
      </c>
      <c r="AC314" s="179"/>
      <c r="AD314" s="179">
        <f t="shared" si="433"/>
        <v>0.50761027629665523</v>
      </c>
      <c r="AE314" s="563">
        <f t="shared" si="455"/>
        <v>4290.2554961378501</v>
      </c>
      <c r="AF314" s="546">
        <f t="shared" si="435"/>
        <v>3.9974309258361596E-2</v>
      </c>
      <c r="AH314" s="179">
        <f t="shared" si="436"/>
        <v>0.7977240352174656</v>
      </c>
      <c r="AI314" s="179">
        <f t="shared" si="456"/>
        <v>0.75</v>
      </c>
      <c r="AJ314" s="179">
        <f t="shared" si="457"/>
        <v>1.6444444444444444</v>
      </c>
      <c r="AL314" s="563">
        <f t="shared" si="439"/>
        <v>490</v>
      </c>
      <c r="AM314" s="472">
        <f t="shared" si="440"/>
        <v>310.02451417783584</v>
      </c>
      <c r="AO314" t="str">
        <f t="shared" si="441"/>
        <v/>
      </c>
      <c r="AP314" t="str">
        <f t="shared" si="442"/>
        <v/>
      </c>
      <c r="AR314" s="6">
        <f t="shared" si="412"/>
        <v>3.2255513814832764</v>
      </c>
      <c r="AS314" s="6">
        <f t="shared" si="450"/>
        <v>0.68750000000000011</v>
      </c>
      <c r="AT314" s="6">
        <f t="shared" si="451"/>
        <v>2.5380513814832764</v>
      </c>
      <c r="AU314" s="179">
        <f t="shared" si="452"/>
        <v>0.21314185349726217</v>
      </c>
      <c r="AW314" s="6">
        <f t="shared" si="443"/>
        <v>6.7055121527777786</v>
      </c>
      <c r="AX314" s="472">
        <f t="shared" si="444"/>
        <v>8.3210360335401887</v>
      </c>
      <c r="AY314" s="6">
        <f t="shared" si="445"/>
        <v>6.7055121527777786</v>
      </c>
      <c r="AZ314" s="472">
        <f t="shared" si="446"/>
        <v>16.106304253472221</v>
      </c>
      <c r="BB314" s="6">
        <f t="shared" si="447"/>
        <v>0</v>
      </c>
      <c r="CG314" s="581">
        <f t="shared" si="448"/>
        <v>-50</v>
      </c>
    </row>
    <row r="315" spans="5:85" x14ac:dyDescent="0.2">
      <c r="E315" s="176">
        <v>99</v>
      </c>
      <c r="F315" s="223">
        <f t="shared" si="458"/>
        <v>0.495</v>
      </c>
      <c r="G315" s="223">
        <f t="shared" si="413"/>
        <v>0.495</v>
      </c>
      <c r="H315" s="223">
        <f t="shared" si="414"/>
        <v>2.4750000000000001</v>
      </c>
      <c r="I315" s="223">
        <f t="shared" si="415"/>
        <v>2.4750000000000001</v>
      </c>
      <c r="J315" s="559">
        <f t="shared" si="416"/>
        <v>48</v>
      </c>
      <c r="K315" s="454">
        <f t="shared" si="417"/>
        <v>12.878342245989305</v>
      </c>
      <c r="L315" s="454">
        <f t="shared" si="418"/>
        <v>63.75</v>
      </c>
      <c r="M315" s="454"/>
      <c r="N315" s="223">
        <f t="shared" si="419"/>
        <v>0.24705882352941178</v>
      </c>
      <c r="O315" s="178">
        <f t="shared" si="453"/>
        <v>2.0011764705882356</v>
      </c>
      <c r="P315" s="178">
        <f t="shared" si="421"/>
        <v>4.0023529411764711</v>
      </c>
      <c r="Q315" s="223">
        <f t="shared" si="422"/>
        <v>0.40023529411764713</v>
      </c>
      <c r="R315" s="223">
        <f t="shared" si="423"/>
        <v>0.40023529411764713</v>
      </c>
      <c r="S315" s="223">
        <f t="shared" si="424"/>
        <v>4.0427807486631018</v>
      </c>
      <c r="T315" s="223">
        <f t="shared" si="425"/>
        <v>0.75</v>
      </c>
      <c r="U315" s="223">
        <f t="shared" si="426"/>
        <v>0.68750000000000011</v>
      </c>
      <c r="V315" s="223">
        <f t="shared" si="427"/>
        <v>2.5624416069760203</v>
      </c>
      <c r="W315" s="203">
        <f t="shared" si="428"/>
        <v>350</v>
      </c>
      <c r="X315" s="454">
        <f t="shared" si="429"/>
        <v>307.69783612526874</v>
      </c>
      <c r="Z315" s="223">
        <f t="shared" si="430"/>
        <v>0.65935250598271888</v>
      </c>
      <c r="AA315" s="179">
        <f t="shared" si="431"/>
        <v>2.2527363933253652</v>
      </c>
      <c r="AB315" s="179">
        <f t="shared" si="454"/>
        <v>0.38990368889260729</v>
      </c>
      <c r="AC315" s="179"/>
      <c r="AD315" s="179">
        <f t="shared" si="433"/>
        <v>0.51248832139520395</v>
      </c>
      <c r="AE315" s="563">
        <f t="shared" si="455"/>
        <v>4292.7807486631027</v>
      </c>
      <c r="AF315" s="546">
        <f t="shared" si="435"/>
        <v>4.0358455309872303E-2</v>
      </c>
      <c r="AH315" s="179">
        <f t="shared" si="436"/>
        <v>0.80178372573727319</v>
      </c>
      <c r="AI315" s="179">
        <f t="shared" si="456"/>
        <v>0.75</v>
      </c>
      <c r="AJ315" s="179">
        <f t="shared" si="457"/>
        <v>1.6444444444444444</v>
      </c>
      <c r="AL315" s="563">
        <f t="shared" si="439"/>
        <v>495</v>
      </c>
      <c r="AM315" s="472">
        <f t="shared" si="440"/>
        <v>307.69783612526874</v>
      </c>
      <c r="AO315" t="str">
        <f t="shared" si="441"/>
        <v/>
      </c>
      <c r="AP315" t="str">
        <f t="shared" si="442"/>
        <v/>
      </c>
      <c r="AR315" s="6">
        <f t="shared" si="412"/>
        <v>3.2499416069760203</v>
      </c>
      <c r="AS315" s="6">
        <f t="shared" si="450"/>
        <v>0.68750000000000011</v>
      </c>
      <c r="AT315" s="6">
        <f t="shared" si="451"/>
        <v>2.5624416069760203</v>
      </c>
      <c r="AU315" s="179">
        <f t="shared" si="452"/>
        <v>0.21154226233612228</v>
      </c>
      <c r="AW315" s="6">
        <f t="shared" si="443"/>
        <v>6.7055121527777786</v>
      </c>
      <c r="AX315" s="472">
        <f t="shared" si="444"/>
        <v>8.4765664478058511</v>
      </c>
      <c r="AY315" s="6">
        <f t="shared" si="445"/>
        <v>6.7055121527777786</v>
      </c>
      <c r="AZ315" s="472">
        <f t="shared" si="446"/>
        <v>16.4215283203125</v>
      </c>
      <c r="BB315" s="6">
        <f t="shared" si="447"/>
        <v>0</v>
      </c>
      <c r="CG315" s="581">
        <f t="shared" si="448"/>
        <v>-50</v>
      </c>
    </row>
    <row r="316" spans="5:85" x14ac:dyDescent="0.2">
      <c r="E316" s="176">
        <v>100</v>
      </c>
      <c r="F316" s="223">
        <f t="shared" si="458"/>
        <v>0.5</v>
      </c>
      <c r="G316" s="223">
        <f t="shared" si="413"/>
        <v>0.5</v>
      </c>
      <c r="H316" s="223">
        <f t="shared" si="414"/>
        <v>2.5</v>
      </c>
      <c r="I316" s="223">
        <f t="shared" si="415"/>
        <v>2.5</v>
      </c>
      <c r="J316" s="559">
        <f t="shared" si="416"/>
        <v>48</v>
      </c>
      <c r="K316" s="454">
        <f t="shared" si="417"/>
        <v>12.757058823529412</v>
      </c>
      <c r="L316" s="454">
        <f t="shared" si="418"/>
        <v>63.75</v>
      </c>
      <c r="M316" s="454"/>
      <c r="N316" s="223">
        <f t="shared" si="419"/>
        <v>0.24705882352941178</v>
      </c>
      <c r="O316" s="178">
        <f t="shared" si="453"/>
        <v>2.0011764705882356</v>
      </c>
      <c r="P316" s="178">
        <f t="shared" si="421"/>
        <v>4.0023529411764711</v>
      </c>
      <c r="Q316" s="223">
        <f t="shared" si="422"/>
        <v>0.40023529411764713</v>
      </c>
      <c r="R316" s="223">
        <f t="shared" si="423"/>
        <v>0.40023529411764713</v>
      </c>
      <c r="S316" s="223">
        <f t="shared" si="424"/>
        <v>4.0023529411764711</v>
      </c>
      <c r="T316" s="223">
        <f t="shared" si="425"/>
        <v>0.75</v>
      </c>
      <c r="U316" s="223">
        <f t="shared" si="426"/>
        <v>0.68750000000000011</v>
      </c>
      <c r="V316" s="223">
        <f t="shared" si="427"/>
        <v>2.5868031539632037</v>
      </c>
      <c r="W316" s="203">
        <f t="shared" si="428"/>
        <v>350</v>
      </c>
      <c r="X316" s="454">
        <f t="shared" si="429"/>
        <v>305.4084954808182</v>
      </c>
      <c r="Z316" s="223">
        <f t="shared" si="430"/>
        <v>0.65444677603032486</v>
      </c>
      <c r="AA316" s="179">
        <f t="shared" si="431"/>
        <v>2.2572333124483928</v>
      </c>
      <c r="AB316" s="179">
        <f t="shared" si="454"/>
        <v>0.38777525432102666</v>
      </c>
      <c r="AC316" s="179"/>
      <c r="AD316" s="179">
        <f t="shared" si="433"/>
        <v>0.51736063079264061</v>
      </c>
      <c r="AE316" s="563">
        <f t="shared" si="455"/>
        <v>4295.3060011883554</v>
      </c>
      <c r="AF316" s="546">
        <f t="shared" si="435"/>
        <v>4.0742149674920451E-2</v>
      </c>
      <c r="AH316" s="179">
        <f t="shared" si="436"/>
        <v>0.80582296402538034</v>
      </c>
      <c r="AI316" s="179">
        <f t="shared" si="456"/>
        <v>0.75</v>
      </c>
      <c r="AJ316" s="179">
        <f t="shared" si="457"/>
        <v>1.6444444444444444</v>
      </c>
      <c r="AL316" s="563">
        <f t="shared" si="439"/>
        <v>500</v>
      </c>
      <c r="AM316" s="472">
        <f t="shared" si="440"/>
        <v>305.4084954808182</v>
      </c>
      <c r="AO316" t="str">
        <f t="shared" si="441"/>
        <v/>
      </c>
      <c r="AP316" t="str">
        <f t="shared" si="442"/>
        <v/>
      </c>
      <c r="AR316" s="6">
        <f t="shared" si="412"/>
        <v>3.2743031539632041</v>
      </c>
      <c r="AS316" s="6">
        <f t="shared" si="450"/>
        <v>0.68750000000000011</v>
      </c>
      <c r="AT316" s="6">
        <f t="shared" si="451"/>
        <v>2.5868031539632041</v>
      </c>
      <c r="AU316" s="179">
        <f t="shared" si="452"/>
        <v>0.20996834064306255</v>
      </c>
      <c r="AW316" s="6">
        <f t="shared" si="443"/>
        <v>6.7055121527777786</v>
      </c>
      <c r="AX316" s="472">
        <f t="shared" si="444"/>
        <v>8.63352356678487</v>
      </c>
      <c r="AY316" s="6">
        <f t="shared" si="445"/>
        <v>6.7055121527777786</v>
      </c>
      <c r="AZ316" s="472">
        <f t="shared" si="446"/>
        <v>16.739800347222221</v>
      </c>
      <c r="BB316" s="6">
        <f t="shared" si="447"/>
        <v>0</v>
      </c>
      <c r="CG316" s="581">
        <f t="shared" si="448"/>
        <v>-50</v>
      </c>
    </row>
    <row r="317" spans="5:85" x14ac:dyDescent="0.2">
      <c r="E317" s="176"/>
      <c r="F317" s="223"/>
      <c r="G317" s="223"/>
    </row>
  </sheetData>
  <mergeCells count="1">
    <mergeCell ref="N3:Z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C3:S106"/>
  <sheetViews>
    <sheetView workbookViewId="0">
      <selection activeCell="V6" sqref="V6"/>
    </sheetView>
  </sheetViews>
  <sheetFormatPr defaultRowHeight="12.75" x14ac:dyDescent="0.2"/>
  <cols>
    <col min="3" max="3" width="7.7109375" customWidth="1"/>
    <col min="5" max="5" width="10.28515625" customWidth="1"/>
    <col min="7" max="7" width="10.7109375" customWidth="1"/>
    <col min="8" max="8" width="9.7109375" customWidth="1"/>
    <col min="9" max="9" width="9.5703125" customWidth="1"/>
    <col min="10" max="10" width="8.7109375" customWidth="1"/>
    <col min="11" max="11" width="9.85546875" customWidth="1"/>
    <col min="12" max="12" width="10.7109375" customWidth="1"/>
    <col min="13" max="13" width="15" customWidth="1"/>
    <col min="14" max="14" width="11.42578125" customWidth="1"/>
    <col min="15" max="16" width="11" customWidth="1"/>
    <col min="17" max="17" width="11.140625" customWidth="1"/>
    <col min="18" max="18" width="11.28515625" customWidth="1"/>
    <col min="19" max="19" width="5.140625" customWidth="1"/>
  </cols>
  <sheetData>
    <row r="3" spans="3:19" ht="13.5" thickBot="1" x14ac:dyDescent="0.25"/>
    <row r="4" spans="3:19" x14ac:dyDescent="0.2">
      <c r="C4" s="226" t="s">
        <v>433</v>
      </c>
      <c r="D4" s="227"/>
      <c r="E4" s="228"/>
      <c r="F4" s="693" t="s">
        <v>190</v>
      </c>
      <c r="G4" s="694"/>
      <c r="H4" s="693"/>
      <c r="I4" s="693"/>
      <c r="J4" s="693"/>
      <c r="K4" s="694"/>
      <c r="L4" s="694"/>
      <c r="M4" s="694"/>
      <c r="N4" s="693"/>
      <c r="O4" s="696"/>
      <c r="P4" s="551"/>
      <c r="Q4" s="551"/>
      <c r="R4" s="551"/>
      <c r="S4" s="551"/>
    </row>
    <row r="5" spans="3:19" ht="45" customHeight="1" thickBot="1" x14ac:dyDescent="0.25">
      <c r="C5" s="247" t="s">
        <v>25</v>
      </c>
      <c r="D5" s="248" t="s">
        <v>424</v>
      </c>
      <c r="E5" s="249" t="s">
        <v>430</v>
      </c>
      <c r="F5" s="250" t="s">
        <v>48</v>
      </c>
      <c r="G5" s="545" t="s">
        <v>414</v>
      </c>
      <c r="H5" s="545" t="s">
        <v>415</v>
      </c>
      <c r="I5" s="545" t="s">
        <v>425</v>
      </c>
      <c r="J5" s="545" t="s">
        <v>426</v>
      </c>
      <c r="K5" s="545" t="s">
        <v>427</v>
      </c>
      <c r="L5" s="545" t="s">
        <v>428</v>
      </c>
      <c r="M5" s="252" t="s">
        <v>431</v>
      </c>
      <c r="N5" s="251" t="s">
        <v>432</v>
      </c>
      <c r="O5" s="251" t="s">
        <v>429</v>
      </c>
      <c r="P5" s="251" t="s">
        <v>434</v>
      </c>
      <c r="Q5" s="251" t="s">
        <v>435</v>
      </c>
      <c r="R5" s="251" t="s">
        <v>436</v>
      </c>
      <c r="S5" s="251"/>
    </row>
    <row r="6" spans="3:19" x14ac:dyDescent="0.2">
      <c r="C6" s="176">
        <v>0.1</v>
      </c>
      <c r="D6" s="547">
        <f>VIN_min</f>
        <v>15</v>
      </c>
      <c r="E6" s="454">
        <f t="shared" ref="E6:E37" si="0">(Vout+Vfwd1)*Nps</f>
        <v>15.75</v>
      </c>
      <c r="F6" s="223">
        <f t="shared" ref="F6:F37" si="1">(Vout+Vfwd1)*Nps/((Vout+Vfwd1)*Nps+D6)</f>
        <v>0.51219512195121952</v>
      </c>
      <c r="G6" s="178">
        <f t="shared" ref="G6:G37" si="2">F6*D6*Isw_max*0.5*Efficiency</f>
        <v>2.592987804878049</v>
      </c>
      <c r="H6" s="223">
        <f t="shared" ref="H6:H37" si="3">G6/Vout</f>
        <v>0.51859756097560983</v>
      </c>
      <c r="I6" s="454">
        <f t="shared" ref="I6:I37" si="4">(Vout+Vfwd1)*Nps+D6</f>
        <v>30.75</v>
      </c>
      <c r="J6" s="178">
        <f t="shared" ref="J6:J37" si="5">MIN(2*Vout*Iout/(Efficiency*D6*F6), 1.35)</f>
        <v>0.72310405643738973</v>
      </c>
      <c r="K6" s="178">
        <f t="shared" ref="K6:K37" si="6">L*J6/D6*1000000</f>
        <v>2.1211052322163431</v>
      </c>
      <c r="L6" s="178">
        <f t="shared" ref="L6:L37" si="7">L*J6/((Vout+Vfwd1)*Nps)*1000000</f>
        <v>2.020100221158422</v>
      </c>
      <c r="M6" s="454">
        <f>MIN(1/(K6+L6)*1000, 350)</f>
        <v>241.47558271591589</v>
      </c>
      <c r="N6" s="203">
        <f t="shared" ref="N6:N37" si="8">IF(1/((350000*L)*(1/D6+1/E6))&gt;Isw_min, 350, 0.001/((Isw_min*L)*(1/D6+1/E6)))</f>
        <v>350</v>
      </c>
      <c r="O6" s="223">
        <f t="shared" ref="O6:O37" si="9">1/((N6*1000*L)*(1/D6+1/E6))</f>
        <v>0.4988913525498892</v>
      </c>
      <c r="P6" s="179">
        <f t="shared" ref="P6:P37" si="10">L*O6/E6*1000000</f>
        <v>1.3937282229965158</v>
      </c>
      <c r="Q6" s="179">
        <f t="shared" ref="Q6:Q37" si="11">0.5*P6*O6*Nps*N6/1000</f>
        <v>0.36504245308528482</v>
      </c>
      <c r="R6" s="179">
        <f t="shared" ref="R6:R37" si="12">L*Isw_min/E6*1000000</f>
        <v>0.419047619047619</v>
      </c>
    </row>
    <row r="7" spans="3:19" x14ac:dyDescent="0.2">
      <c r="C7" s="176">
        <v>1</v>
      </c>
      <c r="D7" s="6">
        <f t="shared" ref="D7:D38" si="13">C7/100*(VIN_max-VIN_min)+VIN_min</f>
        <v>15.33</v>
      </c>
      <c r="E7" s="454">
        <f t="shared" si="0"/>
        <v>15.75</v>
      </c>
      <c r="F7" s="223">
        <f t="shared" si="1"/>
        <v>0.5067567567567568</v>
      </c>
      <c r="G7" s="178">
        <f t="shared" si="2"/>
        <v>2.6218961148648652</v>
      </c>
      <c r="H7" s="223">
        <f t="shared" si="3"/>
        <v>0.52437922297297301</v>
      </c>
      <c r="I7" s="454">
        <f t="shared" si="4"/>
        <v>31.08</v>
      </c>
      <c r="J7" s="178">
        <f t="shared" si="5"/>
        <v>0.71513130873861463</v>
      </c>
      <c r="K7" s="178">
        <f t="shared" si="6"/>
        <v>2.0525621385844128</v>
      </c>
      <c r="L7" s="178">
        <f t="shared" si="7"/>
        <v>1.9978271482221615</v>
      </c>
      <c r="M7" s="454">
        <f t="shared" ref="M7:M70" si="14">MIN(1/(K7+L7)*1000, 350)</f>
        <v>246.8898491454446</v>
      </c>
      <c r="N7" s="203">
        <f t="shared" si="8"/>
        <v>350</v>
      </c>
      <c r="O7" s="223">
        <f t="shared" si="9"/>
        <v>0.50445331695331697</v>
      </c>
      <c r="P7" s="179">
        <f t="shared" si="10"/>
        <v>1.4092664092664093</v>
      </c>
      <c r="Q7" s="179">
        <f t="shared" si="11"/>
        <v>0.37322728517829867</v>
      </c>
      <c r="R7" s="179">
        <f t="shared" si="12"/>
        <v>0.419047619047619</v>
      </c>
    </row>
    <row r="8" spans="3:19" x14ac:dyDescent="0.2">
      <c r="C8" s="176">
        <v>2</v>
      </c>
      <c r="D8" s="6">
        <f t="shared" si="13"/>
        <v>15.66</v>
      </c>
      <c r="E8" s="454">
        <f t="shared" si="0"/>
        <v>15.75</v>
      </c>
      <c r="F8" s="223">
        <f t="shared" si="1"/>
        <v>0.50143266475644699</v>
      </c>
      <c r="G8" s="178">
        <f t="shared" si="2"/>
        <v>2.6501969914040115</v>
      </c>
      <c r="H8" s="223">
        <f t="shared" si="3"/>
        <v>0.53003939828080227</v>
      </c>
      <c r="I8" s="454">
        <f t="shared" si="4"/>
        <v>31.41</v>
      </c>
      <c r="J8" s="178">
        <f t="shared" si="5"/>
        <v>0.70749457722637799</v>
      </c>
      <c r="K8" s="178">
        <f t="shared" si="6"/>
        <v>1.9878519411213684</v>
      </c>
      <c r="L8" s="178">
        <f t="shared" si="7"/>
        <v>1.9764927871721034</v>
      </c>
      <c r="M8" s="454">
        <f t="shared" si="14"/>
        <v>252.24849717609428</v>
      </c>
      <c r="N8" s="203">
        <f t="shared" si="8"/>
        <v>350</v>
      </c>
      <c r="O8" s="223">
        <f t="shared" si="9"/>
        <v>0.50989841104454281</v>
      </c>
      <c r="P8" s="179">
        <f t="shared" si="10"/>
        <v>1.4244781006958656</v>
      </c>
      <c r="Q8" s="179">
        <f t="shared" si="11"/>
        <v>0.38132803805909932</v>
      </c>
      <c r="R8" s="179">
        <f t="shared" si="12"/>
        <v>0.419047619047619</v>
      </c>
    </row>
    <row r="9" spans="3:19" x14ac:dyDescent="0.2">
      <c r="C9" s="176">
        <v>3</v>
      </c>
      <c r="D9" s="6">
        <f t="shared" si="13"/>
        <v>15.99</v>
      </c>
      <c r="E9" s="454">
        <f t="shared" si="0"/>
        <v>15.75</v>
      </c>
      <c r="F9" s="223">
        <f t="shared" si="1"/>
        <v>0.49621928166351603</v>
      </c>
      <c r="G9" s="178">
        <f t="shared" si="2"/>
        <v>2.677909380907372</v>
      </c>
      <c r="H9" s="223">
        <f t="shared" si="3"/>
        <v>0.53558187618147435</v>
      </c>
      <c r="I9" s="454">
        <f t="shared" si="4"/>
        <v>31.740000000000002</v>
      </c>
      <c r="J9" s="178">
        <f t="shared" si="5"/>
        <v>0.7001730578966352</v>
      </c>
      <c r="K9" s="178">
        <f t="shared" si="6"/>
        <v>1.9266800842684144</v>
      </c>
      <c r="L9" s="178">
        <f t="shared" si="7"/>
        <v>1.9560390188858379</v>
      </c>
      <c r="M9" s="454">
        <f t="shared" si="14"/>
        <v>257.55146675112752</v>
      </c>
      <c r="N9" s="203">
        <f t="shared" si="8"/>
        <v>350</v>
      </c>
      <c r="O9" s="223">
        <f t="shared" si="9"/>
        <v>0.51523028011685856</v>
      </c>
      <c r="P9" s="179">
        <f t="shared" si="10"/>
        <v>1.4393734809613825</v>
      </c>
      <c r="Q9" s="179">
        <f t="shared" si="11"/>
        <v>0.38934462093896821</v>
      </c>
      <c r="R9" s="179">
        <f t="shared" si="12"/>
        <v>0.419047619047619</v>
      </c>
    </row>
    <row r="10" spans="3:19" x14ac:dyDescent="0.2">
      <c r="C10" s="176">
        <v>4</v>
      </c>
      <c r="D10" s="6">
        <f t="shared" si="13"/>
        <v>16.32</v>
      </c>
      <c r="E10" s="454">
        <f t="shared" si="0"/>
        <v>15.75</v>
      </c>
      <c r="F10" s="223">
        <f t="shared" si="1"/>
        <v>0.49111318989710007</v>
      </c>
      <c r="G10" s="178">
        <f t="shared" si="2"/>
        <v>2.7050514499532277</v>
      </c>
      <c r="H10" s="223">
        <f t="shared" si="3"/>
        <v>0.54101028999064549</v>
      </c>
      <c r="I10" s="454">
        <f t="shared" si="4"/>
        <v>32.07</v>
      </c>
      <c r="J10" s="178">
        <f t="shared" si="5"/>
        <v>0.69314762942213926</v>
      </c>
      <c r="K10" s="178">
        <f t="shared" si="6"/>
        <v>1.8687803734420421</v>
      </c>
      <c r="L10" s="178">
        <f t="shared" si="7"/>
        <v>1.9364124250523258</v>
      </c>
      <c r="M10" s="454">
        <f t="shared" si="14"/>
        <v>262.79877340135783</v>
      </c>
      <c r="N10" s="203">
        <f t="shared" si="8"/>
        <v>350</v>
      </c>
      <c r="O10" s="223">
        <f t="shared" si="9"/>
        <v>0.52045241942342035</v>
      </c>
      <c r="P10" s="179">
        <f t="shared" si="10"/>
        <v>1.4539623145797138</v>
      </c>
      <c r="Q10" s="179">
        <f t="shared" si="11"/>
        <v>0.39727705729608137</v>
      </c>
      <c r="R10" s="179">
        <f t="shared" si="12"/>
        <v>0.419047619047619</v>
      </c>
    </row>
    <row r="11" spans="3:19" x14ac:dyDescent="0.2">
      <c r="C11" s="176">
        <v>5</v>
      </c>
      <c r="D11" s="6">
        <f t="shared" si="13"/>
        <v>16.649999999999999</v>
      </c>
      <c r="E11" s="454">
        <f t="shared" si="0"/>
        <v>15.75</v>
      </c>
      <c r="F11" s="223">
        <f t="shared" si="1"/>
        <v>0.4861111111111111</v>
      </c>
      <c r="G11" s="178">
        <f t="shared" si="2"/>
        <v>2.7316406250000003</v>
      </c>
      <c r="H11" s="223">
        <f t="shared" si="3"/>
        <v>0.54632812500000005</v>
      </c>
      <c r="I11" s="454">
        <f t="shared" si="4"/>
        <v>32.4</v>
      </c>
      <c r="J11" s="178">
        <f t="shared" si="5"/>
        <v>0.68640068640068641</v>
      </c>
      <c r="K11" s="178">
        <f t="shared" si="6"/>
        <v>1.8139117238216338</v>
      </c>
      <c r="L11" s="178">
        <f t="shared" si="7"/>
        <v>1.9175638223257268</v>
      </c>
      <c r="M11" s="454">
        <f t="shared" si="14"/>
        <v>267.99050071022731</v>
      </c>
      <c r="N11" s="203">
        <f t="shared" si="8"/>
        <v>350</v>
      </c>
      <c r="O11" s="223">
        <f t="shared" si="9"/>
        <v>0.52556818181818177</v>
      </c>
      <c r="P11" s="179">
        <f t="shared" si="10"/>
        <v>1.4682539682539681</v>
      </c>
      <c r="Q11" s="179">
        <f t="shared" si="11"/>
        <v>0.40512547348484845</v>
      </c>
      <c r="R11" s="179">
        <f t="shared" si="12"/>
        <v>0.419047619047619</v>
      </c>
    </row>
    <row r="12" spans="3:19" x14ac:dyDescent="0.2">
      <c r="C12" s="176">
        <v>6</v>
      </c>
      <c r="D12" s="6">
        <f t="shared" si="13"/>
        <v>16.98</v>
      </c>
      <c r="E12" s="454">
        <f t="shared" si="0"/>
        <v>15.75</v>
      </c>
      <c r="F12" s="223">
        <f t="shared" si="1"/>
        <v>0.48120989917506868</v>
      </c>
      <c r="G12" s="178">
        <f t="shared" si="2"/>
        <v>2.757693629697525</v>
      </c>
      <c r="H12" s="223">
        <f t="shared" si="3"/>
        <v>0.55153872593950504</v>
      </c>
      <c r="I12" s="454">
        <f t="shared" si="4"/>
        <v>32.730000000000004</v>
      </c>
      <c r="J12" s="178">
        <f t="shared" si="5"/>
        <v>0.67991599204791209</v>
      </c>
      <c r="K12" s="178">
        <f t="shared" si="6"/>
        <v>1.7618553386400548</v>
      </c>
      <c r="L12" s="178">
        <f t="shared" si="7"/>
        <v>1.8994478508005164</v>
      </c>
      <c r="M12" s="454">
        <f t="shared" si="14"/>
        <v>273.12679345541858</v>
      </c>
      <c r="N12" s="203">
        <f t="shared" si="8"/>
        <v>350</v>
      </c>
      <c r="O12" s="223">
        <f t="shared" si="9"/>
        <v>0.53058078493458871</v>
      </c>
      <c r="P12" s="179">
        <f t="shared" si="10"/>
        <v>1.4822574309283747</v>
      </c>
      <c r="Q12" s="179">
        <f t="shared" si="11"/>
        <v>0.41289008836797958</v>
      </c>
      <c r="R12" s="179">
        <f t="shared" si="12"/>
        <v>0.419047619047619</v>
      </c>
    </row>
    <row r="13" spans="3:19" x14ac:dyDescent="0.2">
      <c r="C13" s="176">
        <v>7</v>
      </c>
      <c r="D13" s="6">
        <f t="shared" si="13"/>
        <v>17.309999999999999</v>
      </c>
      <c r="E13" s="454">
        <f t="shared" si="0"/>
        <v>15.75</v>
      </c>
      <c r="F13" s="223">
        <f t="shared" si="1"/>
        <v>0.47640653357531759</v>
      </c>
      <c r="G13" s="178">
        <f t="shared" si="2"/>
        <v>2.7832265199637023</v>
      </c>
      <c r="H13" s="223">
        <f t="shared" si="3"/>
        <v>0.55664530399274048</v>
      </c>
      <c r="I13" s="454">
        <f t="shared" si="4"/>
        <v>33.06</v>
      </c>
      <c r="J13" s="178">
        <f t="shared" si="5"/>
        <v>0.67367854773978408</v>
      </c>
      <c r="K13" s="178">
        <f t="shared" si="6"/>
        <v>1.7124122530647314</v>
      </c>
      <c r="L13" s="178">
        <f t="shared" si="7"/>
        <v>1.882022609558762</v>
      </c>
      <c r="M13" s="454">
        <f t="shared" si="14"/>
        <v>278.20785136446278</v>
      </c>
      <c r="N13" s="203">
        <f t="shared" si="8"/>
        <v>350</v>
      </c>
      <c r="O13" s="223">
        <f t="shared" si="9"/>
        <v>0.5354933179343343</v>
      </c>
      <c r="P13" s="179">
        <f t="shared" si="10"/>
        <v>1.4959813326419498</v>
      </c>
      <c r="Q13" s="179">
        <f t="shared" si="11"/>
        <v>0.42057120387673896</v>
      </c>
      <c r="R13" s="179">
        <f t="shared" si="12"/>
        <v>0.419047619047619</v>
      </c>
    </row>
    <row r="14" spans="3:19" s="78" customFormat="1" x14ac:dyDescent="0.2">
      <c r="C14" s="195">
        <v>8</v>
      </c>
      <c r="D14" s="552">
        <f t="shared" si="13"/>
        <v>17.64</v>
      </c>
      <c r="E14" s="553">
        <f t="shared" si="0"/>
        <v>15.75</v>
      </c>
      <c r="F14" s="335">
        <f t="shared" si="1"/>
        <v>0.47169811320754718</v>
      </c>
      <c r="G14" s="554">
        <f t="shared" si="2"/>
        <v>2.8082547169811325</v>
      </c>
      <c r="H14" s="335">
        <f t="shared" si="3"/>
        <v>0.56165094339622645</v>
      </c>
      <c r="I14" s="553">
        <f t="shared" si="4"/>
        <v>33.39</v>
      </c>
      <c r="J14" s="178">
        <f t="shared" si="5"/>
        <v>0.66767447719828665</v>
      </c>
      <c r="K14" s="554">
        <f t="shared" si="6"/>
        <v>1.6654011902905108</v>
      </c>
      <c r="L14" s="554">
        <f t="shared" si="7"/>
        <v>1.8652493331253721</v>
      </c>
      <c r="M14" s="553">
        <f t="shared" si="14"/>
        <v>283.23392342794273</v>
      </c>
      <c r="N14" s="555">
        <f t="shared" si="8"/>
        <v>350</v>
      </c>
      <c r="O14" s="335">
        <f t="shared" si="9"/>
        <v>0.54030874785591776</v>
      </c>
      <c r="P14" s="179">
        <f t="shared" si="10"/>
        <v>1.5094339622641513</v>
      </c>
      <c r="Q14" s="556">
        <f t="shared" si="11"/>
        <v>0.42816919641412365</v>
      </c>
      <c r="R14" s="179">
        <f t="shared" si="12"/>
        <v>0.419047619047619</v>
      </c>
    </row>
    <row r="15" spans="3:19" x14ac:dyDescent="0.2">
      <c r="C15" s="176">
        <v>9</v>
      </c>
      <c r="D15" s="6">
        <f t="shared" si="13"/>
        <v>17.97</v>
      </c>
      <c r="E15" s="454">
        <f t="shared" si="0"/>
        <v>15.75</v>
      </c>
      <c r="F15" s="223">
        <f t="shared" si="1"/>
        <v>0.46708185053380785</v>
      </c>
      <c r="G15" s="178">
        <f t="shared" si="2"/>
        <v>2.8327930382562276</v>
      </c>
      <c r="H15" s="223">
        <f t="shared" si="3"/>
        <v>0.56655860765124555</v>
      </c>
      <c r="I15" s="454">
        <f t="shared" si="4"/>
        <v>33.72</v>
      </c>
      <c r="J15" s="178">
        <f t="shared" si="5"/>
        <v>0.66189092343794631</v>
      </c>
      <c r="K15" s="178">
        <f t="shared" si="6"/>
        <v>1.6206566851012598</v>
      </c>
      <c r="L15" s="178">
        <f t="shared" si="7"/>
        <v>1.8490921035726755</v>
      </c>
      <c r="M15" s="454">
        <f t="shared" si="14"/>
        <v>288.20530271938759</v>
      </c>
      <c r="N15" s="203">
        <f t="shared" si="8"/>
        <v>350</v>
      </c>
      <c r="O15" s="223">
        <f t="shared" si="9"/>
        <v>0.54502992559042385</v>
      </c>
      <c r="P15" s="179">
        <f t="shared" si="10"/>
        <v>1.5226232841891205</v>
      </c>
      <c r="Q15" s="179">
        <f t="shared" si="11"/>
        <v>0.43568450902401756</v>
      </c>
      <c r="R15" s="179">
        <f t="shared" si="12"/>
        <v>0.419047619047619</v>
      </c>
    </row>
    <row r="16" spans="3:19" x14ac:dyDescent="0.2">
      <c r="C16" s="176">
        <v>10</v>
      </c>
      <c r="D16" s="6">
        <f t="shared" si="13"/>
        <v>18.3</v>
      </c>
      <c r="E16" s="454">
        <f t="shared" si="0"/>
        <v>15.75</v>
      </c>
      <c r="F16" s="223">
        <f t="shared" si="1"/>
        <v>0.4625550660792952</v>
      </c>
      <c r="G16" s="178">
        <f t="shared" si="2"/>
        <v>2.8568557268722472</v>
      </c>
      <c r="H16" s="223">
        <f t="shared" si="3"/>
        <v>0.57137114537444944</v>
      </c>
      <c r="I16" s="454">
        <f t="shared" si="4"/>
        <v>34.049999999999997</v>
      </c>
      <c r="J16" s="178">
        <f t="shared" si="5"/>
        <v>0.65631595686240474</v>
      </c>
      <c r="K16" s="178">
        <f t="shared" si="6"/>
        <v>1.5780274372647982</v>
      </c>
      <c r="L16" s="178">
        <f t="shared" si="7"/>
        <v>1.8335175937743371</v>
      </c>
      <c r="M16" s="454">
        <f t="shared" si="14"/>
        <v>293.12232167587905</v>
      </c>
      <c r="N16" s="203">
        <f t="shared" si="8"/>
        <v>350</v>
      </c>
      <c r="O16" s="223">
        <f t="shared" si="9"/>
        <v>0.5496595915098117</v>
      </c>
      <c r="P16" s="179">
        <f t="shared" si="10"/>
        <v>1.5355569540591565</v>
      </c>
      <c r="Q16" s="179">
        <f t="shared" si="11"/>
        <v>0.4431176442568085</v>
      </c>
      <c r="R16" s="179">
        <f t="shared" si="12"/>
        <v>0.419047619047619</v>
      </c>
    </row>
    <row r="17" spans="3:18" x14ac:dyDescent="0.2">
      <c r="C17" s="176">
        <v>11</v>
      </c>
      <c r="D17" s="6">
        <f t="shared" si="13"/>
        <v>18.63</v>
      </c>
      <c r="E17" s="454">
        <f t="shared" si="0"/>
        <v>15.75</v>
      </c>
      <c r="F17" s="223">
        <f t="shared" si="1"/>
        <v>0.45811518324607337</v>
      </c>
      <c r="G17" s="178">
        <f t="shared" si="2"/>
        <v>2.8804564790575919</v>
      </c>
      <c r="H17" s="223">
        <f t="shared" si="3"/>
        <v>0.57609129581151841</v>
      </c>
      <c r="I17" s="454">
        <f t="shared" si="4"/>
        <v>34.379999999999995</v>
      </c>
      <c r="J17" s="178">
        <f t="shared" si="5"/>
        <v>0.65093849312850915</v>
      </c>
      <c r="K17" s="178">
        <f t="shared" si="6"/>
        <v>1.5373748629980892</v>
      </c>
      <c r="L17" s="178">
        <f t="shared" si="7"/>
        <v>1.8184948379463113</v>
      </c>
      <c r="M17" s="454">
        <f t="shared" si="14"/>
        <v>297.98534779779516</v>
      </c>
      <c r="N17" s="203">
        <f t="shared" si="8"/>
        <v>350</v>
      </c>
      <c r="O17" s="223">
        <f t="shared" si="9"/>
        <v>0.55420038077106137</v>
      </c>
      <c r="P17" s="179">
        <f t="shared" si="10"/>
        <v>1.5482423335826476</v>
      </c>
      <c r="Q17" s="179">
        <f t="shared" si="11"/>
        <v>0.4504691576686245</v>
      </c>
      <c r="R17" s="179">
        <f t="shared" si="12"/>
        <v>0.419047619047619</v>
      </c>
    </row>
    <row r="18" spans="3:18" x14ac:dyDescent="0.2">
      <c r="C18" s="176">
        <v>12</v>
      </c>
      <c r="D18" s="6">
        <f t="shared" si="13"/>
        <v>18.96</v>
      </c>
      <c r="E18" s="454">
        <f t="shared" si="0"/>
        <v>15.75</v>
      </c>
      <c r="F18" s="223">
        <f t="shared" si="1"/>
        <v>0.45375972342264476</v>
      </c>
      <c r="G18" s="178">
        <f t="shared" si="2"/>
        <v>2.9036084701815041</v>
      </c>
      <c r="H18" s="223">
        <f t="shared" si="3"/>
        <v>0.58072169403630081</v>
      </c>
      <c r="I18" s="454">
        <f t="shared" si="4"/>
        <v>34.71</v>
      </c>
      <c r="J18" s="178">
        <f t="shared" si="5"/>
        <v>0.64574821958788209</v>
      </c>
      <c r="K18" s="178">
        <f t="shared" si="6"/>
        <v>1.498571817609009</v>
      </c>
      <c r="L18" s="178">
        <f t="shared" si="7"/>
        <v>1.8039950261502735</v>
      </c>
      <c r="M18" s="454">
        <f t="shared" si="14"/>
        <v>302.7947797300929</v>
      </c>
      <c r="N18" s="203">
        <f t="shared" si="8"/>
        <v>350</v>
      </c>
      <c r="O18" s="223">
        <f t="shared" si="9"/>
        <v>0.55865482831774971</v>
      </c>
      <c r="P18" s="179">
        <f t="shared" si="10"/>
        <v>1.5606865045067293</v>
      </c>
      <c r="Q18" s="179">
        <f t="shared" si="11"/>
        <v>0.45773965189734372</v>
      </c>
      <c r="R18" s="179">
        <f t="shared" si="12"/>
        <v>0.419047619047619</v>
      </c>
    </row>
    <row r="19" spans="3:18" x14ac:dyDescent="0.2">
      <c r="C19" s="176">
        <v>13</v>
      </c>
      <c r="D19" s="6">
        <f t="shared" si="13"/>
        <v>19.29</v>
      </c>
      <c r="E19" s="454">
        <f t="shared" si="0"/>
        <v>15.75</v>
      </c>
      <c r="F19" s="223">
        <f t="shared" si="1"/>
        <v>0.44948630136986301</v>
      </c>
      <c r="G19" s="178">
        <f t="shared" si="2"/>
        <v>2.926324379280822</v>
      </c>
      <c r="H19" s="223">
        <f t="shared" si="3"/>
        <v>0.58526487585616438</v>
      </c>
      <c r="I19" s="454">
        <f t="shared" si="4"/>
        <v>35.04</v>
      </c>
      <c r="J19" s="178">
        <f t="shared" si="5"/>
        <v>0.64073552927881594</v>
      </c>
      <c r="K19" s="178">
        <f t="shared" si="6"/>
        <v>1.4615014664731933</v>
      </c>
      <c r="L19" s="178">
        <f t="shared" si="7"/>
        <v>1.7899913198900252</v>
      </c>
      <c r="M19" s="454">
        <f t="shared" si="14"/>
        <v>307.55104369107204</v>
      </c>
      <c r="N19" s="203">
        <f t="shared" si="8"/>
        <v>350</v>
      </c>
      <c r="O19" s="223">
        <f t="shared" si="9"/>
        <v>0.56302537359900373</v>
      </c>
      <c r="P19" s="179">
        <f t="shared" si="10"/>
        <v>1.5728962818003915</v>
      </c>
      <c r="Q19" s="179">
        <f t="shared" si="11"/>
        <v>0.46492977126390339</v>
      </c>
      <c r="R19" s="179">
        <f t="shared" si="12"/>
        <v>0.419047619047619</v>
      </c>
    </row>
    <row r="20" spans="3:18" x14ac:dyDescent="0.2">
      <c r="C20" s="176">
        <v>14</v>
      </c>
      <c r="D20" s="6">
        <f t="shared" si="13"/>
        <v>19.62</v>
      </c>
      <c r="E20" s="454">
        <f t="shared" si="0"/>
        <v>15.75</v>
      </c>
      <c r="F20" s="223">
        <f t="shared" si="1"/>
        <v>0.44529262086513988</v>
      </c>
      <c r="G20" s="178">
        <f t="shared" si="2"/>
        <v>2.9486164122137404</v>
      </c>
      <c r="H20" s="223">
        <f t="shared" si="3"/>
        <v>0.58972328244274808</v>
      </c>
      <c r="I20" s="454">
        <f t="shared" si="4"/>
        <v>35.370000000000005</v>
      </c>
      <c r="J20" s="178">
        <f t="shared" si="5"/>
        <v>0.63589146157953502</v>
      </c>
      <c r="K20" s="178">
        <f t="shared" si="6"/>
        <v>1.426056284887846</v>
      </c>
      <c r="L20" s="178">
        <f t="shared" si="7"/>
        <v>1.7764586863174312</v>
      </c>
      <c r="M20" s="454">
        <f t="shared" si="14"/>
        <v>312.25459021777715</v>
      </c>
      <c r="N20" s="203">
        <f t="shared" si="8"/>
        <v>350</v>
      </c>
      <c r="O20" s="223">
        <f t="shared" si="9"/>
        <v>0.56731436502428878</v>
      </c>
      <c r="P20" s="179">
        <f t="shared" si="10"/>
        <v>1.5848782260996004</v>
      </c>
      <c r="Q20" s="179">
        <f t="shared" si="11"/>
        <v>0.47204019685227094</v>
      </c>
      <c r="R20" s="179">
        <f t="shared" si="12"/>
        <v>0.419047619047619</v>
      </c>
    </row>
    <row r="21" spans="3:18" x14ac:dyDescent="0.2">
      <c r="C21" s="176">
        <v>15</v>
      </c>
      <c r="D21" s="6">
        <f t="shared" si="13"/>
        <v>19.95</v>
      </c>
      <c r="E21" s="454">
        <f t="shared" si="0"/>
        <v>15.75</v>
      </c>
      <c r="F21" s="223">
        <f t="shared" si="1"/>
        <v>0.44117647058823528</v>
      </c>
      <c r="G21" s="178">
        <f t="shared" si="2"/>
        <v>2.9704963235294115</v>
      </c>
      <c r="H21" s="223">
        <f t="shared" si="3"/>
        <v>0.59409926470588226</v>
      </c>
      <c r="I21" s="454">
        <f t="shared" si="4"/>
        <v>35.700000000000003</v>
      </c>
      <c r="J21" s="178">
        <f t="shared" si="5"/>
        <v>0.63120764875150848</v>
      </c>
      <c r="K21" s="178">
        <f t="shared" si="6"/>
        <v>1.3921371701787655</v>
      </c>
      <c r="L21" s="178">
        <f t="shared" si="7"/>
        <v>1.7633737488931029</v>
      </c>
      <c r="M21" s="454">
        <f t="shared" si="14"/>
        <v>316.90589120006291</v>
      </c>
      <c r="N21" s="203">
        <f t="shared" si="8"/>
        <v>350</v>
      </c>
      <c r="O21" s="223">
        <f t="shared" si="9"/>
        <v>0.571524064171123</v>
      </c>
      <c r="P21" s="179">
        <f t="shared" si="10"/>
        <v>1.596638655462185</v>
      </c>
      <c r="Q21" s="179">
        <f t="shared" si="11"/>
        <v>0.47907164202579433</v>
      </c>
      <c r="R21" s="179">
        <f t="shared" si="12"/>
        <v>0.419047619047619</v>
      </c>
    </row>
    <row r="22" spans="3:18" s="4" customFormat="1" x14ac:dyDescent="0.2">
      <c r="C22" s="339">
        <v>16</v>
      </c>
      <c r="D22" s="548">
        <f t="shared" si="13"/>
        <v>20.28</v>
      </c>
      <c r="E22" s="549">
        <f t="shared" si="0"/>
        <v>15.75</v>
      </c>
      <c r="F22" s="550">
        <f t="shared" si="1"/>
        <v>0.43713572023313901</v>
      </c>
      <c r="G22" s="338">
        <f t="shared" si="2"/>
        <v>2.9919754371357201</v>
      </c>
      <c r="H22" s="550">
        <f t="shared" si="3"/>
        <v>0.59839508742714398</v>
      </c>
      <c r="I22" s="549">
        <f t="shared" si="4"/>
        <v>36.03</v>
      </c>
      <c r="J22" s="178">
        <f t="shared" si="5"/>
        <v>0.62667626770190865</v>
      </c>
      <c r="K22" s="338">
        <f t="shared" si="6"/>
        <v>1.3596526518187366</v>
      </c>
      <c r="L22" s="338">
        <f t="shared" si="7"/>
        <v>1.7507146526275543</v>
      </c>
      <c r="M22" s="549">
        <f t="shared" si="14"/>
        <v>321.50543717794784</v>
      </c>
      <c r="N22" s="341">
        <f t="shared" si="8"/>
        <v>350</v>
      </c>
      <c r="O22" s="550">
        <f t="shared" si="9"/>
        <v>0.57565664976156239</v>
      </c>
      <c r="P22" s="179">
        <f t="shared" si="10"/>
        <v>1.6081836564767455</v>
      </c>
      <c r="Q22" s="557">
        <f t="shared" si="11"/>
        <v>0.48602484834156889</v>
      </c>
      <c r="R22" s="179">
        <f t="shared" si="12"/>
        <v>0.419047619047619</v>
      </c>
    </row>
    <row r="23" spans="3:18" x14ac:dyDescent="0.2">
      <c r="C23" s="176">
        <v>17</v>
      </c>
      <c r="D23" s="6">
        <f t="shared" si="13"/>
        <v>20.61</v>
      </c>
      <c r="E23" s="454">
        <f t="shared" si="0"/>
        <v>15.75</v>
      </c>
      <c r="F23" s="223">
        <f t="shared" si="1"/>
        <v>0.43316831683168316</v>
      </c>
      <c r="G23" s="178">
        <f t="shared" si="2"/>
        <v>3.0130646658415841</v>
      </c>
      <c r="H23" s="223">
        <f t="shared" si="3"/>
        <v>0.60261293316831677</v>
      </c>
      <c r="I23" s="454">
        <f t="shared" si="4"/>
        <v>36.36</v>
      </c>
      <c r="J23" s="178">
        <f t="shared" si="5"/>
        <v>0.62228999638024385</v>
      </c>
      <c r="K23" s="178">
        <f t="shared" si="6"/>
        <v>1.3285181873231795</v>
      </c>
      <c r="L23" s="178">
        <f t="shared" si="7"/>
        <v>1.7384609422686179</v>
      </c>
      <c r="M23" s="454">
        <f t="shared" si="14"/>
        <v>326.05373487921185</v>
      </c>
      <c r="N23" s="203">
        <f t="shared" si="8"/>
        <v>350</v>
      </c>
      <c r="O23" s="223">
        <f t="shared" si="9"/>
        <v>0.57971422142214224</v>
      </c>
      <c r="P23" s="179">
        <f t="shared" si="10"/>
        <v>1.6195190947666194</v>
      </c>
      <c r="Q23" s="179">
        <f t="shared" si="11"/>
        <v>0.49290058182798474</v>
      </c>
      <c r="R23" s="179">
        <f t="shared" si="12"/>
        <v>0.419047619047619</v>
      </c>
    </row>
    <row r="24" spans="3:18" x14ac:dyDescent="0.2">
      <c r="C24" s="176">
        <v>18</v>
      </c>
      <c r="D24" s="6">
        <f t="shared" si="13"/>
        <v>20.939999999999998</v>
      </c>
      <c r="E24" s="454">
        <f t="shared" si="0"/>
        <v>15.75</v>
      </c>
      <c r="F24" s="223">
        <f t="shared" si="1"/>
        <v>0.42927228127555195</v>
      </c>
      <c r="G24" s="178">
        <f t="shared" si="2"/>
        <v>3.0337745298446444</v>
      </c>
      <c r="H24" s="223">
        <f t="shared" si="3"/>
        <v>0.60675490596892889</v>
      </c>
      <c r="I24" s="454">
        <f t="shared" si="4"/>
        <v>36.69</v>
      </c>
      <c r="J24" s="178">
        <f t="shared" si="5"/>
        <v>0.61804197429794361</v>
      </c>
      <c r="K24" s="178">
        <f t="shared" si="6"/>
        <v>1.2986555333863192</v>
      </c>
      <c r="L24" s="178">
        <f t="shared" si="7"/>
        <v>1.7265934520069537</v>
      </c>
      <c r="M24" s="454">
        <f t="shared" si="14"/>
        <v>330.55130497630859</v>
      </c>
      <c r="N24" s="203">
        <f t="shared" si="8"/>
        <v>350</v>
      </c>
      <c r="O24" s="223">
        <f t="shared" si="9"/>
        <v>0.58369880324091283</v>
      </c>
      <c r="P24" s="179">
        <f t="shared" si="10"/>
        <v>1.6306506249269945</v>
      </c>
      <c r="Q24" s="179">
        <f t="shared" si="11"/>
        <v>0.49969962959381503</v>
      </c>
      <c r="R24" s="179">
        <f t="shared" si="12"/>
        <v>0.419047619047619</v>
      </c>
    </row>
    <row r="25" spans="3:18" x14ac:dyDescent="0.2">
      <c r="C25" s="176">
        <v>19</v>
      </c>
      <c r="D25" s="6">
        <f t="shared" si="13"/>
        <v>21.27</v>
      </c>
      <c r="E25" s="454">
        <f t="shared" si="0"/>
        <v>15.75</v>
      </c>
      <c r="F25" s="223">
        <f t="shared" si="1"/>
        <v>0.42544570502431123</v>
      </c>
      <c r="G25" s="178">
        <f t="shared" si="2"/>
        <v>3.0541151742301462</v>
      </c>
      <c r="H25" s="223">
        <f t="shared" si="3"/>
        <v>0.61082303484602929</v>
      </c>
      <c r="I25" s="454">
        <f t="shared" si="4"/>
        <v>37.019999999999996</v>
      </c>
      <c r="J25" s="178">
        <f t="shared" si="5"/>
        <v>0.61392576672313381</v>
      </c>
      <c r="K25" s="178">
        <f t="shared" si="6"/>
        <v>1.2699921831602203</v>
      </c>
      <c r="L25" s="178">
        <f t="shared" si="7"/>
        <v>1.7150942054487548</v>
      </c>
      <c r="M25" s="454">
        <f t="shared" si="14"/>
        <v>334.99868004355864</v>
      </c>
      <c r="N25" s="203">
        <f t="shared" si="8"/>
        <v>350</v>
      </c>
      <c r="O25" s="223">
        <f t="shared" si="9"/>
        <v>0.58761234713422716</v>
      </c>
      <c r="P25" s="179">
        <f t="shared" si="10"/>
        <v>1.6415836999305395</v>
      </c>
      <c r="Q25" s="179">
        <f t="shared" si="11"/>
        <v>0.50642279674007351</v>
      </c>
      <c r="R25" s="179">
        <f t="shared" si="12"/>
        <v>0.419047619047619</v>
      </c>
    </row>
    <row r="26" spans="3:18" x14ac:dyDescent="0.2">
      <c r="C26" s="176">
        <v>20</v>
      </c>
      <c r="D26" s="6">
        <f t="shared" si="13"/>
        <v>21.6</v>
      </c>
      <c r="E26" s="454">
        <f t="shared" si="0"/>
        <v>15.75</v>
      </c>
      <c r="F26" s="223">
        <f t="shared" si="1"/>
        <v>0.42168674698795178</v>
      </c>
      <c r="G26" s="178">
        <f t="shared" si="2"/>
        <v>3.0740963855421688</v>
      </c>
      <c r="H26" s="223">
        <f t="shared" si="3"/>
        <v>0.61481927710843376</v>
      </c>
      <c r="I26" s="454">
        <f t="shared" si="4"/>
        <v>37.35</v>
      </c>
      <c r="J26" s="178">
        <f t="shared" si="5"/>
        <v>0.60993533215755436</v>
      </c>
      <c r="K26" s="178">
        <f t="shared" si="6"/>
        <v>1.2424608618024253</v>
      </c>
      <c r="L26" s="178">
        <f t="shared" si="7"/>
        <v>1.7039463247576121</v>
      </c>
      <c r="M26" s="454">
        <f t="shared" si="14"/>
        <v>339.39640269731723</v>
      </c>
      <c r="N26" s="203">
        <f t="shared" si="8"/>
        <v>350</v>
      </c>
      <c r="O26" s="223">
        <f t="shared" si="9"/>
        <v>0.59145673603504934</v>
      </c>
      <c r="P26" s="179">
        <f t="shared" si="10"/>
        <v>1.6523235800344234</v>
      </c>
      <c r="Q26" s="179">
        <f t="shared" si="11"/>
        <v>0.51307090354847651</v>
      </c>
      <c r="R26" s="179">
        <f t="shared" si="12"/>
        <v>0.419047619047619</v>
      </c>
    </row>
    <row r="27" spans="3:18" x14ac:dyDescent="0.2">
      <c r="C27" s="176">
        <v>21</v>
      </c>
      <c r="D27" s="6">
        <f t="shared" si="13"/>
        <v>21.93</v>
      </c>
      <c r="E27" s="454">
        <f t="shared" si="0"/>
        <v>15.75</v>
      </c>
      <c r="F27" s="223">
        <f t="shared" si="1"/>
        <v>0.4179936305732484</v>
      </c>
      <c r="G27" s="178">
        <f t="shared" si="2"/>
        <v>3.0937276074840763</v>
      </c>
      <c r="H27" s="223">
        <f t="shared" si="3"/>
        <v>0.61874552149681528</v>
      </c>
      <c r="I27" s="454">
        <f t="shared" si="4"/>
        <v>37.68</v>
      </c>
      <c r="J27" s="178">
        <f t="shared" si="5"/>
        <v>0.60606499274989922</v>
      </c>
      <c r="K27" s="178">
        <f t="shared" si="6"/>
        <v>1.2159990734608102</v>
      </c>
      <c r="L27" s="178">
        <f t="shared" si="7"/>
        <v>1.6931339479997185</v>
      </c>
      <c r="M27" s="454">
        <f t="shared" si="14"/>
        <v>343.74502390335886</v>
      </c>
      <c r="N27" s="203">
        <f t="shared" si="8"/>
        <v>350</v>
      </c>
      <c r="O27" s="223">
        <f t="shared" si="9"/>
        <v>0.59523378691372331</v>
      </c>
      <c r="P27" s="179">
        <f t="shared" si="10"/>
        <v>1.6628753412192905</v>
      </c>
      <c r="Q27" s="179">
        <f t="shared" si="11"/>
        <v>0.51964478292268923</v>
      </c>
      <c r="R27" s="179">
        <f t="shared" si="12"/>
        <v>0.419047619047619</v>
      </c>
    </row>
    <row r="28" spans="3:18" x14ac:dyDescent="0.2">
      <c r="C28" s="176">
        <v>22</v>
      </c>
      <c r="D28" s="6">
        <f t="shared" si="13"/>
        <v>22.259999999999998</v>
      </c>
      <c r="E28" s="454">
        <f t="shared" si="0"/>
        <v>15.75</v>
      </c>
      <c r="F28" s="223">
        <f t="shared" si="1"/>
        <v>0.4143646408839779</v>
      </c>
      <c r="G28" s="178">
        <f t="shared" si="2"/>
        <v>3.1130179558011042</v>
      </c>
      <c r="H28" s="223">
        <f t="shared" si="3"/>
        <v>0.62260359116022079</v>
      </c>
      <c r="I28" s="454">
        <f t="shared" si="4"/>
        <v>38.01</v>
      </c>
      <c r="J28" s="178">
        <f t="shared" si="5"/>
        <v>0.60230940734085392</v>
      </c>
      <c r="K28" s="178">
        <f t="shared" si="6"/>
        <v>1.1905486937555063</v>
      </c>
      <c r="L28" s="178">
        <f t="shared" si="7"/>
        <v>1.6826421538411156</v>
      </c>
      <c r="M28" s="454">
        <f t="shared" si="14"/>
        <v>348.04510143713009</v>
      </c>
      <c r="N28" s="203">
        <f t="shared" si="8"/>
        <v>350</v>
      </c>
      <c r="O28" s="223">
        <f t="shared" si="9"/>
        <v>0.59894525364138618</v>
      </c>
      <c r="P28" s="179">
        <f t="shared" si="10"/>
        <v>1.6732438831886345</v>
      </c>
      <c r="Q28" s="179">
        <f t="shared" si="11"/>
        <v>0.52614527806066502</v>
      </c>
      <c r="R28" s="179">
        <f t="shared" si="12"/>
        <v>0.419047619047619</v>
      </c>
    </row>
    <row r="29" spans="3:18" x14ac:dyDescent="0.2">
      <c r="C29" s="176">
        <v>23</v>
      </c>
      <c r="D29" s="6">
        <f t="shared" si="13"/>
        <v>22.59</v>
      </c>
      <c r="E29" s="454">
        <f t="shared" si="0"/>
        <v>15.75</v>
      </c>
      <c r="F29" s="223">
        <f t="shared" si="1"/>
        <v>0.41079812206572769</v>
      </c>
      <c r="G29" s="178">
        <f t="shared" si="2"/>
        <v>3.1319762323943658</v>
      </c>
      <c r="H29" s="223">
        <f t="shared" si="3"/>
        <v>0.62639524647887312</v>
      </c>
      <c r="I29" s="454">
        <f t="shared" si="4"/>
        <v>38.340000000000003</v>
      </c>
      <c r="J29" s="178">
        <f t="shared" si="5"/>
        <v>0.59866354687071821</v>
      </c>
      <c r="K29" s="178">
        <f t="shared" si="6"/>
        <v>1.1660556025813014</v>
      </c>
      <c r="L29" s="178">
        <f t="shared" si="7"/>
        <v>1.6724568928451808</v>
      </c>
      <c r="M29" s="454">
        <f t="shared" si="14"/>
        <v>350</v>
      </c>
      <c r="N29" s="203">
        <f t="shared" si="8"/>
        <v>350</v>
      </c>
      <c r="O29" s="223">
        <f t="shared" si="9"/>
        <v>0.60259282970550576</v>
      </c>
      <c r="P29" s="179">
        <f t="shared" si="10"/>
        <v>1.6834339369550637</v>
      </c>
      <c r="Q29" s="179">
        <f t="shared" si="11"/>
        <v>0.53257324033831677</v>
      </c>
      <c r="R29" s="179">
        <f t="shared" si="12"/>
        <v>0.419047619047619</v>
      </c>
    </row>
    <row r="30" spans="3:18" x14ac:dyDescent="0.2">
      <c r="C30" s="176">
        <v>24</v>
      </c>
      <c r="D30" s="6">
        <f t="shared" si="13"/>
        <v>22.92</v>
      </c>
      <c r="E30" s="454">
        <f t="shared" si="0"/>
        <v>15.75</v>
      </c>
      <c r="F30" s="223">
        <f t="shared" si="1"/>
        <v>0.40729247478665631</v>
      </c>
      <c r="G30" s="178">
        <f t="shared" si="2"/>
        <v>3.1506109387121799</v>
      </c>
      <c r="H30" s="223">
        <f t="shared" si="3"/>
        <v>0.630122187742436</v>
      </c>
      <c r="I30" s="454">
        <f t="shared" si="4"/>
        <v>38.67</v>
      </c>
      <c r="J30" s="178">
        <f t="shared" si="5"/>
        <v>0.59512267191150248</v>
      </c>
      <c r="K30" s="178">
        <f t="shared" si="6"/>
        <v>1.1424693527096905</v>
      </c>
      <c r="L30" s="178">
        <f t="shared" si="7"/>
        <v>1.6625649247051497</v>
      </c>
      <c r="M30" s="454">
        <f t="shared" si="14"/>
        <v>350</v>
      </c>
      <c r="N30" s="203">
        <f t="shared" si="8"/>
        <v>350</v>
      </c>
      <c r="O30" s="223">
        <f t="shared" si="9"/>
        <v>0.60617815078637427</v>
      </c>
      <c r="P30" s="179">
        <f t="shared" si="10"/>
        <v>1.6934500720381249</v>
      </c>
      <c r="Q30" s="179">
        <f t="shared" si="11"/>
        <v>0.53892952738648947</v>
      </c>
      <c r="R30" s="179">
        <f t="shared" si="12"/>
        <v>0.419047619047619</v>
      </c>
    </row>
    <row r="31" spans="3:18" x14ac:dyDescent="0.2">
      <c r="C31" s="176">
        <v>25</v>
      </c>
      <c r="D31" s="6">
        <f t="shared" si="13"/>
        <v>23.25</v>
      </c>
      <c r="E31" s="454">
        <f t="shared" si="0"/>
        <v>15.75</v>
      </c>
      <c r="F31" s="223">
        <f t="shared" si="1"/>
        <v>0.40384615384615385</v>
      </c>
      <c r="G31" s="178">
        <f t="shared" si="2"/>
        <v>3.1689302884615382</v>
      </c>
      <c r="H31" s="223">
        <f t="shared" si="3"/>
        <v>0.63378605769230767</v>
      </c>
      <c r="I31" s="454">
        <f t="shared" si="4"/>
        <v>39</v>
      </c>
      <c r="J31" s="178">
        <f t="shared" si="5"/>
        <v>0.59168231211241951</v>
      </c>
      <c r="K31" s="178">
        <f t="shared" si="6"/>
        <v>1.1197428702342562</v>
      </c>
      <c r="L31" s="178">
        <f t="shared" si="7"/>
        <v>1.6529537608219973</v>
      </c>
      <c r="M31" s="454">
        <f t="shared" si="14"/>
        <v>350</v>
      </c>
      <c r="N31" s="203">
        <f t="shared" si="8"/>
        <v>350</v>
      </c>
      <c r="O31" s="223">
        <f t="shared" si="9"/>
        <v>0.60970279720279719</v>
      </c>
      <c r="P31" s="179">
        <f t="shared" si="10"/>
        <v>1.7032967032967032</v>
      </c>
      <c r="Q31" s="179">
        <f t="shared" si="11"/>
        <v>0.54521500134480905</v>
      </c>
      <c r="R31" s="179">
        <f t="shared" si="12"/>
        <v>0.419047619047619</v>
      </c>
    </row>
    <row r="32" spans="3:18" x14ac:dyDescent="0.2">
      <c r="C32" s="176">
        <v>26</v>
      </c>
      <c r="D32" s="6">
        <f t="shared" si="13"/>
        <v>23.58</v>
      </c>
      <c r="E32" s="454">
        <f t="shared" si="0"/>
        <v>15.75</v>
      </c>
      <c r="F32" s="223">
        <f t="shared" si="1"/>
        <v>0.4004576659038902</v>
      </c>
      <c r="G32" s="178">
        <f t="shared" si="2"/>
        <v>3.1869422196796338</v>
      </c>
      <c r="H32" s="223">
        <f t="shared" si="3"/>
        <v>0.63738844393592675</v>
      </c>
      <c r="I32" s="454">
        <f t="shared" si="4"/>
        <v>39.33</v>
      </c>
      <c r="J32" s="178">
        <f t="shared" si="5"/>
        <v>0.58833824737132623</v>
      </c>
      <c r="K32" s="178">
        <f t="shared" si="6"/>
        <v>1.0978321833900913</v>
      </c>
      <c r="L32" s="178">
        <f t="shared" si="7"/>
        <v>1.6436116117040225</v>
      </c>
      <c r="M32" s="454">
        <f t="shared" si="14"/>
        <v>350</v>
      </c>
      <c r="N32" s="203">
        <f t="shared" si="8"/>
        <v>350</v>
      </c>
      <c r="O32" s="223">
        <f t="shared" si="9"/>
        <v>0.61316829623465774</v>
      </c>
      <c r="P32" s="179">
        <f t="shared" si="10"/>
        <v>1.7129780974174567</v>
      </c>
      <c r="Q32" s="179">
        <f t="shared" si="11"/>
        <v>0.5514305272773925</v>
      </c>
      <c r="R32" s="179">
        <f t="shared" si="12"/>
        <v>0.419047619047619</v>
      </c>
    </row>
    <row r="33" spans="3:18" x14ac:dyDescent="0.2">
      <c r="C33" s="176">
        <v>27</v>
      </c>
      <c r="D33" s="6">
        <f t="shared" si="13"/>
        <v>23.91</v>
      </c>
      <c r="E33" s="454">
        <f t="shared" si="0"/>
        <v>15.75</v>
      </c>
      <c r="F33" s="223">
        <f t="shared" si="1"/>
        <v>0.39712556732223908</v>
      </c>
      <c r="G33" s="178">
        <f t="shared" si="2"/>
        <v>3.2046544062027236</v>
      </c>
      <c r="H33" s="223">
        <f t="shared" si="3"/>
        <v>0.64093088124054476</v>
      </c>
      <c r="I33" s="454">
        <f t="shared" si="4"/>
        <v>39.659999999999997</v>
      </c>
      <c r="J33" s="178">
        <f t="shared" si="5"/>
        <v>0.58508649056536954</v>
      </c>
      <c r="K33" s="178">
        <f t="shared" si="6"/>
        <v>1.0766961766991325</v>
      </c>
      <c r="L33" s="178">
        <f t="shared" si="7"/>
        <v>1.634527338722302</v>
      </c>
      <c r="M33" s="454">
        <f t="shared" si="14"/>
        <v>350</v>
      </c>
      <c r="N33" s="203">
        <f t="shared" si="8"/>
        <v>350</v>
      </c>
      <c r="O33" s="223">
        <f t="shared" si="9"/>
        <v>0.61657612432952835</v>
      </c>
      <c r="P33" s="179">
        <f t="shared" si="10"/>
        <v>1.7224983790793171</v>
      </c>
      <c r="Q33" s="179">
        <f t="shared" si="11"/>
        <v>0.5575769717367256</v>
      </c>
      <c r="R33" s="179">
        <f t="shared" si="12"/>
        <v>0.419047619047619</v>
      </c>
    </row>
    <row r="34" spans="3:18" x14ac:dyDescent="0.2">
      <c r="C34" s="176">
        <v>28</v>
      </c>
      <c r="D34" s="6">
        <f t="shared" si="13"/>
        <v>24.240000000000002</v>
      </c>
      <c r="E34" s="454">
        <f t="shared" si="0"/>
        <v>15.75</v>
      </c>
      <c r="F34" s="223">
        <f t="shared" si="1"/>
        <v>0.39384846211552887</v>
      </c>
      <c r="G34" s="178">
        <f t="shared" si="2"/>
        <v>3.222074268567142</v>
      </c>
      <c r="H34" s="223">
        <f t="shared" si="3"/>
        <v>0.64441485371342844</v>
      </c>
      <c r="I34" s="454">
        <f t="shared" si="4"/>
        <v>39.99</v>
      </c>
      <c r="J34" s="178">
        <f t="shared" si="5"/>
        <v>0.58192327169224844</v>
      </c>
      <c r="K34" s="178">
        <f t="shared" si="6"/>
        <v>1.0562963677582067</v>
      </c>
      <c r="L34" s="178">
        <f t="shared" si="7"/>
        <v>1.6256904098069165</v>
      </c>
      <c r="M34" s="454">
        <f t="shared" si="14"/>
        <v>350</v>
      </c>
      <c r="N34" s="203">
        <f t="shared" si="8"/>
        <v>350</v>
      </c>
      <c r="O34" s="223">
        <f t="shared" si="9"/>
        <v>0.61992770920002727</v>
      </c>
      <c r="P34" s="179">
        <f t="shared" si="10"/>
        <v>1.7318615368127743</v>
      </c>
      <c r="Q34" s="179">
        <f t="shared" si="11"/>
        <v>0.56365520146319048</v>
      </c>
      <c r="R34" s="179">
        <f t="shared" si="12"/>
        <v>0.419047619047619</v>
      </c>
    </row>
    <row r="35" spans="3:18" x14ac:dyDescent="0.2">
      <c r="C35" s="176">
        <v>29</v>
      </c>
      <c r="D35" s="6">
        <f t="shared" si="13"/>
        <v>24.57</v>
      </c>
      <c r="E35" s="454">
        <f t="shared" si="0"/>
        <v>15.75</v>
      </c>
      <c r="F35" s="223">
        <f t="shared" si="1"/>
        <v>0.390625</v>
      </c>
      <c r="G35" s="178">
        <f t="shared" si="2"/>
        <v>3.2392089843750003</v>
      </c>
      <c r="H35" s="223">
        <f t="shared" si="3"/>
        <v>0.6478417968750001</v>
      </c>
      <c r="I35" s="454">
        <f t="shared" si="4"/>
        <v>40.32</v>
      </c>
      <c r="J35" s="178">
        <f t="shared" si="5"/>
        <v>0.57884502328946774</v>
      </c>
      <c r="K35" s="178">
        <f t="shared" si="6"/>
        <v>1.0365967043034832</v>
      </c>
      <c r="L35" s="178">
        <f t="shared" si="7"/>
        <v>1.6170908587134336</v>
      </c>
      <c r="M35" s="454">
        <f t="shared" si="14"/>
        <v>350</v>
      </c>
      <c r="N35" s="203">
        <f t="shared" si="8"/>
        <v>350</v>
      </c>
      <c r="O35" s="223">
        <f t="shared" si="9"/>
        <v>0.62322443181818188</v>
      </c>
      <c r="P35" s="179">
        <f t="shared" si="10"/>
        <v>1.7410714285714286</v>
      </c>
      <c r="Q35" s="179">
        <f t="shared" si="11"/>
        <v>0.56966608220880699</v>
      </c>
      <c r="R35" s="179">
        <f t="shared" si="12"/>
        <v>0.419047619047619</v>
      </c>
    </row>
    <row r="36" spans="3:18" x14ac:dyDescent="0.2">
      <c r="C36" s="176">
        <v>30</v>
      </c>
      <c r="D36" s="6">
        <f t="shared" si="13"/>
        <v>24.9</v>
      </c>
      <c r="E36" s="454">
        <f t="shared" si="0"/>
        <v>15.75</v>
      </c>
      <c r="F36" s="223">
        <f t="shared" si="1"/>
        <v>0.38745387453874541</v>
      </c>
      <c r="G36" s="178">
        <f t="shared" si="2"/>
        <v>3.2560654981549817</v>
      </c>
      <c r="H36" s="223">
        <f t="shared" si="3"/>
        <v>0.65121309963099638</v>
      </c>
      <c r="I36" s="454">
        <f t="shared" si="4"/>
        <v>40.65</v>
      </c>
      <c r="J36" s="178">
        <f t="shared" si="5"/>
        <v>0.57584836701302566</v>
      </c>
      <c r="K36" s="178">
        <f t="shared" si="6"/>
        <v>1.0175633794607681</v>
      </c>
      <c r="L36" s="178">
        <f t="shared" si="7"/>
        <v>1.6087192475284526</v>
      </c>
      <c r="M36" s="454">
        <f t="shared" si="14"/>
        <v>350</v>
      </c>
      <c r="N36" s="203">
        <f t="shared" si="8"/>
        <v>350</v>
      </c>
      <c r="O36" s="223">
        <f t="shared" si="9"/>
        <v>0.6264676283126468</v>
      </c>
      <c r="P36" s="179">
        <f t="shared" si="10"/>
        <v>1.7501317870321562</v>
      </c>
      <c r="Q36" s="179">
        <f t="shared" si="11"/>
        <v>0.57561047767471984</v>
      </c>
      <c r="R36" s="179">
        <f t="shared" si="12"/>
        <v>0.419047619047619</v>
      </c>
    </row>
    <row r="37" spans="3:18" x14ac:dyDescent="0.2">
      <c r="C37" s="176">
        <v>31</v>
      </c>
      <c r="D37" s="6">
        <f t="shared" si="13"/>
        <v>25.23</v>
      </c>
      <c r="E37" s="454">
        <f t="shared" si="0"/>
        <v>15.75</v>
      </c>
      <c r="F37" s="223">
        <f t="shared" si="1"/>
        <v>0.38433382137628108</v>
      </c>
      <c r="G37" s="178">
        <f t="shared" si="2"/>
        <v>3.2726505307467058</v>
      </c>
      <c r="H37" s="223">
        <f t="shared" si="3"/>
        <v>0.65453010614934115</v>
      </c>
      <c r="I37" s="454">
        <f t="shared" si="4"/>
        <v>40.980000000000004</v>
      </c>
      <c r="J37" s="178">
        <f t="shared" si="5"/>
        <v>0.57293010126937993</v>
      </c>
      <c r="K37" s="178">
        <f t="shared" si="6"/>
        <v>0.99916466333145915</v>
      </c>
      <c r="L37" s="178">
        <f t="shared" si="7"/>
        <v>1.6005666321176328</v>
      </c>
      <c r="M37" s="454">
        <f t="shared" si="14"/>
        <v>350</v>
      </c>
      <c r="N37" s="203">
        <f t="shared" si="8"/>
        <v>350</v>
      </c>
      <c r="O37" s="223">
        <f t="shared" si="9"/>
        <v>0.62965859177425798</v>
      </c>
      <c r="P37" s="179">
        <f t="shared" si="10"/>
        <v>1.7590462246391969</v>
      </c>
      <c r="Q37" s="179">
        <f t="shared" si="11"/>
        <v>0.58148924855287443</v>
      </c>
      <c r="R37" s="179">
        <f t="shared" si="12"/>
        <v>0.419047619047619</v>
      </c>
    </row>
    <row r="38" spans="3:18" x14ac:dyDescent="0.2">
      <c r="C38" s="176">
        <v>32</v>
      </c>
      <c r="D38" s="6">
        <f t="shared" si="13"/>
        <v>25.560000000000002</v>
      </c>
      <c r="E38" s="454">
        <f t="shared" ref="E38:E69" si="15">(Vout+Vfwd1)*Nps</f>
        <v>15.75</v>
      </c>
      <c r="F38" s="223">
        <f t="shared" ref="F38:F69" si="16">(Vout+Vfwd1)*Nps/((Vout+Vfwd1)*Nps+D38)</f>
        <v>0.38126361655773416</v>
      </c>
      <c r="G38" s="178">
        <f t="shared" ref="G38:G69" si="17">F38*D38*Isw_max*0.5*Efficiency</f>
        <v>3.2889705882352942</v>
      </c>
      <c r="H38" s="223">
        <f t="shared" ref="H38:H69" si="18">G38/Vout</f>
        <v>0.65779411764705886</v>
      </c>
      <c r="I38" s="454">
        <f t="shared" ref="I38:I69" si="19">(Vout+Vfwd1)*Nps+D38</f>
        <v>41.31</v>
      </c>
      <c r="J38" s="178">
        <f t="shared" ref="J38:J69" si="20">MIN(2*Vout*Iout/(Efficiency*D38*F38), 1.35)</f>
        <v>0.57008718980549977</v>
      </c>
      <c r="K38" s="178">
        <f t="shared" ref="K38:K69" si="21">L*J38/D38*1000000</f>
        <v>0.98137074927394308</v>
      </c>
      <c r="L38" s="178">
        <f t="shared" ref="L38:L69" si="22">L*J38/((Vout+Vfwd1)*Nps)*1000000</f>
        <v>1.5926245302502851</v>
      </c>
      <c r="M38" s="454">
        <f t="shared" si="14"/>
        <v>350</v>
      </c>
      <c r="N38" s="203">
        <f t="shared" ref="N38:N69" si="23">IF(1/((350000*L)*(1/D38+1/E38))&gt;Isw_min, 350, 0.001/((Isw_min*L)*(1/D38+1/E38)))</f>
        <v>350</v>
      </c>
      <c r="O38" s="223">
        <f t="shared" ref="O38:O69" si="24">1/((N38*1000*L)*(1/D38+1/E38))</f>
        <v>0.63279857397504458</v>
      </c>
      <c r="P38" s="179">
        <f t="shared" ref="P38:P69" si="25">L*O38/E38*1000000</f>
        <v>1.7678182384064736</v>
      </c>
      <c r="Q38" s="179">
        <f t="shared" ref="Q38:Q69" si="26">0.5*P38*O38*Nps*N38/1000</f>
        <v>0.58730325166311315</v>
      </c>
      <c r="R38" s="179">
        <f t="shared" ref="R38:R69" si="27">L*Isw_min/E38*1000000</f>
        <v>0.419047619047619</v>
      </c>
    </row>
    <row r="39" spans="3:18" x14ac:dyDescent="0.2">
      <c r="C39" s="176">
        <v>33</v>
      </c>
      <c r="D39" s="6">
        <f t="shared" ref="D39:D70" si="28">C39/100*(VIN_max-VIN_min)+VIN_min</f>
        <v>25.89</v>
      </c>
      <c r="E39" s="454">
        <f t="shared" si="15"/>
        <v>15.75</v>
      </c>
      <c r="F39" s="223">
        <f t="shared" si="16"/>
        <v>0.37824207492795386</v>
      </c>
      <c r="G39" s="178">
        <f t="shared" si="17"/>
        <v>3.3050319704610946</v>
      </c>
      <c r="H39" s="223">
        <f t="shared" si="18"/>
        <v>0.66100639409221895</v>
      </c>
      <c r="I39" s="454">
        <f t="shared" si="19"/>
        <v>41.64</v>
      </c>
      <c r="J39" s="178">
        <f t="shared" si="20"/>
        <v>0.56731675117152136</v>
      </c>
      <c r="K39" s="178">
        <f t="shared" si="21"/>
        <v>0.96415361342398387</v>
      </c>
      <c r="L39" s="178">
        <f t="shared" si="22"/>
        <v>1.5848848921617102</v>
      </c>
      <c r="M39" s="454">
        <f t="shared" si="14"/>
        <v>350</v>
      </c>
      <c r="N39" s="203">
        <f t="shared" si="23"/>
        <v>350</v>
      </c>
      <c r="O39" s="223">
        <f t="shared" si="24"/>
        <v>0.63588878700550167</v>
      </c>
      <c r="P39" s="179">
        <f t="shared" si="25"/>
        <v>1.7764512144915601</v>
      </c>
      <c r="Q39" s="179">
        <f t="shared" si="26"/>
        <v>0.59305333917768144</v>
      </c>
      <c r="R39" s="179">
        <f t="shared" si="27"/>
        <v>0.419047619047619</v>
      </c>
    </row>
    <row r="40" spans="3:18" x14ac:dyDescent="0.2">
      <c r="C40" s="176">
        <v>34</v>
      </c>
      <c r="D40" s="6">
        <f t="shared" si="28"/>
        <v>26.22</v>
      </c>
      <c r="E40" s="454">
        <f t="shared" si="15"/>
        <v>15.75</v>
      </c>
      <c r="F40" s="223">
        <f t="shared" si="16"/>
        <v>0.37526804860614726</v>
      </c>
      <c r="G40" s="178">
        <f t="shared" si="17"/>
        <v>3.3208407791279484</v>
      </c>
      <c r="H40" s="223">
        <f t="shared" si="18"/>
        <v>0.66416815582558963</v>
      </c>
      <c r="I40" s="454">
        <f t="shared" si="19"/>
        <v>41.97</v>
      </c>
      <c r="J40" s="178">
        <f t="shared" si="20"/>
        <v>0.56461604897913065</v>
      </c>
      <c r="K40" s="178">
        <f t="shared" si="21"/>
        <v>0.94748688615872412</v>
      </c>
      <c r="L40" s="178">
        <f t="shared" si="22"/>
        <v>1.5773400733385237</v>
      </c>
      <c r="M40" s="454">
        <f t="shared" si="14"/>
        <v>350</v>
      </c>
      <c r="N40" s="203">
        <f t="shared" si="23"/>
        <v>350</v>
      </c>
      <c r="O40" s="223">
        <f t="shared" si="24"/>
        <v>0.63893040483462216</v>
      </c>
      <c r="P40" s="179">
        <f t="shared" si="25"/>
        <v>1.7849484325538651</v>
      </c>
      <c r="Q40" s="179">
        <f t="shared" si="26"/>
        <v>0.59874035792579672</v>
      </c>
      <c r="R40" s="179">
        <f t="shared" si="27"/>
        <v>0.419047619047619</v>
      </c>
    </row>
    <row r="41" spans="3:18" x14ac:dyDescent="0.2">
      <c r="C41" s="176">
        <v>35</v>
      </c>
      <c r="D41" s="6">
        <f t="shared" si="28"/>
        <v>26.549999999999997</v>
      </c>
      <c r="E41" s="454">
        <f t="shared" si="15"/>
        <v>15.75</v>
      </c>
      <c r="F41" s="223">
        <f t="shared" si="16"/>
        <v>0.37234042553191493</v>
      </c>
      <c r="G41" s="178">
        <f t="shared" si="17"/>
        <v>3.3364029255319148</v>
      </c>
      <c r="H41" s="223">
        <f t="shared" si="18"/>
        <v>0.667280585106383</v>
      </c>
      <c r="I41" s="454">
        <f t="shared" si="19"/>
        <v>42.3</v>
      </c>
      <c r="J41" s="178">
        <f t="shared" si="20"/>
        <v>0.56198248288643771</v>
      </c>
      <c r="K41" s="178">
        <f t="shared" si="21"/>
        <v>0.93134573435040535</v>
      </c>
      <c r="L41" s="178">
        <f t="shared" si="22"/>
        <v>1.5699828093335402</v>
      </c>
      <c r="M41" s="454">
        <f t="shared" si="14"/>
        <v>350</v>
      </c>
      <c r="N41" s="203">
        <f t="shared" si="23"/>
        <v>350</v>
      </c>
      <c r="O41" s="223">
        <f t="shared" si="24"/>
        <v>0.64192456479690518</v>
      </c>
      <c r="P41" s="179">
        <f t="shared" si="25"/>
        <v>1.7933130699088144</v>
      </c>
      <c r="Q41" s="179">
        <f t="shared" si="26"/>
        <v>0.60436514877155434</v>
      </c>
      <c r="R41" s="179">
        <f t="shared" si="27"/>
        <v>0.419047619047619</v>
      </c>
    </row>
    <row r="42" spans="3:18" x14ac:dyDescent="0.2">
      <c r="C42" s="176">
        <v>36</v>
      </c>
      <c r="D42" s="6">
        <f t="shared" si="28"/>
        <v>26.88</v>
      </c>
      <c r="E42" s="454">
        <f t="shared" si="15"/>
        <v>15.75</v>
      </c>
      <c r="F42" s="223">
        <f t="shared" si="16"/>
        <v>0.36945812807881778</v>
      </c>
      <c r="G42" s="178">
        <f t="shared" si="17"/>
        <v>3.351724137931035</v>
      </c>
      <c r="H42" s="223">
        <f t="shared" si="18"/>
        <v>0.67034482758620695</v>
      </c>
      <c r="I42" s="454">
        <f t="shared" si="19"/>
        <v>42.629999999999995</v>
      </c>
      <c r="J42" s="178">
        <f t="shared" si="20"/>
        <v>0.55941358024691346</v>
      </c>
      <c r="K42" s="178">
        <f t="shared" si="21"/>
        <v>0.91570675338036434</v>
      </c>
      <c r="L42" s="178">
        <f t="shared" si="22"/>
        <v>1.5628061924358216</v>
      </c>
      <c r="M42" s="454">
        <f t="shared" si="14"/>
        <v>350</v>
      </c>
      <c r="N42" s="203">
        <f t="shared" si="23"/>
        <v>350</v>
      </c>
      <c r="O42" s="223">
        <f t="shared" si="24"/>
        <v>0.64487236901029998</v>
      </c>
      <c r="P42" s="179">
        <f t="shared" si="25"/>
        <v>1.8015482054890919</v>
      </c>
      <c r="Q42" s="179">
        <f t="shared" si="26"/>
        <v>0.60992854605900293</v>
      </c>
      <c r="R42" s="179">
        <f t="shared" si="27"/>
        <v>0.419047619047619</v>
      </c>
    </row>
    <row r="43" spans="3:18" x14ac:dyDescent="0.2">
      <c r="C43" s="176">
        <v>37</v>
      </c>
      <c r="D43" s="6">
        <f t="shared" si="28"/>
        <v>27.21</v>
      </c>
      <c r="E43" s="454">
        <f t="shared" si="15"/>
        <v>15.75</v>
      </c>
      <c r="F43" s="223">
        <f t="shared" si="16"/>
        <v>0.36662011173184356</v>
      </c>
      <c r="G43" s="178">
        <f t="shared" si="17"/>
        <v>3.3668099685754194</v>
      </c>
      <c r="H43" s="223">
        <f t="shared" si="18"/>
        <v>0.67336199371508387</v>
      </c>
      <c r="I43" s="454">
        <f t="shared" si="19"/>
        <v>42.96</v>
      </c>
      <c r="J43" s="178">
        <f t="shared" si="20"/>
        <v>0.55690698836601082</v>
      </c>
      <c r="K43" s="178">
        <f t="shared" si="21"/>
        <v>0.90054786799354924</v>
      </c>
      <c r="L43" s="178">
        <f t="shared" si="22"/>
        <v>1.5558036500383794</v>
      </c>
      <c r="M43" s="454">
        <f t="shared" si="14"/>
        <v>350</v>
      </c>
      <c r="N43" s="203">
        <f t="shared" si="23"/>
        <v>350</v>
      </c>
      <c r="O43" s="223">
        <f t="shared" si="24"/>
        <v>0.64777488572879638</v>
      </c>
      <c r="P43" s="179">
        <f t="shared" si="25"/>
        <v>1.8096568236233042</v>
      </c>
      <c r="Q43" s="179">
        <f t="shared" si="26"/>
        <v>0.6154313771187343</v>
      </c>
      <c r="R43" s="179">
        <f t="shared" si="27"/>
        <v>0.419047619047619</v>
      </c>
    </row>
    <row r="44" spans="3:18" x14ac:dyDescent="0.2">
      <c r="C44" s="176">
        <v>38</v>
      </c>
      <c r="D44" s="6">
        <f t="shared" si="28"/>
        <v>27.54</v>
      </c>
      <c r="E44" s="454">
        <f t="shared" si="15"/>
        <v>15.75</v>
      </c>
      <c r="F44" s="223">
        <f t="shared" si="16"/>
        <v>0.36382536382536385</v>
      </c>
      <c r="G44" s="178">
        <f t="shared" si="17"/>
        <v>3.3816658004158007</v>
      </c>
      <c r="H44" s="223">
        <f t="shared" si="18"/>
        <v>0.67633316008316013</v>
      </c>
      <c r="I44" s="454">
        <f t="shared" si="19"/>
        <v>43.29</v>
      </c>
      <c r="J44" s="178">
        <f t="shared" si="20"/>
        <v>0.55446046731449783</v>
      </c>
      <c r="K44" s="178">
        <f t="shared" si="21"/>
        <v>0.8858482411705848</v>
      </c>
      <c r="L44" s="178">
        <f t="shared" si="22"/>
        <v>1.5489689245611369</v>
      </c>
      <c r="M44" s="454">
        <f t="shared" si="14"/>
        <v>350</v>
      </c>
      <c r="N44" s="203">
        <f t="shared" si="23"/>
        <v>350</v>
      </c>
      <c r="O44" s="223">
        <f t="shared" si="24"/>
        <v>0.65063315063315064</v>
      </c>
      <c r="P44" s="179">
        <f t="shared" si="25"/>
        <v>1.8176418176418176</v>
      </c>
      <c r="Q44" s="179">
        <f t="shared" si="26"/>
        <v>0.62087446183080275</v>
      </c>
      <c r="R44" s="179">
        <f t="shared" si="27"/>
        <v>0.419047619047619</v>
      </c>
    </row>
    <row r="45" spans="3:18" x14ac:dyDescent="0.2">
      <c r="C45" s="176">
        <v>39</v>
      </c>
      <c r="D45" s="6">
        <f t="shared" si="28"/>
        <v>27.87</v>
      </c>
      <c r="E45" s="454">
        <f t="shared" si="15"/>
        <v>15.75</v>
      </c>
      <c r="F45" s="223">
        <f t="shared" si="16"/>
        <v>0.36107290233837686</v>
      </c>
      <c r="G45" s="178">
        <f t="shared" si="17"/>
        <v>3.3962968535075651</v>
      </c>
      <c r="H45" s="223">
        <f t="shared" si="18"/>
        <v>0.67925937070151299</v>
      </c>
      <c r="I45" s="454">
        <f t="shared" si="19"/>
        <v>43.620000000000005</v>
      </c>
      <c r="J45" s="178">
        <f t="shared" si="20"/>
        <v>0.55207188325236412</v>
      </c>
      <c r="K45" s="178">
        <f t="shared" si="21"/>
        <v>0.871588190280015</v>
      </c>
      <c r="L45" s="178">
        <f t="shared" si="22"/>
        <v>1.5422960548002553</v>
      </c>
      <c r="M45" s="454">
        <f t="shared" si="14"/>
        <v>350</v>
      </c>
      <c r="N45" s="203">
        <f t="shared" si="23"/>
        <v>350</v>
      </c>
      <c r="O45" s="223">
        <f t="shared" si="24"/>
        <v>0.65344816806302364</v>
      </c>
      <c r="P45" s="179">
        <f t="shared" si="25"/>
        <v>1.825505993318923</v>
      </c>
      <c r="Q45" s="179">
        <f t="shared" si="26"/>
        <v>0.6262586122392183</v>
      </c>
      <c r="R45" s="179">
        <f t="shared" si="27"/>
        <v>0.419047619047619</v>
      </c>
    </row>
    <row r="46" spans="3:18" x14ac:dyDescent="0.2">
      <c r="C46" s="176">
        <v>40</v>
      </c>
      <c r="D46" s="6">
        <f t="shared" si="28"/>
        <v>28.200000000000003</v>
      </c>
      <c r="E46" s="454">
        <f t="shared" si="15"/>
        <v>15.75</v>
      </c>
      <c r="F46" s="223">
        <f t="shared" si="16"/>
        <v>0.35836177474402731</v>
      </c>
      <c r="G46" s="178">
        <f t="shared" si="17"/>
        <v>3.4107081911262802</v>
      </c>
      <c r="H46" s="223">
        <f t="shared" si="18"/>
        <v>0.68214163822525609</v>
      </c>
      <c r="I46" s="454">
        <f t="shared" si="19"/>
        <v>43.95</v>
      </c>
      <c r="J46" s="178">
        <f t="shared" si="20"/>
        <v>0.54973920222147166</v>
      </c>
      <c r="K46" s="178">
        <f t="shared" si="21"/>
        <v>0.85774910984910457</v>
      </c>
      <c r="L46" s="178">
        <f t="shared" si="22"/>
        <v>1.5357793585869683</v>
      </c>
      <c r="M46" s="454">
        <f t="shared" si="14"/>
        <v>350</v>
      </c>
      <c r="N46" s="203">
        <f t="shared" si="23"/>
        <v>350</v>
      </c>
      <c r="O46" s="223">
        <f t="shared" si="24"/>
        <v>0.65622091219360845</v>
      </c>
      <c r="P46" s="179">
        <f t="shared" si="25"/>
        <v>1.8332520721599219</v>
      </c>
      <c r="Q46" s="179">
        <f t="shared" si="26"/>
        <v>0.63158463221364369</v>
      </c>
      <c r="R46" s="179">
        <f t="shared" si="27"/>
        <v>0.419047619047619</v>
      </c>
    </row>
    <row r="47" spans="3:18" x14ac:dyDescent="0.2">
      <c r="C47" s="176">
        <v>41</v>
      </c>
      <c r="D47" s="6">
        <f t="shared" si="28"/>
        <v>28.53</v>
      </c>
      <c r="E47" s="454">
        <f t="shared" si="15"/>
        <v>15.75</v>
      </c>
      <c r="F47" s="223">
        <f t="shared" si="16"/>
        <v>0.35569105691056907</v>
      </c>
      <c r="G47" s="178">
        <f t="shared" si="17"/>
        <v>3.4249047256097556</v>
      </c>
      <c r="H47" s="223">
        <f t="shared" si="18"/>
        <v>0.68498094512195107</v>
      </c>
      <c r="I47" s="454">
        <f t="shared" si="19"/>
        <v>44.28</v>
      </c>
      <c r="J47" s="178">
        <f t="shared" si="20"/>
        <v>0.54746048436900174</v>
      </c>
      <c r="K47" s="178">
        <f t="shared" si="21"/>
        <v>0.84431340035878288</v>
      </c>
      <c r="L47" s="178">
        <f t="shared" si="22"/>
        <v>1.5294134166499094</v>
      </c>
      <c r="M47" s="454">
        <f t="shared" si="14"/>
        <v>350</v>
      </c>
      <c r="N47" s="203">
        <f t="shared" si="23"/>
        <v>350</v>
      </c>
      <c r="O47" s="223">
        <f t="shared" si="24"/>
        <v>0.65895232815964522</v>
      </c>
      <c r="P47" s="179">
        <f t="shared" si="25"/>
        <v>1.8408826945412311</v>
      </c>
      <c r="Q47" s="179">
        <f t="shared" si="26"/>
        <v>0.63685331715429117</v>
      </c>
      <c r="R47" s="179">
        <f t="shared" si="27"/>
        <v>0.419047619047619</v>
      </c>
    </row>
    <row r="48" spans="3:18" x14ac:dyDescent="0.2">
      <c r="C48" s="176">
        <v>42</v>
      </c>
      <c r="D48" s="6">
        <f t="shared" si="28"/>
        <v>28.86</v>
      </c>
      <c r="E48" s="454">
        <f t="shared" si="15"/>
        <v>15.75</v>
      </c>
      <c r="F48" s="223">
        <f t="shared" si="16"/>
        <v>0.35305985205110962</v>
      </c>
      <c r="G48" s="178">
        <f t="shared" si="17"/>
        <v>3.4388912239408205</v>
      </c>
      <c r="H48" s="223">
        <f t="shared" si="18"/>
        <v>0.68777824478816407</v>
      </c>
      <c r="I48" s="454">
        <f t="shared" si="19"/>
        <v>44.61</v>
      </c>
      <c r="J48" s="178">
        <f t="shared" si="20"/>
        <v>0.54523387856721195</v>
      </c>
      <c r="K48" s="178">
        <f t="shared" si="21"/>
        <v>0.83126440252797384</v>
      </c>
      <c r="L48" s="178">
        <f t="shared" si="22"/>
        <v>1.523193057584592</v>
      </c>
      <c r="M48" s="454">
        <f t="shared" si="14"/>
        <v>350</v>
      </c>
      <c r="N48" s="203">
        <f t="shared" si="23"/>
        <v>350</v>
      </c>
      <c r="O48" s="223">
        <f t="shared" si="24"/>
        <v>0.66164333312954704</v>
      </c>
      <c r="P48" s="179">
        <f t="shared" si="25"/>
        <v>1.8484004227111155</v>
      </c>
      <c r="Q48" s="179">
        <f t="shared" si="26"/>
        <v>0.64206545373633928</v>
      </c>
      <c r="R48" s="179">
        <f t="shared" si="27"/>
        <v>0.419047619047619</v>
      </c>
    </row>
    <row r="49" spans="3:18" x14ac:dyDescent="0.2">
      <c r="C49" s="176">
        <v>43</v>
      </c>
      <c r="D49" s="6">
        <f t="shared" si="28"/>
        <v>29.189999999999998</v>
      </c>
      <c r="E49" s="454">
        <f t="shared" si="15"/>
        <v>15.75</v>
      </c>
      <c r="F49" s="223">
        <f t="shared" si="16"/>
        <v>0.35046728971962621</v>
      </c>
      <c r="G49" s="178">
        <f t="shared" si="17"/>
        <v>3.4526723130841122</v>
      </c>
      <c r="H49" s="223">
        <f t="shared" si="18"/>
        <v>0.69053446261682239</v>
      </c>
      <c r="I49" s="454">
        <f t="shared" si="19"/>
        <v>44.94</v>
      </c>
      <c r="J49" s="178">
        <f t="shared" si="20"/>
        <v>0.54305761739814495</v>
      </c>
      <c r="K49" s="178">
        <f t="shared" si="21"/>
        <v>0.8185863366056314</v>
      </c>
      <c r="L49" s="178">
        <f t="shared" si="22"/>
        <v>1.5171133438424369</v>
      </c>
      <c r="M49" s="454">
        <f t="shared" si="14"/>
        <v>350</v>
      </c>
      <c r="N49" s="203">
        <f t="shared" si="23"/>
        <v>350</v>
      </c>
      <c r="O49" s="223">
        <f t="shared" si="24"/>
        <v>0.66429481733220042</v>
      </c>
      <c r="P49" s="179">
        <f t="shared" si="25"/>
        <v>1.8558077436582108</v>
      </c>
      <c r="Q49" s="179">
        <f t="shared" si="26"/>
        <v>0.64722181969048487</v>
      </c>
      <c r="R49" s="179">
        <f t="shared" si="27"/>
        <v>0.419047619047619</v>
      </c>
    </row>
    <row r="50" spans="3:18" x14ac:dyDescent="0.2">
      <c r="C50" s="176">
        <v>44</v>
      </c>
      <c r="D50" s="6">
        <f t="shared" si="28"/>
        <v>29.52</v>
      </c>
      <c r="E50" s="454">
        <f t="shared" si="15"/>
        <v>15.75</v>
      </c>
      <c r="F50" s="223">
        <f t="shared" si="16"/>
        <v>0.34791252485089469</v>
      </c>
      <c r="G50" s="178">
        <f t="shared" si="17"/>
        <v>3.4662524850894636</v>
      </c>
      <c r="H50" s="223">
        <f t="shared" si="18"/>
        <v>0.69325049701789276</v>
      </c>
      <c r="I50" s="454">
        <f t="shared" si="19"/>
        <v>45.269999999999996</v>
      </c>
      <c r="J50" s="178">
        <f t="shared" si="20"/>
        <v>0.54093001247472783</v>
      </c>
      <c r="K50" s="178">
        <f t="shared" si="21"/>
        <v>0.8062642462360442</v>
      </c>
      <c r="L50" s="178">
        <f t="shared" si="22"/>
        <v>1.5111695586595573</v>
      </c>
      <c r="M50" s="454">
        <f t="shared" si="14"/>
        <v>350</v>
      </c>
      <c r="N50" s="203">
        <f t="shared" si="23"/>
        <v>350</v>
      </c>
      <c r="O50" s="223">
        <f t="shared" si="24"/>
        <v>0.6669076450388578</v>
      </c>
      <c r="P50" s="179">
        <f t="shared" si="25"/>
        <v>1.863107071854587</v>
      </c>
      <c r="Q50" s="179">
        <f t="shared" si="26"/>
        <v>0.65232318361653685</v>
      </c>
      <c r="R50" s="179">
        <f t="shared" si="27"/>
        <v>0.419047619047619</v>
      </c>
    </row>
    <row r="51" spans="3:18" x14ac:dyDescent="0.2">
      <c r="C51" s="176">
        <v>45</v>
      </c>
      <c r="D51" s="6">
        <f t="shared" si="28"/>
        <v>29.85</v>
      </c>
      <c r="E51" s="454">
        <f t="shared" si="15"/>
        <v>15.75</v>
      </c>
      <c r="F51" s="223">
        <f t="shared" si="16"/>
        <v>0.34539473684210525</v>
      </c>
      <c r="G51" s="178">
        <f t="shared" si="17"/>
        <v>3.4796361019736843</v>
      </c>
      <c r="H51" s="223">
        <f t="shared" si="18"/>
        <v>0.69592722039473687</v>
      </c>
      <c r="I51" s="454">
        <f t="shared" si="19"/>
        <v>45.6</v>
      </c>
      <c r="J51" s="178">
        <f t="shared" si="20"/>
        <v>0.53884945007223062</v>
      </c>
      <c r="K51" s="178">
        <f t="shared" si="21"/>
        <v>0.79428394650513046</v>
      </c>
      <c r="L51" s="178">
        <f t="shared" si="22"/>
        <v>1.5053571938525809</v>
      </c>
      <c r="M51" s="454">
        <f t="shared" si="14"/>
        <v>350</v>
      </c>
      <c r="N51" s="203">
        <f t="shared" si="23"/>
        <v>350</v>
      </c>
      <c r="O51" s="223">
        <f t="shared" si="24"/>
        <v>0.66948265550239239</v>
      </c>
      <c r="P51" s="179">
        <f t="shared" si="25"/>
        <v>1.8703007518796992</v>
      </c>
      <c r="Q51" s="179">
        <f t="shared" si="26"/>
        <v>0.65737030482718461</v>
      </c>
      <c r="R51" s="179">
        <f t="shared" si="27"/>
        <v>0.419047619047619</v>
      </c>
    </row>
    <row r="52" spans="3:18" x14ac:dyDescent="0.2">
      <c r="C52" s="176">
        <v>46</v>
      </c>
      <c r="D52" s="6">
        <f t="shared" si="28"/>
        <v>30.18</v>
      </c>
      <c r="E52" s="454">
        <f t="shared" si="15"/>
        <v>15.75</v>
      </c>
      <c r="F52" s="223">
        <f t="shared" si="16"/>
        <v>0.34291312867406926</v>
      </c>
      <c r="G52" s="178">
        <f t="shared" si="17"/>
        <v>3.4928274003919011</v>
      </c>
      <c r="H52" s="223">
        <f t="shared" si="18"/>
        <v>0.69856548007838026</v>
      </c>
      <c r="I52" s="454">
        <f t="shared" si="19"/>
        <v>45.93</v>
      </c>
      <c r="J52" s="178">
        <f t="shared" si="20"/>
        <v>0.53681438704632867</v>
      </c>
      <c r="K52" s="178">
        <f t="shared" si="21"/>
        <v>0.78263197581307031</v>
      </c>
      <c r="L52" s="178">
        <f t="shared" si="22"/>
        <v>1.4996719384151405</v>
      </c>
      <c r="M52" s="454">
        <f t="shared" si="14"/>
        <v>350</v>
      </c>
      <c r="N52" s="203">
        <f t="shared" si="23"/>
        <v>350</v>
      </c>
      <c r="O52" s="223">
        <f t="shared" si="24"/>
        <v>0.67202066385606551</v>
      </c>
      <c r="P52" s="179">
        <f t="shared" si="25"/>
        <v>1.8773910609312305</v>
      </c>
      <c r="Q52" s="179">
        <f t="shared" si="26"/>
        <v>0.66236393321933551</v>
      </c>
      <c r="R52" s="179">
        <f t="shared" si="27"/>
        <v>0.419047619047619</v>
      </c>
    </row>
    <row r="53" spans="3:18" x14ac:dyDescent="0.2">
      <c r="C53" s="176">
        <v>47</v>
      </c>
      <c r="D53" s="6">
        <f t="shared" si="28"/>
        <v>30.509999999999998</v>
      </c>
      <c r="E53" s="454">
        <f t="shared" si="15"/>
        <v>15.75</v>
      </c>
      <c r="F53" s="223">
        <f t="shared" si="16"/>
        <v>0.34046692607003892</v>
      </c>
      <c r="G53" s="178">
        <f t="shared" si="17"/>
        <v>3.5058304961089495</v>
      </c>
      <c r="H53" s="223">
        <f t="shared" si="18"/>
        <v>0.70116609922178985</v>
      </c>
      <c r="I53" s="454">
        <f t="shared" si="19"/>
        <v>46.26</v>
      </c>
      <c r="J53" s="178">
        <f t="shared" si="20"/>
        <v>0.5348233470160707</v>
      </c>
      <c r="K53" s="178">
        <f t="shared" si="21"/>
        <v>0.77129555125228155</v>
      </c>
      <c r="L53" s="178">
        <f t="shared" si="22"/>
        <v>1.4941096678544197</v>
      </c>
      <c r="M53" s="454">
        <f t="shared" si="14"/>
        <v>350</v>
      </c>
      <c r="N53" s="203">
        <f t="shared" si="23"/>
        <v>350</v>
      </c>
      <c r="O53" s="223">
        <f t="shared" si="24"/>
        <v>0.67452246197382393</v>
      </c>
      <c r="P53" s="179">
        <f t="shared" si="25"/>
        <v>1.8843802112284604</v>
      </c>
      <c r="Q53" s="179">
        <f t="shared" si="26"/>
        <v>0.6673048091706022</v>
      </c>
      <c r="R53" s="179">
        <f t="shared" si="27"/>
        <v>0.419047619047619</v>
      </c>
    </row>
    <row r="54" spans="3:18" x14ac:dyDescent="0.2">
      <c r="C54" s="176">
        <v>48</v>
      </c>
      <c r="D54" s="6">
        <f t="shared" si="28"/>
        <v>30.84</v>
      </c>
      <c r="E54" s="454">
        <f t="shared" si="15"/>
        <v>15.75</v>
      </c>
      <c r="F54" s="223">
        <f t="shared" si="16"/>
        <v>0.33805537669027685</v>
      </c>
      <c r="G54" s="178">
        <f t="shared" si="17"/>
        <v>3.5186493882807466</v>
      </c>
      <c r="H54" s="223">
        <f t="shared" si="18"/>
        <v>0.70372987765614936</v>
      </c>
      <c r="I54" s="454">
        <f t="shared" si="19"/>
        <v>46.59</v>
      </c>
      <c r="J54" s="178">
        <f t="shared" si="20"/>
        <v>0.53287491679190779</v>
      </c>
      <c r="K54" s="178">
        <f t="shared" si="21"/>
        <v>0.76026252719986842</v>
      </c>
      <c r="L54" s="178">
        <f t="shared" si="22"/>
        <v>1.4886664342123137</v>
      </c>
      <c r="M54" s="454">
        <f t="shared" si="14"/>
        <v>350</v>
      </c>
      <c r="N54" s="203">
        <f t="shared" si="23"/>
        <v>350</v>
      </c>
      <c r="O54" s="223">
        <f t="shared" si="24"/>
        <v>0.67698881929403509</v>
      </c>
      <c r="P54" s="179">
        <f t="shared" si="25"/>
        <v>1.8912703523134948</v>
      </c>
      <c r="Q54" s="179">
        <f t="shared" si="26"/>
        <v>0.67219366345872655</v>
      </c>
      <c r="R54" s="179">
        <f t="shared" si="27"/>
        <v>0.419047619047619</v>
      </c>
    </row>
    <row r="55" spans="3:18" x14ac:dyDescent="0.2">
      <c r="C55" s="176">
        <v>49</v>
      </c>
      <c r="D55" s="6">
        <f t="shared" si="28"/>
        <v>31.169999999999998</v>
      </c>
      <c r="E55" s="454">
        <f t="shared" si="15"/>
        <v>15.75</v>
      </c>
      <c r="F55" s="223">
        <f t="shared" si="16"/>
        <v>0.33567774936061379</v>
      </c>
      <c r="G55" s="178">
        <f t="shared" si="17"/>
        <v>3.5312879635549868</v>
      </c>
      <c r="H55" s="223">
        <f t="shared" si="18"/>
        <v>0.70625759271099731</v>
      </c>
      <c r="I55" s="454">
        <f t="shared" si="19"/>
        <v>46.92</v>
      </c>
      <c r="J55" s="178">
        <f t="shared" si="20"/>
        <v>0.53096774303062411</v>
      </c>
      <c r="K55" s="178">
        <f t="shared" si="21"/>
        <v>0.74952135686068211</v>
      </c>
      <c r="L55" s="178">
        <f t="shared" si="22"/>
        <v>1.4833384567204735</v>
      </c>
      <c r="M55" s="454">
        <f t="shared" si="14"/>
        <v>350</v>
      </c>
      <c r="N55" s="203">
        <f t="shared" si="23"/>
        <v>350</v>
      </c>
      <c r="O55" s="223">
        <f t="shared" si="24"/>
        <v>0.67942048360846319</v>
      </c>
      <c r="P55" s="179">
        <f t="shared" si="25"/>
        <v>1.898063573255389</v>
      </c>
      <c r="Q55" s="179">
        <f t="shared" si="26"/>
        <v>0.67703121720191173</v>
      </c>
      <c r="R55" s="179">
        <f t="shared" si="27"/>
        <v>0.419047619047619</v>
      </c>
    </row>
    <row r="56" spans="3:18" x14ac:dyDescent="0.2">
      <c r="C56" s="176">
        <v>50</v>
      </c>
      <c r="D56" s="6">
        <f t="shared" si="28"/>
        <v>31.5</v>
      </c>
      <c r="E56" s="454">
        <f t="shared" si="15"/>
        <v>15.75</v>
      </c>
      <c r="F56" s="223">
        <f t="shared" si="16"/>
        <v>0.33333333333333331</v>
      </c>
      <c r="G56" s="178">
        <f t="shared" si="17"/>
        <v>3.5437500000000002</v>
      </c>
      <c r="H56" s="223">
        <f t="shared" si="18"/>
        <v>0.70874999999999999</v>
      </c>
      <c r="I56" s="454">
        <f t="shared" si="19"/>
        <v>47.25</v>
      </c>
      <c r="J56" s="178">
        <f t="shared" si="20"/>
        <v>0.52910052910052918</v>
      </c>
      <c r="K56" s="178">
        <f t="shared" si="21"/>
        <v>0.73906105652137399</v>
      </c>
      <c r="L56" s="178">
        <f t="shared" si="22"/>
        <v>1.478122113042748</v>
      </c>
      <c r="M56" s="454">
        <f t="shared" si="14"/>
        <v>350</v>
      </c>
      <c r="N56" s="203">
        <f t="shared" si="23"/>
        <v>350</v>
      </c>
      <c r="O56" s="223">
        <f t="shared" si="24"/>
        <v>0.68181818181818188</v>
      </c>
      <c r="P56" s="179">
        <f t="shared" si="25"/>
        <v>1.9047619047619049</v>
      </c>
      <c r="Q56" s="179">
        <f t="shared" si="26"/>
        <v>0.68181818181818199</v>
      </c>
      <c r="R56" s="179">
        <f t="shared" si="27"/>
        <v>0.419047619047619</v>
      </c>
    </row>
    <row r="57" spans="3:18" x14ac:dyDescent="0.2">
      <c r="C57" s="176">
        <v>51</v>
      </c>
      <c r="D57" s="6">
        <f t="shared" si="28"/>
        <v>31.830000000000002</v>
      </c>
      <c r="E57" s="454">
        <f t="shared" si="15"/>
        <v>15.75</v>
      </c>
      <c r="F57" s="223">
        <f t="shared" si="16"/>
        <v>0.33102143757881464</v>
      </c>
      <c r="G57" s="178">
        <f t="shared" si="17"/>
        <v>3.5560391708701138</v>
      </c>
      <c r="H57" s="223">
        <f t="shared" si="18"/>
        <v>0.71120783417402278</v>
      </c>
      <c r="I57" s="454">
        <f t="shared" si="19"/>
        <v>47.58</v>
      </c>
      <c r="J57" s="178">
        <f t="shared" si="20"/>
        <v>0.52727203214165197</v>
      </c>
      <c r="K57" s="178">
        <f t="shared" si="21"/>
        <v>0.72887117229760245</v>
      </c>
      <c r="L57" s="178">
        <f t="shared" si="22"/>
        <v>1.4730139310623929</v>
      </c>
      <c r="M57" s="454">
        <f t="shared" si="14"/>
        <v>350</v>
      </c>
      <c r="N57" s="203">
        <f t="shared" si="23"/>
        <v>350</v>
      </c>
      <c r="O57" s="223">
        <f t="shared" si="24"/>
        <v>0.68418262065803059</v>
      </c>
      <c r="P57" s="179">
        <f t="shared" si="25"/>
        <v>1.911367321203387</v>
      </c>
      <c r="Q57" s="179">
        <f t="shared" si="26"/>
        <v>0.68655525900205283</v>
      </c>
      <c r="R57" s="179">
        <f t="shared" si="27"/>
        <v>0.419047619047619</v>
      </c>
    </row>
    <row r="58" spans="3:18" x14ac:dyDescent="0.2">
      <c r="C58" s="176">
        <v>52</v>
      </c>
      <c r="D58" s="6">
        <f t="shared" si="28"/>
        <v>32.159999999999997</v>
      </c>
      <c r="E58" s="454">
        <f t="shared" si="15"/>
        <v>15.75</v>
      </c>
      <c r="F58" s="223">
        <f t="shared" si="16"/>
        <v>0.32874139010644959</v>
      </c>
      <c r="G58" s="178">
        <f t="shared" si="17"/>
        <v>3.5681590482154038</v>
      </c>
      <c r="H58" s="223">
        <f t="shared" si="18"/>
        <v>0.71363180964308071</v>
      </c>
      <c r="I58" s="454">
        <f t="shared" si="19"/>
        <v>47.91</v>
      </c>
      <c r="J58" s="178">
        <f t="shared" si="20"/>
        <v>0.52548106030693098</v>
      </c>
      <c r="K58" s="178">
        <f t="shared" si="21"/>
        <v>0.71894174917614939</v>
      </c>
      <c r="L58" s="178">
        <f t="shared" si="22"/>
        <v>1.4680105811749182</v>
      </c>
      <c r="M58" s="454">
        <f t="shared" si="14"/>
        <v>350</v>
      </c>
      <c r="N58" s="203">
        <f t="shared" si="23"/>
        <v>350</v>
      </c>
      <c r="O58" s="223">
        <f t="shared" si="24"/>
        <v>0.68651448739113108</v>
      </c>
      <c r="P58" s="179">
        <f t="shared" si="25"/>
        <v>1.917881742553001</v>
      </c>
      <c r="Q58" s="179">
        <f t="shared" si="26"/>
        <v>0.69124314071693094</v>
      </c>
      <c r="R58" s="179">
        <f t="shared" si="27"/>
        <v>0.419047619047619</v>
      </c>
    </row>
    <row r="59" spans="3:18" x14ac:dyDescent="0.2">
      <c r="C59" s="176">
        <v>53</v>
      </c>
      <c r="D59" s="6">
        <f t="shared" si="28"/>
        <v>32.49</v>
      </c>
      <c r="E59" s="454">
        <f t="shared" si="15"/>
        <v>15.75</v>
      </c>
      <c r="F59" s="223">
        <f t="shared" si="16"/>
        <v>0.32649253731343281</v>
      </c>
      <c r="G59" s="178">
        <f t="shared" si="17"/>
        <v>3.5801131063432834</v>
      </c>
      <c r="H59" s="223">
        <f t="shared" si="18"/>
        <v>0.71602262126865668</v>
      </c>
      <c r="I59" s="454">
        <f t="shared" si="19"/>
        <v>48.24</v>
      </c>
      <c r="J59" s="178">
        <f t="shared" si="20"/>
        <v>0.52372647017153018</v>
      </c>
      <c r="K59" s="178">
        <f t="shared" si="21"/>
        <v>0.70926330217135503</v>
      </c>
      <c r="L59" s="178">
        <f t="shared" si="22"/>
        <v>1.463108869050624</v>
      </c>
      <c r="M59" s="454">
        <f t="shared" si="14"/>
        <v>350</v>
      </c>
      <c r="N59" s="203">
        <f t="shared" si="23"/>
        <v>350</v>
      </c>
      <c r="O59" s="223">
        <f t="shared" si="24"/>
        <v>0.6888144504748982</v>
      </c>
      <c r="P59" s="179">
        <f t="shared" si="25"/>
        <v>1.9243070362473345</v>
      </c>
      <c r="Q59" s="179">
        <f t="shared" si="26"/>
        <v>0.69588250920178607</v>
      </c>
      <c r="R59" s="179">
        <f t="shared" si="27"/>
        <v>0.419047619047619</v>
      </c>
    </row>
    <row r="60" spans="3:18" x14ac:dyDescent="0.2">
      <c r="C60" s="176">
        <v>54</v>
      </c>
      <c r="D60" s="6">
        <f t="shared" si="28"/>
        <v>32.82</v>
      </c>
      <c r="E60" s="454">
        <f t="shared" si="15"/>
        <v>15.75</v>
      </c>
      <c r="F60" s="223">
        <f t="shared" si="16"/>
        <v>0.3242742433600988</v>
      </c>
      <c r="G60" s="178">
        <f t="shared" si="17"/>
        <v>3.5919047251389742</v>
      </c>
      <c r="H60" s="223">
        <f t="shared" si="18"/>
        <v>0.71838094502779481</v>
      </c>
      <c r="I60" s="454">
        <f t="shared" si="19"/>
        <v>48.57</v>
      </c>
      <c r="J60" s="178">
        <f t="shared" si="20"/>
        <v>0.52200716429845018</v>
      </c>
      <c r="K60" s="178">
        <f t="shared" si="21"/>
        <v>0.69982678943119458</v>
      </c>
      <c r="L60" s="178">
        <f t="shared" si="22"/>
        <v>1.4583057288337655</v>
      </c>
      <c r="M60" s="454">
        <f t="shared" si="14"/>
        <v>350</v>
      </c>
      <c r="N60" s="203">
        <f t="shared" si="23"/>
        <v>350</v>
      </c>
      <c r="O60" s="223">
        <f t="shared" si="24"/>
        <v>0.6910831601998989</v>
      </c>
      <c r="P60" s="179">
        <f t="shared" si="25"/>
        <v>1.9306450189711459</v>
      </c>
      <c r="Q60" s="179">
        <f t="shared" si="26"/>
        <v>0.70047403699075605</v>
      </c>
      <c r="R60" s="179">
        <f t="shared" si="27"/>
        <v>0.419047619047619</v>
      </c>
    </row>
    <row r="61" spans="3:18" x14ac:dyDescent="0.2">
      <c r="C61" s="176">
        <v>55</v>
      </c>
      <c r="D61" s="6">
        <f t="shared" si="28"/>
        <v>33.150000000000006</v>
      </c>
      <c r="E61" s="454">
        <f t="shared" si="15"/>
        <v>15.75</v>
      </c>
      <c r="F61" s="223">
        <f t="shared" si="16"/>
        <v>0.32208588957055212</v>
      </c>
      <c r="G61" s="178">
        <f t="shared" si="17"/>
        <v>3.6035371932515345</v>
      </c>
      <c r="H61" s="223">
        <f t="shared" si="18"/>
        <v>0.72070743865030695</v>
      </c>
      <c r="I61" s="454">
        <f t="shared" si="19"/>
        <v>48.900000000000006</v>
      </c>
      <c r="J61" s="178">
        <f t="shared" si="20"/>
        <v>0.52032208894953991</v>
      </c>
      <c r="K61" s="178">
        <f t="shared" si="21"/>
        <v>0.69062358714267735</v>
      </c>
      <c r="L61" s="178">
        <f t="shared" si="22"/>
        <v>1.4535982167479211</v>
      </c>
      <c r="M61" s="454">
        <f t="shared" si="14"/>
        <v>350</v>
      </c>
      <c r="N61" s="203">
        <f t="shared" si="23"/>
        <v>350</v>
      </c>
      <c r="O61" s="223">
        <f t="shared" si="24"/>
        <v>0.69332124930284456</v>
      </c>
      <c r="P61" s="179">
        <f t="shared" si="25"/>
        <v>1.9368974583698513</v>
      </c>
      <c r="Q61" s="179">
        <f t="shared" si="26"/>
        <v>0.70501838694445695</v>
      </c>
      <c r="R61" s="179">
        <f t="shared" si="27"/>
        <v>0.419047619047619</v>
      </c>
    </row>
    <row r="62" spans="3:18" x14ac:dyDescent="0.2">
      <c r="C62" s="176">
        <v>56</v>
      </c>
      <c r="D62" s="6">
        <f t="shared" si="28"/>
        <v>33.480000000000004</v>
      </c>
      <c r="E62" s="454">
        <f t="shared" si="15"/>
        <v>15.75</v>
      </c>
      <c r="F62" s="223">
        <f t="shared" si="16"/>
        <v>0.31992687385740398</v>
      </c>
      <c r="G62" s="178">
        <f t="shared" si="17"/>
        <v>3.6150137111517364</v>
      </c>
      <c r="H62" s="223">
        <f t="shared" si="18"/>
        <v>0.72300274223034733</v>
      </c>
      <c r="I62" s="454">
        <f t="shared" si="19"/>
        <v>49.230000000000004</v>
      </c>
      <c r="J62" s="178">
        <f t="shared" si="20"/>
        <v>0.51867023193188067</v>
      </c>
      <c r="K62" s="178">
        <f t="shared" si="21"/>
        <v>0.6816454660992457</v>
      </c>
      <c r="L62" s="178">
        <f t="shared" si="22"/>
        <v>1.4489835050795399</v>
      </c>
      <c r="M62" s="454">
        <f t="shared" si="14"/>
        <v>350</v>
      </c>
      <c r="N62" s="203">
        <f t="shared" si="23"/>
        <v>350</v>
      </c>
      <c r="O62" s="223">
        <f t="shared" si="24"/>
        <v>0.69552933355492774</v>
      </c>
      <c r="P62" s="179">
        <f t="shared" si="25"/>
        <v>1.9430660746931314</v>
      </c>
      <c r="Q62" s="179">
        <f t="shared" si="26"/>
        <v>0.70951621229186412</v>
      </c>
      <c r="R62" s="179">
        <f t="shared" si="27"/>
        <v>0.419047619047619</v>
      </c>
    </row>
    <row r="63" spans="3:18" x14ac:dyDescent="0.2">
      <c r="C63" s="176">
        <v>57</v>
      </c>
      <c r="D63" s="6">
        <f t="shared" si="28"/>
        <v>33.81</v>
      </c>
      <c r="E63" s="454">
        <f t="shared" si="15"/>
        <v>15.75</v>
      </c>
      <c r="F63" s="223">
        <f t="shared" si="16"/>
        <v>0.31779661016949151</v>
      </c>
      <c r="G63" s="178">
        <f t="shared" si="17"/>
        <v>3.626337394067797</v>
      </c>
      <c r="H63" s="223">
        <f t="shared" si="18"/>
        <v>0.72526747881355935</v>
      </c>
      <c r="I63" s="454">
        <f t="shared" si="19"/>
        <v>49.56</v>
      </c>
      <c r="J63" s="178">
        <f t="shared" si="20"/>
        <v>0.51705062057028928</v>
      </c>
      <c r="K63" s="178">
        <f t="shared" si="21"/>
        <v>0.67288456980457634</v>
      </c>
      <c r="L63" s="178">
        <f t="shared" si="22"/>
        <v>1.444458876513824</v>
      </c>
      <c r="M63" s="454">
        <f t="shared" si="14"/>
        <v>350</v>
      </c>
      <c r="N63" s="203">
        <f t="shared" si="23"/>
        <v>350</v>
      </c>
      <c r="O63" s="223">
        <f t="shared" si="24"/>
        <v>0.69770801232665636</v>
      </c>
      <c r="P63" s="179">
        <f t="shared" si="25"/>
        <v>1.9491525423728813</v>
      </c>
      <c r="Q63" s="179">
        <f t="shared" si="26"/>
        <v>0.71396815668172675</v>
      </c>
      <c r="R63" s="179">
        <f t="shared" si="27"/>
        <v>0.419047619047619</v>
      </c>
    </row>
    <row r="64" spans="3:18" x14ac:dyDescent="0.2">
      <c r="C64" s="176">
        <v>58</v>
      </c>
      <c r="D64" s="6">
        <f t="shared" si="28"/>
        <v>34.14</v>
      </c>
      <c r="E64" s="454">
        <f t="shared" si="15"/>
        <v>15.75</v>
      </c>
      <c r="F64" s="223">
        <f t="shared" si="16"/>
        <v>0.31569452796151531</v>
      </c>
      <c r="G64" s="178">
        <f t="shared" si="17"/>
        <v>3.6375112748045697</v>
      </c>
      <c r="H64" s="223">
        <f t="shared" si="18"/>
        <v>0.72750225496091392</v>
      </c>
      <c r="I64" s="454">
        <f t="shared" si="19"/>
        <v>49.89</v>
      </c>
      <c r="J64" s="178">
        <f t="shared" si="20"/>
        <v>0.51546231979741053</v>
      </c>
      <c r="K64" s="178">
        <f t="shared" si="21"/>
        <v>0.66433339399783431</v>
      </c>
      <c r="L64" s="178">
        <f t="shared" si="22"/>
        <v>1.4400217187991151</v>
      </c>
      <c r="M64" s="454">
        <f t="shared" si="14"/>
        <v>350</v>
      </c>
      <c r="N64" s="203">
        <f t="shared" si="23"/>
        <v>350</v>
      </c>
      <c r="O64" s="223">
        <f t="shared" si="24"/>
        <v>0.69985786913026848</v>
      </c>
      <c r="P64" s="179">
        <f t="shared" si="25"/>
        <v>1.9551584915385276</v>
      </c>
      <c r="Q64" s="179">
        <f t="shared" si="26"/>
        <v>0.71837485424255465</v>
      </c>
      <c r="R64" s="179">
        <f t="shared" si="27"/>
        <v>0.419047619047619</v>
      </c>
    </row>
    <row r="65" spans="3:18" x14ac:dyDescent="0.2">
      <c r="C65" s="176">
        <v>59</v>
      </c>
      <c r="D65" s="6">
        <f t="shared" si="28"/>
        <v>34.47</v>
      </c>
      <c r="E65" s="454">
        <f t="shared" si="15"/>
        <v>15.75</v>
      </c>
      <c r="F65" s="223">
        <f t="shared" si="16"/>
        <v>0.31362007168458783</v>
      </c>
      <c r="G65" s="178">
        <f t="shared" si="17"/>
        <v>3.6485383064516128</v>
      </c>
      <c r="H65" s="223">
        <f t="shared" si="18"/>
        <v>0.72970766129032261</v>
      </c>
      <c r="I65" s="454">
        <f t="shared" si="19"/>
        <v>50.22</v>
      </c>
      <c r="J65" s="178">
        <f t="shared" si="20"/>
        <v>0.51390443035351652</v>
      </c>
      <c r="K65" s="178">
        <f t="shared" si="21"/>
        <v>0.65598476749506029</v>
      </c>
      <c r="L65" s="178">
        <f t="shared" si="22"/>
        <v>1.4356695197177605</v>
      </c>
      <c r="M65" s="454">
        <f t="shared" si="14"/>
        <v>350</v>
      </c>
      <c r="N65" s="203">
        <f t="shared" si="23"/>
        <v>350</v>
      </c>
      <c r="O65" s="223">
        <f t="shared" si="24"/>
        <v>0.70197947214076251</v>
      </c>
      <c r="P65" s="179">
        <f t="shared" si="25"/>
        <v>1.9610855094726063</v>
      </c>
      <c r="Q65" s="179">
        <f t="shared" si="26"/>
        <v>0.72273692965030112</v>
      </c>
      <c r="R65" s="179">
        <f t="shared" si="27"/>
        <v>0.419047619047619</v>
      </c>
    </row>
    <row r="66" spans="3:18" x14ac:dyDescent="0.2">
      <c r="C66" s="176">
        <v>60</v>
      </c>
      <c r="D66" s="6">
        <f t="shared" si="28"/>
        <v>34.799999999999997</v>
      </c>
      <c r="E66" s="454">
        <f t="shared" si="15"/>
        <v>15.75</v>
      </c>
      <c r="F66" s="223">
        <f t="shared" si="16"/>
        <v>0.31157270029673595</v>
      </c>
      <c r="G66" s="178">
        <f t="shared" si="17"/>
        <v>3.6594213649851635</v>
      </c>
      <c r="H66" s="223">
        <f t="shared" si="18"/>
        <v>0.73188427299703274</v>
      </c>
      <c r="I66" s="454">
        <f t="shared" si="19"/>
        <v>50.55</v>
      </c>
      <c r="J66" s="178">
        <f t="shared" si="20"/>
        <v>0.51237608708873084</v>
      </c>
      <c r="K66" s="178">
        <f t="shared" si="21"/>
        <v>0.64783183425011948</v>
      </c>
      <c r="L66" s="178">
        <f t="shared" si="22"/>
        <v>1.431399862343121</v>
      </c>
      <c r="M66" s="454">
        <f t="shared" si="14"/>
        <v>350</v>
      </c>
      <c r="N66" s="203">
        <f t="shared" si="23"/>
        <v>350</v>
      </c>
      <c r="O66" s="223">
        <f t="shared" si="24"/>
        <v>0.70407337469652009</v>
      </c>
      <c r="P66" s="179">
        <f t="shared" si="25"/>
        <v>1.9669351420093257</v>
      </c>
      <c r="Q66" s="179">
        <f t="shared" si="26"/>
        <v>0.72705499820293473</v>
      </c>
      <c r="R66" s="179">
        <f t="shared" si="27"/>
        <v>0.419047619047619</v>
      </c>
    </row>
    <row r="67" spans="3:18" x14ac:dyDescent="0.2">
      <c r="C67" s="176">
        <v>61</v>
      </c>
      <c r="D67" s="6">
        <f t="shared" si="28"/>
        <v>35.129999999999995</v>
      </c>
      <c r="E67" s="454">
        <f t="shared" si="15"/>
        <v>15.75</v>
      </c>
      <c r="F67" s="223">
        <f t="shared" si="16"/>
        <v>0.30955188679245288</v>
      </c>
      <c r="G67" s="178">
        <f t="shared" si="17"/>
        <v>3.670163251768868</v>
      </c>
      <c r="H67" s="223">
        <f t="shared" si="18"/>
        <v>0.73403265035377363</v>
      </c>
      <c r="I67" s="454">
        <f t="shared" si="19"/>
        <v>50.879999999999995</v>
      </c>
      <c r="J67" s="178">
        <f t="shared" si="20"/>
        <v>0.51087645736094356</v>
      </c>
      <c r="K67" s="178">
        <f t="shared" si="21"/>
        <v>0.63986803654658464</v>
      </c>
      <c r="L67" s="178">
        <f t="shared" si="22"/>
        <v>1.4272104205639058</v>
      </c>
      <c r="M67" s="454">
        <f t="shared" si="14"/>
        <v>350</v>
      </c>
      <c r="N67" s="203">
        <f t="shared" si="23"/>
        <v>350</v>
      </c>
      <c r="O67" s="223">
        <f t="shared" si="24"/>
        <v>0.70614011578044589</v>
      </c>
      <c r="P67" s="179">
        <f t="shared" si="25"/>
        <v>1.9727088948787062</v>
      </c>
      <c r="Q67" s="179">
        <f t="shared" si="26"/>
        <v>0.73132966590115167</v>
      </c>
      <c r="R67" s="179">
        <f t="shared" si="27"/>
        <v>0.419047619047619</v>
      </c>
    </row>
    <row r="68" spans="3:18" x14ac:dyDescent="0.2">
      <c r="C68" s="176">
        <v>62</v>
      </c>
      <c r="D68" s="6">
        <f t="shared" si="28"/>
        <v>35.46</v>
      </c>
      <c r="E68" s="454">
        <f t="shared" si="15"/>
        <v>15.75</v>
      </c>
      <c r="F68" s="223">
        <f t="shared" si="16"/>
        <v>0.30755711775043937</v>
      </c>
      <c r="G68" s="178">
        <f t="shared" si="17"/>
        <v>3.6807666959578209</v>
      </c>
      <c r="H68" s="223">
        <f t="shared" si="18"/>
        <v>0.73615333919156423</v>
      </c>
      <c r="I68" s="454">
        <f t="shared" si="19"/>
        <v>51.21</v>
      </c>
      <c r="J68" s="178">
        <f t="shared" si="20"/>
        <v>0.50940473952318277</v>
      </c>
      <c r="K68" s="178">
        <f t="shared" si="21"/>
        <v>0.63208709923914386</v>
      </c>
      <c r="L68" s="178">
        <f t="shared" si="22"/>
        <v>1.4230989548584154</v>
      </c>
      <c r="M68" s="454">
        <f t="shared" si="14"/>
        <v>350</v>
      </c>
      <c r="N68" s="203">
        <f t="shared" si="23"/>
        <v>350</v>
      </c>
      <c r="O68" s="223">
        <f t="shared" si="24"/>
        <v>0.70818022048250517</v>
      </c>
      <c r="P68" s="179">
        <f t="shared" si="25"/>
        <v>1.9784082349987446</v>
      </c>
      <c r="Q68" s="179">
        <f t="shared" si="26"/>
        <v>0.73556152953455289</v>
      </c>
      <c r="R68" s="179">
        <f t="shared" si="27"/>
        <v>0.419047619047619</v>
      </c>
    </row>
    <row r="69" spans="3:18" x14ac:dyDescent="0.2">
      <c r="C69" s="176">
        <v>63</v>
      </c>
      <c r="D69" s="6">
        <f t="shared" si="28"/>
        <v>35.79</v>
      </c>
      <c r="E69" s="454">
        <f t="shared" si="15"/>
        <v>15.75</v>
      </c>
      <c r="F69" s="223">
        <f t="shared" si="16"/>
        <v>0.30558789289871946</v>
      </c>
      <c r="G69" s="178">
        <f t="shared" si="17"/>
        <v>3.6912343568102446</v>
      </c>
      <c r="H69" s="223">
        <f t="shared" si="18"/>
        <v>0.73824687136204892</v>
      </c>
      <c r="I69" s="454">
        <f t="shared" si="19"/>
        <v>51.54</v>
      </c>
      <c r="J69" s="178">
        <f t="shared" si="20"/>
        <v>0.50796016149466827</v>
      </c>
      <c r="K69" s="178">
        <f t="shared" si="21"/>
        <v>0.62448301496969549</v>
      </c>
      <c r="L69" s="178">
        <f t="shared" si="22"/>
        <v>1.4190633083025652</v>
      </c>
      <c r="M69" s="454">
        <f t="shared" si="14"/>
        <v>350</v>
      </c>
      <c r="N69" s="203">
        <f t="shared" si="23"/>
        <v>350</v>
      </c>
      <c r="O69" s="223">
        <f t="shared" si="24"/>
        <v>0.71019420044449155</v>
      </c>
      <c r="P69" s="179">
        <f t="shared" si="25"/>
        <v>1.9840345917179445</v>
      </c>
      <c r="Q69" s="179">
        <f t="shared" si="26"/>
        <v>0.7397511767726529</v>
      </c>
      <c r="R69" s="179">
        <f t="shared" si="27"/>
        <v>0.419047619047619</v>
      </c>
    </row>
    <row r="70" spans="3:18" x14ac:dyDescent="0.2">
      <c r="C70" s="176">
        <v>64</v>
      </c>
      <c r="D70" s="6">
        <f t="shared" si="28"/>
        <v>36.120000000000005</v>
      </c>
      <c r="E70" s="454">
        <f t="shared" ref="E70:E106" si="29">(Vout+Vfwd1)*Nps</f>
        <v>15.75</v>
      </c>
      <c r="F70" s="223">
        <f t="shared" ref="F70:F106" si="30">(Vout+Vfwd1)*Nps/((Vout+Vfwd1)*Nps+D70)</f>
        <v>0.30364372469635625</v>
      </c>
      <c r="G70" s="178">
        <f t="shared" ref="G70:G101" si="31">F70*D70*Isw_max*0.5*Efficiency</f>
        <v>3.7015688259109312</v>
      </c>
      <c r="H70" s="223">
        <f t="shared" ref="H70:H101" si="32">G70/Vout</f>
        <v>0.74031376518218628</v>
      </c>
      <c r="I70" s="454">
        <f t="shared" ref="I70:I106" si="33">(Vout+Vfwd1)*Nps+D70</f>
        <v>51.870000000000005</v>
      </c>
      <c r="J70" s="178">
        <f t="shared" ref="J70:J106" si="34">MIN(2*Vout*Iout/(Efficiency*D70*F70), 1.35)</f>
        <v>0.50654197941019652</v>
      </c>
      <c r="K70" s="178">
        <f t="shared" ref="K70:K101" si="35">L*J70/D70*1000000</f>
        <v>0.61705003028927585</v>
      </c>
      <c r="L70" s="178">
        <f t="shared" ref="L70:L106" si="36">L*J70/((Vout+Vfwd1)*Nps)*1000000</f>
        <v>1.4151014027967392</v>
      </c>
      <c r="M70" s="454">
        <f t="shared" si="14"/>
        <v>350</v>
      </c>
      <c r="N70" s="203">
        <f t="shared" ref="N70:N106" si="37">IF(1/((350000*L)*(1/D70+1/E70))&gt;Isw_min, 350, 0.001/((Isw_min*L)*(1/D70+1/E70)))</f>
        <v>350</v>
      </c>
      <c r="O70" s="223">
        <f t="shared" ref="O70:O101" si="38">1/((N70*1000*L)*(1/D70+1/E70))</f>
        <v>0.71218255428781752</v>
      </c>
      <c r="P70" s="179">
        <f t="shared" ref="P70:P101" si="39">L*O70/E70*1000000</f>
        <v>1.9895893580104105</v>
      </c>
      <c r="Q70" s="179">
        <f t="shared" ref="Q70:Q101" si="40">0.5*P70*O70*Nps*N70/1000</f>
        <v>0.7438991862601495</v>
      </c>
      <c r="R70" s="179">
        <f t="shared" ref="R70:R106" si="41">L*Isw_min/E70*1000000</f>
        <v>0.419047619047619</v>
      </c>
    </row>
    <row r="71" spans="3:18" x14ac:dyDescent="0.2">
      <c r="C71" s="176">
        <v>65</v>
      </c>
      <c r="D71" s="6">
        <f t="shared" ref="D71:D102" si="42">C71/100*(VIN_max-VIN_min)+VIN_min</f>
        <v>36.450000000000003</v>
      </c>
      <c r="E71" s="454">
        <f t="shared" si="29"/>
        <v>15.75</v>
      </c>
      <c r="F71" s="223">
        <f t="shared" si="30"/>
        <v>0.30172413793103448</v>
      </c>
      <c r="G71" s="178">
        <f t="shared" si="31"/>
        <v>3.7117726293103455</v>
      </c>
      <c r="H71" s="223">
        <f t="shared" si="32"/>
        <v>0.74235452586206907</v>
      </c>
      <c r="I71" s="454">
        <f t="shared" si="33"/>
        <v>52.2</v>
      </c>
      <c r="J71" s="178">
        <f t="shared" si="34"/>
        <v>0.50514947634289187</v>
      </c>
      <c r="K71" s="178">
        <f t="shared" si="35"/>
        <v>0.60978263262242083</v>
      </c>
      <c r="L71" s="178">
        <f t="shared" si="36"/>
        <v>1.4112112354976025</v>
      </c>
      <c r="M71" s="454">
        <f t="shared" ref="M71:M106" si="43">MIN(1/(K71+L71)*1000, 350)</f>
        <v>350</v>
      </c>
      <c r="N71" s="203">
        <f t="shared" si="37"/>
        <v>350</v>
      </c>
      <c r="O71" s="223">
        <f t="shared" si="38"/>
        <v>0.71414576802507845</v>
      </c>
      <c r="P71" s="179">
        <f t="shared" si="39"/>
        <v>1.9950738916256161</v>
      </c>
      <c r="Q71" s="179">
        <f t="shared" si="40"/>
        <v>0.7480061277159229</v>
      </c>
      <c r="R71" s="179">
        <f t="shared" si="41"/>
        <v>0.419047619047619</v>
      </c>
    </row>
    <row r="72" spans="3:18" x14ac:dyDescent="0.2">
      <c r="C72" s="176">
        <v>66</v>
      </c>
      <c r="D72" s="6">
        <f t="shared" si="42"/>
        <v>36.78</v>
      </c>
      <c r="E72" s="454">
        <f t="shared" si="29"/>
        <v>15.75</v>
      </c>
      <c r="F72" s="223">
        <f t="shared" si="30"/>
        <v>0.2998286693318104</v>
      </c>
      <c r="G72" s="178">
        <f t="shared" si="31"/>
        <v>3.7218482295830957</v>
      </c>
      <c r="H72" s="223">
        <f t="shared" si="32"/>
        <v>0.74436964591661914</v>
      </c>
      <c r="I72" s="454">
        <f t="shared" si="33"/>
        <v>52.53</v>
      </c>
      <c r="J72" s="178">
        <f t="shared" si="34"/>
        <v>0.50378196109571849</v>
      </c>
      <c r="K72" s="178">
        <f t="shared" si="35"/>
        <v>0.6026755380155413</v>
      </c>
      <c r="L72" s="178">
        <f t="shared" si="36"/>
        <v>1.407390875442007</v>
      </c>
      <c r="M72" s="454">
        <f t="shared" si="43"/>
        <v>350</v>
      </c>
      <c r="N72" s="203">
        <f t="shared" si="37"/>
        <v>350</v>
      </c>
      <c r="O72" s="223">
        <f t="shared" si="38"/>
        <v>0.71608431545610318</v>
      </c>
      <c r="P72" s="179">
        <f t="shared" si="39"/>
        <v>2.0004895161948282</v>
      </c>
      <c r="Q72" s="179">
        <f t="shared" si="40"/>
        <v>0.7520725620352795</v>
      </c>
      <c r="R72" s="179">
        <f t="shared" si="41"/>
        <v>0.419047619047619</v>
      </c>
    </row>
    <row r="73" spans="3:18" x14ac:dyDescent="0.2">
      <c r="C73" s="176">
        <v>67</v>
      </c>
      <c r="D73" s="6">
        <f t="shared" si="42"/>
        <v>37.11</v>
      </c>
      <c r="E73" s="454">
        <f t="shared" si="29"/>
        <v>15.75</v>
      </c>
      <c r="F73" s="223">
        <f t="shared" si="30"/>
        <v>0.29795686719636777</v>
      </c>
      <c r="G73" s="178">
        <f t="shared" si="31"/>
        <v>3.7317980278093077</v>
      </c>
      <c r="H73" s="223">
        <f t="shared" si="32"/>
        <v>0.74635960556186154</v>
      </c>
      <c r="I73" s="454">
        <f t="shared" si="33"/>
        <v>52.86</v>
      </c>
      <c r="J73" s="178">
        <f t="shared" si="34"/>
        <v>0.50243876705746815</v>
      </c>
      <c r="K73" s="178">
        <f t="shared" si="35"/>
        <v>0.59572367961542982</v>
      </c>
      <c r="L73" s="178">
        <f t="shared" si="36"/>
        <v>1.4036384603510221</v>
      </c>
      <c r="M73" s="454">
        <f t="shared" si="43"/>
        <v>350</v>
      </c>
      <c r="N73" s="203">
        <f t="shared" si="37"/>
        <v>350</v>
      </c>
      <c r="O73" s="223">
        <f t="shared" si="38"/>
        <v>0.71799865854916933</v>
      </c>
      <c r="P73" s="179">
        <f t="shared" si="39"/>
        <v>2.0058375222960922</v>
      </c>
      <c r="Q73" s="179">
        <f t="shared" si="40"/>
        <v>0.7560990413949964</v>
      </c>
      <c r="R73" s="179">
        <f t="shared" si="41"/>
        <v>0.419047619047619</v>
      </c>
    </row>
    <row r="74" spans="3:18" x14ac:dyDescent="0.2">
      <c r="C74" s="176">
        <v>68</v>
      </c>
      <c r="D74" s="6">
        <f t="shared" si="42"/>
        <v>37.44</v>
      </c>
      <c r="E74" s="454">
        <f t="shared" si="29"/>
        <v>15.75</v>
      </c>
      <c r="F74" s="223">
        <f t="shared" si="30"/>
        <v>0.29610829103214892</v>
      </c>
      <c r="G74" s="178">
        <f t="shared" si="31"/>
        <v>3.7416243654822341</v>
      </c>
      <c r="H74" s="223">
        <f t="shared" si="32"/>
        <v>0.7483248730964468</v>
      </c>
      <c r="I74" s="454">
        <f t="shared" si="33"/>
        <v>53.19</v>
      </c>
      <c r="J74" s="178">
        <f t="shared" si="34"/>
        <v>0.50111925111925115</v>
      </c>
      <c r="K74" s="178">
        <f t="shared" si="35"/>
        <v>0.5889221968281797</v>
      </c>
      <c r="L74" s="178">
        <f t="shared" si="36"/>
        <v>1.3999521936029871</v>
      </c>
      <c r="M74" s="454">
        <f t="shared" si="43"/>
        <v>350</v>
      </c>
      <c r="N74" s="203">
        <f t="shared" si="37"/>
        <v>350</v>
      </c>
      <c r="O74" s="223">
        <f t="shared" si="38"/>
        <v>0.71988924780802954</v>
      </c>
      <c r="P74" s="179">
        <f t="shared" si="39"/>
        <v>2.0111191684795746</v>
      </c>
      <c r="Q74" s="179">
        <f t="shared" si="40"/>
        <v>0.76008610936076215</v>
      </c>
      <c r="R74" s="179">
        <f t="shared" si="41"/>
        <v>0.419047619047619</v>
      </c>
    </row>
    <row r="75" spans="3:18" x14ac:dyDescent="0.2">
      <c r="C75" s="176">
        <v>69</v>
      </c>
      <c r="D75" s="6">
        <f t="shared" si="42"/>
        <v>37.769999999999996</v>
      </c>
      <c r="E75" s="454">
        <f t="shared" si="29"/>
        <v>15.75</v>
      </c>
      <c r="F75" s="223">
        <f t="shared" si="30"/>
        <v>0.29428251121076238</v>
      </c>
      <c r="G75" s="178">
        <f t="shared" si="31"/>
        <v>3.7513295263452919</v>
      </c>
      <c r="H75" s="223">
        <f t="shared" si="32"/>
        <v>0.75026590526905834</v>
      </c>
      <c r="I75" s="454">
        <f t="shared" si="33"/>
        <v>53.519999999999996</v>
      </c>
      <c r="J75" s="178">
        <f t="shared" si="34"/>
        <v>0.49982279264778606</v>
      </c>
      <c r="K75" s="178">
        <f t="shared" si="35"/>
        <v>0.58226642511259175</v>
      </c>
      <c r="L75" s="178">
        <f t="shared" si="36"/>
        <v>1.3963303413652437</v>
      </c>
      <c r="M75" s="454">
        <f t="shared" si="43"/>
        <v>350</v>
      </c>
      <c r="N75" s="203">
        <f t="shared" si="37"/>
        <v>350</v>
      </c>
      <c r="O75" s="223">
        <f t="shared" si="38"/>
        <v>0.72175652262535672</v>
      </c>
      <c r="P75" s="179">
        <f t="shared" si="39"/>
        <v>2.0163356822549647</v>
      </c>
      <c r="Q75" s="179">
        <f t="shared" si="40"/>
        <v>0.76403430099662895</v>
      </c>
      <c r="R75" s="179">
        <f t="shared" si="41"/>
        <v>0.419047619047619</v>
      </c>
    </row>
    <row r="76" spans="3:18" x14ac:dyDescent="0.2">
      <c r="C76" s="176">
        <v>70</v>
      </c>
      <c r="D76" s="6">
        <f t="shared" si="42"/>
        <v>38.099999999999994</v>
      </c>
      <c r="E76" s="454">
        <f t="shared" si="29"/>
        <v>15.75</v>
      </c>
      <c r="F76" s="223">
        <f t="shared" si="30"/>
        <v>0.29247910863509752</v>
      </c>
      <c r="G76" s="178">
        <f t="shared" si="31"/>
        <v>3.7609157381615601</v>
      </c>
      <c r="H76" s="223">
        <f t="shared" si="32"/>
        <v>0.75218314763231198</v>
      </c>
      <c r="I76" s="454">
        <f t="shared" si="33"/>
        <v>53.849999999999994</v>
      </c>
      <c r="J76" s="178">
        <f t="shared" si="34"/>
        <v>0.49854879251204709</v>
      </c>
      <c r="K76" s="178">
        <f t="shared" si="35"/>
        <v>0.5757518863656188</v>
      </c>
      <c r="L76" s="178">
        <f t="shared" si="36"/>
        <v>1.3927712298749253</v>
      </c>
      <c r="M76" s="454">
        <f t="shared" si="43"/>
        <v>350</v>
      </c>
      <c r="N76" s="203">
        <f t="shared" si="37"/>
        <v>350</v>
      </c>
      <c r="O76" s="223">
        <f t="shared" si="38"/>
        <v>0.72360091162319584</v>
      </c>
      <c r="P76" s="179">
        <f t="shared" si="39"/>
        <v>2.0214882610425788</v>
      </c>
      <c r="Q76" s="179">
        <f t="shared" si="40"/>
        <v>0.76794414297614944</v>
      </c>
      <c r="R76" s="179">
        <f t="shared" si="41"/>
        <v>0.419047619047619</v>
      </c>
    </row>
    <row r="77" spans="3:18" x14ac:dyDescent="0.2">
      <c r="C77" s="176">
        <v>71</v>
      </c>
      <c r="D77" s="6">
        <f t="shared" si="42"/>
        <v>38.43</v>
      </c>
      <c r="E77" s="454">
        <f t="shared" si="29"/>
        <v>15.75</v>
      </c>
      <c r="F77" s="223">
        <f t="shared" si="30"/>
        <v>0.29069767441860467</v>
      </c>
      <c r="G77" s="178">
        <f t="shared" si="31"/>
        <v>3.7703851744186045</v>
      </c>
      <c r="H77" s="223">
        <f t="shared" si="32"/>
        <v>0.75407703488372091</v>
      </c>
      <c r="I77" s="454">
        <f t="shared" si="33"/>
        <v>54.18</v>
      </c>
      <c r="J77" s="178">
        <f t="shared" si="34"/>
        <v>0.49729667216006007</v>
      </c>
      <c r="K77" s="178">
        <f t="shared" si="35"/>
        <v>0.5693742798605943</v>
      </c>
      <c r="L77" s="178">
        <f t="shared" si="36"/>
        <v>1.3892732428598504</v>
      </c>
      <c r="M77" s="454">
        <f t="shared" si="43"/>
        <v>350</v>
      </c>
      <c r="N77" s="203">
        <f t="shared" si="37"/>
        <v>350</v>
      </c>
      <c r="O77" s="223">
        <f t="shared" si="38"/>
        <v>0.72542283298097254</v>
      </c>
      <c r="P77" s="179">
        <f t="shared" si="39"/>
        <v>2.0265780730897012</v>
      </c>
      <c r="Q77" s="179">
        <f t="shared" si="40"/>
        <v>0.771816153694872</v>
      </c>
      <c r="R77" s="179">
        <f t="shared" si="41"/>
        <v>0.419047619047619</v>
      </c>
    </row>
    <row r="78" spans="3:18" x14ac:dyDescent="0.2">
      <c r="C78" s="176">
        <v>72</v>
      </c>
      <c r="D78" s="6">
        <f t="shared" si="42"/>
        <v>38.76</v>
      </c>
      <c r="E78" s="454">
        <f t="shared" si="29"/>
        <v>15.75</v>
      </c>
      <c r="F78" s="223">
        <f t="shared" si="30"/>
        <v>0.28893780957622456</v>
      </c>
      <c r="G78" s="178">
        <f t="shared" si="31"/>
        <v>3.7797399559713809</v>
      </c>
      <c r="H78" s="223">
        <f t="shared" si="32"/>
        <v>0.75594799119427614</v>
      </c>
      <c r="I78" s="454">
        <f t="shared" si="33"/>
        <v>54.51</v>
      </c>
      <c r="J78" s="178">
        <f t="shared" si="34"/>
        <v>0.49606587274285929</v>
      </c>
      <c r="K78" s="178">
        <f t="shared" si="35"/>
        <v>0.56312947370190425</v>
      </c>
      <c r="L78" s="178">
        <f t="shared" si="36"/>
        <v>1.3858348190911625</v>
      </c>
      <c r="M78" s="454">
        <f t="shared" si="43"/>
        <v>350</v>
      </c>
      <c r="N78" s="203">
        <f t="shared" si="37"/>
        <v>350</v>
      </c>
      <c r="O78" s="223">
        <f t="shared" si="38"/>
        <v>0.72722269475158852</v>
      </c>
      <c r="P78" s="179">
        <f t="shared" si="39"/>
        <v>2.0316062583536443</v>
      </c>
      <c r="Q78" s="179">
        <f t="shared" si="40"/>
        <v>0.77565084338391777</v>
      </c>
      <c r="R78" s="179">
        <f t="shared" si="41"/>
        <v>0.419047619047619</v>
      </c>
    </row>
    <row r="79" spans="3:18" x14ac:dyDescent="0.2">
      <c r="C79" s="176">
        <v>73</v>
      </c>
      <c r="D79" s="6">
        <f t="shared" si="42"/>
        <v>39.090000000000003</v>
      </c>
      <c r="E79" s="454">
        <f t="shared" si="29"/>
        <v>15.75</v>
      </c>
      <c r="F79" s="223">
        <f t="shared" si="30"/>
        <v>0.28719912472647702</v>
      </c>
      <c r="G79" s="178">
        <f t="shared" si="31"/>
        <v>3.7889821526258207</v>
      </c>
      <c r="H79" s="223">
        <f t="shared" si="32"/>
        <v>0.7577964305251641</v>
      </c>
      <c r="I79" s="454">
        <f t="shared" si="33"/>
        <v>54.84</v>
      </c>
      <c r="J79" s="178">
        <f t="shared" si="34"/>
        <v>0.49485585428281764</v>
      </c>
      <c r="K79" s="178">
        <f t="shared" si="35"/>
        <v>0.55701349676244505</v>
      </c>
      <c r="L79" s="178">
        <f t="shared" si="36"/>
        <v>1.3824544500599349</v>
      </c>
      <c r="M79" s="454">
        <f t="shared" si="43"/>
        <v>350</v>
      </c>
      <c r="N79" s="203">
        <f t="shared" si="37"/>
        <v>350</v>
      </c>
      <c r="O79" s="223">
        <f t="shared" si="38"/>
        <v>0.729000895166103</v>
      </c>
      <c r="P79" s="179">
        <f t="shared" si="39"/>
        <v>2.0365739293529224</v>
      </c>
      <c r="Q79" s="179">
        <f t="shared" si="40"/>
        <v>0.77944871422436979</v>
      </c>
      <c r="R79" s="179">
        <f t="shared" si="41"/>
        <v>0.419047619047619</v>
      </c>
    </row>
    <row r="80" spans="3:18" x14ac:dyDescent="0.2">
      <c r="C80" s="176">
        <v>74</v>
      </c>
      <c r="D80" s="6">
        <f t="shared" si="42"/>
        <v>39.42</v>
      </c>
      <c r="E80" s="454">
        <f t="shared" si="29"/>
        <v>15.75</v>
      </c>
      <c r="F80" s="223">
        <f t="shared" si="30"/>
        <v>0.28548123980424145</v>
      </c>
      <c r="G80" s="178">
        <f t="shared" si="31"/>
        <v>3.7981137846655799</v>
      </c>
      <c r="H80" s="223">
        <f t="shared" si="32"/>
        <v>0.75962275693311598</v>
      </c>
      <c r="I80" s="454">
        <f t="shared" si="33"/>
        <v>55.17</v>
      </c>
      <c r="J80" s="178">
        <f t="shared" si="34"/>
        <v>0.49366609488375079</v>
      </c>
      <c r="K80" s="178">
        <f t="shared" si="35"/>
        <v>0.55102253107267973</v>
      </c>
      <c r="L80" s="178">
        <f t="shared" si="36"/>
        <v>1.3791306777704784</v>
      </c>
      <c r="M80" s="454">
        <f t="shared" si="43"/>
        <v>350</v>
      </c>
      <c r="N80" s="203">
        <f t="shared" si="37"/>
        <v>350</v>
      </c>
      <c r="O80" s="223">
        <f t="shared" si="38"/>
        <v>0.73075782292748037</v>
      </c>
      <c r="P80" s="179">
        <f t="shared" si="39"/>
        <v>2.0414821719878815</v>
      </c>
      <c r="Q80" s="179">
        <f t="shared" si="40"/>
        <v>0.7832102604622424</v>
      </c>
      <c r="R80" s="179">
        <f t="shared" si="41"/>
        <v>0.419047619047619</v>
      </c>
    </row>
    <row r="81" spans="3:18" x14ac:dyDescent="0.2">
      <c r="C81" s="176">
        <v>75</v>
      </c>
      <c r="D81" s="6">
        <f t="shared" si="42"/>
        <v>39.75</v>
      </c>
      <c r="E81" s="454">
        <f t="shared" si="29"/>
        <v>15.75</v>
      </c>
      <c r="F81" s="223">
        <f t="shared" si="30"/>
        <v>0.28378378378378377</v>
      </c>
      <c r="G81" s="178">
        <f t="shared" si="31"/>
        <v>3.8071368243243247</v>
      </c>
      <c r="H81" s="223">
        <f t="shared" si="32"/>
        <v>0.76142736486486495</v>
      </c>
      <c r="I81" s="454">
        <f t="shared" si="33"/>
        <v>55.5</v>
      </c>
      <c r="J81" s="178">
        <f t="shared" si="34"/>
        <v>0.4924960899803667</v>
      </c>
      <c r="K81" s="178">
        <f t="shared" si="35"/>
        <v>0.54515290463235566</v>
      </c>
      <c r="L81" s="178">
        <f t="shared" si="36"/>
        <v>1.3758620926435641</v>
      </c>
      <c r="M81" s="454">
        <f t="shared" si="43"/>
        <v>350</v>
      </c>
      <c r="N81" s="203">
        <f t="shared" si="37"/>
        <v>350</v>
      </c>
      <c r="O81" s="223">
        <f t="shared" si="38"/>
        <v>0.73249385749385754</v>
      </c>
      <c r="P81" s="179">
        <f t="shared" si="39"/>
        <v>2.0463320463320462</v>
      </c>
      <c r="Q81" s="179">
        <f t="shared" si="40"/>
        <v>0.78693596852380632</v>
      </c>
      <c r="R81" s="179">
        <f t="shared" si="41"/>
        <v>0.419047619047619</v>
      </c>
    </row>
    <row r="82" spans="3:18" x14ac:dyDescent="0.2">
      <c r="C82" s="176">
        <v>76</v>
      </c>
      <c r="D82" s="6">
        <f t="shared" si="42"/>
        <v>40.08</v>
      </c>
      <c r="E82" s="454">
        <f t="shared" si="29"/>
        <v>15.75</v>
      </c>
      <c r="F82" s="223">
        <f t="shared" si="30"/>
        <v>0.28210639441160668</v>
      </c>
      <c r="G82" s="178">
        <f t="shared" si="31"/>
        <v>3.8160531972058029</v>
      </c>
      <c r="H82" s="223">
        <f t="shared" si="32"/>
        <v>0.76321063944116063</v>
      </c>
      <c r="I82" s="454">
        <f t="shared" si="33"/>
        <v>55.83</v>
      </c>
      <c r="J82" s="178">
        <f t="shared" si="34"/>
        <v>0.4913453516247927</v>
      </c>
      <c r="K82" s="178">
        <f t="shared" si="35"/>
        <v>0.53940108461803593</v>
      </c>
      <c r="L82" s="178">
        <f t="shared" si="36"/>
        <v>1.3726473315232306</v>
      </c>
      <c r="M82" s="454">
        <f t="shared" si="43"/>
        <v>350</v>
      </c>
      <c r="N82" s="203">
        <f t="shared" si="37"/>
        <v>350</v>
      </c>
      <c r="O82" s="223">
        <f t="shared" si="38"/>
        <v>0.73420936935176595</v>
      </c>
      <c r="P82" s="179">
        <f t="shared" si="39"/>
        <v>2.0511245873954094</v>
      </c>
      <c r="Q82" s="179">
        <f t="shared" si="40"/>
        <v>0.79062631713107956</v>
      </c>
      <c r="R82" s="179">
        <f t="shared" si="41"/>
        <v>0.419047619047619</v>
      </c>
    </row>
    <row r="83" spans="3:18" x14ac:dyDescent="0.2">
      <c r="C83" s="176">
        <v>77</v>
      </c>
      <c r="D83" s="6">
        <f t="shared" si="42"/>
        <v>40.409999999999997</v>
      </c>
      <c r="E83" s="454">
        <f t="shared" si="29"/>
        <v>15.75</v>
      </c>
      <c r="F83" s="223">
        <f t="shared" si="30"/>
        <v>0.28044871794871795</v>
      </c>
      <c r="G83" s="178">
        <f t="shared" si="31"/>
        <v>3.8248647836538456</v>
      </c>
      <c r="H83" s="223">
        <f t="shared" si="32"/>
        <v>0.76497295673076915</v>
      </c>
      <c r="I83" s="454">
        <f t="shared" si="33"/>
        <v>56.16</v>
      </c>
      <c r="J83" s="178">
        <f t="shared" si="34"/>
        <v>0.49021340780806266</v>
      </c>
      <c r="K83" s="178">
        <f t="shared" si="35"/>
        <v>0.53376367096151345</v>
      </c>
      <c r="L83" s="178">
        <f t="shared" si="36"/>
        <v>1.3694850757812544</v>
      </c>
      <c r="M83" s="454">
        <f t="shared" si="43"/>
        <v>350</v>
      </c>
      <c r="N83" s="203">
        <f t="shared" si="37"/>
        <v>350</v>
      </c>
      <c r="O83" s="223">
        <f t="shared" si="38"/>
        <v>0.7359047202797202</v>
      </c>
      <c r="P83" s="179">
        <f t="shared" si="39"/>
        <v>2.0558608058608052</v>
      </c>
      <c r="Q83" s="179">
        <f t="shared" si="40"/>
        <v>0.79428177741729378</v>
      </c>
      <c r="R83" s="179">
        <f t="shared" si="41"/>
        <v>0.419047619047619</v>
      </c>
    </row>
    <row r="84" spans="3:18" x14ac:dyDescent="0.2">
      <c r="C84" s="176">
        <v>78</v>
      </c>
      <c r="D84" s="6">
        <f t="shared" si="42"/>
        <v>40.74</v>
      </c>
      <c r="E84" s="454">
        <f t="shared" si="29"/>
        <v>15.75</v>
      </c>
      <c r="F84" s="223">
        <f t="shared" si="30"/>
        <v>0.27881040892193309</v>
      </c>
      <c r="G84" s="178">
        <f t="shared" si="31"/>
        <v>3.8335734200743494</v>
      </c>
      <c r="H84" s="223">
        <f t="shared" si="32"/>
        <v>0.76671468401486986</v>
      </c>
      <c r="I84" s="454">
        <f t="shared" si="33"/>
        <v>56.49</v>
      </c>
      <c r="J84" s="178">
        <f t="shared" si="34"/>
        <v>0.48909980181457835</v>
      </c>
      <c r="K84" s="178">
        <f t="shared" si="35"/>
        <v>0.52823739027593142</v>
      </c>
      <c r="L84" s="178">
        <f t="shared" si="36"/>
        <v>1.3663740495137429</v>
      </c>
      <c r="M84" s="454">
        <f t="shared" si="43"/>
        <v>350</v>
      </c>
      <c r="N84" s="203">
        <f t="shared" si="37"/>
        <v>350</v>
      </c>
      <c r="O84" s="223">
        <f t="shared" si="38"/>
        <v>0.73758026360256856</v>
      </c>
      <c r="P84" s="179">
        <f t="shared" si="39"/>
        <v>2.0605416887944772</v>
      </c>
      <c r="Q84" s="179">
        <f t="shared" si="40"/>
        <v>0.79790281304218391</v>
      </c>
      <c r="R84" s="179">
        <f t="shared" si="41"/>
        <v>0.419047619047619</v>
      </c>
    </row>
    <row r="85" spans="3:18" x14ac:dyDescent="0.2">
      <c r="C85" s="176">
        <v>79</v>
      </c>
      <c r="D85" s="6">
        <f t="shared" si="42"/>
        <v>41.07</v>
      </c>
      <c r="E85" s="454">
        <f t="shared" si="29"/>
        <v>15.75</v>
      </c>
      <c r="F85" s="223">
        <f t="shared" si="30"/>
        <v>0.2771911298838437</v>
      </c>
      <c r="G85" s="178">
        <f t="shared" si="31"/>
        <v>3.8421809002111935</v>
      </c>
      <c r="H85" s="223">
        <f t="shared" si="32"/>
        <v>0.76843618004223868</v>
      </c>
      <c r="I85" s="454">
        <f t="shared" si="33"/>
        <v>56.82</v>
      </c>
      <c r="J85" s="178">
        <f t="shared" si="34"/>
        <v>0.4880040916076952</v>
      </c>
      <c r="K85" s="178">
        <f t="shared" si="35"/>
        <v>0.5228190901080737</v>
      </c>
      <c r="L85" s="178">
        <f t="shared" si="36"/>
        <v>1.3633130178246722</v>
      </c>
      <c r="M85" s="454">
        <f t="shared" si="43"/>
        <v>350</v>
      </c>
      <c r="N85" s="203">
        <f t="shared" si="37"/>
        <v>350</v>
      </c>
      <c r="O85" s="223">
        <f t="shared" si="38"/>
        <v>0.73923634443697805</v>
      </c>
      <c r="P85" s="179">
        <f t="shared" si="39"/>
        <v>2.065168200331875</v>
      </c>
      <c r="Q85" s="179">
        <f t="shared" si="40"/>
        <v>0.8014898803069348</v>
      </c>
      <c r="R85" s="179">
        <f t="shared" si="41"/>
        <v>0.419047619047619</v>
      </c>
    </row>
    <row r="86" spans="3:18" x14ac:dyDescent="0.2">
      <c r="C86" s="176">
        <v>80</v>
      </c>
      <c r="D86" s="6">
        <f t="shared" si="42"/>
        <v>41.400000000000006</v>
      </c>
      <c r="E86" s="454">
        <f t="shared" si="29"/>
        <v>15.75</v>
      </c>
      <c r="F86" s="223">
        <f t="shared" si="30"/>
        <v>0.27559055118110232</v>
      </c>
      <c r="G86" s="178">
        <f t="shared" si="31"/>
        <v>3.8506889763779526</v>
      </c>
      <c r="H86" s="223">
        <f t="shared" si="32"/>
        <v>0.77013779527559056</v>
      </c>
      <c r="I86" s="454">
        <f t="shared" si="33"/>
        <v>57.150000000000006</v>
      </c>
      <c r="J86" s="178">
        <f t="shared" si="34"/>
        <v>0.48692584924468985</v>
      </c>
      <c r="K86" s="178">
        <f t="shared" si="35"/>
        <v>0.51750573349677176</v>
      </c>
      <c r="L86" s="178">
        <f t="shared" si="36"/>
        <v>1.3603007851915145</v>
      </c>
      <c r="M86" s="454">
        <f t="shared" si="43"/>
        <v>350</v>
      </c>
      <c r="N86" s="203">
        <f t="shared" si="37"/>
        <v>350</v>
      </c>
      <c r="O86" s="223">
        <f t="shared" si="38"/>
        <v>0.74087329992841811</v>
      </c>
      <c r="P86" s="179">
        <f t="shared" si="39"/>
        <v>2.0697412823397077</v>
      </c>
      <c r="Q86" s="179">
        <f t="shared" si="40"/>
        <v>0.80504342826867492</v>
      </c>
      <c r="R86" s="179">
        <f t="shared" si="41"/>
        <v>0.419047619047619</v>
      </c>
    </row>
    <row r="87" spans="3:18" x14ac:dyDescent="0.2">
      <c r="C87" s="176">
        <v>81</v>
      </c>
      <c r="D87" s="6">
        <f t="shared" si="42"/>
        <v>41.730000000000004</v>
      </c>
      <c r="E87" s="454">
        <f t="shared" si="29"/>
        <v>15.75</v>
      </c>
      <c r="F87" s="223">
        <f t="shared" si="30"/>
        <v>0.27400835073068891</v>
      </c>
      <c r="G87" s="178">
        <f t="shared" si="31"/>
        <v>3.859099360647182</v>
      </c>
      <c r="H87" s="223">
        <f t="shared" si="32"/>
        <v>0.77181987212943637</v>
      </c>
      <c r="I87" s="454">
        <f t="shared" si="33"/>
        <v>57.480000000000004</v>
      </c>
      <c r="J87" s="178">
        <f t="shared" si="34"/>
        <v>0.48586466031948905</v>
      </c>
      <c r="K87" s="178">
        <f t="shared" si="35"/>
        <v>0.51229439381877584</v>
      </c>
      <c r="L87" s="178">
        <f t="shared" si="36"/>
        <v>1.3573361939084139</v>
      </c>
      <c r="M87" s="454">
        <f t="shared" si="43"/>
        <v>350</v>
      </c>
      <c r="N87" s="203">
        <f t="shared" si="37"/>
        <v>350</v>
      </c>
      <c r="O87" s="223">
        <f t="shared" si="38"/>
        <v>0.7424914594799773</v>
      </c>
      <c r="P87" s="179">
        <f t="shared" si="39"/>
        <v>2.074261855055175</v>
      </c>
      <c r="Q87" s="179">
        <f t="shared" si="40"/>
        <v>0.80856389885436997</v>
      </c>
      <c r="R87" s="179">
        <f t="shared" si="41"/>
        <v>0.419047619047619</v>
      </c>
    </row>
    <row r="88" spans="3:18" x14ac:dyDescent="0.2">
      <c r="C88" s="176">
        <v>82</v>
      </c>
      <c r="D88" s="6">
        <f t="shared" si="42"/>
        <v>42.06</v>
      </c>
      <c r="E88" s="454">
        <f t="shared" si="29"/>
        <v>15.75</v>
      </c>
      <c r="F88" s="223">
        <f t="shared" si="30"/>
        <v>0.27244421380384015</v>
      </c>
      <c r="G88" s="178">
        <f t="shared" si="31"/>
        <v>3.8674137259989627</v>
      </c>
      <c r="H88" s="223">
        <f t="shared" si="32"/>
        <v>0.77348274519979254</v>
      </c>
      <c r="I88" s="454">
        <f t="shared" si="33"/>
        <v>57.81</v>
      </c>
      <c r="J88" s="178">
        <f t="shared" si="34"/>
        <v>0.48482012343163078</v>
      </c>
      <c r="K88" s="178">
        <f t="shared" si="35"/>
        <v>0.50718224990470162</v>
      </c>
      <c r="L88" s="178">
        <f t="shared" si="36"/>
        <v>1.354418122602651</v>
      </c>
      <c r="M88" s="454">
        <f t="shared" si="43"/>
        <v>350</v>
      </c>
      <c r="N88" s="203">
        <f t="shared" si="37"/>
        <v>350</v>
      </c>
      <c r="O88" s="223">
        <f t="shared" si="38"/>
        <v>0.74409114497334528</v>
      </c>
      <c r="P88" s="179">
        <f t="shared" si="39"/>
        <v>2.0787308177033137</v>
      </c>
      <c r="Q88" s="179">
        <f t="shared" si="40"/>
        <v>0.8120517269740245</v>
      </c>
      <c r="R88" s="179">
        <f t="shared" si="41"/>
        <v>0.419047619047619</v>
      </c>
    </row>
    <row r="89" spans="3:18" x14ac:dyDescent="0.2">
      <c r="C89" s="176">
        <v>83</v>
      </c>
      <c r="D89" s="6">
        <f t="shared" si="42"/>
        <v>42.39</v>
      </c>
      <c r="E89" s="454">
        <f t="shared" si="29"/>
        <v>15.75</v>
      </c>
      <c r="F89" s="223">
        <f t="shared" si="30"/>
        <v>0.27089783281733748</v>
      </c>
      <c r="G89" s="178">
        <f t="shared" si="31"/>
        <v>3.8756337074303402</v>
      </c>
      <c r="H89" s="223">
        <f t="shared" si="32"/>
        <v>0.77512674148606808</v>
      </c>
      <c r="I89" s="454">
        <f t="shared" si="33"/>
        <v>58.14</v>
      </c>
      <c r="J89" s="178">
        <f t="shared" si="34"/>
        <v>0.48379184968003081</v>
      </c>
      <c r="K89" s="178">
        <f t="shared" si="35"/>
        <v>0.50216658140885484</v>
      </c>
      <c r="L89" s="178">
        <f t="shared" si="36"/>
        <v>1.3515454848204036</v>
      </c>
      <c r="M89" s="454">
        <f t="shared" si="43"/>
        <v>350</v>
      </c>
      <c r="N89" s="203">
        <f t="shared" si="37"/>
        <v>350</v>
      </c>
      <c r="O89" s="223">
        <f t="shared" si="38"/>
        <v>0.74567267098226853</v>
      </c>
      <c r="P89" s="179">
        <f t="shared" si="39"/>
        <v>2.083149049093322</v>
      </c>
      <c r="Q89" s="179">
        <f t="shared" si="40"/>
        <v>0.81550734063308483</v>
      </c>
      <c r="R89" s="179">
        <f t="shared" si="41"/>
        <v>0.419047619047619</v>
      </c>
    </row>
    <row r="90" spans="3:18" x14ac:dyDescent="0.2">
      <c r="C90" s="176">
        <v>84</v>
      </c>
      <c r="D90" s="6">
        <f t="shared" si="42"/>
        <v>42.72</v>
      </c>
      <c r="E90" s="454">
        <f t="shared" si="29"/>
        <v>15.75</v>
      </c>
      <c r="F90" s="223">
        <f t="shared" si="30"/>
        <v>0.26936890713186251</v>
      </c>
      <c r="G90" s="178">
        <f t="shared" si="31"/>
        <v>3.8837609030271936</v>
      </c>
      <c r="H90" s="223">
        <f t="shared" si="32"/>
        <v>0.77675218060543871</v>
      </c>
      <c r="I90" s="454">
        <f t="shared" si="33"/>
        <v>58.47</v>
      </c>
      <c r="J90" s="178">
        <f t="shared" si="34"/>
        <v>0.48277946218021117</v>
      </c>
      <c r="K90" s="178">
        <f t="shared" si="35"/>
        <v>0.49724476441782045</v>
      </c>
      <c r="L90" s="178">
        <f t="shared" si="36"/>
        <v>1.3487172276780501</v>
      </c>
      <c r="M90" s="454">
        <f t="shared" si="43"/>
        <v>350</v>
      </c>
      <c r="N90" s="203">
        <f t="shared" si="37"/>
        <v>350</v>
      </c>
      <c r="O90" s="223">
        <f t="shared" si="38"/>
        <v>0.747236344978777</v>
      </c>
      <c r="P90" s="179">
        <f t="shared" si="39"/>
        <v>2.0875174081946781</v>
      </c>
      <c r="Q90" s="179">
        <f t="shared" si="40"/>
        <v>0.81893116104395458</v>
      </c>
      <c r="R90" s="179">
        <f t="shared" si="41"/>
        <v>0.419047619047619</v>
      </c>
    </row>
    <row r="91" spans="3:18" x14ac:dyDescent="0.2">
      <c r="C91" s="176">
        <v>85</v>
      </c>
      <c r="D91" s="6">
        <f t="shared" si="42"/>
        <v>43.05</v>
      </c>
      <c r="E91" s="454">
        <f t="shared" si="29"/>
        <v>15.75</v>
      </c>
      <c r="F91" s="223">
        <f t="shared" si="30"/>
        <v>0.26785714285714285</v>
      </c>
      <c r="G91" s="178">
        <f t="shared" si="31"/>
        <v>3.8917968749999994</v>
      </c>
      <c r="H91" s="223">
        <f t="shared" si="32"/>
        <v>0.77835937499999985</v>
      </c>
      <c r="I91" s="454">
        <f t="shared" si="33"/>
        <v>58.8</v>
      </c>
      <c r="J91" s="178">
        <f t="shared" si="34"/>
        <v>0.48178259560373388</v>
      </c>
      <c r="K91" s="178">
        <f t="shared" si="35"/>
        <v>0.49241426728372345</v>
      </c>
      <c r="L91" s="178">
        <f t="shared" si="36"/>
        <v>1.3459323305755106</v>
      </c>
      <c r="M91" s="454">
        <f t="shared" si="43"/>
        <v>350</v>
      </c>
      <c r="N91" s="203">
        <f t="shared" si="37"/>
        <v>350</v>
      </c>
      <c r="O91" s="223">
        <f t="shared" si="38"/>
        <v>0.74878246753246747</v>
      </c>
      <c r="P91" s="179">
        <f t="shared" si="39"/>
        <v>2.0918367346938771</v>
      </c>
      <c r="Q91" s="179">
        <f t="shared" si="40"/>
        <v>0.82232360273654903</v>
      </c>
      <c r="R91" s="179">
        <f t="shared" si="41"/>
        <v>0.419047619047619</v>
      </c>
    </row>
    <row r="92" spans="3:18" x14ac:dyDescent="0.2">
      <c r="C92" s="176">
        <v>86</v>
      </c>
      <c r="D92" s="6">
        <f t="shared" si="42"/>
        <v>43.379999999999995</v>
      </c>
      <c r="E92" s="454">
        <f t="shared" si="29"/>
        <v>15.75</v>
      </c>
      <c r="F92" s="223">
        <f t="shared" si="30"/>
        <v>0.26636225266362257</v>
      </c>
      <c r="G92" s="178">
        <f t="shared" si="31"/>
        <v>3.899743150684932</v>
      </c>
      <c r="H92" s="223">
        <f t="shared" si="32"/>
        <v>0.77994863013698645</v>
      </c>
      <c r="I92" s="454">
        <f t="shared" si="33"/>
        <v>59.129999999999995</v>
      </c>
      <c r="J92" s="178">
        <f t="shared" si="34"/>
        <v>0.48080089573865509</v>
      </c>
      <c r="K92" s="178">
        <f t="shared" si="35"/>
        <v>0.48767264666899096</v>
      </c>
      <c r="L92" s="178">
        <f t="shared" si="36"/>
        <v>1.3431898039683063</v>
      </c>
      <c r="M92" s="454">
        <f t="shared" si="43"/>
        <v>350</v>
      </c>
      <c r="N92" s="203">
        <f t="shared" si="37"/>
        <v>350</v>
      </c>
      <c r="O92" s="223">
        <f t="shared" si="38"/>
        <v>0.75031133250311333</v>
      </c>
      <c r="P92" s="179">
        <f t="shared" si="39"/>
        <v>2.0961078495325074</v>
      </c>
      <c r="Q92" s="179">
        <f t="shared" si="40"/>
        <v>0.82568507366780985</v>
      </c>
      <c r="R92" s="179">
        <f t="shared" si="41"/>
        <v>0.419047619047619</v>
      </c>
    </row>
    <row r="93" spans="3:18" x14ac:dyDescent="0.2">
      <c r="C93" s="176">
        <v>87</v>
      </c>
      <c r="D93" s="6">
        <f t="shared" si="42"/>
        <v>43.71</v>
      </c>
      <c r="E93" s="454">
        <f t="shared" si="29"/>
        <v>15.75</v>
      </c>
      <c r="F93" s="223">
        <f t="shared" si="30"/>
        <v>0.26488395560040362</v>
      </c>
      <c r="G93" s="178">
        <f t="shared" si="31"/>
        <v>3.907601223511604</v>
      </c>
      <c r="H93" s="223">
        <f t="shared" si="32"/>
        <v>0.78152024470232084</v>
      </c>
      <c r="I93" s="454">
        <f t="shared" si="33"/>
        <v>59.46</v>
      </c>
      <c r="J93" s="178">
        <f t="shared" si="34"/>
        <v>0.47983401906989193</v>
      </c>
      <c r="K93" s="178">
        <f t="shared" si="35"/>
        <v>0.48301754379032807</v>
      </c>
      <c r="L93" s="178">
        <f t="shared" si="36"/>
        <v>1.3404886881952536</v>
      </c>
      <c r="M93" s="454">
        <f t="shared" si="43"/>
        <v>350</v>
      </c>
      <c r="N93" s="203">
        <f t="shared" si="37"/>
        <v>350</v>
      </c>
      <c r="O93" s="223">
        <f t="shared" si="38"/>
        <v>0.7518232272268599</v>
      </c>
      <c r="P93" s="179">
        <f t="shared" si="39"/>
        <v>2.100331555427418</v>
      </c>
      <c r="Q93" s="179">
        <f t="shared" si="40"/>
        <v>0.82901597533012206</v>
      </c>
      <c r="R93" s="179">
        <f t="shared" si="41"/>
        <v>0.419047619047619</v>
      </c>
    </row>
    <row r="94" spans="3:18" x14ac:dyDescent="0.2">
      <c r="C94" s="176">
        <v>88</v>
      </c>
      <c r="D94" s="6">
        <f t="shared" si="42"/>
        <v>44.04</v>
      </c>
      <c r="E94" s="454">
        <f t="shared" si="29"/>
        <v>15.75</v>
      </c>
      <c r="F94" s="223">
        <f t="shared" si="30"/>
        <v>0.26342197691921726</v>
      </c>
      <c r="G94" s="178">
        <f t="shared" si="31"/>
        <v>3.915372553938786</v>
      </c>
      <c r="H94" s="223">
        <f t="shared" si="32"/>
        <v>0.78307451078775725</v>
      </c>
      <c r="I94" s="454">
        <f t="shared" si="33"/>
        <v>59.79</v>
      </c>
      <c r="J94" s="178">
        <f t="shared" si="34"/>
        <v>0.47888163237845344</v>
      </c>
      <c r="K94" s="178">
        <f t="shared" si="35"/>
        <v>0.47844668085040759</v>
      </c>
      <c r="L94" s="178">
        <f t="shared" si="36"/>
        <v>1.3378280523588539</v>
      </c>
      <c r="M94" s="454">
        <f t="shared" si="43"/>
        <v>350</v>
      </c>
      <c r="N94" s="203">
        <f t="shared" si="37"/>
        <v>350</v>
      </c>
      <c r="O94" s="223">
        <f t="shared" si="38"/>
        <v>0.75331843269625509</v>
      </c>
      <c r="P94" s="179">
        <f t="shared" si="39"/>
        <v>2.1045086373736646</v>
      </c>
      <c r="Q94" s="179">
        <f t="shared" si="40"/>
        <v>0.83231670285858173</v>
      </c>
      <c r="R94" s="179">
        <f t="shared" si="41"/>
        <v>0.419047619047619</v>
      </c>
    </row>
    <row r="95" spans="3:18" x14ac:dyDescent="0.2">
      <c r="C95" s="176">
        <v>89</v>
      </c>
      <c r="D95" s="6">
        <f t="shared" si="42"/>
        <v>44.370000000000005</v>
      </c>
      <c r="E95" s="454">
        <f t="shared" si="29"/>
        <v>15.75</v>
      </c>
      <c r="F95" s="223">
        <f t="shared" si="30"/>
        <v>0.2619760479041916</v>
      </c>
      <c r="G95" s="178">
        <f t="shared" si="31"/>
        <v>3.9230585703592822</v>
      </c>
      <c r="H95" s="223">
        <f t="shared" si="32"/>
        <v>0.78461171407185648</v>
      </c>
      <c r="I95" s="454">
        <f t="shared" si="33"/>
        <v>60.120000000000005</v>
      </c>
      <c r="J95" s="178">
        <f t="shared" si="34"/>
        <v>0.47794341235855764</v>
      </c>
      <c r="K95" s="178">
        <f t="shared" si="35"/>
        <v>0.47395785764652992</v>
      </c>
      <c r="L95" s="178">
        <f t="shared" si="36"/>
        <v>1.335206993255653</v>
      </c>
      <c r="M95" s="454">
        <f t="shared" si="43"/>
        <v>350</v>
      </c>
      <c r="N95" s="203">
        <f t="shared" si="37"/>
        <v>350</v>
      </c>
      <c r="O95" s="223">
        <f t="shared" si="38"/>
        <v>0.75479722373434954</v>
      </c>
      <c r="P95" s="179">
        <f t="shared" si="39"/>
        <v>2.1086398631308811</v>
      </c>
      <c r="Q95" s="179">
        <f t="shared" si="40"/>
        <v>0.83558764513705319</v>
      </c>
      <c r="R95" s="179">
        <f t="shared" si="41"/>
        <v>0.419047619047619</v>
      </c>
    </row>
    <row r="96" spans="3:18" x14ac:dyDescent="0.2">
      <c r="C96" s="176">
        <v>90</v>
      </c>
      <c r="D96" s="6">
        <f t="shared" si="42"/>
        <v>44.7</v>
      </c>
      <c r="E96" s="454">
        <f t="shared" si="29"/>
        <v>15.75</v>
      </c>
      <c r="F96" s="223">
        <f t="shared" si="30"/>
        <v>0.26054590570719599</v>
      </c>
      <c r="G96" s="178">
        <f t="shared" si="31"/>
        <v>3.9306606699751856</v>
      </c>
      <c r="H96" s="223">
        <f t="shared" si="32"/>
        <v>0.78613213399503712</v>
      </c>
      <c r="I96" s="454">
        <f t="shared" si="33"/>
        <v>60.45</v>
      </c>
      <c r="J96" s="178">
        <f t="shared" si="34"/>
        <v>0.47701904525170746</v>
      </c>
      <c r="K96" s="178">
        <f t="shared" si="35"/>
        <v>0.4695489483461997</v>
      </c>
      <c r="L96" s="178">
        <f t="shared" si="36"/>
        <v>1.3326246343539763</v>
      </c>
      <c r="M96" s="454">
        <f t="shared" si="43"/>
        <v>350</v>
      </c>
      <c r="N96" s="203">
        <f t="shared" si="37"/>
        <v>350</v>
      </c>
      <c r="O96" s="223">
        <f t="shared" si="38"/>
        <v>0.75625986916309496</v>
      </c>
      <c r="P96" s="179">
        <f t="shared" si="39"/>
        <v>2.1127259836937253</v>
      </c>
      <c r="Q96" s="179">
        <f t="shared" si="40"/>
        <v>0.83882918490298608</v>
      </c>
      <c r="R96" s="179">
        <f t="shared" si="41"/>
        <v>0.419047619047619</v>
      </c>
    </row>
    <row r="97" spans="3:18" x14ac:dyDescent="0.2">
      <c r="C97" s="176">
        <v>91</v>
      </c>
      <c r="D97" s="6">
        <f t="shared" si="42"/>
        <v>45.03</v>
      </c>
      <c r="E97" s="454">
        <f t="shared" si="29"/>
        <v>15.75</v>
      </c>
      <c r="F97" s="223">
        <f t="shared" si="30"/>
        <v>0.25913129318854888</v>
      </c>
      <c r="G97" s="178">
        <f t="shared" si="31"/>
        <v>3.9381802196446207</v>
      </c>
      <c r="H97" s="223">
        <f t="shared" si="32"/>
        <v>0.78763604392892417</v>
      </c>
      <c r="I97" s="454">
        <f t="shared" si="33"/>
        <v>60.78</v>
      </c>
      <c r="J97" s="178">
        <f t="shared" si="34"/>
        <v>0.47610822649685625</v>
      </c>
      <c r="K97" s="178">
        <f t="shared" si="35"/>
        <v>0.4652178984202015</v>
      </c>
      <c r="L97" s="178">
        <f t="shared" si="36"/>
        <v>1.3300801248166141</v>
      </c>
      <c r="M97" s="454">
        <f t="shared" si="43"/>
        <v>350</v>
      </c>
      <c r="N97" s="203">
        <f t="shared" si="37"/>
        <v>350</v>
      </c>
      <c r="O97" s="223">
        <f t="shared" si="38"/>
        <v>0.75770663196625698</v>
      </c>
      <c r="P97" s="179">
        <f t="shared" si="39"/>
        <v>2.1167677337470034</v>
      </c>
      <c r="Q97" s="179">
        <f t="shared" si="40"/>
        <v>0.84204169885095148</v>
      </c>
      <c r="R97" s="179">
        <f t="shared" si="41"/>
        <v>0.419047619047619</v>
      </c>
    </row>
    <row r="98" spans="3:18" x14ac:dyDescent="0.2">
      <c r="C98" s="176">
        <v>92</v>
      </c>
      <c r="D98" s="6">
        <f t="shared" si="42"/>
        <v>45.36</v>
      </c>
      <c r="E98" s="454">
        <f t="shared" si="29"/>
        <v>15.75</v>
      </c>
      <c r="F98" s="223">
        <f t="shared" si="30"/>
        <v>0.25773195876288663</v>
      </c>
      <c r="G98" s="178">
        <f t="shared" si="31"/>
        <v>3.9456185567010316</v>
      </c>
      <c r="H98" s="223">
        <f t="shared" si="32"/>
        <v>0.78912371134020631</v>
      </c>
      <c r="I98" s="454">
        <f t="shared" si="33"/>
        <v>61.11</v>
      </c>
      <c r="J98" s="178">
        <f t="shared" si="34"/>
        <v>0.47521066039584559</v>
      </c>
      <c r="K98" s="178">
        <f t="shared" si="35"/>
        <v>0.46096272172436514</v>
      </c>
      <c r="L98" s="178">
        <f t="shared" si="36"/>
        <v>1.3275726385661717</v>
      </c>
      <c r="M98" s="454">
        <f t="shared" si="43"/>
        <v>350</v>
      </c>
      <c r="N98" s="203">
        <f t="shared" si="37"/>
        <v>350</v>
      </c>
      <c r="O98" s="223">
        <f t="shared" si="38"/>
        <v>0.75913776944704781</v>
      </c>
      <c r="P98" s="179">
        <f t="shared" si="39"/>
        <v>2.1207658321060388</v>
      </c>
      <c r="Q98" s="179">
        <f t="shared" si="40"/>
        <v>0.84522555773485764</v>
      </c>
      <c r="R98" s="179">
        <f t="shared" si="41"/>
        <v>0.419047619047619</v>
      </c>
    </row>
    <row r="99" spans="3:18" x14ac:dyDescent="0.2">
      <c r="C99" s="176">
        <v>93</v>
      </c>
      <c r="D99" s="6">
        <f t="shared" si="42"/>
        <v>45.69</v>
      </c>
      <c r="E99" s="454">
        <f t="shared" si="29"/>
        <v>15.75</v>
      </c>
      <c r="F99" s="223">
        <f t="shared" si="30"/>
        <v>0.25634765625</v>
      </c>
      <c r="G99" s="178">
        <f t="shared" si="31"/>
        <v>3.952976989746094</v>
      </c>
      <c r="H99" s="223">
        <f t="shared" si="32"/>
        <v>0.79059539794921885</v>
      </c>
      <c r="I99" s="454">
        <f t="shared" si="33"/>
        <v>61.44</v>
      </c>
      <c r="J99" s="178">
        <f t="shared" si="34"/>
        <v>0.47432605979333925</v>
      </c>
      <c r="K99" s="178">
        <f t="shared" si="35"/>
        <v>0.45678149772175375</v>
      </c>
      <c r="L99" s="178">
        <f t="shared" si="36"/>
        <v>1.3251013733909158</v>
      </c>
      <c r="M99" s="454">
        <f t="shared" si="43"/>
        <v>350</v>
      </c>
      <c r="N99" s="203">
        <f t="shared" si="37"/>
        <v>350</v>
      </c>
      <c r="O99" s="223">
        <f t="shared" si="38"/>
        <v>0.76055353338068188</v>
      </c>
      <c r="P99" s="179">
        <f t="shared" si="39"/>
        <v>2.1247209821428572</v>
      </c>
      <c r="Q99" s="179">
        <f t="shared" si="40"/>
        <v>0.8483811264688319</v>
      </c>
      <c r="R99" s="179">
        <f t="shared" si="41"/>
        <v>0.419047619047619</v>
      </c>
    </row>
    <row r="100" spans="3:18" x14ac:dyDescent="0.2">
      <c r="C100" s="176">
        <v>94</v>
      </c>
      <c r="D100" s="6">
        <f t="shared" si="42"/>
        <v>46.019999999999996</v>
      </c>
      <c r="E100" s="454">
        <f t="shared" si="29"/>
        <v>15.75</v>
      </c>
      <c r="F100" s="223">
        <f t="shared" si="30"/>
        <v>0.25497814473045172</v>
      </c>
      <c r="G100" s="178">
        <f t="shared" si="31"/>
        <v>3.9602567994171931</v>
      </c>
      <c r="H100" s="223">
        <f t="shared" si="32"/>
        <v>0.79205135988343867</v>
      </c>
      <c r="I100" s="454">
        <f t="shared" si="33"/>
        <v>61.769999999999996</v>
      </c>
      <c r="J100" s="178">
        <f t="shared" si="34"/>
        <v>0.47345414577052991</v>
      </c>
      <c r="K100" s="178">
        <f t="shared" si="35"/>
        <v>0.45267236883753398</v>
      </c>
      <c r="L100" s="178">
        <f t="shared" si="36"/>
        <v>1.3226655500890994</v>
      </c>
      <c r="M100" s="454">
        <f t="shared" si="43"/>
        <v>350</v>
      </c>
      <c r="N100" s="203">
        <f t="shared" si="37"/>
        <v>350</v>
      </c>
      <c r="O100" s="223">
        <f t="shared" si="38"/>
        <v>0.76195417016203815</v>
      </c>
      <c r="P100" s="179">
        <f t="shared" si="39"/>
        <v>2.1286338721987095</v>
      </c>
      <c r="Q100" s="179">
        <f t="shared" si="40"/>
        <v>0.85150876422673627</v>
      </c>
      <c r="R100" s="179">
        <f t="shared" si="41"/>
        <v>0.419047619047619</v>
      </c>
    </row>
    <row r="101" spans="3:18" x14ac:dyDescent="0.2">
      <c r="C101" s="176">
        <v>95</v>
      </c>
      <c r="D101" s="6">
        <f t="shared" si="42"/>
        <v>46.349999999999994</v>
      </c>
      <c r="E101" s="454">
        <f t="shared" si="29"/>
        <v>15.75</v>
      </c>
      <c r="F101" s="223">
        <f t="shared" si="30"/>
        <v>0.25362318840579712</v>
      </c>
      <c r="G101" s="178">
        <f t="shared" si="31"/>
        <v>3.9674592391304349</v>
      </c>
      <c r="H101" s="223">
        <f t="shared" si="32"/>
        <v>0.79349184782608695</v>
      </c>
      <c r="I101" s="454">
        <f t="shared" si="33"/>
        <v>62.099999999999994</v>
      </c>
      <c r="J101" s="178">
        <f t="shared" si="34"/>
        <v>0.47259464735192896</v>
      </c>
      <c r="K101" s="178">
        <f t="shared" si="35"/>
        <v>0.4486335379392638</v>
      </c>
      <c r="L101" s="178">
        <f t="shared" si="36"/>
        <v>1.3202644116498334</v>
      </c>
      <c r="M101" s="454">
        <f t="shared" si="43"/>
        <v>350</v>
      </c>
      <c r="N101" s="203">
        <f t="shared" si="37"/>
        <v>350</v>
      </c>
      <c r="O101" s="223">
        <f t="shared" si="38"/>
        <v>0.76333992094861658</v>
      </c>
      <c r="P101" s="179">
        <f t="shared" si="39"/>
        <v>2.1325051759834368</v>
      </c>
      <c r="Q101" s="179">
        <f t="shared" si="40"/>
        <v>0.85460882454029896</v>
      </c>
      <c r="R101" s="179">
        <f t="shared" si="41"/>
        <v>0.419047619047619</v>
      </c>
    </row>
    <row r="102" spans="3:18" x14ac:dyDescent="0.2">
      <c r="C102" s="176">
        <v>96</v>
      </c>
      <c r="D102" s="6">
        <f t="shared" si="42"/>
        <v>46.68</v>
      </c>
      <c r="E102" s="454">
        <f t="shared" si="29"/>
        <v>15.75</v>
      </c>
      <c r="F102" s="223">
        <f t="shared" si="30"/>
        <v>0.25228255646323883</v>
      </c>
      <c r="G102" s="178">
        <f t="shared" ref="G102:G106" si="44">F102*D102*Isw_max*0.5*Efficiency</f>
        <v>3.9745855358000961</v>
      </c>
      <c r="H102" s="223">
        <f t="shared" ref="H102:H106" si="45">G102/Vout</f>
        <v>0.79491710716001918</v>
      </c>
      <c r="I102" s="454">
        <f t="shared" si="33"/>
        <v>62.43</v>
      </c>
      <c r="J102" s="178">
        <f t="shared" si="34"/>
        <v>0.47174730122459341</v>
      </c>
      <c r="K102" s="178">
        <f t="shared" ref="K102:K106" si="46">L*J102/D102*1000000</f>
        <v>0.44466326593577787</v>
      </c>
      <c r="L102" s="178">
        <f t="shared" si="36"/>
        <v>1.3178972224687053</v>
      </c>
      <c r="M102" s="454">
        <f t="shared" si="43"/>
        <v>350</v>
      </c>
      <c r="N102" s="203">
        <f t="shared" si="37"/>
        <v>350</v>
      </c>
      <c r="O102" s="223">
        <f t="shared" ref="O102:O106" si="47">1/((N102*1000*L)*(1/D102+1/E102))</f>
        <v>0.76471102179896022</v>
      </c>
      <c r="P102" s="179">
        <f t="shared" ref="P102:P106" si="48">L*O102/E102*1000000</f>
        <v>2.1363355529621741</v>
      </c>
      <c r="Q102" s="179">
        <f t="shared" ref="Q102:Q106" si="49">0.5*P102*O102*Nps*N102/1000</f>
        <v>0.85768165539585428</v>
      </c>
      <c r="R102" s="179">
        <f t="shared" si="41"/>
        <v>0.419047619047619</v>
      </c>
    </row>
    <row r="103" spans="3:18" x14ac:dyDescent="0.2">
      <c r="C103" s="176">
        <v>97</v>
      </c>
      <c r="D103" s="6">
        <f t="shared" ref="D103:D106" si="50">C103/100*(VIN_max-VIN_min)+VIN_min</f>
        <v>47.01</v>
      </c>
      <c r="E103" s="454">
        <f t="shared" si="29"/>
        <v>15.75</v>
      </c>
      <c r="F103" s="223">
        <f t="shared" si="30"/>
        <v>0.25095602294455066</v>
      </c>
      <c r="G103" s="178">
        <f t="shared" si="44"/>
        <v>3.9816368905353734</v>
      </c>
      <c r="H103" s="223">
        <f t="shared" si="45"/>
        <v>0.79632737810707466</v>
      </c>
      <c r="I103" s="454">
        <f t="shared" si="33"/>
        <v>62.76</v>
      </c>
      <c r="J103" s="178">
        <f t="shared" si="34"/>
        <v>0.47091185146917974</v>
      </c>
      <c r="K103" s="178">
        <f t="shared" si="46"/>
        <v>0.44075986948827711</v>
      </c>
      <c r="L103" s="178">
        <f t="shared" si="36"/>
        <v>1.3155632675964384</v>
      </c>
      <c r="M103" s="454">
        <f t="shared" si="43"/>
        <v>350</v>
      </c>
      <c r="N103" s="203">
        <f t="shared" si="37"/>
        <v>350</v>
      </c>
      <c r="O103" s="223">
        <f t="shared" si="47"/>
        <v>0.76606770380670952</v>
      </c>
      <c r="P103" s="179">
        <f t="shared" si="48"/>
        <v>2.140125648729855</v>
      </c>
      <c r="Q103" s="179">
        <f t="shared" si="49"/>
        <v>0.86072759932967036</v>
      </c>
      <c r="R103" s="179">
        <f t="shared" si="41"/>
        <v>0.419047619047619</v>
      </c>
    </row>
    <row r="104" spans="3:18" x14ac:dyDescent="0.2">
      <c r="C104" s="176">
        <v>98</v>
      </c>
      <c r="D104" s="6">
        <f t="shared" si="50"/>
        <v>47.339999999999996</v>
      </c>
      <c r="E104" s="454">
        <f t="shared" si="29"/>
        <v>15.75</v>
      </c>
      <c r="F104" s="223">
        <f t="shared" si="30"/>
        <v>0.24964336661911557</v>
      </c>
      <c r="G104" s="178">
        <f t="shared" si="44"/>
        <v>3.9886144793152645</v>
      </c>
      <c r="H104" s="223">
        <f t="shared" si="45"/>
        <v>0.79772289586305289</v>
      </c>
      <c r="I104" s="454">
        <f t="shared" si="33"/>
        <v>63.089999999999996</v>
      </c>
      <c r="J104" s="178">
        <f t="shared" si="34"/>
        <v>0.47008804930224452</v>
      </c>
      <c r="K104" s="178">
        <f t="shared" si="46"/>
        <v>0.43692171882760372</v>
      </c>
      <c r="L104" s="178">
        <f t="shared" si="36"/>
        <v>1.3132618520189687</v>
      </c>
      <c r="M104" s="454">
        <f t="shared" si="43"/>
        <v>350</v>
      </c>
      <c r="N104" s="203">
        <f t="shared" si="37"/>
        <v>350</v>
      </c>
      <c r="O104" s="223">
        <f t="shared" si="47"/>
        <v>0.76741019323045001</v>
      </c>
      <c r="P104" s="179">
        <f t="shared" si="48"/>
        <v>2.1438760953739555</v>
      </c>
      <c r="Q104" s="179">
        <f t="shared" si="49"/>
        <v>0.86374699352186168</v>
      </c>
      <c r="R104" s="179">
        <f t="shared" si="41"/>
        <v>0.419047619047619</v>
      </c>
    </row>
    <row r="105" spans="3:18" x14ac:dyDescent="0.2">
      <c r="C105" s="176">
        <v>99</v>
      </c>
      <c r="D105" s="6">
        <f t="shared" si="50"/>
        <v>47.67</v>
      </c>
      <c r="E105" s="454">
        <f t="shared" si="29"/>
        <v>15.75</v>
      </c>
      <c r="F105" s="223">
        <f t="shared" si="30"/>
        <v>0.24834437086092714</v>
      </c>
      <c r="G105" s="178">
        <f t="shared" si="44"/>
        <v>3.9955194536423839</v>
      </c>
      <c r="H105" s="223">
        <f t="shared" si="45"/>
        <v>0.79910389072847676</v>
      </c>
      <c r="I105" s="454">
        <f t="shared" si="33"/>
        <v>63.42</v>
      </c>
      <c r="J105" s="178">
        <f t="shared" si="34"/>
        <v>0.46927565282925043</v>
      </c>
      <c r="K105" s="178">
        <f t="shared" si="46"/>
        <v>0.43314723567205832</v>
      </c>
      <c r="L105" s="178">
        <f t="shared" si="36"/>
        <v>1.3109922999674297</v>
      </c>
      <c r="M105" s="454">
        <f t="shared" si="43"/>
        <v>350</v>
      </c>
      <c r="N105" s="203">
        <f t="shared" si="37"/>
        <v>350</v>
      </c>
      <c r="O105" s="223">
        <f t="shared" si="47"/>
        <v>0.76873871161950635</v>
      </c>
      <c r="P105" s="179">
        <f t="shared" si="48"/>
        <v>2.1475875118259227</v>
      </c>
      <c r="Q105" s="179">
        <f t="shared" si="49"/>
        <v>0.86674016988888058</v>
      </c>
      <c r="R105" s="179">
        <f t="shared" si="41"/>
        <v>0.419047619047619</v>
      </c>
    </row>
    <row r="106" spans="3:18" x14ac:dyDescent="0.2">
      <c r="C106" s="176">
        <v>100</v>
      </c>
      <c r="D106" s="6">
        <f t="shared" si="50"/>
        <v>48</v>
      </c>
      <c r="E106" s="454">
        <f t="shared" si="29"/>
        <v>15.75</v>
      </c>
      <c r="F106" s="223">
        <f t="shared" si="30"/>
        <v>0.24705882352941178</v>
      </c>
      <c r="G106" s="178">
        <f t="shared" si="44"/>
        <v>4.0023529411764711</v>
      </c>
      <c r="H106" s="223">
        <f t="shared" si="45"/>
        <v>0.80047058823529427</v>
      </c>
      <c r="I106" s="454">
        <f t="shared" si="33"/>
        <v>63.75</v>
      </c>
      <c r="J106" s="178">
        <f t="shared" si="34"/>
        <v>0.46847442680776008</v>
      </c>
      <c r="K106" s="178">
        <f t="shared" si="46"/>
        <v>0.4294348912404467</v>
      </c>
      <c r="L106" s="178">
        <f t="shared" si="36"/>
        <v>1.3087539542565994</v>
      </c>
      <c r="M106" s="454">
        <f t="shared" si="43"/>
        <v>350</v>
      </c>
      <c r="N106" s="203">
        <f t="shared" si="37"/>
        <v>350</v>
      </c>
      <c r="O106" s="223">
        <f t="shared" si="47"/>
        <v>0.77005347593582896</v>
      </c>
      <c r="P106" s="179">
        <f t="shared" si="48"/>
        <v>2.151260504201681</v>
      </c>
      <c r="Q106" s="179">
        <f t="shared" si="49"/>
        <v>0.86970745517458337</v>
      </c>
      <c r="R106" s="179">
        <f t="shared" si="41"/>
        <v>0.419047619047619</v>
      </c>
    </row>
  </sheetData>
  <mergeCells count="1">
    <mergeCell ref="F4:O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CC133"/>
  <sheetViews>
    <sheetView showWhiteSpace="0" zoomScaleNormal="100" workbookViewId="0">
      <pane ySplit="5" topLeftCell="A15" activePane="bottomLeft" state="frozen"/>
      <selection pane="bottomLeft" activeCell="B36" sqref="B36"/>
    </sheetView>
  </sheetViews>
  <sheetFormatPr defaultColWidth="9.140625" defaultRowHeight="12.75" x14ac:dyDescent="0.2"/>
  <cols>
    <col min="1" max="1" width="15.7109375" style="176" customWidth="1"/>
    <col min="2" max="2" width="11.5703125" style="176" customWidth="1"/>
    <col min="3" max="3" width="9.140625" style="176"/>
    <col min="4" max="4" width="12.42578125" style="176" bestFit="1" customWidth="1"/>
    <col min="5" max="5" width="51.42578125" style="176" customWidth="1"/>
    <col min="6" max="6" width="13.42578125" style="176" customWidth="1"/>
    <col min="7" max="7" width="10" style="176" customWidth="1"/>
    <col min="8" max="8" width="6.85546875" style="176" customWidth="1"/>
    <col min="9" max="9" width="12.42578125" style="176" bestFit="1" customWidth="1"/>
    <col min="10" max="10" width="9.140625" style="222" customWidth="1"/>
    <col min="11" max="11" width="8.85546875"/>
    <col min="13" max="13" width="10.85546875" customWidth="1"/>
    <col min="14" max="14" width="12" style="176" customWidth="1"/>
    <col min="15" max="15" width="12.7109375" style="222" customWidth="1"/>
    <col min="16" max="16" width="11.42578125" style="222" customWidth="1"/>
    <col min="17" max="17" width="12.42578125" style="222" customWidth="1"/>
    <col min="18" max="19" width="10.5703125" style="203" customWidth="1"/>
    <col min="20" max="20" width="10" style="203" customWidth="1"/>
    <col min="21" max="21" width="10.5703125" style="203" customWidth="1"/>
    <col min="22" max="22" width="8.42578125" style="222" customWidth="1"/>
    <col min="23" max="23" width="9.28515625" style="222" customWidth="1"/>
    <col min="24" max="24" width="9.42578125" style="176" customWidth="1"/>
    <col min="25" max="25" width="9.42578125" style="222" customWidth="1"/>
    <col min="26" max="26" width="8.28515625" style="223" customWidth="1"/>
    <col min="27" max="27" width="9.5703125" style="222" customWidth="1"/>
    <col min="28" max="28" width="9.42578125" style="222" bestFit="1" customWidth="1"/>
    <col min="29" max="29" width="8.5703125" style="222" customWidth="1"/>
    <col min="30" max="30" width="9.7109375" style="224" customWidth="1"/>
    <col min="31" max="31" width="9.140625" style="224" customWidth="1"/>
    <col min="32" max="32" width="8.140625" style="222" customWidth="1"/>
    <col min="33" max="33" width="10.28515625" style="222" customWidth="1"/>
    <col min="34" max="34" width="9.42578125" style="222" customWidth="1"/>
    <col min="35" max="35" width="8.85546875"/>
    <col min="36" max="36" width="9.7109375" style="222" customWidth="1"/>
    <col min="37" max="37" width="11.5703125" style="222" customWidth="1"/>
    <col min="38" max="38" width="10.140625" style="222" customWidth="1"/>
    <col min="39" max="39" width="11.140625" style="222" customWidth="1"/>
    <col min="40" max="40" width="9.140625" style="222"/>
    <col min="41" max="41" width="10.28515625" style="222" customWidth="1"/>
    <col min="42" max="42" width="9.85546875" style="222" customWidth="1"/>
    <col min="43" max="43" width="9.7109375" style="222" customWidth="1"/>
    <col min="44" max="44" width="10.28515625" style="222" customWidth="1"/>
    <col min="45" max="45" width="10.140625" style="222" customWidth="1"/>
    <col min="46" max="46" width="10.42578125" style="222" customWidth="1"/>
    <col min="47" max="47" width="11.28515625" style="222" customWidth="1"/>
    <col min="48" max="48" width="11.7109375" style="222" customWidth="1"/>
    <col min="49" max="49" width="10.42578125" style="222" customWidth="1"/>
    <col min="50" max="50" width="11.42578125" style="222" customWidth="1"/>
    <col min="51" max="51" width="10.140625" style="222" customWidth="1"/>
    <col min="52" max="52" width="10" style="178" bestFit="1" customWidth="1"/>
    <col min="53" max="55" width="12.7109375" style="351" customWidth="1"/>
    <col min="56" max="56" width="14" style="351" customWidth="1"/>
    <col min="57" max="57" width="12.85546875" style="351" customWidth="1"/>
    <col min="58" max="58" width="10.42578125" style="351" customWidth="1"/>
    <col min="59" max="59" width="9" style="351" customWidth="1"/>
    <col min="60" max="60" width="8.85546875" style="351" customWidth="1"/>
    <col min="61" max="61" width="10.85546875" style="351" customWidth="1"/>
    <col min="62" max="62" width="11.140625" style="351" customWidth="1"/>
    <col min="63" max="64" width="9.140625" style="351"/>
    <col min="65" max="65" width="8.85546875" style="178" customWidth="1"/>
    <col min="66" max="66" width="9.140625" style="223"/>
    <col min="67" max="67" width="12.5703125" style="176" customWidth="1"/>
    <col min="68" max="68" width="13.5703125" style="178" customWidth="1"/>
    <col min="69" max="69" width="12.7109375" style="203" customWidth="1"/>
    <col min="70" max="70" width="3.7109375" style="176" customWidth="1"/>
    <col min="71" max="71" width="12.42578125" style="176" bestFit="1" customWidth="1"/>
    <col min="72" max="72" width="3.5703125" style="176" customWidth="1"/>
    <col min="73" max="73" width="9.140625" style="178"/>
    <col min="74" max="74" width="11.140625" style="178" customWidth="1"/>
    <col min="75" max="75" width="9.140625" style="178"/>
    <col min="76" max="76" width="4.7109375" style="176" customWidth="1"/>
    <col min="77" max="77" width="3.7109375" style="176" customWidth="1"/>
    <col min="78" max="78" width="12.42578125" style="176" customWidth="1"/>
    <col min="79" max="79" width="11.85546875" style="176" customWidth="1"/>
    <col min="80" max="80" width="11.5703125" style="176" customWidth="1"/>
    <col min="81" max="81" width="11.7109375" style="176" customWidth="1"/>
    <col min="82" max="82" width="9.140625" style="176"/>
    <col min="83" max="83" width="9.140625" style="176" customWidth="1"/>
    <col min="84" max="16384" width="9.140625" style="176"/>
  </cols>
  <sheetData>
    <row r="1" spans="1:81" x14ac:dyDescent="0.2">
      <c r="A1" s="697" t="s">
        <v>519</v>
      </c>
      <c r="B1" s="697"/>
      <c r="C1" s="697"/>
      <c r="D1" s="697"/>
      <c r="E1" s="697"/>
    </row>
    <row r="2" spans="1:81" ht="15.75" x14ac:dyDescent="0.2">
      <c r="A2" s="697"/>
      <c r="B2" s="697"/>
      <c r="C2" s="697"/>
      <c r="D2" s="697"/>
      <c r="E2" s="697"/>
      <c r="G2" s="698" t="s">
        <v>22</v>
      </c>
      <c r="H2" s="698"/>
      <c r="AF2" s="222">
        <v>1.9257738538542499E-2</v>
      </c>
      <c r="AG2" s="222">
        <v>7.417209872377299E-4</v>
      </c>
      <c r="AH2" s="222">
        <v>1.2403450565440797E-3</v>
      </c>
      <c r="AI2">
        <v>20</v>
      </c>
      <c r="AJ2" s="222">
        <v>7.1523178807947021</v>
      </c>
      <c r="AK2" s="222">
        <v>0</v>
      </c>
      <c r="AL2" s="222">
        <v>8.3629954314142624E-4</v>
      </c>
      <c r="AM2" s="222">
        <v>1.5780205303791562E-3</v>
      </c>
      <c r="AO2" s="274" t="e">
        <f>Ifb</f>
        <v>#NAME?</v>
      </c>
    </row>
    <row r="3" spans="1:81" ht="13.5" thickBot="1" x14ac:dyDescent="0.25">
      <c r="A3" s="697"/>
      <c r="B3" s="697"/>
      <c r="C3" s="697"/>
      <c r="D3" s="697"/>
      <c r="E3" s="697"/>
    </row>
    <row r="4" spans="1:81" ht="13.5" thickBot="1" x14ac:dyDescent="0.25">
      <c r="A4" s="699"/>
      <c r="B4" s="699"/>
      <c r="C4" s="699"/>
      <c r="D4" s="699"/>
      <c r="E4" s="699"/>
      <c r="H4" s="226" t="s">
        <v>23</v>
      </c>
      <c r="I4" s="227"/>
      <c r="J4" s="228"/>
      <c r="K4" s="700" t="s">
        <v>190</v>
      </c>
      <c r="L4" s="693"/>
      <c r="M4" s="694"/>
      <c r="N4" s="694"/>
      <c r="O4" s="694"/>
      <c r="P4" s="693"/>
      <c r="Q4" s="693"/>
      <c r="R4" s="694"/>
      <c r="S4" s="694"/>
      <c r="T4" s="694"/>
      <c r="U4" s="696"/>
      <c r="V4" s="229" t="s">
        <v>191</v>
      </c>
      <c r="W4" s="230"/>
      <c r="X4" s="231"/>
      <c r="Y4" s="232"/>
      <c r="Z4" s="233" t="s">
        <v>14</v>
      </c>
      <c r="AA4" s="234"/>
      <c r="AB4" s="228"/>
      <c r="AC4" s="235" t="s">
        <v>28</v>
      </c>
      <c r="AD4" s="236"/>
      <c r="AE4" s="237"/>
      <c r="AF4" s="229" t="s">
        <v>192</v>
      </c>
      <c r="AG4" s="230"/>
      <c r="AH4" s="230"/>
      <c r="AI4" s="453"/>
      <c r="AJ4" s="453"/>
      <c r="AK4" s="230"/>
      <c r="AL4" s="230"/>
      <c r="AM4" s="228"/>
      <c r="AN4" s="238" t="s">
        <v>193</v>
      </c>
      <c r="AO4" s="239"/>
      <c r="AP4" s="239"/>
      <c r="AQ4" s="462" t="s">
        <v>194</v>
      </c>
      <c r="AR4" s="463"/>
      <c r="AS4" s="463"/>
      <c r="AT4" s="239"/>
      <c r="AU4" s="240"/>
      <c r="AV4" s="241"/>
      <c r="AW4" s="242"/>
      <c r="AX4" s="229" t="s">
        <v>180</v>
      </c>
      <c r="AY4" s="230"/>
      <c r="AZ4" s="231"/>
      <c r="BA4" s="352"/>
      <c r="BB4" s="352"/>
      <c r="BC4" s="352"/>
      <c r="BD4" s="352"/>
      <c r="BE4" s="352"/>
      <c r="BF4" s="352"/>
      <c r="BG4" s="352"/>
      <c r="BH4" s="352"/>
      <c r="BI4" s="352"/>
      <c r="BJ4" s="352"/>
      <c r="BK4" s="352"/>
      <c r="BL4" s="352"/>
      <c r="BM4" s="345"/>
      <c r="BN4" s="349"/>
      <c r="BO4" s="231"/>
      <c r="BP4" s="347"/>
      <c r="BQ4" s="459"/>
      <c r="BR4" s="460"/>
      <c r="BS4" s="460"/>
      <c r="BT4" s="460"/>
      <c r="BU4" s="460"/>
      <c r="BV4" s="460"/>
      <c r="BW4" s="460"/>
      <c r="BX4" s="460"/>
      <c r="BY4" s="460"/>
      <c r="BZ4" s="460"/>
      <c r="CA4" s="460"/>
      <c r="CB4" s="460"/>
      <c r="CC4" s="461"/>
    </row>
    <row r="5" spans="1:81" ht="78" customHeight="1" thickBot="1" x14ac:dyDescent="0.45">
      <c r="A5" s="243" t="s">
        <v>42</v>
      </c>
      <c r="B5" s="244"/>
      <c r="C5" s="244"/>
      <c r="D5" s="245"/>
      <c r="E5" s="246"/>
      <c r="F5" s="195"/>
      <c r="G5" s="195"/>
      <c r="H5" s="247" t="s">
        <v>25</v>
      </c>
      <c r="I5" s="248" t="s">
        <v>195</v>
      </c>
      <c r="J5" s="249" t="s">
        <v>196</v>
      </c>
      <c r="K5" s="257" t="s">
        <v>326</v>
      </c>
      <c r="L5" s="250" t="s">
        <v>48</v>
      </c>
      <c r="M5" s="250" t="s">
        <v>327</v>
      </c>
      <c r="N5" s="455" t="s">
        <v>197</v>
      </c>
      <c r="O5" s="543" t="s">
        <v>416</v>
      </c>
      <c r="P5" s="543" t="s">
        <v>417</v>
      </c>
      <c r="Q5" s="543" t="s">
        <v>418</v>
      </c>
      <c r="R5" s="251" t="s">
        <v>198</v>
      </c>
      <c r="S5" s="252" t="s">
        <v>199</v>
      </c>
      <c r="T5" s="252" t="s">
        <v>200</v>
      </c>
      <c r="U5" s="251" t="s">
        <v>331</v>
      </c>
      <c r="V5" s="253" t="s">
        <v>201</v>
      </c>
      <c r="W5" s="250" t="s">
        <v>202</v>
      </c>
      <c r="X5" s="248" t="s">
        <v>203</v>
      </c>
      <c r="Y5" s="249" t="s">
        <v>204</v>
      </c>
      <c r="Z5" s="254" t="s">
        <v>201</v>
      </c>
      <c r="AA5" s="250" t="s">
        <v>205</v>
      </c>
      <c r="AB5" s="249" t="s">
        <v>206</v>
      </c>
      <c r="AC5" s="253" t="s">
        <v>201</v>
      </c>
      <c r="AD5" s="255" t="s">
        <v>207</v>
      </c>
      <c r="AE5" s="256" t="s">
        <v>208</v>
      </c>
      <c r="AF5" s="253" t="s">
        <v>201</v>
      </c>
      <c r="AG5" s="250" t="s">
        <v>209</v>
      </c>
      <c r="AH5" s="250" t="s">
        <v>210</v>
      </c>
      <c r="AI5" s="250" t="s">
        <v>328</v>
      </c>
      <c r="AJ5" s="250" t="s">
        <v>325</v>
      </c>
      <c r="AK5" s="250" t="s">
        <v>211</v>
      </c>
      <c r="AL5" s="257" t="s">
        <v>212</v>
      </c>
      <c r="AM5" s="249" t="s">
        <v>213</v>
      </c>
      <c r="AN5" s="258" t="s">
        <v>201</v>
      </c>
      <c r="AO5" s="259" t="s">
        <v>214</v>
      </c>
      <c r="AP5" s="259" t="s">
        <v>215</v>
      </c>
      <c r="AQ5" s="259" t="s">
        <v>216</v>
      </c>
      <c r="AR5" s="259" t="s">
        <v>217</v>
      </c>
      <c r="AS5" s="260" t="s">
        <v>218</v>
      </c>
      <c r="AT5" s="258" t="s">
        <v>219</v>
      </c>
      <c r="AU5" s="258" t="s">
        <v>220</v>
      </c>
      <c r="AV5" s="258" t="s">
        <v>221</v>
      </c>
      <c r="AW5" s="261" t="s">
        <v>222</v>
      </c>
      <c r="AX5" s="253" t="s">
        <v>223</v>
      </c>
      <c r="AY5" s="250" t="s">
        <v>224</v>
      </c>
      <c r="AZ5" s="262" t="s">
        <v>225</v>
      </c>
      <c r="BA5" s="353" t="s">
        <v>226</v>
      </c>
      <c r="BB5" s="353" t="s">
        <v>227</v>
      </c>
      <c r="BC5" s="353" t="s">
        <v>228</v>
      </c>
      <c r="BD5" s="353" t="s">
        <v>229</v>
      </c>
      <c r="BE5" s="353" t="s">
        <v>230</v>
      </c>
      <c r="BF5" s="353" t="s">
        <v>231</v>
      </c>
      <c r="BG5" s="353" t="s">
        <v>232</v>
      </c>
      <c r="BH5" s="354" t="s">
        <v>233</v>
      </c>
      <c r="BI5" s="355" t="s">
        <v>234</v>
      </c>
      <c r="BJ5" s="356" t="s">
        <v>235</v>
      </c>
      <c r="BK5" s="357" t="s">
        <v>236</v>
      </c>
      <c r="BL5" s="356" t="s">
        <v>282</v>
      </c>
      <c r="BM5" s="346" t="s">
        <v>237</v>
      </c>
      <c r="BN5" s="350" t="s">
        <v>238</v>
      </c>
      <c r="BO5" s="263" t="s">
        <v>239</v>
      </c>
      <c r="BP5" s="348" t="s">
        <v>239</v>
      </c>
      <c r="BQ5" s="264" t="s">
        <v>240</v>
      </c>
      <c r="BR5" s="265"/>
      <c r="BS5" s="266" t="s">
        <v>241</v>
      </c>
      <c r="BT5" s="265"/>
      <c r="BU5" s="360" t="s">
        <v>284</v>
      </c>
      <c r="BV5" s="361" t="s">
        <v>285</v>
      </c>
      <c r="BW5" s="458" t="s">
        <v>283</v>
      </c>
      <c r="BX5" s="265"/>
      <c r="BY5" s="265"/>
      <c r="BZ5" s="457" t="s">
        <v>290</v>
      </c>
      <c r="CA5" s="261" t="s">
        <v>344</v>
      </c>
      <c r="CB5" s="361" t="s">
        <v>292</v>
      </c>
      <c r="CC5" s="458" t="s">
        <v>291</v>
      </c>
    </row>
    <row r="6" spans="1:81" x14ac:dyDescent="0.2">
      <c r="A6" s="267" t="s">
        <v>26</v>
      </c>
      <c r="B6" s="268" t="s">
        <v>43</v>
      </c>
      <c r="C6" s="269" t="s">
        <v>33</v>
      </c>
      <c r="D6" s="270" t="s">
        <v>90</v>
      </c>
      <c r="E6" s="271" t="s">
        <v>41</v>
      </c>
      <c r="F6" s="272"/>
      <c r="G6" s="272"/>
      <c r="H6" s="176">
        <v>0.1</v>
      </c>
      <c r="I6" s="468">
        <f t="shared" ref="I6:I37" si="0">IF(PLOT_TYPE=1, H6/100*Iout_max, min_I*EXP(H6*rr/100))</f>
        <v>5.0000000000000001E-4</v>
      </c>
      <c r="J6" s="223"/>
      <c r="K6" s="223"/>
      <c r="L6" s="223"/>
      <c r="M6" s="223"/>
      <c r="N6" s="273"/>
      <c r="O6" s="178"/>
      <c r="P6" s="223"/>
      <c r="Q6" s="454"/>
      <c r="S6" s="274"/>
      <c r="T6" s="274"/>
      <c r="U6" s="274"/>
      <c r="AJ6" s="454"/>
      <c r="AY6" s="222">
        <f>Vout*I6</f>
        <v>2.5000000000000001E-3</v>
      </c>
      <c r="AZ6" s="275">
        <f>AY6/(AY6+AX6)</f>
        <v>1</v>
      </c>
      <c r="BA6" s="351">
        <f t="shared" ref="BA6:BA9" si="1">AG6/($AY6+$AX6)</f>
        <v>0</v>
      </c>
      <c r="BB6" s="351">
        <f>AO6/($AY6+$AX6)</f>
        <v>0</v>
      </c>
      <c r="BC6" s="351" t="e">
        <f t="shared" ref="BC6:BC9" si="2">Vin*R6*(QgBot+Qg)/($AY6+$AX6)</f>
        <v>#NAME?</v>
      </c>
      <c r="BD6" s="351">
        <f t="shared" ref="BD6:BD9" si="3">AK6/($AY6+$AX6)</f>
        <v>0</v>
      </c>
      <c r="BE6" s="351">
        <f t="shared" ref="BE6:BE9" si="4">AQ6/(AX6+AY6)</f>
        <v>0</v>
      </c>
      <c r="BF6" s="351">
        <f t="shared" ref="BF6:BF9" si="5">AR6/($AY6+$AX6)</f>
        <v>0</v>
      </c>
      <c r="BG6" s="351">
        <f t="shared" ref="BG6:BG9" si="6">W6/($AY6+$AX6)</f>
        <v>0</v>
      </c>
      <c r="BH6" s="351">
        <f t="shared" ref="BH6:BH9" si="7">X6/($AY6+$AX6)</f>
        <v>0</v>
      </c>
      <c r="BI6" s="351">
        <f t="shared" ref="BI6:BI9" si="8">(AB6+AE6)/($AY6+$AX6)</f>
        <v>0</v>
      </c>
      <c r="BJ6" s="225">
        <f>AT6/($AY6+$AX6)</f>
        <v>0</v>
      </c>
      <c r="BK6" s="225">
        <f>AX6/($AY6+$AX6)</f>
        <v>0</v>
      </c>
      <c r="BL6" s="225">
        <f>AZ6</f>
        <v>1</v>
      </c>
      <c r="BM6" s="178">
        <f>100*BL6</f>
        <v>100</v>
      </c>
      <c r="BN6" s="223">
        <f xml:space="preserve"> CHOOSE(MODE, I6*1000,#REF!)</f>
        <v>0.5</v>
      </c>
      <c r="BO6" s="178">
        <v>59.702372085750142</v>
      </c>
      <c r="BP6" s="225">
        <f>BO6/100</f>
        <v>0.59702372085750144</v>
      </c>
      <c r="BQ6" s="276">
        <f t="shared" ref="BQ6:BQ9" si="9">R6/1000</f>
        <v>0</v>
      </c>
      <c r="BR6" s="277"/>
      <c r="BS6" s="225">
        <f>AL6/($AY6+$AX6)</f>
        <v>0</v>
      </c>
      <c r="BT6" s="278"/>
      <c r="BU6" s="178">
        <f>1000*AW6</f>
        <v>0</v>
      </c>
      <c r="BV6" s="178">
        <f>1000*AU6</f>
        <v>0</v>
      </c>
      <c r="BW6" s="178">
        <f t="shared" ref="BW6:BW9" si="10">1000*Y6</f>
        <v>0</v>
      </c>
      <c r="BX6" s="225"/>
      <c r="BY6" s="225"/>
      <c r="BZ6" s="178">
        <f xml:space="preserve"> IF(MODE=1, BM6,#REF!)</f>
        <v>100</v>
      </c>
      <c r="CA6" s="178">
        <f xml:space="preserve"> IF(MODE=1, BU6,#REF!)</f>
        <v>0</v>
      </c>
      <c r="CB6" s="178">
        <f xml:space="preserve"> IF(MODE=1, BV6,#REF!)</f>
        <v>0</v>
      </c>
      <c r="CC6" s="178">
        <f xml:space="preserve"> IF(MODE=1, BW6,#REF!)</f>
        <v>0</v>
      </c>
    </row>
    <row r="7" spans="1:81" x14ac:dyDescent="0.2">
      <c r="A7" s="425"/>
      <c r="B7" s="268"/>
      <c r="C7" s="269"/>
      <c r="D7" s="270"/>
      <c r="E7" s="271"/>
      <c r="F7" s="272"/>
      <c r="G7" s="272"/>
      <c r="H7" s="176">
        <v>1</v>
      </c>
      <c r="I7" s="468">
        <f t="shared" si="0"/>
        <v>5.0000000000000001E-3</v>
      </c>
      <c r="J7" s="223"/>
      <c r="K7" s="223"/>
      <c r="L7" s="223"/>
      <c r="M7" s="223"/>
      <c r="N7" s="273"/>
      <c r="O7" s="178"/>
      <c r="P7" s="223"/>
      <c r="Q7" s="454"/>
      <c r="S7" s="274"/>
      <c r="T7" s="274"/>
      <c r="U7" s="274"/>
      <c r="AJ7" s="454"/>
      <c r="AY7" s="222">
        <f>Vout*I7</f>
        <v>2.5000000000000001E-2</v>
      </c>
      <c r="AZ7" s="275">
        <f>AY7/(AY7+AX7)</f>
        <v>1</v>
      </c>
      <c r="BA7" s="351">
        <f t="shared" si="1"/>
        <v>0</v>
      </c>
      <c r="BB7" s="351">
        <f>AO7/($AY7+$AX7)</f>
        <v>0</v>
      </c>
      <c r="BC7" s="351" t="e">
        <f t="shared" si="2"/>
        <v>#NAME?</v>
      </c>
      <c r="BD7" s="351">
        <f t="shared" ref="BD7" si="11">AK7/($AY7+$AX7)</f>
        <v>0</v>
      </c>
      <c r="BE7" s="351">
        <f t="shared" ref="BE7" si="12">AQ7/(AX7+AY7)</f>
        <v>0</v>
      </c>
      <c r="BF7" s="351">
        <f t="shared" ref="BF7" si="13">AR7/($AY7+$AX7)</f>
        <v>0</v>
      </c>
      <c r="BG7" s="351">
        <f t="shared" si="6"/>
        <v>0</v>
      </c>
      <c r="BH7" s="351">
        <f t="shared" si="7"/>
        <v>0</v>
      </c>
      <c r="BI7" s="351">
        <f t="shared" si="8"/>
        <v>0</v>
      </c>
      <c r="BJ7" s="225">
        <f>AT7/($AY7+$AX7)</f>
        <v>0</v>
      </c>
      <c r="BK7" s="225">
        <f t="shared" ref="BK7:BK9" si="14">AX7/($AY7+$AX7)</f>
        <v>0</v>
      </c>
      <c r="BL7" s="225">
        <f>AZ7</f>
        <v>1</v>
      </c>
      <c r="BM7" s="178">
        <f>100*BL7</f>
        <v>100</v>
      </c>
      <c r="BN7" s="223">
        <f xml:space="preserve"> CHOOSE(MODE, I7*1000,#REF!)</f>
        <v>5</v>
      </c>
      <c r="BO7" s="178">
        <v>83.682599061581868</v>
      </c>
      <c r="BP7" s="225">
        <f t="shared" ref="BP7:BP9" si="15">BO7/100</f>
        <v>0.83682599061581864</v>
      </c>
      <c r="BQ7" s="276">
        <f t="shared" si="9"/>
        <v>0</v>
      </c>
      <c r="BR7" s="277"/>
      <c r="BS7" s="225">
        <f>AL7/($AY7+$AX7)</f>
        <v>0</v>
      </c>
      <c r="BT7" s="278"/>
      <c r="BU7" s="178">
        <f>1000*AW7</f>
        <v>0</v>
      </c>
      <c r="BV7" s="178">
        <f>1000*AU7</f>
        <v>0</v>
      </c>
      <c r="BW7" s="178">
        <f t="shared" si="10"/>
        <v>0</v>
      </c>
      <c r="BX7" s="225"/>
      <c r="BY7" s="225"/>
      <c r="BZ7" s="178">
        <f xml:space="preserve"> IF(MODE=1, BM7,#REF!)</f>
        <v>100</v>
      </c>
      <c r="CA7" s="178">
        <f xml:space="preserve"> IF(MODE=1, BU7,#REF!)</f>
        <v>0</v>
      </c>
      <c r="CB7" s="178">
        <f xml:space="preserve"> IF(MODE=1, BV7,#REF!)</f>
        <v>0</v>
      </c>
      <c r="CC7" s="178">
        <f xml:space="preserve"> IF(MODE=1, BW7,#REF!)</f>
        <v>0</v>
      </c>
    </row>
    <row r="8" spans="1:81" x14ac:dyDescent="0.2">
      <c r="A8" s="279" t="s">
        <v>3</v>
      </c>
      <c r="B8" s="280">
        <f>Vin</f>
        <v>24</v>
      </c>
      <c r="C8" s="281" t="s">
        <v>0</v>
      </c>
      <c r="D8" s="200">
        <f>B8</f>
        <v>24</v>
      </c>
      <c r="E8" s="194" t="s">
        <v>3</v>
      </c>
      <c r="F8" s="272"/>
      <c r="G8" s="272"/>
      <c r="H8" s="176">
        <v>2</v>
      </c>
      <c r="I8" s="468">
        <f t="shared" si="0"/>
        <v>0.01</v>
      </c>
      <c r="J8" s="223"/>
      <c r="K8" s="223"/>
      <c r="L8" s="223"/>
      <c r="M8" s="223"/>
      <c r="N8" s="273"/>
      <c r="O8" s="178"/>
      <c r="P8" s="223"/>
      <c r="Q8" s="454"/>
      <c r="S8" s="274"/>
      <c r="T8" s="274"/>
      <c r="U8" s="274"/>
      <c r="AJ8" s="454"/>
      <c r="AY8" s="222">
        <f>Vout*I8</f>
        <v>0.05</v>
      </c>
      <c r="AZ8" s="275">
        <f>AY8/(AY8+AX8)</f>
        <v>1</v>
      </c>
      <c r="BA8" s="351">
        <f t="shared" si="1"/>
        <v>0</v>
      </c>
      <c r="BB8" s="351">
        <f t="shared" ref="BB8:BB9" si="16">AO8/($AY8+$AX8)</f>
        <v>0</v>
      </c>
      <c r="BC8" s="351" t="e">
        <f t="shared" si="2"/>
        <v>#NAME?</v>
      </c>
      <c r="BD8" s="351">
        <f t="shared" si="3"/>
        <v>0</v>
      </c>
      <c r="BE8" s="351">
        <f t="shared" si="4"/>
        <v>0</v>
      </c>
      <c r="BF8" s="351">
        <f t="shared" si="5"/>
        <v>0</v>
      </c>
      <c r="BG8" s="351">
        <f t="shared" si="6"/>
        <v>0</v>
      </c>
      <c r="BH8" s="351">
        <f t="shared" si="7"/>
        <v>0</v>
      </c>
      <c r="BI8" s="351">
        <f t="shared" si="8"/>
        <v>0</v>
      </c>
      <c r="BJ8" s="225">
        <f t="shared" ref="BJ8:BJ9" si="17">AT8/($AY8+$AX8)</f>
        <v>0</v>
      </c>
      <c r="BK8" s="225">
        <f t="shared" si="14"/>
        <v>0</v>
      </c>
      <c r="BL8" s="225">
        <f t="shared" ref="BL8:BL9" si="18">AZ8</f>
        <v>1</v>
      </c>
      <c r="BM8" s="178">
        <f t="shared" ref="BM8:BM9" si="19">100*BL8</f>
        <v>100</v>
      </c>
      <c r="BN8" s="223">
        <f xml:space="preserve"> CHOOSE(MODE, I8*1000,#REF!)</f>
        <v>10</v>
      </c>
      <c r="BO8" s="178">
        <v>85.591306536493136</v>
      </c>
      <c r="BP8" s="225">
        <f t="shared" si="15"/>
        <v>0.85591306536493139</v>
      </c>
      <c r="BQ8" s="276">
        <f t="shared" si="9"/>
        <v>0</v>
      </c>
      <c r="BR8" s="277"/>
      <c r="BS8" s="225">
        <f t="shared" ref="BS8:BS9" si="20">AL8/($AY8+$AX8)</f>
        <v>0</v>
      </c>
      <c r="BT8" s="278"/>
      <c r="BU8" s="178">
        <f t="shared" ref="BU8:BU9" si="21">1000*AW8</f>
        <v>0</v>
      </c>
      <c r="BV8" s="178">
        <f t="shared" ref="BV8:BV9" si="22">1000*AU8</f>
        <v>0</v>
      </c>
      <c r="BW8" s="178">
        <f t="shared" si="10"/>
        <v>0</v>
      </c>
      <c r="BX8" s="225"/>
      <c r="BY8" s="225"/>
      <c r="BZ8" s="178">
        <f xml:space="preserve"> IF(MODE=1, BM8,#REF!)</f>
        <v>100</v>
      </c>
      <c r="CA8" s="178">
        <f xml:space="preserve"> IF(MODE=1, BU8,#REF!)</f>
        <v>0</v>
      </c>
      <c r="CB8" s="178">
        <f xml:space="preserve"> IF(MODE=1, BV8,#REF!)</f>
        <v>0</v>
      </c>
      <c r="CC8" s="178">
        <f xml:space="preserve"> IF(MODE=1, BW8,#REF!)</f>
        <v>0</v>
      </c>
    </row>
    <row r="9" spans="1:81" x14ac:dyDescent="0.2">
      <c r="A9" s="282" t="s">
        <v>4</v>
      </c>
      <c r="B9" s="280">
        <f>Vout</f>
        <v>5</v>
      </c>
      <c r="C9" s="281" t="s">
        <v>0</v>
      </c>
      <c r="D9" s="200">
        <f>B9</f>
        <v>5</v>
      </c>
      <c r="E9" s="194" t="s">
        <v>4</v>
      </c>
      <c r="F9" s="272"/>
      <c r="G9" s="272"/>
      <c r="H9" s="176">
        <v>3</v>
      </c>
      <c r="I9" s="468">
        <f t="shared" si="0"/>
        <v>1.4999999999999999E-2</v>
      </c>
      <c r="J9" s="223"/>
      <c r="K9" s="223"/>
      <c r="L9" s="223"/>
      <c r="M9" s="223"/>
      <c r="N9" s="273"/>
      <c r="O9" s="178"/>
      <c r="P9" s="223"/>
      <c r="Q9" s="454"/>
      <c r="S9" s="274"/>
      <c r="T9" s="274"/>
      <c r="U9" s="274"/>
      <c r="AJ9" s="454"/>
      <c r="AY9" s="222">
        <f>Vout*I9</f>
        <v>7.4999999999999997E-2</v>
      </c>
      <c r="AZ9" s="275">
        <f t="shared" ref="AZ9" si="23">AY9/(AY9+AX9)</f>
        <v>1</v>
      </c>
      <c r="BA9" s="351">
        <f t="shared" si="1"/>
        <v>0</v>
      </c>
      <c r="BB9" s="351">
        <f t="shared" si="16"/>
        <v>0</v>
      </c>
      <c r="BC9" s="351" t="e">
        <f t="shared" si="2"/>
        <v>#NAME?</v>
      </c>
      <c r="BD9" s="351">
        <f t="shared" si="3"/>
        <v>0</v>
      </c>
      <c r="BE9" s="351">
        <f t="shared" si="4"/>
        <v>0</v>
      </c>
      <c r="BF9" s="351">
        <f t="shared" si="5"/>
        <v>0</v>
      </c>
      <c r="BG9" s="351">
        <f t="shared" si="6"/>
        <v>0</v>
      </c>
      <c r="BH9" s="351">
        <f t="shared" si="7"/>
        <v>0</v>
      </c>
      <c r="BI9" s="351">
        <f t="shared" si="8"/>
        <v>0</v>
      </c>
      <c r="BJ9" s="225">
        <f t="shared" si="17"/>
        <v>0</v>
      </c>
      <c r="BK9" s="225">
        <f t="shared" si="14"/>
        <v>0</v>
      </c>
      <c r="BL9" s="225">
        <f t="shared" si="18"/>
        <v>1</v>
      </c>
      <c r="BM9" s="178">
        <f t="shared" si="19"/>
        <v>100</v>
      </c>
      <c r="BN9" s="223">
        <f xml:space="preserve"> CHOOSE(MODE, I9*1000,#REF!)</f>
        <v>15</v>
      </c>
      <c r="BO9" s="178">
        <v>86.246143423411425</v>
      </c>
      <c r="BP9" s="225">
        <f t="shared" si="15"/>
        <v>0.86246143423411425</v>
      </c>
      <c r="BQ9" s="276">
        <f t="shared" si="9"/>
        <v>0</v>
      </c>
      <c r="BR9" s="277"/>
      <c r="BS9" s="225">
        <f t="shared" si="20"/>
        <v>0</v>
      </c>
      <c r="BT9" s="278"/>
      <c r="BU9" s="178">
        <f t="shared" si="21"/>
        <v>0</v>
      </c>
      <c r="BV9" s="178">
        <f t="shared" si="22"/>
        <v>0</v>
      </c>
      <c r="BW9" s="178">
        <f t="shared" si="10"/>
        <v>0</v>
      </c>
      <c r="BX9" s="225"/>
      <c r="BY9" s="225"/>
      <c r="BZ9" s="178">
        <f xml:space="preserve"> IF(MODE=1, BM9,#REF!)</f>
        <v>100</v>
      </c>
      <c r="CA9" s="178">
        <f xml:space="preserve"> IF(MODE=1, BU9,#REF!)</f>
        <v>0</v>
      </c>
      <c r="CB9" s="178">
        <f xml:space="preserve"> IF(MODE=1, BV9,#REF!)</f>
        <v>0</v>
      </c>
      <c r="CC9" s="178">
        <f xml:space="preserve"> IF(MODE=1, BW9,#REF!)</f>
        <v>0</v>
      </c>
    </row>
    <row r="10" spans="1:81" x14ac:dyDescent="0.2">
      <c r="A10" s="282" t="s">
        <v>5</v>
      </c>
      <c r="B10" s="280">
        <f>Iout</f>
        <v>0.5</v>
      </c>
      <c r="C10" s="281" t="s">
        <v>1</v>
      </c>
      <c r="D10" s="200">
        <f>B10</f>
        <v>0.5</v>
      </c>
      <c r="E10" s="283" t="s">
        <v>242</v>
      </c>
      <c r="F10" s="272"/>
      <c r="G10" s="272"/>
      <c r="H10" s="176">
        <v>4</v>
      </c>
      <c r="I10" s="468">
        <f t="shared" si="0"/>
        <v>0.02</v>
      </c>
      <c r="J10" s="223"/>
      <c r="K10" s="223"/>
      <c r="L10" s="223"/>
      <c r="M10" s="223"/>
      <c r="N10" s="273"/>
      <c r="O10" s="178"/>
      <c r="P10" s="223"/>
      <c r="Q10" s="454"/>
      <c r="S10" s="274"/>
      <c r="T10" s="274"/>
      <c r="U10" s="274"/>
      <c r="AJ10" s="454"/>
      <c r="AZ10" s="275"/>
      <c r="BJ10" s="225"/>
      <c r="BK10" s="225"/>
      <c r="BL10" s="225"/>
      <c r="BO10" s="178"/>
      <c r="BP10" s="225"/>
      <c r="BQ10" s="276"/>
      <c r="BR10" s="277"/>
      <c r="BS10" s="225"/>
      <c r="BT10" s="278"/>
      <c r="BX10" s="225"/>
      <c r="BY10" s="225"/>
      <c r="BZ10" s="178"/>
      <c r="CA10" s="178"/>
      <c r="CB10" s="178"/>
      <c r="CC10" s="178"/>
    </row>
    <row r="11" spans="1:81" x14ac:dyDescent="0.2">
      <c r="A11" s="282" t="s">
        <v>139</v>
      </c>
      <c r="B11" s="363">
        <f>Vout/(Fsw/1000)*100000/16</f>
        <v>62500</v>
      </c>
      <c r="C11" s="284" t="s">
        <v>243</v>
      </c>
      <c r="D11" s="298">
        <f>B11*1000</f>
        <v>62500000</v>
      </c>
      <c r="E11" s="283"/>
      <c r="F11" s="272"/>
      <c r="G11" s="272"/>
      <c r="H11" s="176">
        <v>5</v>
      </c>
      <c r="I11" s="468">
        <f t="shared" si="0"/>
        <v>2.5000000000000001E-2</v>
      </c>
      <c r="J11" s="223"/>
      <c r="K11" s="223"/>
      <c r="L11" s="223"/>
      <c r="M11" s="223"/>
      <c r="N11" s="273"/>
      <c r="O11" s="178"/>
      <c r="P11" s="223"/>
      <c r="Q11" s="454"/>
      <c r="S11" s="274"/>
      <c r="T11" s="274"/>
      <c r="U11" s="274"/>
      <c r="AJ11" s="454"/>
      <c r="AZ11" s="275"/>
      <c r="BJ11" s="225"/>
      <c r="BK11" s="225"/>
      <c r="BL11" s="225"/>
      <c r="BO11" s="178"/>
      <c r="BP11" s="225"/>
      <c r="BQ11" s="276"/>
      <c r="BR11" s="277"/>
      <c r="BS11" s="225"/>
      <c r="BT11" s="278"/>
      <c r="BX11" s="225"/>
      <c r="BY11" s="225"/>
      <c r="BZ11" s="178"/>
      <c r="CA11" s="178"/>
      <c r="CB11" s="178"/>
      <c r="CC11" s="178"/>
    </row>
    <row r="12" spans="1:81" x14ac:dyDescent="0.2">
      <c r="A12" s="282" t="s">
        <v>244</v>
      </c>
      <c r="B12" s="280">
        <v>25</v>
      </c>
      <c r="C12" s="281" t="s">
        <v>102</v>
      </c>
      <c r="D12" s="200">
        <f>B12</f>
        <v>25</v>
      </c>
      <c r="E12" s="283" t="s">
        <v>245</v>
      </c>
      <c r="F12" s="272">
        <f>Turns_Ratio</f>
        <v>3</v>
      </c>
      <c r="H12" s="176">
        <v>6</v>
      </c>
      <c r="I12" s="468">
        <f t="shared" si="0"/>
        <v>0.03</v>
      </c>
      <c r="J12" s="223"/>
      <c r="K12" s="223"/>
      <c r="L12" s="223"/>
      <c r="M12" s="223"/>
      <c r="N12" s="273"/>
      <c r="O12" s="178"/>
      <c r="P12" s="223"/>
      <c r="Q12" s="454"/>
      <c r="S12" s="274"/>
      <c r="T12" s="274"/>
      <c r="U12" s="274"/>
      <c r="AJ12" s="454"/>
      <c r="AZ12" s="275"/>
      <c r="BJ12" s="225"/>
      <c r="BK12" s="225"/>
      <c r="BL12" s="225"/>
      <c r="BO12" s="178"/>
      <c r="BP12" s="225"/>
      <c r="BQ12" s="276"/>
      <c r="BR12" s="277"/>
      <c r="BS12" s="225"/>
      <c r="BT12" s="278"/>
      <c r="BX12" s="225"/>
      <c r="BY12" s="225"/>
      <c r="BZ12" s="178"/>
      <c r="CA12" s="178"/>
      <c r="CB12" s="178"/>
      <c r="CC12" s="178"/>
    </row>
    <row r="13" spans="1:81" x14ac:dyDescent="0.2">
      <c r="A13" s="285" t="s">
        <v>246</v>
      </c>
      <c r="B13" s="286">
        <v>5</v>
      </c>
      <c r="C13" s="281" t="s">
        <v>0</v>
      </c>
      <c r="D13" s="200">
        <f>B13</f>
        <v>5</v>
      </c>
      <c r="E13" s="283"/>
      <c r="F13" s="272"/>
      <c r="G13" s="272"/>
      <c r="H13" s="176">
        <v>7</v>
      </c>
      <c r="I13" s="468">
        <f t="shared" si="0"/>
        <v>3.5000000000000003E-2</v>
      </c>
      <c r="J13" s="223"/>
      <c r="K13" s="223"/>
      <c r="L13" s="223"/>
      <c r="M13" s="223"/>
      <c r="N13" s="273"/>
      <c r="O13" s="178"/>
      <c r="P13" s="223"/>
      <c r="Q13" s="454"/>
      <c r="S13" s="274"/>
      <c r="T13" s="274"/>
      <c r="U13" s="274"/>
      <c r="AJ13" s="454"/>
      <c r="AZ13" s="275"/>
      <c r="BJ13" s="225"/>
      <c r="BK13" s="225"/>
      <c r="BL13" s="225"/>
      <c r="BO13" s="178"/>
      <c r="BP13" s="225"/>
      <c r="BQ13" s="276"/>
      <c r="BR13" s="277"/>
      <c r="BS13" s="225"/>
      <c r="BT13" s="278"/>
      <c r="BX13" s="225"/>
      <c r="BY13" s="225"/>
      <c r="BZ13" s="178"/>
      <c r="CA13" s="178"/>
      <c r="CB13" s="178"/>
      <c r="CC13" s="178"/>
    </row>
    <row r="14" spans="1:81" x14ac:dyDescent="0.2">
      <c r="F14" s="272"/>
      <c r="G14" s="272"/>
      <c r="H14" s="176">
        <v>8</v>
      </c>
      <c r="I14" s="468">
        <f t="shared" si="0"/>
        <v>0.04</v>
      </c>
      <c r="J14" s="223"/>
      <c r="K14" s="223"/>
      <c r="L14" s="223"/>
      <c r="M14" s="223"/>
      <c r="N14" s="273"/>
      <c r="O14" s="178"/>
      <c r="P14" s="223"/>
      <c r="Q14" s="454"/>
      <c r="S14" s="274"/>
      <c r="T14" s="274"/>
      <c r="U14" s="274"/>
      <c r="AJ14" s="454"/>
      <c r="AZ14" s="275"/>
      <c r="BJ14" s="225"/>
      <c r="BK14" s="225"/>
      <c r="BL14" s="225"/>
      <c r="BO14" s="178"/>
      <c r="BP14" s="225"/>
      <c r="BQ14" s="276"/>
      <c r="BR14" s="277"/>
      <c r="BS14" s="225"/>
      <c r="BT14" s="278"/>
      <c r="BX14" s="225"/>
      <c r="BY14" s="225"/>
      <c r="BZ14" s="178"/>
      <c r="CA14" s="178"/>
      <c r="CB14" s="178"/>
      <c r="CC14" s="178"/>
    </row>
    <row r="15" spans="1:81" x14ac:dyDescent="0.2">
      <c r="A15" s="287" t="s">
        <v>34</v>
      </c>
      <c r="B15" s="245"/>
      <c r="C15" s="245"/>
      <c r="D15" s="245"/>
      <c r="E15" s="246"/>
      <c r="F15" s="272"/>
      <c r="G15" s="272"/>
      <c r="H15" s="176">
        <v>9</v>
      </c>
      <c r="I15" s="468">
        <f t="shared" si="0"/>
        <v>4.4999999999999998E-2</v>
      </c>
      <c r="J15" s="223"/>
      <c r="K15" s="223"/>
      <c r="L15" s="223"/>
      <c r="M15" s="223"/>
      <c r="N15" s="273"/>
      <c r="O15" s="178"/>
      <c r="P15" s="223"/>
      <c r="Q15" s="454"/>
      <c r="S15" s="274"/>
      <c r="T15" s="274"/>
      <c r="U15" s="274"/>
      <c r="AJ15" s="454"/>
      <c r="AZ15" s="275"/>
      <c r="BJ15" s="225"/>
      <c r="BK15" s="225"/>
      <c r="BL15" s="225"/>
      <c r="BO15" s="178"/>
      <c r="BP15" s="225"/>
      <c r="BQ15" s="276"/>
      <c r="BR15" s="277"/>
      <c r="BS15" s="225"/>
      <c r="BT15" s="278"/>
      <c r="BX15" s="225"/>
      <c r="BY15" s="225"/>
      <c r="BZ15" s="178"/>
      <c r="CA15" s="178"/>
      <c r="CB15" s="178"/>
      <c r="CC15" s="178"/>
    </row>
    <row r="16" spans="1:81" x14ac:dyDescent="0.2">
      <c r="A16" s="288" t="s">
        <v>26</v>
      </c>
      <c r="B16" s="268" t="s">
        <v>6</v>
      </c>
      <c r="C16" s="289" t="s">
        <v>33</v>
      </c>
      <c r="D16" s="290" t="s">
        <v>90</v>
      </c>
      <c r="E16" s="271" t="s">
        <v>41</v>
      </c>
      <c r="F16" s="272"/>
      <c r="G16" s="272"/>
      <c r="H16" s="176">
        <v>10</v>
      </c>
      <c r="I16" s="468">
        <f t="shared" si="0"/>
        <v>0.05</v>
      </c>
      <c r="J16" s="223"/>
      <c r="K16" s="223"/>
      <c r="L16" s="223"/>
      <c r="M16" s="223"/>
      <c r="N16" s="273"/>
      <c r="O16" s="178"/>
      <c r="P16" s="223"/>
      <c r="Q16" s="454"/>
      <c r="S16" s="274"/>
      <c r="T16" s="274"/>
      <c r="U16" s="274"/>
      <c r="AJ16" s="454"/>
      <c r="AZ16" s="275"/>
      <c r="BJ16" s="225"/>
      <c r="BK16" s="225"/>
      <c r="BL16" s="225"/>
      <c r="BO16" s="178"/>
      <c r="BP16" s="225"/>
      <c r="BQ16" s="276"/>
      <c r="BR16" s="277"/>
      <c r="BS16" s="225"/>
      <c r="BT16" s="278"/>
      <c r="BX16" s="225"/>
      <c r="BY16" s="225"/>
      <c r="BZ16" s="178"/>
      <c r="CA16" s="178"/>
      <c r="CB16" s="178"/>
      <c r="CC16" s="178"/>
    </row>
    <row r="17" spans="1:81" x14ac:dyDescent="0.2">
      <c r="A17" s="291" t="s">
        <v>247</v>
      </c>
      <c r="B17" s="292">
        <f>Vout/Vin/Fsw*1000000</f>
        <v>416.66666666666669</v>
      </c>
      <c r="C17" s="293" t="s">
        <v>248</v>
      </c>
      <c r="D17" s="294">
        <f>B17/1000000</f>
        <v>4.1666666666666669E-4</v>
      </c>
      <c r="E17" s="283" t="s">
        <v>249</v>
      </c>
      <c r="F17" s="272"/>
      <c r="G17" s="272"/>
      <c r="H17" s="176">
        <v>11</v>
      </c>
      <c r="I17" s="468">
        <f t="shared" si="0"/>
        <v>5.5E-2</v>
      </c>
      <c r="J17" s="223"/>
      <c r="K17" s="223"/>
      <c r="L17" s="223"/>
      <c r="M17" s="223"/>
      <c r="N17" s="273"/>
      <c r="O17" s="178"/>
      <c r="P17" s="223"/>
      <c r="Q17" s="454"/>
      <c r="S17" s="274"/>
      <c r="T17" s="274"/>
      <c r="U17" s="274"/>
      <c r="AJ17" s="454"/>
      <c r="AZ17" s="275"/>
      <c r="BJ17" s="225"/>
      <c r="BK17" s="225"/>
      <c r="BL17" s="225"/>
      <c r="BO17" s="178"/>
      <c r="BP17" s="225"/>
      <c r="BQ17" s="276"/>
      <c r="BR17" s="277"/>
      <c r="BS17" s="225"/>
      <c r="BT17" s="278"/>
      <c r="BX17" s="225"/>
      <c r="BY17" s="225"/>
      <c r="BZ17" s="178"/>
      <c r="CA17" s="178"/>
      <c r="CB17" s="178"/>
      <c r="CC17" s="178"/>
    </row>
    <row r="18" spans="1:81" x14ac:dyDescent="0.2">
      <c r="A18" s="291" t="s">
        <v>250</v>
      </c>
      <c r="B18" s="292"/>
      <c r="C18" s="293" t="s">
        <v>248</v>
      </c>
      <c r="D18" s="295">
        <f>B18/1000000</f>
        <v>0</v>
      </c>
      <c r="E18" s="281" t="s">
        <v>251</v>
      </c>
      <c r="F18" s="272"/>
      <c r="G18" s="272"/>
      <c r="H18" s="176">
        <v>12</v>
      </c>
      <c r="I18" s="468">
        <f t="shared" si="0"/>
        <v>0.06</v>
      </c>
      <c r="J18" s="223"/>
      <c r="K18" s="223"/>
      <c r="L18" s="223"/>
      <c r="M18" s="223"/>
      <c r="N18" s="273"/>
      <c r="O18" s="178"/>
      <c r="P18" s="223"/>
      <c r="Q18" s="454"/>
      <c r="S18" s="274"/>
      <c r="T18" s="274"/>
      <c r="U18" s="274"/>
      <c r="AJ18" s="454"/>
      <c r="AZ18" s="275"/>
      <c r="BJ18" s="225"/>
      <c r="BK18" s="225"/>
      <c r="BL18" s="225"/>
      <c r="BO18" s="178"/>
      <c r="BP18" s="225"/>
      <c r="BQ18" s="276"/>
      <c r="BR18" s="277"/>
      <c r="BS18" s="225"/>
      <c r="BT18" s="278"/>
      <c r="BX18" s="225"/>
      <c r="BY18" s="225"/>
      <c r="BZ18" s="178"/>
      <c r="CA18" s="178"/>
      <c r="CB18" s="178"/>
      <c r="CC18" s="178"/>
    </row>
    <row r="19" spans="1:81" ht="15.75" x14ac:dyDescent="0.3">
      <c r="A19" s="285" t="s">
        <v>252</v>
      </c>
      <c r="B19" s="296">
        <f>(Vin-Vout-(Rdcr_pri+Rdson)*Iout)/L*OnTime*1000</f>
        <v>177320.0757575758</v>
      </c>
      <c r="C19" s="283" t="s">
        <v>30</v>
      </c>
      <c r="D19" s="196">
        <f>B19/1000</f>
        <v>177.32007575757581</v>
      </c>
      <c r="E19" s="281" t="s">
        <v>253</v>
      </c>
      <c r="F19" s="272"/>
      <c r="G19" s="272"/>
      <c r="H19" s="176">
        <v>13</v>
      </c>
      <c r="I19" s="468">
        <f t="shared" si="0"/>
        <v>6.5000000000000002E-2</v>
      </c>
      <c r="J19" s="223"/>
      <c r="K19" s="223"/>
      <c r="L19" s="223"/>
      <c r="M19" s="223"/>
      <c r="N19" s="273"/>
      <c r="O19" s="178"/>
      <c r="P19" s="223"/>
      <c r="Q19" s="454"/>
      <c r="S19" s="274"/>
      <c r="T19" s="274"/>
      <c r="U19" s="274"/>
      <c r="AJ19" s="454"/>
      <c r="AZ19" s="275"/>
      <c r="BJ19" s="225"/>
      <c r="BK19" s="225"/>
      <c r="BL19" s="225"/>
      <c r="BO19" s="178"/>
      <c r="BP19" s="225"/>
      <c r="BQ19" s="276"/>
      <c r="BR19" s="277"/>
      <c r="BS19" s="225"/>
      <c r="BT19" s="278"/>
      <c r="BX19" s="225"/>
      <c r="BY19" s="225"/>
      <c r="BZ19" s="178"/>
      <c r="CA19" s="178"/>
      <c r="CB19" s="178"/>
      <c r="CC19" s="178"/>
    </row>
    <row r="20" spans="1:81" x14ac:dyDescent="0.2">
      <c r="A20" s="291" t="s">
        <v>254</v>
      </c>
      <c r="B20" s="297">
        <f>'Design Converter'!E13</f>
        <v>0.5</v>
      </c>
      <c r="C20" s="281" t="s">
        <v>2</v>
      </c>
      <c r="D20" s="298">
        <f>B20*1000</f>
        <v>500</v>
      </c>
      <c r="E20" s="283" t="s">
        <v>255</v>
      </c>
      <c r="F20" s="365"/>
      <c r="G20" s="272"/>
      <c r="H20" s="176">
        <v>14</v>
      </c>
      <c r="I20" s="468">
        <f t="shared" si="0"/>
        <v>7.0000000000000007E-2</v>
      </c>
      <c r="J20" s="223"/>
      <c r="K20" s="223"/>
      <c r="L20" s="223"/>
      <c r="M20" s="223"/>
      <c r="N20" s="273"/>
      <c r="O20" s="178"/>
      <c r="P20" s="223"/>
      <c r="Q20" s="454"/>
      <c r="S20" s="274"/>
      <c r="T20" s="274"/>
      <c r="U20" s="274"/>
      <c r="AJ20" s="454"/>
      <c r="AZ20" s="275"/>
      <c r="BJ20" s="225"/>
      <c r="BK20" s="225"/>
      <c r="BL20" s="225"/>
      <c r="BO20" s="178"/>
      <c r="BP20" s="225"/>
      <c r="BQ20" s="276"/>
      <c r="BR20" s="277"/>
      <c r="BS20" s="225"/>
      <c r="BT20" s="278"/>
      <c r="BX20" s="225"/>
      <c r="BY20" s="225"/>
      <c r="BZ20" s="178"/>
      <c r="CA20" s="178"/>
      <c r="CB20" s="178"/>
      <c r="CC20" s="178"/>
    </row>
    <row r="21" spans="1:81" x14ac:dyDescent="0.2">
      <c r="A21" s="291" t="s">
        <v>422</v>
      </c>
      <c r="B21" s="296">
        <v>350</v>
      </c>
      <c r="C21" s="283" t="s">
        <v>2</v>
      </c>
      <c r="D21" s="298">
        <f>B21*1000</f>
        <v>350000</v>
      </c>
      <c r="E21" s="283" t="s">
        <v>423</v>
      </c>
      <c r="F21" s="272"/>
      <c r="G21" s="272"/>
      <c r="H21" s="176">
        <v>15</v>
      </c>
      <c r="I21" s="468">
        <f t="shared" si="0"/>
        <v>7.4999999999999997E-2</v>
      </c>
      <c r="J21" s="223"/>
      <c r="K21" s="223"/>
      <c r="L21" s="223"/>
      <c r="M21" s="223"/>
      <c r="N21" s="273"/>
      <c r="O21" s="178"/>
      <c r="P21" s="223"/>
      <c r="Q21" s="454"/>
      <c r="S21" s="274"/>
      <c r="T21" s="274"/>
      <c r="U21" s="274"/>
      <c r="AJ21" s="454"/>
      <c r="AZ21" s="275"/>
      <c r="BJ21" s="225"/>
      <c r="BK21" s="225"/>
      <c r="BL21" s="225"/>
      <c r="BO21" s="178"/>
      <c r="BP21" s="225"/>
      <c r="BQ21" s="276"/>
      <c r="BR21" s="277"/>
      <c r="BS21" s="225"/>
      <c r="BT21" s="278"/>
      <c r="BX21" s="225"/>
      <c r="BY21" s="225"/>
      <c r="BZ21" s="178"/>
      <c r="CA21" s="178"/>
      <c r="CB21" s="178"/>
      <c r="CC21" s="178"/>
    </row>
    <row r="22" spans="1:81" x14ac:dyDescent="0.2">
      <c r="A22" s="299" t="s">
        <v>38</v>
      </c>
      <c r="B22" s="300">
        <v>15</v>
      </c>
      <c r="C22" s="281" t="s">
        <v>32</v>
      </c>
      <c r="D22" s="301">
        <f>B22/1000000000</f>
        <v>1.4999999999999999E-8</v>
      </c>
      <c r="E22" s="194" t="s">
        <v>256</v>
      </c>
      <c r="F22" s="272"/>
      <c r="G22" s="272"/>
      <c r="H22" s="176">
        <v>16</v>
      </c>
      <c r="I22" s="468">
        <f t="shared" si="0"/>
        <v>0.08</v>
      </c>
      <c r="J22" s="223"/>
      <c r="K22" s="223"/>
      <c r="L22" s="223"/>
      <c r="M22" s="223"/>
      <c r="N22" s="273"/>
      <c r="O22" s="178"/>
      <c r="P22" s="223"/>
      <c r="Q22" s="454"/>
      <c r="S22" s="274"/>
      <c r="T22" s="274"/>
      <c r="U22" s="274"/>
      <c r="AJ22" s="454"/>
      <c r="AZ22" s="275"/>
      <c r="BJ22" s="225"/>
      <c r="BK22" s="225"/>
      <c r="BL22" s="225"/>
      <c r="BO22" s="178"/>
      <c r="BP22" s="225"/>
      <c r="BQ22" s="276"/>
      <c r="BR22" s="277"/>
      <c r="BS22" s="225"/>
      <c r="BT22" s="278"/>
      <c r="BX22" s="225"/>
      <c r="BY22" s="225"/>
      <c r="BZ22" s="178"/>
      <c r="CA22" s="178"/>
      <c r="CB22" s="178"/>
      <c r="CC22" s="178"/>
    </row>
    <row r="23" spans="1:81" x14ac:dyDescent="0.2">
      <c r="A23" s="299" t="s">
        <v>39</v>
      </c>
      <c r="B23" s="300">
        <v>15</v>
      </c>
      <c r="C23" s="281" t="s">
        <v>32</v>
      </c>
      <c r="D23" s="301">
        <f>B23/1000000000</f>
        <v>1.4999999999999999E-8</v>
      </c>
      <c r="E23" s="194" t="s">
        <v>257</v>
      </c>
      <c r="F23" s="272"/>
      <c r="G23" s="272"/>
      <c r="H23" s="176">
        <v>17</v>
      </c>
      <c r="I23" s="468">
        <f t="shared" si="0"/>
        <v>8.5000000000000006E-2</v>
      </c>
      <c r="J23" s="223"/>
      <c r="K23" s="223"/>
      <c r="L23" s="223"/>
      <c r="M23" s="223"/>
      <c r="N23" s="273"/>
      <c r="O23" s="178"/>
      <c r="P23" s="223"/>
      <c r="Q23" s="454"/>
      <c r="S23" s="274"/>
      <c r="T23" s="274"/>
      <c r="U23" s="274"/>
      <c r="AJ23" s="454"/>
      <c r="AZ23" s="275"/>
      <c r="BJ23" s="225"/>
      <c r="BK23" s="225"/>
      <c r="BL23" s="225"/>
      <c r="BO23" s="178"/>
      <c r="BP23" s="225"/>
      <c r="BQ23" s="276"/>
      <c r="BR23" s="277"/>
      <c r="BS23" s="225"/>
      <c r="BT23" s="278"/>
      <c r="BX23" s="225"/>
      <c r="BY23" s="225"/>
      <c r="BZ23" s="178"/>
      <c r="CA23" s="178"/>
      <c r="CB23" s="178"/>
      <c r="CC23" s="178"/>
    </row>
    <row r="24" spans="1:81" x14ac:dyDescent="0.2">
      <c r="A24" s="246"/>
      <c r="B24" s="246"/>
      <c r="C24" s="246"/>
      <c r="D24" s="246"/>
      <c r="E24" s="246"/>
      <c r="F24" s="272"/>
      <c r="G24" s="272"/>
      <c r="H24" s="176">
        <v>18</v>
      </c>
      <c r="I24" s="468">
        <f t="shared" si="0"/>
        <v>0.09</v>
      </c>
      <c r="J24" s="223"/>
      <c r="K24" s="223"/>
      <c r="L24" s="223"/>
      <c r="M24" s="223"/>
      <c r="N24" s="273"/>
      <c r="O24" s="178"/>
      <c r="P24" s="223"/>
      <c r="Q24" s="454"/>
      <c r="S24" s="274"/>
      <c r="T24" s="274"/>
      <c r="U24" s="274"/>
      <c r="AJ24" s="454"/>
      <c r="AZ24" s="275"/>
      <c r="BJ24" s="225"/>
      <c r="BK24" s="225"/>
      <c r="BL24" s="225"/>
      <c r="BO24" s="178"/>
      <c r="BP24" s="225"/>
      <c r="BQ24" s="276"/>
      <c r="BR24" s="277"/>
      <c r="BS24" s="225"/>
      <c r="BT24" s="278"/>
      <c r="BX24" s="225"/>
      <c r="BY24" s="225"/>
      <c r="BZ24" s="178"/>
      <c r="CA24" s="178"/>
      <c r="CB24" s="178"/>
      <c r="CC24" s="178"/>
    </row>
    <row r="25" spans="1:81" x14ac:dyDescent="0.2">
      <c r="A25" s="288" t="s">
        <v>29</v>
      </c>
      <c r="B25" s="269" t="s">
        <v>43</v>
      </c>
      <c r="C25" s="289" t="s">
        <v>33</v>
      </c>
      <c r="D25" s="290" t="s">
        <v>90</v>
      </c>
      <c r="E25" s="271" t="s">
        <v>41</v>
      </c>
      <c r="F25" s="272"/>
      <c r="G25" s="272"/>
      <c r="H25" s="176">
        <v>19</v>
      </c>
      <c r="I25" s="468">
        <f t="shared" si="0"/>
        <v>9.5000000000000001E-2</v>
      </c>
      <c r="J25" s="223"/>
      <c r="K25" s="223"/>
      <c r="L25" s="223"/>
      <c r="M25" s="223"/>
      <c r="N25" s="273"/>
      <c r="O25" s="178"/>
      <c r="P25" s="223"/>
      <c r="Q25" s="454"/>
      <c r="S25" s="274"/>
      <c r="T25" s="274"/>
      <c r="U25" s="274"/>
      <c r="AJ25" s="454"/>
      <c r="AZ25" s="275"/>
      <c r="BJ25" s="225"/>
      <c r="BK25" s="225"/>
      <c r="BL25" s="225"/>
      <c r="BO25" s="178"/>
      <c r="BP25" s="225"/>
      <c r="BQ25" s="276"/>
      <c r="BR25" s="277"/>
      <c r="BS25" s="225"/>
      <c r="BT25" s="278"/>
      <c r="BX25" s="225"/>
      <c r="BY25" s="225"/>
      <c r="BZ25" s="178"/>
      <c r="CA25" s="178"/>
      <c r="CB25" s="178"/>
      <c r="CC25" s="178"/>
    </row>
    <row r="26" spans="1:81" ht="13.5" thickBot="1" x14ac:dyDescent="0.25">
      <c r="A26" s="302" t="s">
        <v>27</v>
      </c>
      <c r="B26" s="283">
        <f>'Design Converter'!L7</f>
        <v>44</v>
      </c>
      <c r="C26" s="293" t="s">
        <v>96</v>
      </c>
      <c r="D26" s="200">
        <f>B26/1000000</f>
        <v>4.3999999999999999E-5</v>
      </c>
      <c r="E26" s="283" t="s">
        <v>258</v>
      </c>
      <c r="F26" s="303"/>
      <c r="G26" s="272"/>
      <c r="H26" s="176">
        <v>20</v>
      </c>
      <c r="I26" s="468">
        <f t="shared" si="0"/>
        <v>0.1</v>
      </c>
      <c r="J26" s="223"/>
      <c r="K26" s="223"/>
      <c r="L26" s="223"/>
      <c r="M26" s="223"/>
      <c r="N26" s="273"/>
      <c r="O26" s="178"/>
      <c r="P26" s="223"/>
      <c r="Q26" s="454"/>
      <c r="S26" s="274"/>
      <c r="T26" s="274"/>
      <c r="U26" s="274"/>
      <c r="AJ26" s="454"/>
      <c r="AZ26" s="275"/>
      <c r="BJ26" s="225"/>
      <c r="BK26" s="225"/>
      <c r="BL26" s="225"/>
      <c r="BO26" s="178"/>
      <c r="BP26" s="225"/>
      <c r="BQ26" s="276"/>
      <c r="BR26" s="277"/>
      <c r="BS26" s="225"/>
      <c r="BT26" s="278"/>
      <c r="BX26" s="225"/>
      <c r="BY26" s="225"/>
      <c r="BZ26" s="178"/>
      <c r="CA26" s="178"/>
      <c r="CB26" s="178"/>
      <c r="CC26" s="178"/>
    </row>
    <row r="27" spans="1:81" ht="13.5" thickBot="1" x14ac:dyDescent="0.25">
      <c r="A27" s="304" t="s">
        <v>397</v>
      </c>
      <c r="B27" s="305">
        <f>'Design Converter'!L8</f>
        <v>200</v>
      </c>
      <c r="C27" s="306" t="s">
        <v>259</v>
      </c>
      <c r="D27" s="200">
        <f>B27/1000</f>
        <v>0.2</v>
      </c>
      <c r="E27" s="283" t="s">
        <v>492</v>
      </c>
      <c r="F27" s="272"/>
      <c r="G27" s="272"/>
      <c r="H27" s="176">
        <v>21</v>
      </c>
      <c r="I27" s="468">
        <f t="shared" si="0"/>
        <v>0.105</v>
      </c>
      <c r="J27" s="223"/>
      <c r="K27" s="223"/>
      <c r="L27" s="223"/>
      <c r="M27" s="223"/>
      <c r="N27" s="273"/>
      <c r="O27" s="178"/>
      <c r="P27" s="223"/>
      <c r="Q27" s="454"/>
      <c r="S27" s="274"/>
      <c r="T27" s="274"/>
      <c r="U27" s="274"/>
      <c r="AJ27" s="454"/>
      <c r="AZ27" s="275"/>
      <c r="BJ27" s="225"/>
      <c r="BK27" s="225"/>
      <c r="BL27" s="225"/>
      <c r="BO27" s="178"/>
      <c r="BP27" s="225"/>
      <c r="BQ27" s="276"/>
      <c r="BR27" s="277"/>
      <c r="BS27" s="225"/>
      <c r="BT27" s="278"/>
      <c r="BX27" s="225"/>
      <c r="BY27" s="225"/>
      <c r="BZ27" s="178"/>
      <c r="CA27" s="178"/>
      <c r="CB27" s="178"/>
      <c r="CC27" s="178"/>
    </row>
    <row r="28" spans="1:81" ht="13.5" thickBot="1" x14ac:dyDescent="0.25">
      <c r="A28" s="304" t="s">
        <v>460</v>
      </c>
      <c r="B28" s="305">
        <f>'Design Converter'!L9</f>
        <v>40</v>
      </c>
      <c r="C28" s="306" t="s">
        <v>259</v>
      </c>
      <c r="D28" s="200">
        <f>B28/1000</f>
        <v>0.04</v>
      </c>
      <c r="E28" s="283" t="s">
        <v>672</v>
      </c>
      <c r="F28" s="272"/>
      <c r="G28" s="272"/>
      <c r="H28" s="176">
        <v>22</v>
      </c>
      <c r="I28" s="468">
        <f t="shared" si="0"/>
        <v>0.11</v>
      </c>
      <c r="J28" s="223"/>
      <c r="K28" s="223"/>
      <c r="L28" s="223"/>
      <c r="M28" s="223"/>
      <c r="N28" s="273"/>
      <c r="O28" s="178"/>
      <c r="P28" s="223"/>
      <c r="Q28" s="454"/>
      <c r="S28" s="274"/>
      <c r="T28" s="274"/>
      <c r="U28" s="274"/>
      <c r="AJ28" s="454"/>
      <c r="AZ28" s="275"/>
      <c r="BJ28" s="225"/>
      <c r="BK28" s="225"/>
      <c r="BL28" s="225"/>
      <c r="BO28" s="178"/>
      <c r="BP28" s="225"/>
      <c r="BQ28" s="276"/>
      <c r="BR28" s="277"/>
      <c r="BS28" s="225"/>
      <c r="BT28" s="278"/>
      <c r="BX28" s="225"/>
      <c r="BY28" s="225"/>
      <c r="BZ28" s="178"/>
      <c r="CA28" s="178"/>
      <c r="CB28" s="178"/>
      <c r="CC28" s="178"/>
    </row>
    <row r="29" spans="1:81" ht="13.5" thickBot="1" x14ac:dyDescent="0.25">
      <c r="A29" s="307" t="s">
        <v>260</v>
      </c>
      <c r="B29" s="308">
        <v>4.9999999999999998E-8</v>
      </c>
      <c r="C29" s="306"/>
      <c r="D29" s="309">
        <f>B29</f>
        <v>4.9999999999999998E-8</v>
      </c>
      <c r="E29" s="310" t="s">
        <v>491</v>
      </c>
      <c r="F29" s="272"/>
      <c r="G29" s="272"/>
      <c r="H29" s="176">
        <v>23</v>
      </c>
      <c r="I29" s="468">
        <f t="shared" si="0"/>
        <v>0.115</v>
      </c>
      <c r="J29" s="223"/>
      <c r="K29" s="223"/>
      <c r="L29" s="223"/>
      <c r="M29" s="223"/>
      <c r="N29" s="273"/>
      <c r="O29" s="178"/>
      <c r="P29" s="223"/>
      <c r="Q29" s="454"/>
      <c r="S29" s="274"/>
      <c r="T29" s="274"/>
      <c r="U29" s="274"/>
      <c r="AJ29" s="454"/>
      <c r="AZ29" s="275"/>
      <c r="BJ29" s="225"/>
      <c r="BK29" s="225"/>
      <c r="BL29" s="225"/>
      <c r="BO29" s="178"/>
      <c r="BP29" s="225"/>
      <c r="BQ29" s="276"/>
      <c r="BR29" s="277"/>
      <c r="BS29" s="225"/>
      <c r="BT29" s="278"/>
      <c r="BX29" s="225"/>
      <c r="BY29" s="225"/>
      <c r="BZ29" s="178"/>
      <c r="CA29" s="178"/>
      <c r="CB29" s="178"/>
      <c r="CC29" s="178"/>
    </row>
    <row r="30" spans="1:81" ht="13.5" thickBot="1" x14ac:dyDescent="0.25">
      <c r="A30" s="311" t="s">
        <v>28</v>
      </c>
      <c r="B30" s="305">
        <f>'Design Converter'!E17</f>
        <v>10</v>
      </c>
      <c r="C30" s="312" t="s">
        <v>97</v>
      </c>
      <c r="D30" s="313">
        <f>B30/1000000</f>
        <v>1.0000000000000001E-5</v>
      </c>
      <c r="E30" s="314" t="s">
        <v>60</v>
      </c>
      <c r="F30" s="272"/>
      <c r="G30" s="272"/>
      <c r="H30" s="176">
        <v>24</v>
      </c>
      <c r="I30" s="468">
        <f t="shared" si="0"/>
        <v>0.12</v>
      </c>
      <c r="J30" s="223"/>
      <c r="K30" s="223"/>
      <c r="L30" s="223"/>
      <c r="M30" s="223"/>
      <c r="N30" s="273"/>
      <c r="O30" s="178"/>
      <c r="P30" s="223"/>
      <c r="Q30" s="454"/>
      <c r="S30" s="274"/>
      <c r="T30" s="274"/>
      <c r="U30" s="274"/>
      <c r="AJ30" s="454"/>
      <c r="AZ30" s="275"/>
      <c r="BJ30" s="225"/>
      <c r="BK30" s="225"/>
      <c r="BL30" s="225"/>
      <c r="BO30" s="178"/>
      <c r="BP30" s="225"/>
      <c r="BQ30" s="276"/>
      <c r="BR30" s="277"/>
      <c r="BS30" s="225"/>
      <c r="BT30" s="278"/>
      <c r="BX30" s="225"/>
      <c r="BY30" s="225"/>
      <c r="BZ30" s="178"/>
      <c r="CA30" s="178"/>
      <c r="CB30" s="178"/>
      <c r="CC30" s="178"/>
    </row>
    <row r="31" spans="1:81" ht="13.5" thickBot="1" x14ac:dyDescent="0.25">
      <c r="A31" s="307" t="s">
        <v>261</v>
      </c>
      <c r="B31" s="305">
        <f>'Design Converter'!E18</f>
        <v>5</v>
      </c>
      <c r="C31" s="306" t="s">
        <v>259</v>
      </c>
      <c r="D31" s="200">
        <f>B31/1000</f>
        <v>5.0000000000000001E-3</v>
      </c>
      <c r="E31" s="283" t="s">
        <v>262</v>
      </c>
      <c r="F31" s="272"/>
      <c r="G31" s="272"/>
      <c r="H31" s="176">
        <v>25</v>
      </c>
      <c r="I31" s="468">
        <f t="shared" si="0"/>
        <v>0.125</v>
      </c>
      <c r="J31" s="223"/>
      <c r="K31" s="223"/>
      <c r="L31" s="223"/>
      <c r="M31" s="223"/>
      <c r="N31" s="273"/>
      <c r="O31" s="178"/>
      <c r="P31" s="223"/>
      <c r="Q31" s="454"/>
      <c r="S31" s="274"/>
      <c r="T31" s="274"/>
      <c r="U31" s="274"/>
      <c r="AJ31" s="454"/>
      <c r="AZ31" s="275"/>
      <c r="BJ31" s="225"/>
      <c r="BK31" s="225"/>
      <c r="BL31" s="225"/>
      <c r="BO31" s="178"/>
      <c r="BP31" s="225"/>
      <c r="BQ31" s="276"/>
      <c r="BR31" s="277"/>
      <c r="BS31" s="225"/>
      <c r="BT31" s="278"/>
      <c r="BX31" s="225"/>
      <c r="BY31" s="225"/>
      <c r="BZ31" s="178"/>
      <c r="CA31" s="178"/>
      <c r="CB31" s="178"/>
      <c r="CC31" s="178"/>
    </row>
    <row r="32" spans="1:81" ht="13.5" thickBot="1" x14ac:dyDescent="0.25">
      <c r="A32" s="302" t="s">
        <v>14</v>
      </c>
      <c r="B32" s="364">
        <f>'Design Converter'!E21</f>
        <v>47</v>
      </c>
      <c r="C32" s="293" t="s">
        <v>97</v>
      </c>
      <c r="D32" s="294">
        <f>B32/1000000</f>
        <v>4.6999999999999997E-5</v>
      </c>
      <c r="E32" s="283" t="s">
        <v>263</v>
      </c>
      <c r="F32" s="272"/>
      <c r="G32" s="272"/>
      <c r="H32" s="176">
        <v>26</v>
      </c>
      <c r="I32" s="468">
        <f t="shared" si="0"/>
        <v>0.13</v>
      </c>
      <c r="J32" s="223"/>
      <c r="K32" s="223"/>
      <c r="L32" s="223"/>
      <c r="M32" s="223"/>
      <c r="N32" s="273"/>
      <c r="O32" s="178"/>
      <c r="P32" s="223"/>
      <c r="Q32" s="454"/>
      <c r="S32" s="274"/>
      <c r="T32" s="274"/>
      <c r="U32" s="274"/>
      <c r="AJ32" s="454"/>
      <c r="AZ32" s="275"/>
      <c r="BJ32" s="225"/>
      <c r="BK32" s="225"/>
      <c r="BL32" s="225"/>
      <c r="BO32" s="178"/>
      <c r="BP32" s="225"/>
      <c r="BQ32" s="276"/>
      <c r="BR32" s="277"/>
      <c r="BS32" s="225"/>
      <c r="BT32" s="278"/>
      <c r="BX32" s="225"/>
      <c r="BY32" s="225"/>
      <c r="BZ32" s="178"/>
      <c r="CA32" s="178"/>
      <c r="CB32" s="178"/>
      <c r="CC32" s="178"/>
    </row>
    <row r="33" spans="1:81" x14ac:dyDescent="0.2">
      <c r="A33" s="307" t="s">
        <v>264</v>
      </c>
      <c r="B33" s="364">
        <f>'Design Converter'!E22</f>
        <v>3</v>
      </c>
      <c r="C33" s="306" t="s">
        <v>259</v>
      </c>
      <c r="D33" s="200">
        <f>B33/1000</f>
        <v>3.0000000000000001E-3</v>
      </c>
      <c r="E33" s="283" t="s">
        <v>265</v>
      </c>
      <c r="F33" s="272"/>
      <c r="G33" s="272"/>
      <c r="H33" s="176">
        <v>27</v>
      </c>
      <c r="I33" s="468">
        <f t="shared" si="0"/>
        <v>0.13500000000000001</v>
      </c>
      <c r="J33" s="223"/>
      <c r="K33" s="223"/>
      <c r="L33" s="223"/>
      <c r="M33" s="223"/>
      <c r="N33" s="273"/>
      <c r="O33" s="178"/>
      <c r="P33" s="223"/>
      <c r="Q33" s="454"/>
      <c r="S33" s="274"/>
      <c r="T33" s="274"/>
      <c r="U33" s="274"/>
      <c r="AJ33" s="454"/>
      <c r="AZ33" s="275"/>
      <c r="BJ33" s="225"/>
      <c r="BK33" s="225"/>
      <c r="BL33" s="225"/>
      <c r="BO33" s="178"/>
      <c r="BP33" s="225"/>
      <c r="BQ33" s="276"/>
      <c r="BR33" s="277"/>
      <c r="BS33" s="225"/>
      <c r="BT33" s="278"/>
      <c r="BX33" s="225"/>
      <c r="BY33" s="225"/>
      <c r="BZ33" s="178"/>
      <c r="CA33" s="178"/>
      <c r="CB33" s="178"/>
      <c r="CC33" s="178"/>
    </row>
    <row r="34" spans="1:81" x14ac:dyDescent="0.2">
      <c r="A34" s="315" t="s">
        <v>406</v>
      </c>
      <c r="B34" s="269"/>
      <c r="C34" s="315" t="s">
        <v>33</v>
      </c>
      <c r="D34" s="316" t="s">
        <v>90</v>
      </c>
      <c r="E34" s="317" t="s">
        <v>41</v>
      </c>
      <c r="F34" s="272"/>
      <c r="G34" s="272"/>
      <c r="H34" s="176">
        <v>28</v>
      </c>
      <c r="I34" s="468">
        <f t="shared" si="0"/>
        <v>0.14000000000000001</v>
      </c>
      <c r="J34" s="223"/>
      <c r="K34" s="223"/>
      <c r="L34" s="223"/>
      <c r="M34" s="223"/>
      <c r="N34" s="273"/>
      <c r="O34" s="178"/>
      <c r="P34" s="223"/>
      <c r="Q34" s="454"/>
      <c r="S34" s="274"/>
      <c r="T34" s="274"/>
      <c r="U34" s="274"/>
      <c r="AJ34" s="454"/>
      <c r="AZ34" s="275"/>
      <c r="BJ34" s="225"/>
      <c r="BK34" s="225"/>
      <c r="BL34" s="225"/>
      <c r="BO34" s="178"/>
      <c r="BP34" s="225"/>
      <c r="BQ34" s="276"/>
      <c r="BR34" s="277"/>
      <c r="BS34" s="225"/>
      <c r="BT34" s="278"/>
      <c r="BX34" s="225"/>
      <c r="BY34" s="225"/>
      <c r="BZ34" s="178"/>
      <c r="CA34" s="178"/>
      <c r="CB34" s="178"/>
      <c r="CC34" s="178"/>
    </row>
    <row r="35" spans="1:81" x14ac:dyDescent="0.2">
      <c r="A35" s="304" t="s">
        <v>411</v>
      </c>
      <c r="B35" s="318">
        <v>0.75</v>
      </c>
      <c r="C35" s="293" t="s">
        <v>1</v>
      </c>
      <c r="D35" s="275">
        <f>B35</f>
        <v>0.75</v>
      </c>
      <c r="E35" s="194" t="s">
        <v>410</v>
      </c>
      <c r="F35" s="272"/>
      <c r="G35" s="272"/>
      <c r="H35" s="176">
        <v>29</v>
      </c>
      <c r="I35" s="468">
        <f t="shared" si="0"/>
        <v>0.14499999999999999</v>
      </c>
      <c r="J35" s="223"/>
      <c r="K35" s="223"/>
      <c r="L35" s="223"/>
      <c r="M35" s="223"/>
      <c r="N35" s="273"/>
      <c r="O35" s="178"/>
      <c r="P35" s="223"/>
      <c r="Q35" s="454"/>
      <c r="S35" s="274"/>
      <c r="T35" s="274"/>
      <c r="U35" s="274"/>
      <c r="AJ35" s="454"/>
      <c r="AZ35" s="275"/>
      <c r="BJ35" s="225"/>
      <c r="BK35" s="225"/>
      <c r="BL35" s="225"/>
      <c r="BO35" s="178"/>
      <c r="BP35" s="225"/>
      <c r="BQ35" s="276"/>
      <c r="BR35" s="277"/>
      <c r="BS35" s="225"/>
      <c r="BT35" s="278"/>
      <c r="BX35" s="225"/>
      <c r="BY35" s="225"/>
      <c r="BZ35" s="178"/>
      <c r="CA35" s="178"/>
      <c r="CB35" s="178"/>
      <c r="CC35" s="178"/>
    </row>
    <row r="36" spans="1:81" ht="13.5" thickBot="1" x14ac:dyDescent="0.25">
      <c r="A36" s="304" t="s">
        <v>419</v>
      </c>
      <c r="B36" s="318">
        <f>B35/5</f>
        <v>0.15</v>
      </c>
      <c r="C36" s="293" t="s">
        <v>1</v>
      </c>
      <c r="D36" s="275">
        <f>B36</f>
        <v>0.15</v>
      </c>
      <c r="E36" s="194" t="s">
        <v>420</v>
      </c>
      <c r="F36" s="272"/>
      <c r="G36" s="272"/>
      <c r="H36" s="176">
        <v>30</v>
      </c>
      <c r="I36" s="468">
        <f t="shared" si="0"/>
        <v>0.15</v>
      </c>
      <c r="J36" s="223"/>
      <c r="K36" s="223"/>
      <c r="L36" s="223"/>
      <c r="M36" s="223"/>
      <c r="N36" s="273"/>
      <c r="O36" s="178"/>
      <c r="P36" s="223"/>
      <c r="Q36" s="454"/>
      <c r="S36" s="274"/>
      <c r="T36" s="274"/>
      <c r="U36" s="274"/>
      <c r="AJ36" s="454"/>
      <c r="AZ36" s="275"/>
      <c r="BJ36" s="225"/>
      <c r="BK36" s="225"/>
      <c r="BL36" s="225"/>
      <c r="BO36" s="178"/>
      <c r="BP36" s="225"/>
      <c r="BQ36" s="276"/>
      <c r="BR36" s="277"/>
      <c r="BS36" s="225"/>
      <c r="BT36" s="278"/>
      <c r="BX36" s="225"/>
      <c r="BY36" s="225"/>
      <c r="BZ36" s="178"/>
      <c r="CA36" s="178"/>
      <c r="CB36" s="178"/>
      <c r="CC36" s="178"/>
    </row>
    <row r="37" spans="1:81" ht="13.5" thickBot="1" x14ac:dyDescent="0.25">
      <c r="A37" s="319" t="s">
        <v>47</v>
      </c>
      <c r="B37" s="544">
        <v>1</v>
      </c>
      <c r="C37" s="293"/>
      <c r="D37" s="275">
        <f>B37</f>
        <v>1</v>
      </c>
      <c r="E37" s="194" t="s">
        <v>421</v>
      </c>
      <c r="F37" s="272"/>
      <c r="G37" s="272"/>
      <c r="H37" s="176">
        <v>31</v>
      </c>
      <c r="I37" s="468">
        <f t="shared" si="0"/>
        <v>0.155</v>
      </c>
      <c r="J37" s="223"/>
      <c r="K37" s="223"/>
      <c r="L37" s="223"/>
      <c r="M37" s="223"/>
      <c r="N37" s="273"/>
      <c r="O37" s="178"/>
      <c r="P37" s="223"/>
      <c r="Q37" s="454"/>
      <c r="S37" s="274"/>
      <c r="T37" s="274"/>
      <c r="U37" s="274"/>
      <c r="AJ37" s="454"/>
      <c r="AZ37" s="275"/>
      <c r="BJ37" s="225"/>
      <c r="BK37" s="225"/>
      <c r="BL37" s="225"/>
      <c r="BO37" s="178"/>
      <c r="BP37" s="225"/>
      <c r="BQ37" s="276"/>
      <c r="BR37" s="277"/>
      <c r="BS37" s="225"/>
      <c r="BT37" s="278"/>
      <c r="BX37" s="225"/>
      <c r="BY37" s="225"/>
      <c r="BZ37" s="178"/>
      <c r="CA37" s="178"/>
      <c r="CB37" s="178"/>
      <c r="CC37" s="178"/>
    </row>
    <row r="38" spans="1:81" x14ac:dyDescent="0.2">
      <c r="A38" s="304" t="s">
        <v>24</v>
      </c>
      <c r="B38" s="320">
        <v>290</v>
      </c>
      <c r="C38" s="293" t="s">
        <v>266</v>
      </c>
      <c r="D38" s="295">
        <f>B38/1000000</f>
        <v>2.9E-4</v>
      </c>
      <c r="E38" s="283" t="s">
        <v>493</v>
      </c>
      <c r="H38" s="176">
        <v>32</v>
      </c>
      <c r="I38" s="468">
        <f t="shared" ref="I38:I69" si="24">IF(PLOT_TYPE=1, H38/100*Iout_max, min_I*EXP(H38*rr/100))</f>
        <v>0.16</v>
      </c>
      <c r="J38" s="223"/>
      <c r="K38" s="223"/>
      <c r="L38" s="223"/>
      <c r="M38" s="223"/>
      <c r="N38" s="273"/>
      <c r="O38" s="178"/>
      <c r="P38" s="223"/>
      <c r="Q38" s="454"/>
      <c r="S38" s="274"/>
      <c r="T38" s="274"/>
      <c r="U38" s="274"/>
      <c r="AJ38" s="454"/>
      <c r="AZ38" s="275"/>
      <c r="BJ38" s="225"/>
      <c r="BK38" s="225"/>
      <c r="BL38" s="225"/>
      <c r="BO38" s="178"/>
      <c r="BP38" s="225"/>
      <c r="BQ38" s="276"/>
      <c r="BR38" s="277"/>
      <c r="BS38" s="225"/>
      <c r="BT38" s="278"/>
      <c r="BX38" s="225"/>
      <c r="BY38" s="225"/>
      <c r="BZ38" s="178"/>
      <c r="CA38" s="178"/>
      <c r="CB38" s="178"/>
      <c r="CC38" s="178"/>
    </row>
    <row r="39" spans="1:81" ht="13.5" thickBot="1" x14ac:dyDescent="0.25">
      <c r="A39" s="315" t="s">
        <v>403</v>
      </c>
      <c r="B39" s="321"/>
      <c r="C39" s="315" t="s">
        <v>33</v>
      </c>
      <c r="D39" s="316" t="s">
        <v>90</v>
      </c>
      <c r="E39" s="322" t="s">
        <v>41</v>
      </c>
      <c r="H39" s="176">
        <v>33</v>
      </c>
      <c r="I39" s="468">
        <f t="shared" si="24"/>
        <v>0.16500000000000001</v>
      </c>
      <c r="J39" s="223"/>
      <c r="K39" s="223"/>
      <c r="L39" s="223"/>
      <c r="M39" s="223"/>
      <c r="N39" s="273"/>
      <c r="O39" s="178"/>
      <c r="P39" s="223"/>
      <c r="Q39" s="454"/>
      <c r="S39" s="274"/>
      <c r="T39" s="274"/>
      <c r="U39" s="274"/>
      <c r="AJ39" s="454"/>
      <c r="AZ39" s="275"/>
      <c r="BJ39" s="225"/>
      <c r="BK39" s="225"/>
      <c r="BL39" s="225"/>
      <c r="BO39" s="178"/>
      <c r="BP39" s="225"/>
      <c r="BQ39" s="276"/>
      <c r="BR39" s="277"/>
      <c r="BS39" s="225"/>
      <c r="BT39" s="278"/>
      <c r="BX39" s="225"/>
      <c r="BY39" s="225"/>
      <c r="BZ39" s="178"/>
      <c r="CA39" s="178"/>
      <c r="CB39" s="178"/>
      <c r="CC39" s="178"/>
    </row>
    <row r="40" spans="1:81" x14ac:dyDescent="0.2">
      <c r="A40" s="323" t="s">
        <v>404</v>
      </c>
      <c r="B40" s="324">
        <v>350</v>
      </c>
      <c r="C40" s="284" t="s">
        <v>259</v>
      </c>
      <c r="D40" s="177">
        <f>B40/1000</f>
        <v>0.35</v>
      </c>
      <c r="E40" s="283" t="s">
        <v>408</v>
      </c>
      <c r="H40" s="176">
        <v>34</v>
      </c>
      <c r="I40" s="468">
        <f t="shared" si="24"/>
        <v>0.17</v>
      </c>
      <c r="J40" s="223"/>
      <c r="K40" s="223"/>
      <c r="L40" s="223"/>
      <c r="M40" s="223"/>
      <c r="N40" s="273"/>
      <c r="O40" s="178"/>
      <c r="P40" s="223"/>
      <c r="Q40" s="454"/>
      <c r="S40" s="274"/>
      <c r="T40" s="274"/>
      <c r="U40" s="274"/>
      <c r="AJ40" s="454"/>
      <c r="AZ40" s="275"/>
      <c r="BJ40" s="225"/>
      <c r="BK40" s="225"/>
      <c r="BL40" s="225"/>
      <c r="BO40" s="178"/>
      <c r="BP40" s="225"/>
      <c r="BQ40" s="276"/>
      <c r="BR40" s="277"/>
      <c r="BS40" s="225"/>
      <c r="BT40" s="278"/>
      <c r="BX40" s="225"/>
      <c r="BY40" s="225"/>
      <c r="BZ40" s="178"/>
      <c r="CA40" s="178"/>
      <c r="CB40" s="178"/>
      <c r="CC40" s="178"/>
    </row>
    <row r="41" spans="1:81" ht="13.5" thickBot="1" x14ac:dyDescent="0.25">
      <c r="A41" s="176" t="s">
        <v>698</v>
      </c>
      <c r="B41" s="176">
        <v>4500</v>
      </c>
      <c r="C41" s="662" t="s">
        <v>699</v>
      </c>
      <c r="D41" s="177">
        <f>B41/1000000</f>
        <v>4.4999999999999997E-3</v>
      </c>
      <c r="E41" s="663" t="s">
        <v>700</v>
      </c>
      <c r="H41" s="176">
        <v>35</v>
      </c>
      <c r="I41" s="468">
        <f t="shared" si="24"/>
        <v>0.17499999999999999</v>
      </c>
      <c r="J41" s="223"/>
      <c r="K41" s="223"/>
      <c r="L41" s="223"/>
      <c r="M41" s="223"/>
      <c r="N41" s="273"/>
      <c r="O41" s="178"/>
      <c r="P41" s="223"/>
      <c r="Q41" s="454"/>
      <c r="S41" s="274"/>
      <c r="T41" s="274"/>
      <c r="U41" s="274"/>
      <c r="AJ41" s="454"/>
      <c r="AZ41" s="275"/>
      <c r="BJ41" s="225"/>
      <c r="BK41" s="225"/>
      <c r="BL41" s="225"/>
      <c r="BO41" s="178"/>
      <c r="BP41" s="225"/>
      <c r="BQ41" s="276"/>
      <c r="BR41" s="277"/>
      <c r="BS41" s="225"/>
      <c r="BT41" s="278"/>
      <c r="BX41" s="225"/>
      <c r="BY41" s="225"/>
      <c r="BZ41" s="178"/>
      <c r="CA41" s="178"/>
      <c r="CB41" s="178"/>
      <c r="CC41" s="178"/>
    </row>
    <row r="42" spans="1:81" ht="13.5" thickBot="1" x14ac:dyDescent="0.25">
      <c r="A42" s="304" t="s">
        <v>267</v>
      </c>
      <c r="B42" s="325"/>
      <c r="C42" s="326" t="s">
        <v>268</v>
      </c>
      <c r="D42" s="177"/>
      <c r="E42" s="283" t="s">
        <v>267</v>
      </c>
      <c r="H42" s="176">
        <v>36</v>
      </c>
      <c r="I42" s="468">
        <f t="shared" si="24"/>
        <v>0.18</v>
      </c>
      <c r="J42" s="223"/>
      <c r="K42" s="223"/>
      <c r="L42" s="223"/>
      <c r="M42" s="223"/>
      <c r="N42" s="273"/>
      <c r="O42" s="178"/>
      <c r="P42" s="223"/>
      <c r="Q42" s="454"/>
      <c r="S42" s="274"/>
      <c r="T42" s="274"/>
      <c r="U42" s="274"/>
      <c r="AJ42" s="454"/>
      <c r="AZ42" s="275"/>
      <c r="BJ42" s="225"/>
      <c r="BK42" s="225"/>
      <c r="BL42" s="225"/>
      <c r="BO42" s="178"/>
      <c r="BP42" s="225"/>
      <c r="BQ42" s="276"/>
      <c r="BR42" s="277"/>
      <c r="BS42" s="225"/>
      <c r="BT42" s="278"/>
      <c r="BX42" s="225"/>
      <c r="BY42" s="225"/>
      <c r="BZ42" s="178"/>
      <c r="CA42" s="178"/>
      <c r="CB42" s="178"/>
      <c r="CC42" s="178"/>
    </row>
    <row r="43" spans="1:81" ht="13.5" thickBot="1" x14ac:dyDescent="0.25">
      <c r="A43" s="304" t="s">
        <v>405</v>
      </c>
      <c r="B43" s="324">
        <v>2.5</v>
      </c>
      <c r="C43" s="293" t="s">
        <v>31</v>
      </c>
      <c r="D43" s="177">
        <f>B43/1000000000</f>
        <v>2.5000000000000001E-9</v>
      </c>
      <c r="E43" s="283" t="s">
        <v>407</v>
      </c>
      <c r="H43" s="176">
        <v>37</v>
      </c>
      <c r="I43" s="468">
        <f t="shared" si="24"/>
        <v>0.185</v>
      </c>
      <c r="J43" s="223"/>
      <c r="K43" s="223"/>
      <c r="L43" s="223"/>
      <c r="M43" s="223"/>
      <c r="N43" s="273"/>
      <c r="O43" s="178"/>
      <c r="P43" s="223"/>
      <c r="Q43" s="454"/>
      <c r="S43" s="274"/>
      <c r="T43" s="274"/>
      <c r="U43" s="274"/>
      <c r="AJ43" s="454"/>
      <c r="AZ43" s="275"/>
      <c r="BJ43" s="225"/>
      <c r="BK43" s="225"/>
      <c r="BL43" s="225"/>
      <c r="BO43" s="178"/>
      <c r="BP43" s="225"/>
      <c r="BQ43" s="276"/>
      <c r="BR43" s="277"/>
      <c r="BS43" s="225"/>
      <c r="BT43" s="278"/>
      <c r="BX43" s="225"/>
      <c r="BY43" s="225"/>
      <c r="BZ43" s="178"/>
      <c r="CA43" s="178"/>
      <c r="CB43" s="178"/>
      <c r="CC43" s="178"/>
    </row>
    <row r="44" spans="1:81" ht="13.5" thickBot="1" x14ac:dyDescent="0.25">
      <c r="A44" s="307" t="s">
        <v>241</v>
      </c>
      <c r="B44" s="324">
        <v>50</v>
      </c>
      <c r="C44" s="293" t="s">
        <v>15</v>
      </c>
      <c r="D44" s="327">
        <f>B44/1000000000000</f>
        <v>5.0000000000000002E-11</v>
      </c>
      <c r="E44" s="283" t="s">
        <v>330</v>
      </c>
      <c r="H44" s="176">
        <v>38</v>
      </c>
      <c r="I44" s="468">
        <f t="shared" si="24"/>
        <v>0.19</v>
      </c>
      <c r="J44" s="223"/>
      <c r="K44" s="223"/>
      <c r="L44" s="223"/>
      <c r="M44" s="223"/>
      <c r="N44" s="273"/>
      <c r="O44" s="178"/>
      <c r="P44" s="223"/>
      <c r="Q44" s="454"/>
      <c r="S44" s="274"/>
      <c r="T44" s="274"/>
      <c r="U44" s="274"/>
      <c r="AJ44" s="454"/>
      <c r="AZ44" s="275"/>
      <c r="BJ44" s="225"/>
      <c r="BK44" s="225"/>
      <c r="BL44" s="225"/>
      <c r="BO44" s="178"/>
      <c r="BP44" s="225"/>
      <c r="BQ44" s="276"/>
      <c r="BR44" s="277"/>
      <c r="BS44" s="225"/>
      <c r="BT44" s="278"/>
      <c r="BX44" s="225"/>
      <c r="BY44" s="225"/>
      <c r="BZ44" s="178"/>
      <c r="CA44" s="178"/>
      <c r="CB44" s="178"/>
      <c r="CC44" s="178"/>
    </row>
    <row r="45" spans="1:81" x14ac:dyDescent="0.2">
      <c r="A45" s="330" t="s">
        <v>329</v>
      </c>
      <c r="B45" s="324">
        <v>50</v>
      </c>
      <c r="C45" s="293" t="s">
        <v>15</v>
      </c>
      <c r="D45" s="295">
        <f>B45/1000000000000</f>
        <v>5.0000000000000002E-11</v>
      </c>
      <c r="E45" s="283" t="s">
        <v>484</v>
      </c>
      <c r="H45" s="176">
        <v>39</v>
      </c>
      <c r="I45" s="468">
        <f t="shared" si="24"/>
        <v>0.19500000000000001</v>
      </c>
      <c r="J45" s="223"/>
      <c r="K45" s="223"/>
      <c r="L45" s="223"/>
      <c r="M45" s="223"/>
      <c r="N45" s="273"/>
      <c r="O45" s="178"/>
      <c r="P45" s="223"/>
      <c r="Q45" s="454"/>
      <c r="S45" s="274"/>
      <c r="T45" s="274"/>
      <c r="U45" s="274"/>
      <c r="AJ45" s="454"/>
      <c r="AZ45" s="275"/>
      <c r="BJ45" s="225"/>
      <c r="BK45" s="225"/>
      <c r="BL45" s="225"/>
      <c r="BO45" s="178"/>
      <c r="BP45" s="225"/>
      <c r="BQ45" s="276"/>
      <c r="BR45" s="277"/>
      <c r="BS45" s="225"/>
      <c r="BT45" s="278"/>
      <c r="BX45" s="225"/>
      <c r="BY45" s="225"/>
      <c r="BZ45" s="178"/>
      <c r="CA45" s="178"/>
      <c r="CB45" s="178"/>
      <c r="CC45" s="178"/>
    </row>
    <row r="46" spans="1:81" ht="13.5" thickBot="1" x14ac:dyDescent="0.25">
      <c r="A46" s="315" t="s">
        <v>409</v>
      </c>
      <c r="B46" s="328"/>
      <c r="C46" s="315" t="s">
        <v>33</v>
      </c>
      <c r="D46" s="316" t="s">
        <v>90</v>
      </c>
      <c r="E46" s="329" t="s">
        <v>41</v>
      </c>
      <c r="H46" s="176">
        <v>40</v>
      </c>
      <c r="I46" s="468">
        <f t="shared" si="24"/>
        <v>0.2</v>
      </c>
      <c r="J46" s="223"/>
      <c r="K46" s="223"/>
      <c r="L46" s="223"/>
      <c r="M46" s="223"/>
      <c r="N46" s="273"/>
      <c r="O46" s="178"/>
      <c r="P46" s="223"/>
      <c r="Q46" s="454"/>
      <c r="S46" s="274"/>
      <c r="T46" s="274"/>
      <c r="U46" s="274"/>
      <c r="AJ46" s="454"/>
      <c r="AZ46" s="275"/>
      <c r="BJ46" s="225"/>
      <c r="BK46" s="225"/>
      <c r="BL46" s="225"/>
      <c r="BO46" s="178"/>
      <c r="BP46" s="225"/>
      <c r="BQ46" s="276"/>
      <c r="BR46" s="277"/>
      <c r="BS46" s="225"/>
      <c r="BT46" s="278"/>
      <c r="BX46" s="225"/>
      <c r="BY46" s="225"/>
      <c r="BZ46" s="178"/>
      <c r="CA46" s="178"/>
      <c r="CB46" s="178"/>
      <c r="CC46" s="178"/>
    </row>
    <row r="47" spans="1:81" ht="13.5" thickBot="1" x14ac:dyDescent="0.25">
      <c r="A47" s="323" t="s">
        <v>670</v>
      </c>
      <c r="B47" s="324">
        <f>'Design Converter'!E41</f>
        <v>0.25</v>
      </c>
      <c r="C47" s="281" t="s">
        <v>0</v>
      </c>
      <c r="D47" s="177">
        <f>B47</f>
        <v>0.25</v>
      </c>
      <c r="E47" s="283" t="s">
        <v>669</v>
      </c>
      <c r="H47" s="176">
        <v>41</v>
      </c>
      <c r="I47" s="468">
        <f t="shared" si="24"/>
        <v>0.20499999999999999</v>
      </c>
      <c r="J47" s="223"/>
      <c r="K47" s="223"/>
      <c r="L47" s="223"/>
      <c r="M47" s="223"/>
      <c r="N47" s="273"/>
      <c r="O47" s="178"/>
      <c r="P47" s="223"/>
      <c r="Q47" s="454"/>
      <c r="S47" s="274"/>
      <c r="T47" s="274"/>
      <c r="U47" s="274"/>
      <c r="AJ47" s="454"/>
      <c r="AZ47" s="275"/>
      <c r="BJ47" s="225"/>
      <c r="BK47" s="225"/>
      <c r="BL47" s="225"/>
      <c r="BO47" s="178"/>
      <c r="BP47" s="225"/>
      <c r="BQ47" s="276"/>
      <c r="BR47" s="277"/>
      <c r="BS47" s="225"/>
      <c r="BT47" s="278"/>
      <c r="BX47" s="225"/>
      <c r="BY47" s="225"/>
      <c r="BZ47" s="178"/>
      <c r="CA47" s="178"/>
      <c r="CB47" s="178"/>
      <c r="CC47" s="178"/>
    </row>
    <row r="48" spans="1:81" ht="13.5" thickBot="1" x14ac:dyDescent="0.25">
      <c r="A48" s="323" t="s">
        <v>671</v>
      </c>
      <c r="B48" s="324">
        <f>'Design Converter'!E42</f>
        <v>0.3</v>
      </c>
      <c r="C48" s="281" t="s">
        <v>0</v>
      </c>
      <c r="D48" s="177">
        <f>B48</f>
        <v>0.3</v>
      </c>
      <c r="E48" s="283" t="s">
        <v>668</v>
      </c>
      <c r="H48" s="176">
        <v>42</v>
      </c>
      <c r="I48" s="468">
        <f t="shared" si="24"/>
        <v>0.21</v>
      </c>
      <c r="J48" s="223"/>
      <c r="K48" s="223"/>
      <c r="L48" s="223"/>
      <c r="M48" s="223"/>
      <c r="N48" s="273"/>
      <c r="O48" s="178"/>
      <c r="P48" s="223"/>
      <c r="Q48" s="454"/>
      <c r="S48" s="274"/>
      <c r="T48" s="274"/>
      <c r="U48" s="274"/>
      <c r="AJ48" s="454"/>
      <c r="AZ48" s="275"/>
      <c r="BJ48" s="225"/>
      <c r="BK48" s="225"/>
      <c r="BL48" s="225"/>
      <c r="BO48" s="178"/>
      <c r="BP48" s="225"/>
      <c r="BQ48" s="276"/>
      <c r="BR48" s="277"/>
      <c r="BS48" s="225"/>
      <c r="BT48" s="278"/>
      <c r="BX48" s="225"/>
      <c r="BY48" s="225"/>
      <c r="BZ48" s="178"/>
      <c r="CA48" s="178"/>
      <c r="CB48" s="178"/>
      <c r="CC48" s="178"/>
    </row>
    <row r="49" spans="1:81" ht="13.5" thickBot="1" x14ac:dyDescent="0.25">
      <c r="A49" s="323" t="s">
        <v>269</v>
      </c>
      <c r="B49" s="324">
        <v>100</v>
      </c>
      <c r="C49" s="284" t="s">
        <v>259</v>
      </c>
      <c r="D49" s="177">
        <f>B49*0.001</f>
        <v>0.1</v>
      </c>
      <c r="E49" s="283" t="s">
        <v>270</v>
      </c>
      <c r="H49" s="176">
        <v>43</v>
      </c>
      <c r="I49" s="468">
        <f t="shared" si="24"/>
        <v>0.215</v>
      </c>
      <c r="J49" s="223"/>
      <c r="K49" s="223"/>
      <c r="L49" s="223"/>
      <c r="M49" s="223"/>
      <c r="N49" s="273"/>
      <c r="O49" s="178"/>
      <c r="P49" s="223"/>
      <c r="Q49" s="454"/>
      <c r="S49" s="274"/>
      <c r="T49" s="274"/>
      <c r="U49" s="274"/>
      <c r="AJ49" s="454"/>
      <c r="AZ49" s="275"/>
      <c r="BJ49" s="225"/>
      <c r="BK49" s="225"/>
      <c r="BL49" s="225"/>
      <c r="BO49" s="178"/>
      <c r="BP49" s="225"/>
      <c r="BQ49" s="276"/>
      <c r="BR49" s="277"/>
      <c r="BS49" s="225"/>
      <c r="BT49" s="278"/>
      <c r="BX49" s="225"/>
      <c r="BY49" s="225"/>
      <c r="BZ49" s="178"/>
      <c r="CA49" s="178"/>
      <c r="CB49" s="178"/>
      <c r="CC49" s="178"/>
    </row>
    <row r="50" spans="1:81" ht="13.5" thickBot="1" x14ac:dyDescent="0.25">
      <c r="A50" s="304" t="s">
        <v>412</v>
      </c>
      <c r="B50" s="324">
        <v>2</v>
      </c>
      <c r="C50" s="293" t="s">
        <v>31</v>
      </c>
      <c r="D50" s="295">
        <f>B50*0.000000001</f>
        <v>2.0000000000000001E-9</v>
      </c>
      <c r="E50" s="283" t="s">
        <v>271</v>
      </c>
      <c r="H50" s="176">
        <v>44</v>
      </c>
      <c r="I50" s="468">
        <f t="shared" si="24"/>
        <v>0.22</v>
      </c>
      <c r="J50" s="223"/>
      <c r="K50" s="223"/>
      <c r="L50" s="223"/>
      <c r="M50" s="223"/>
      <c r="N50" s="273"/>
      <c r="O50" s="178"/>
      <c r="P50" s="223"/>
      <c r="Q50" s="454"/>
      <c r="S50" s="274"/>
      <c r="T50" s="274"/>
      <c r="U50" s="274"/>
      <c r="AJ50" s="454"/>
      <c r="AZ50" s="275"/>
      <c r="BJ50" s="225"/>
      <c r="BK50" s="225"/>
      <c r="BL50" s="225"/>
      <c r="BO50" s="178"/>
      <c r="BP50" s="225"/>
      <c r="BQ50" s="276"/>
      <c r="BR50" s="277"/>
      <c r="BS50" s="225"/>
      <c r="BT50" s="278"/>
      <c r="BX50" s="225"/>
      <c r="BY50" s="225"/>
      <c r="BZ50" s="178"/>
      <c r="CA50" s="178"/>
      <c r="CB50" s="178"/>
      <c r="CC50" s="178"/>
    </row>
    <row r="51" spans="1:81" ht="13.5" thickBot="1" x14ac:dyDescent="0.25">
      <c r="A51" s="304" t="s">
        <v>413</v>
      </c>
      <c r="B51" s="324">
        <v>10</v>
      </c>
      <c r="C51" s="293" t="s">
        <v>32</v>
      </c>
      <c r="D51" s="295">
        <f>B51*0.000000001</f>
        <v>1E-8</v>
      </c>
      <c r="E51" s="283" t="s">
        <v>272</v>
      </c>
      <c r="H51" s="176">
        <v>45</v>
      </c>
      <c r="I51" s="468">
        <f t="shared" si="24"/>
        <v>0.22500000000000001</v>
      </c>
      <c r="J51" s="223"/>
      <c r="K51" s="223"/>
      <c r="L51" s="223"/>
      <c r="M51" s="223"/>
      <c r="N51" s="273"/>
      <c r="O51" s="178"/>
      <c r="P51" s="223"/>
      <c r="Q51" s="454"/>
      <c r="S51" s="274"/>
      <c r="T51" s="274"/>
      <c r="U51" s="274"/>
      <c r="AJ51" s="454"/>
      <c r="AZ51" s="275"/>
      <c r="BJ51" s="225"/>
      <c r="BK51" s="225"/>
      <c r="BL51" s="225"/>
      <c r="BO51" s="178"/>
      <c r="BP51" s="225"/>
      <c r="BQ51" s="276"/>
      <c r="BR51" s="277"/>
      <c r="BS51" s="225"/>
      <c r="BT51" s="278"/>
      <c r="BX51" s="225"/>
      <c r="BY51" s="225"/>
      <c r="BZ51" s="178"/>
      <c r="CA51" s="178"/>
      <c r="CB51" s="178"/>
      <c r="CC51" s="178"/>
    </row>
    <row r="52" spans="1:81" x14ac:dyDescent="0.2">
      <c r="A52" s="330" t="s">
        <v>501</v>
      </c>
      <c r="B52" s="324">
        <v>0</v>
      </c>
      <c r="C52" s="281" t="s">
        <v>273</v>
      </c>
      <c r="D52" s="295">
        <f>B52/1000000</f>
        <v>0</v>
      </c>
      <c r="E52" s="283" t="s">
        <v>274</v>
      </c>
      <c r="H52" s="176">
        <v>46</v>
      </c>
      <c r="I52" s="468">
        <f t="shared" si="24"/>
        <v>0.23</v>
      </c>
      <c r="J52" s="223"/>
      <c r="K52" s="223"/>
      <c r="L52" s="223"/>
      <c r="M52" s="223"/>
      <c r="N52" s="273"/>
      <c r="O52" s="178"/>
      <c r="P52" s="223"/>
      <c r="Q52" s="454"/>
      <c r="S52" s="274"/>
      <c r="T52" s="274"/>
      <c r="U52" s="274"/>
      <c r="AJ52" s="454"/>
      <c r="AZ52" s="275"/>
      <c r="BJ52" s="225"/>
      <c r="BK52" s="225"/>
      <c r="BL52" s="225"/>
      <c r="BO52" s="178"/>
      <c r="BP52" s="225"/>
      <c r="BQ52" s="276"/>
      <c r="BR52" s="277"/>
      <c r="BS52" s="225"/>
      <c r="BT52" s="278"/>
      <c r="BX52" s="225"/>
      <c r="BY52" s="225"/>
      <c r="BZ52" s="178"/>
      <c r="CA52" s="178"/>
      <c r="CB52" s="178"/>
      <c r="CC52" s="178"/>
    </row>
    <row r="53" spans="1:81" x14ac:dyDescent="0.2">
      <c r="A53" s="176" t="s">
        <v>702</v>
      </c>
      <c r="B53" s="203">
        <f>'Design Converter'!E43</f>
        <v>77</v>
      </c>
      <c r="C53" s="662" t="s">
        <v>84</v>
      </c>
      <c r="D53" s="203">
        <f>B53</f>
        <v>77</v>
      </c>
      <c r="E53" s="176" t="s">
        <v>701</v>
      </c>
      <c r="H53" s="176">
        <v>47</v>
      </c>
      <c r="I53" s="468">
        <f t="shared" si="24"/>
        <v>0.23499999999999999</v>
      </c>
      <c r="J53" s="223"/>
      <c r="K53" s="223"/>
      <c r="L53" s="223"/>
      <c r="M53" s="223"/>
      <c r="N53" s="273"/>
      <c r="O53" s="178"/>
      <c r="P53" s="223"/>
      <c r="Q53" s="454"/>
      <c r="S53" s="274"/>
      <c r="T53" s="274"/>
      <c r="U53" s="274"/>
      <c r="AJ53" s="454"/>
      <c r="AZ53" s="275"/>
      <c r="BJ53" s="225"/>
      <c r="BK53" s="225"/>
      <c r="BL53" s="225"/>
      <c r="BO53" s="178"/>
      <c r="BP53" s="225"/>
      <c r="BQ53" s="276"/>
      <c r="BR53" s="277"/>
      <c r="BS53" s="225"/>
      <c r="BT53" s="278"/>
      <c r="BX53" s="225"/>
      <c r="BY53" s="225"/>
      <c r="BZ53" s="178"/>
      <c r="CA53" s="178"/>
      <c r="CB53" s="178"/>
      <c r="CC53" s="178"/>
    </row>
    <row r="54" spans="1:81" x14ac:dyDescent="0.2">
      <c r="A54" s="326"/>
      <c r="H54" s="176">
        <v>48</v>
      </c>
      <c r="I54" s="468">
        <f t="shared" si="24"/>
        <v>0.24</v>
      </c>
      <c r="J54" s="223"/>
      <c r="K54" s="223"/>
      <c r="L54" s="223"/>
      <c r="M54" s="223"/>
      <c r="N54" s="273"/>
      <c r="O54" s="178"/>
      <c r="P54" s="223"/>
      <c r="Q54" s="454"/>
      <c r="S54" s="274"/>
      <c r="T54" s="274"/>
      <c r="U54" s="274"/>
      <c r="AJ54" s="454"/>
      <c r="AZ54" s="275"/>
      <c r="BJ54" s="225"/>
      <c r="BK54" s="225"/>
      <c r="BL54" s="225"/>
      <c r="BO54" s="178"/>
      <c r="BP54" s="225"/>
      <c r="BQ54" s="276"/>
      <c r="BR54" s="277"/>
      <c r="BS54" s="225"/>
      <c r="BT54" s="278"/>
      <c r="BX54" s="225"/>
      <c r="BY54" s="225"/>
      <c r="BZ54" s="178"/>
      <c r="CA54" s="178"/>
      <c r="CB54" s="178"/>
      <c r="CC54" s="178"/>
    </row>
    <row r="55" spans="1:81" x14ac:dyDescent="0.2">
      <c r="H55" s="176">
        <v>49</v>
      </c>
      <c r="I55" s="468">
        <f t="shared" si="24"/>
        <v>0.245</v>
      </c>
      <c r="J55" s="223"/>
      <c r="K55" s="223"/>
      <c r="L55" s="223"/>
      <c r="M55" s="223"/>
      <c r="N55" s="273"/>
      <c r="O55" s="178"/>
      <c r="P55" s="223"/>
      <c r="Q55" s="454"/>
      <c r="S55" s="274"/>
      <c r="T55" s="274"/>
      <c r="U55" s="274"/>
      <c r="AJ55" s="454"/>
      <c r="AZ55" s="275"/>
      <c r="BJ55" s="225"/>
      <c r="BK55" s="225"/>
      <c r="BL55" s="225"/>
      <c r="BO55" s="178"/>
      <c r="BP55" s="225"/>
      <c r="BQ55" s="276"/>
      <c r="BR55" s="277"/>
      <c r="BS55" s="225"/>
      <c r="BT55" s="278"/>
      <c r="BX55" s="225"/>
      <c r="BY55" s="225"/>
      <c r="BZ55" s="178"/>
      <c r="CA55" s="178"/>
      <c r="CB55" s="178"/>
      <c r="CC55" s="178"/>
    </row>
    <row r="56" spans="1:81" x14ac:dyDescent="0.2">
      <c r="H56" s="176">
        <v>50</v>
      </c>
      <c r="I56" s="468">
        <f t="shared" si="24"/>
        <v>0.25</v>
      </c>
      <c r="J56" s="223"/>
      <c r="K56" s="223"/>
      <c r="L56" s="223"/>
      <c r="M56" s="223"/>
      <c r="N56" s="273"/>
      <c r="O56" s="178"/>
      <c r="P56" s="223"/>
      <c r="Q56" s="454"/>
      <c r="S56" s="274"/>
      <c r="T56" s="274"/>
      <c r="U56" s="274"/>
      <c r="AJ56" s="454"/>
      <c r="AZ56" s="275"/>
      <c r="BJ56" s="225"/>
      <c r="BK56" s="225"/>
      <c r="BL56" s="225"/>
      <c r="BO56" s="178"/>
      <c r="BP56" s="225"/>
      <c r="BQ56" s="276"/>
      <c r="BR56" s="277"/>
      <c r="BS56" s="225"/>
      <c r="BT56" s="278"/>
      <c r="BX56" s="225"/>
      <c r="BY56" s="225"/>
      <c r="BZ56" s="178"/>
      <c r="CA56" s="178"/>
      <c r="CB56" s="178"/>
      <c r="CC56" s="178"/>
    </row>
    <row r="57" spans="1:81" x14ac:dyDescent="0.2">
      <c r="H57" s="176">
        <v>51</v>
      </c>
      <c r="I57" s="468">
        <f t="shared" si="24"/>
        <v>0.255</v>
      </c>
      <c r="J57" s="223"/>
      <c r="K57" s="223"/>
      <c r="L57" s="223"/>
      <c r="M57" s="223"/>
      <c r="N57" s="273"/>
      <c r="O57" s="178"/>
      <c r="P57" s="223"/>
      <c r="Q57" s="454"/>
      <c r="S57" s="274"/>
      <c r="T57" s="274"/>
      <c r="U57" s="274"/>
      <c r="AJ57" s="454"/>
      <c r="AZ57" s="275"/>
      <c r="BJ57" s="225"/>
      <c r="BK57" s="225"/>
      <c r="BL57" s="225"/>
      <c r="BO57" s="178"/>
      <c r="BP57" s="225"/>
      <c r="BQ57" s="276"/>
      <c r="BR57" s="277"/>
      <c r="BS57" s="225"/>
      <c r="BT57" s="278"/>
      <c r="BX57" s="225"/>
      <c r="BY57" s="225"/>
      <c r="BZ57" s="178"/>
      <c r="CA57" s="178"/>
      <c r="CB57" s="178"/>
      <c r="CC57" s="178"/>
    </row>
    <row r="58" spans="1:81" x14ac:dyDescent="0.2">
      <c r="H58" s="176">
        <v>52</v>
      </c>
      <c r="I58" s="468">
        <f t="shared" si="24"/>
        <v>0.26</v>
      </c>
      <c r="J58" s="223"/>
      <c r="K58" s="223"/>
      <c r="L58" s="223"/>
      <c r="M58" s="223"/>
      <c r="N58" s="273"/>
      <c r="O58" s="178"/>
      <c r="P58" s="223"/>
      <c r="Q58" s="454"/>
      <c r="S58" s="274"/>
      <c r="T58" s="274"/>
      <c r="U58" s="274"/>
      <c r="AJ58" s="454"/>
      <c r="AZ58" s="275"/>
      <c r="BJ58" s="225"/>
      <c r="BK58" s="225"/>
      <c r="BL58" s="225"/>
      <c r="BO58" s="178"/>
      <c r="BP58" s="225"/>
      <c r="BQ58" s="276"/>
      <c r="BR58" s="277"/>
      <c r="BS58" s="225"/>
      <c r="BT58" s="278"/>
      <c r="BX58" s="225"/>
      <c r="BY58" s="225"/>
      <c r="BZ58" s="178"/>
      <c r="CA58" s="178"/>
      <c r="CB58" s="178"/>
      <c r="CC58" s="178"/>
    </row>
    <row r="59" spans="1:81" x14ac:dyDescent="0.2">
      <c r="H59" s="176">
        <v>53</v>
      </c>
      <c r="I59" s="468">
        <f t="shared" si="24"/>
        <v>0.26500000000000001</v>
      </c>
      <c r="J59" s="223"/>
      <c r="K59" s="223"/>
      <c r="L59" s="223"/>
      <c r="M59" s="223"/>
      <c r="N59" s="273"/>
      <c r="O59" s="178"/>
      <c r="P59" s="223"/>
      <c r="Q59" s="454"/>
      <c r="S59" s="274"/>
      <c r="T59" s="274"/>
      <c r="U59" s="274"/>
      <c r="AJ59" s="454"/>
      <c r="AZ59" s="275"/>
      <c r="BJ59" s="225"/>
      <c r="BK59" s="225"/>
      <c r="BL59" s="225"/>
      <c r="BO59" s="178"/>
      <c r="BP59" s="225"/>
      <c r="BQ59" s="276"/>
      <c r="BR59" s="277"/>
      <c r="BS59" s="225"/>
      <c r="BT59" s="278"/>
      <c r="BX59" s="225"/>
      <c r="BY59" s="225"/>
      <c r="BZ59" s="178"/>
      <c r="CA59" s="178"/>
      <c r="CB59" s="178"/>
      <c r="CC59" s="178"/>
    </row>
    <row r="60" spans="1:81" x14ac:dyDescent="0.2">
      <c r="H60" s="176">
        <v>54</v>
      </c>
      <c r="I60" s="468">
        <f t="shared" si="24"/>
        <v>0.27</v>
      </c>
      <c r="J60" s="223"/>
      <c r="K60" s="223"/>
      <c r="L60" s="223"/>
      <c r="M60" s="223"/>
      <c r="N60" s="273"/>
      <c r="O60" s="178"/>
      <c r="P60" s="223"/>
      <c r="Q60" s="454"/>
      <c r="S60" s="274"/>
      <c r="T60" s="274"/>
      <c r="U60" s="274"/>
      <c r="AJ60" s="454"/>
      <c r="AZ60" s="275"/>
      <c r="BJ60" s="225"/>
      <c r="BK60" s="225"/>
      <c r="BL60" s="225"/>
      <c r="BO60" s="178"/>
      <c r="BP60" s="225"/>
      <c r="BQ60" s="276"/>
      <c r="BR60" s="277"/>
      <c r="BS60" s="225"/>
      <c r="BT60" s="278"/>
      <c r="BX60" s="225"/>
      <c r="BY60" s="225"/>
      <c r="BZ60" s="178"/>
      <c r="CA60" s="178"/>
      <c r="CB60" s="178"/>
      <c r="CC60" s="178"/>
    </row>
    <row r="61" spans="1:81" x14ac:dyDescent="0.2">
      <c r="H61" s="176">
        <v>55</v>
      </c>
      <c r="I61" s="468">
        <f t="shared" si="24"/>
        <v>0.27500000000000002</v>
      </c>
      <c r="J61" s="223"/>
      <c r="K61" s="223"/>
      <c r="L61" s="223"/>
      <c r="M61" s="223"/>
      <c r="N61" s="273"/>
      <c r="O61" s="178"/>
      <c r="P61" s="223"/>
      <c r="Q61" s="454"/>
      <c r="S61" s="274"/>
      <c r="T61" s="274"/>
      <c r="U61" s="274"/>
      <c r="AJ61" s="454"/>
      <c r="AZ61" s="275"/>
      <c r="BJ61" s="225"/>
      <c r="BK61" s="225"/>
      <c r="BL61" s="225"/>
      <c r="BO61" s="178"/>
      <c r="BP61" s="225"/>
      <c r="BQ61" s="276"/>
      <c r="BR61" s="277"/>
      <c r="BS61" s="225"/>
      <c r="BT61" s="278"/>
      <c r="BX61" s="225"/>
      <c r="BY61" s="225"/>
      <c r="BZ61" s="178"/>
      <c r="CA61" s="178"/>
      <c r="CB61" s="178"/>
      <c r="CC61" s="178"/>
    </row>
    <row r="62" spans="1:81" x14ac:dyDescent="0.2">
      <c r="H62" s="176">
        <v>56</v>
      </c>
      <c r="I62" s="468">
        <f t="shared" si="24"/>
        <v>0.28000000000000003</v>
      </c>
      <c r="J62" s="223"/>
      <c r="K62" s="223"/>
      <c r="L62" s="223"/>
      <c r="M62" s="223"/>
      <c r="N62" s="273"/>
      <c r="O62" s="178"/>
      <c r="P62" s="223"/>
      <c r="Q62" s="454"/>
      <c r="S62" s="274"/>
      <c r="T62" s="274"/>
      <c r="U62" s="274"/>
      <c r="AJ62" s="454"/>
      <c r="AZ62" s="275"/>
      <c r="BJ62" s="225"/>
      <c r="BK62" s="225"/>
      <c r="BL62" s="225"/>
      <c r="BO62" s="178"/>
      <c r="BP62" s="225"/>
      <c r="BQ62" s="276"/>
      <c r="BR62" s="277"/>
      <c r="BS62" s="225"/>
      <c r="BT62" s="278"/>
      <c r="BX62" s="225"/>
      <c r="BY62" s="225"/>
      <c r="BZ62" s="178"/>
      <c r="CA62" s="178"/>
      <c r="CB62" s="178"/>
      <c r="CC62" s="178"/>
    </row>
    <row r="63" spans="1:81" x14ac:dyDescent="0.2">
      <c r="F63" s="331" t="s">
        <v>275</v>
      </c>
      <c r="G63" s="331" t="s">
        <v>276</v>
      </c>
      <c r="H63" s="176">
        <v>57</v>
      </c>
      <c r="I63" s="468">
        <f t="shared" si="24"/>
        <v>0.28499999999999998</v>
      </c>
      <c r="J63" s="223"/>
      <c r="K63" s="223"/>
      <c r="L63" s="223"/>
      <c r="M63" s="223"/>
      <c r="N63" s="273"/>
      <c r="O63" s="178"/>
      <c r="P63" s="223"/>
      <c r="Q63" s="454"/>
      <c r="S63" s="274"/>
      <c r="T63" s="274"/>
      <c r="U63" s="274"/>
      <c r="AJ63" s="454"/>
      <c r="AZ63" s="275"/>
      <c r="BJ63" s="225"/>
      <c r="BK63" s="225"/>
      <c r="BL63" s="225"/>
      <c r="BO63" s="178"/>
      <c r="BP63" s="225"/>
      <c r="BQ63" s="276"/>
      <c r="BR63" s="277"/>
      <c r="BS63" s="225"/>
      <c r="BT63" s="278"/>
      <c r="BX63" s="225"/>
      <c r="BY63" s="225"/>
      <c r="BZ63" s="178"/>
      <c r="CA63" s="178"/>
      <c r="CB63" s="178"/>
      <c r="CC63" s="178"/>
    </row>
    <row r="64" spans="1:81" x14ac:dyDescent="0.2">
      <c r="F64" s="332">
        <f>BM56</f>
        <v>0</v>
      </c>
      <c r="G64" s="333">
        <f>I56*1000</f>
        <v>250</v>
      </c>
      <c r="H64" s="176">
        <v>58</v>
      </c>
      <c r="I64" s="468">
        <f t="shared" si="24"/>
        <v>0.28999999999999998</v>
      </c>
      <c r="J64" s="223"/>
      <c r="K64" s="223"/>
      <c r="L64" s="223"/>
      <c r="M64" s="223"/>
      <c r="N64" s="273"/>
      <c r="O64" s="178"/>
      <c r="P64" s="223"/>
      <c r="Q64" s="454"/>
      <c r="S64" s="274"/>
      <c r="T64" s="274"/>
      <c r="U64" s="274"/>
      <c r="AJ64" s="454"/>
      <c r="AZ64" s="275"/>
      <c r="BJ64" s="225"/>
      <c r="BK64" s="225"/>
      <c r="BL64" s="225"/>
      <c r="BO64" s="178"/>
      <c r="BP64" s="225"/>
      <c r="BQ64" s="276"/>
      <c r="BR64" s="277"/>
      <c r="BS64" s="225"/>
      <c r="BT64" s="278"/>
      <c r="BX64" s="225"/>
      <c r="BY64" s="225"/>
      <c r="BZ64" s="178"/>
      <c r="CA64" s="178"/>
      <c r="CB64" s="178"/>
      <c r="CC64" s="178"/>
    </row>
    <row r="65" spans="6:81" x14ac:dyDescent="0.2">
      <c r="F65" s="332">
        <f>BM81</f>
        <v>0</v>
      </c>
      <c r="G65" s="333">
        <f>I81*1000</f>
        <v>375</v>
      </c>
      <c r="H65" s="176">
        <v>59</v>
      </c>
      <c r="I65" s="468">
        <f t="shared" si="24"/>
        <v>0.29499999999999998</v>
      </c>
      <c r="J65" s="223"/>
      <c r="K65" s="223"/>
      <c r="L65" s="223"/>
      <c r="M65" s="223"/>
      <c r="N65" s="273"/>
      <c r="O65" s="178"/>
      <c r="P65" s="223"/>
      <c r="Q65" s="454"/>
      <c r="S65" s="274"/>
      <c r="T65" s="274"/>
      <c r="U65" s="274"/>
      <c r="AJ65" s="454"/>
      <c r="AZ65" s="275"/>
      <c r="BJ65" s="225"/>
      <c r="BK65" s="225"/>
      <c r="BL65" s="225"/>
      <c r="BO65" s="178"/>
      <c r="BP65" s="225"/>
      <c r="BQ65" s="276"/>
      <c r="BR65" s="277"/>
      <c r="BS65" s="225"/>
      <c r="BT65" s="278"/>
      <c r="BX65" s="225"/>
      <c r="BY65" s="225"/>
      <c r="BZ65" s="178"/>
      <c r="CA65" s="178"/>
      <c r="CB65" s="178"/>
      <c r="CC65" s="178"/>
    </row>
    <row r="66" spans="6:81" x14ac:dyDescent="0.2">
      <c r="F66" s="332">
        <f>BM106</f>
        <v>100</v>
      </c>
      <c r="G66" s="333">
        <f>I106*1000</f>
        <v>500</v>
      </c>
      <c r="H66" s="176">
        <v>60</v>
      </c>
      <c r="I66" s="468">
        <f t="shared" si="24"/>
        <v>0.3</v>
      </c>
      <c r="J66" s="223"/>
      <c r="K66" s="223"/>
      <c r="L66" s="223"/>
      <c r="M66" s="223"/>
      <c r="N66" s="273"/>
      <c r="O66" s="178"/>
      <c r="P66" s="223"/>
      <c r="Q66" s="454"/>
      <c r="S66" s="274"/>
      <c r="T66" s="274"/>
      <c r="U66" s="274"/>
      <c r="AJ66" s="454"/>
      <c r="AZ66" s="275"/>
      <c r="BJ66" s="225"/>
      <c r="BK66" s="225"/>
      <c r="BL66" s="225"/>
      <c r="BO66" s="178"/>
      <c r="BP66" s="225"/>
      <c r="BQ66" s="276"/>
      <c r="BR66" s="277"/>
      <c r="BS66" s="225"/>
      <c r="BT66" s="278"/>
      <c r="BX66" s="225"/>
      <c r="BY66" s="225"/>
      <c r="BZ66" s="178"/>
      <c r="CA66" s="178"/>
      <c r="CB66" s="178"/>
      <c r="CC66" s="178"/>
    </row>
    <row r="67" spans="6:81" x14ac:dyDescent="0.2">
      <c r="H67" s="176">
        <v>61</v>
      </c>
      <c r="I67" s="468">
        <f t="shared" si="24"/>
        <v>0.30499999999999999</v>
      </c>
      <c r="J67" s="223"/>
      <c r="K67" s="223"/>
      <c r="L67" s="223"/>
      <c r="M67" s="223"/>
      <c r="N67" s="273"/>
      <c r="O67" s="178"/>
      <c r="P67" s="223"/>
      <c r="Q67" s="454"/>
      <c r="S67" s="274"/>
      <c r="T67" s="274"/>
      <c r="U67" s="274"/>
      <c r="AJ67" s="454"/>
      <c r="AZ67" s="275"/>
      <c r="BJ67" s="225"/>
      <c r="BK67" s="225"/>
      <c r="BL67" s="225"/>
      <c r="BO67" s="178"/>
      <c r="BP67" s="225"/>
      <c r="BQ67" s="276"/>
      <c r="BR67" s="277"/>
      <c r="BS67" s="225"/>
      <c r="BT67" s="278"/>
      <c r="BX67" s="225"/>
      <c r="BY67" s="225"/>
      <c r="BZ67" s="178"/>
      <c r="CA67" s="178"/>
      <c r="CB67" s="178"/>
      <c r="CC67" s="178"/>
    </row>
    <row r="68" spans="6:81" x14ac:dyDescent="0.2">
      <c r="H68" s="176">
        <v>62</v>
      </c>
      <c r="I68" s="468">
        <f t="shared" si="24"/>
        <v>0.31</v>
      </c>
      <c r="J68" s="223"/>
      <c r="K68" s="223"/>
      <c r="L68" s="223"/>
      <c r="M68" s="223"/>
      <c r="N68" s="273"/>
      <c r="O68" s="178"/>
      <c r="P68" s="223"/>
      <c r="Q68" s="454"/>
      <c r="S68" s="274"/>
      <c r="T68" s="274"/>
      <c r="U68" s="274"/>
      <c r="AJ68" s="454"/>
      <c r="AZ68" s="275"/>
      <c r="BJ68" s="225"/>
      <c r="BK68" s="225"/>
      <c r="BL68" s="225"/>
      <c r="BO68" s="178"/>
      <c r="BP68" s="225"/>
      <c r="BQ68" s="276"/>
      <c r="BR68" s="277"/>
      <c r="BS68" s="225"/>
      <c r="BT68" s="278"/>
      <c r="BX68" s="225"/>
      <c r="BY68" s="225"/>
      <c r="BZ68" s="178"/>
      <c r="CA68" s="178"/>
      <c r="CB68" s="178"/>
      <c r="CC68" s="178"/>
    </row>
    <row r="69" spans="6:81" x14ac:dyDescent="0.2">
      <c r="H69" s="176">
        <v>63</v>
      </c>
      <c r="I69" s="468">
        <f t="shared" si="24"/>
        <v>0.315</v>
      </c>
      <c r="J69" s="223"/>
      <c r="K69" s="223"/>
      <c r="L69" s="223"/>
      <c r="M69" s="223"/>
      <c r="N69" s="273"/>
      <c r="O69" s="178"/>
      <c r="P69" s="223"/>
      <c r="Q69" s="454"/>
      <c r="S69" s="274"/>
      <c r="T69" s="274"/>
      <c r="U69" s="274"/>
      <c r="AJ69" s="454"/>
      <c r="AZ69" s="275"/>
      <c r="BJ69" s="225"/>
      <c r="BK69" s="225"/>
      <c r="BL69" s="225"/>
      <c r="BO69" s="178"/>
      <c r="BP69" s="225"/>
      <c r="BQ69" s="276"/>
      <c r="BR69" s="277"/>
      <c r="BS69" s="225"/>
      <c r="BT69" s="278"/>
      <c r="BX69" s="225"/>
      <c r="BY69" s="225"/>
      <c r="BZ69" s="178"/>
      <c r="CA69" s="178"/>
      <c r="CB69" s="178"/>
      <c r="CC69" s="178"/>
    </row>
    <row r="70" spans="6:81" x14ac:dyDescent="0.2">
      <c r="H70" s="176">
        <v>64</v>
      </c>
      <c r="I70" s="468">
        <f t="shared" ref="I70:I101" si="25">IF(PLOT_TYPE=1, H70/100*Iout_max, min_I*EXP(H70*rr/100))</f>
        <v>0.32</v>
      </c>
      <c r="J70" s="223"/>
      <c r="K70" s="223"/>
      <c r="L70" s="223"/>
      <c r="M70" s="223"/>
      <c r="N70" s="273"/>
      <c r="O70" s="178"/>
      <c r="P70" s="223"/>
      <c r="Q70" s="454"/>
      <c r="S70" s="274"/>
      <c r="T70" s="274"/>
      <c r="U70" s="274"/>
      <c r="AJ70" s="454"/>
      <c r="AZ70" s="275"/>
      <c r="BJ70" s="225"/>
      <c r="BK70" s="225"/>
      <c r="BL70" s="225"/>
      <c r="BO70" s="178"/>
      <c r="BP70" s="225"/>
      <c r="BQ70" s="276"/>
      <c r="BR70" s="277"/>
      <c r="BS70" s="225"/>
      <c r="BT70" s="278"/>
      <c r="BX70" s="225"/>
      <c r="BY70" s="225"/>
      <c r="BZ70" s="178"/>
      <c r="CA70" s="178"/>
      <c r="CB70" s="178"/>
      <c r="CC70" s="178"/>
    </row>
    <row r="71" spans="6:81" x14ac:dyDescent="0.2">
      <c r="H71" s="176">
        <v>65</v>
      </c>
      <c r="I71" s="468">
        <f t="shared" si="25"/>
        <v>0.32500000000000001</v>
      </c>
      <c r="J71" s="223"/>
      <c r="K71" s="223"/>
      <c r="L71" s="223"/>
      <c r="M71" s="223"/>
      <c r="N71" s="273"/>
      <c r="O71" s="178"/>
      <c r="P71" s="223"/>
      <c r="Q71" s="454"/>
      <c r="S71" s="274"/>
      <c r="T71" s="274"/>
      <c r="U71" s="274"/>
      <c r="AJ71" s="454"/>
      <c r="AZ71" s="275"/>
      <c r="BJ71" s="225"/>
      <c r="BK71" s="225"/>
      <c r="BL71" s="225"/>
      <c r="BO71" s="178"/>
      <c r="BP71" s="225"/>
      <c r="BQ71" s="276"/>
      <c r="BR71" s="277"/>
      <c r="BS71" s="225"/>
      <c r="BT71" s="278"/>
      <c r="BX71" s="225"/>
      <c r="BY71" s="225"/>
      <c r="BZ71" s="178"/>
      <c r="CA71" s="178"/>
      <c r="CB71" s="178"/>
      <c r="CC71" s="178"/>
    </row>
    <row r="72" spans="6:81" x14ac:dyDescent="0.2">
      <c r="H72" s="176">
        <v>66</v>
      </c>
      <c r="I72" s="468">
        <f t="shared" si="25"/>
        <v>0.33</v>
      </c>
      <c r="J72" s="223"/>
      <c r="K72" s="223"/>
      <c r="L72" s="223"/>
      <c r="M72" s="223"/>
      <c r="N72" s="273"/>
      <c r="O72" s="178"/>
      <c r="P72" s="223"/>
      <c r="Q72" s="454"/>
      <c r="S72" s="274"/>
      <c r="T72" s="274"/>
      <c r="U72" s="274"/>
      <c r="AJ72" s="454"/>
      <c r="AZ72" s="275"/>
      <c r="BJ72" s="225"/>
      <c r="BK72" s="225"/>
      <c r="BL72" s="225"/>
      <c r="BO72" s="178"/>
      <c r="BP72" s="225"/>
      <c r="BQ72" s="276"/>
      <c r="BR72" s="277"/>
      <c r="BS72" s="225"/>
      <c r="BT72" s="278"/>
      <c r="BX72" s="225"/>
      <c r="BY72" s="225"/>
      <c r="BZ72" s="178"/>
      <c r="CA72" s="178"/>
      <c r="CB72" s="178"/>
      <c r="CC72" s="178"/>
    </row>
    <row r="73" spans="6:81" x14ac:dyDescent="0.2">
      <c r="H73" s="176">
        <v>67</v>
      </c>
      <c r="I73" s="468">
        <f t="shared" si="25"/>
        <v>0.33500000000000002</v>
      </c>
      <c r="J73" s="223"/>
      <c r="K73" s="223"/>
      <c r="L73" s="223"/>
      <c r="M73" s="223"/>
      <c r="N73" s="273"/>
      <c r="O73" s="178"/>
      <c r="P73" s="223"/>
      <c r="Q73" s="454"/>
      <c r="S73" s="274"/>
      <c r="T73" s="274"/>
      <c r="U73" s="274"/>
      <c r="AJ73" s="454"/>
      <c r="AZ73" s="275"/>
      <c r="BJ73" s="225"/>
      <c r="BK73" s="225"/>
      <c r="BL73" s="225"/>
      <c r="BO73" s="178"/>
      <c r="BP73" s="225"/>
      <c r="BQ73" s="276"/>
      <c r="BR73" s="277"/>
      <c r="BS73" s="225"/>
      <c r="BT73" s="278"/>
      <c r="BX73" s="225"/>
      <c r="BY73" s="225"/>
      <c r="BZ73" s="178"/>
      <c r="CA73" s="178"/>
      <c r="CB73" s="178"/>
      <c r="CC73" s="178"/>
    </row>
    <row r="74" spans="6:81" x14ac:dyDescent="0.2">
      <c r="H74" s="176">
        <v>68</v>
      </c>
      <c r="I74" s="468">
        <f t="shared" si="25"/>
        <v>0.34</v>
      </c>
      <c r="J74" s="223"/>
      <c r="K74" s="223"/>
      <c r="L74" s="223"/>
      <c r="M74" s="223"/>
      <c r="N74" s="273"/>
      <c r="O74" s="178"/>
      <c r="P74" s="223"/>
      <c r="Q74" s="454"/>
      <c r="S74" s="274"/>
      <c r="T74" s="274"/>
      <c r="U74" s="274"/>
      <c r="AJ74" s="454"/>
      <c r="AZ74" s="275"/>
      <c r="BJ74" s="225"/>
      <c r="BK74" s="225"/>
      <c r="BL74" s="225"/>
      <c r="BO74" s="178"/>
      <c r="BP74" s="225"/>
      <c r="BQ74" s="276"/>
      <c r="BR74" s="277"/>
      <c r="BS74" s="225"/>
      <c r="BT74" s="278"/>
      <c r="BX74" s="225"/>
      <c r="BY74" s="225"/>
      <c r="BZ74" s="178"/>
      <c r="CA74" s="178"/>
      <c r="CB74" s="178"/>
      <c r="CC74" s="178"/>
    </row>
    <row r="75" spans="6:81" x14ac:dyDescent="0.2">
      <c r="H75" s="176">
        <v>69</v>
      </c>
      <c r="I75" s="468">
        <f t="shared" si="25"/>
        <v>0.34499999999999997</v>
      </c>
      <c r="J75" s="223"/>
      <c r="K75" s="223"/>
      <c r="L75" s="223"/>
      <c r="M75" s="223"/>
      <c r="N75" s="273"/>
      <c r="O75" s="178"/>
      <c r="P75" s="223"/>
      <c r="Q75" s="454"/>
      <c r="S75" s="274"/>
      <c r="T75" s="274"/>
      <c r="U75" s="274"/>
      <c r="AJ75" s="454"/>
      <c r="AZ75" s="275"/>
      <c r="BJ75" s="225"/>
      <c r="BK75" s="225"/>
      <c r="BL75" s="225"/>
      <c r="BO75" s="178"/>
      <c r="BP75" s="225"/>
      <c r="BQ75" s="276"/>
      <c r="BR75" s="277"/>
      <c r="BS75" s="225"/>
      <c r="BT75" s="278"/>
      <c r="BX75" s="225"/>
      <c r="BY75" s="225"/>
      <c r="BZ75" s="178"/>
      <c r="CA75" s="178"/>
      <c r="CB75" s="178"/>
      <c r="CC75" s="178"/>
    </row>
    <row r="76" spans="6:81" x14ac:dyDescent="0.2">
      <c r="H76" s="176">
        <v>70</v>
      </c>
      <c r="I76" s="468">
        <f t="shared" si="25"/>
        <v>0.35</v>
      </c>
      <c r="J76" s="223"/>
      <c r="K76" s="223"/>
      <c r="L76" s="223"/>
      <c r="M76" s="223"/>
      <c r="N76" s="273"/>
      <c r="O76" s="178"/>
      <c r="P76" s="223"/>
      <c r="Q76" s="454"/>
      <c r="S76" s="274"/>
      <c r="T76" s="274"/>
      <c r="U76" s="274"/>
      <c r="AJ76" s="454"/>
      <c r="AZ76" s="275"/>
      <c r="BJ76" s="225"/>
      <c r="BK76" s="225"/>
      <c r="BL76" s="225"/>
      <c r="BO76" s="178"/>
      <c r="BP76" s="225"/>
      <c r="BQ76" s="276"/>
      <c r="BR76" s="277"/>
      <c r="BS76" s="225"/>
      <c r="BT76" s="278"/>
      <c r="BX76" s="225"/>
      <c r="BY76" s="225"/>
      <c r="BZ76" s="178"/>
      <c r="CA76" s="178"/>
      <c r="CB76" s="178"/>
      <c r="CC76" s="178"/>
    </row>
    <row r="77" spans="6:81" x14ac:dyDescent="0.2">
      <c r="H77" s="176">
        <v>71</v>
      </c>
      <c r="I77" s="468">
        <f t="shared" si="25"/>
        <v>0.35499999999999998</v>
      </c>
      <c r="J77" s="223"/>
      <c r="K77" s="223"/>
      <c r="L77" s="223"/>
      <c r="M77" s="223"/>
      <c r="N77" s="273"/>
      <c r="O77" s="178"/>
      <c r="P77" s="223"/>
      <c r="Q77" s="454"/>
      <c r="S77" s="274"/>
      <c r="T77" s="274"/>
      <c r="U77" s="274"/>
      <c r="AJ77" s="454"/>
      <c r="AZ77" s="275"/>
      <c r="BJ77" s="225"/>
      <c r="BK77" s="225"/>
      <c r="BL77" s="225"/>
      <c r="BO77" s="178"/>
      <c r="BP77" s="225"/>
      <c r="BQ77" s="276"/>
      <c r="BR77" s="277"/>
      <c r="BS77" s="225"/>
      <c r="BT77" s="278"/>
      <c r="BX77" s="225"/>
      <c r="BY77" s="225"/>
      <c r="BZ77" s="178"/>
      <c r="CA77" s="178"/>
      <c r="CB77" s="178"/>
      <c r="CC77" s="178"/>
    </row>
    <row r="78" spans="6:81" x14ac:dyDescent="0.2">
      <c r="H78" s="176">
        <v>72</v>
      </c>
      <c r="I78" s="468">
        <f t="shared" si="25"/>
        <v>0.36</v>
      </c>
      <c r="J78" s="223"/>
      <c r="K78" s="223"/>
      <c r="L78" s="223"/>
      <c r="M78" s="223"/>
      <c r="N78" s="273"/>
      <c r="O78" s="178"/>
      <c r="P78" s="223"/>
      <c r="Q78" s="454"/>
      <c r="S78" s="274"/>
      <c r="T78" s="274"/>
      <c r="U78" s="274"/>
      <c r="AJ78" s="454"/>
      <c r="AZ78" s="275"/>
      <c r="BJ78" s="225"/>
      <c r="BK78" s="225"/>
      <c r="BL78" s="225"/>
      <c r="BO78" s="178"/>
      <c r="BP78" s="225"/>
      <c r="BQ78" s="276"/>
      <c r="BR78" s="277"/>
      <c r="BS78" s="225"/>
      <c r="BT78" s="278"/>
      <c r="BX78" s="225"/>
      <c r="BY78" s="225"/>
      <c r="BZ78" s="178"/>
      <c r="CA78" s="178"/>
      <c r="CB78" s="178"/>
      <c r="CC78" s="178"/>
    </row>
    <row r="79" spans="6:81" x14ac:dyDescent="0.2">
      <c r="H79" s="176">
        <v>73</v>
      </c>
      <c r="I79" s="468">
        <f t="shared" si="25"/>
        <v>0.36499999999999999</v>
      </c>
      <c r="J79" s="223"/>
      <c r="K79" s="223"/>
      <c r="L79" s="223"/>
      <c r="M79" s="223"/>
      <c r="N79" s="273"/>
      <c r="O79" s="178"/>
      <c r="P79" s="223"/>
      <c r="Q79" s="454"/>
      <c r="S79" s="274"/>
      <c r="T79" s="274"/>
      <c r="U79" s="274"/>
      <c r="AJ79" s="454"/>
      <c r="AZ79" s="275"/>
      <c r="BJ79" s="225"/>
      <c r="BK79" s="225"/>
      <c r="BL79" s="225"/>
      <c r="BO79" s="178"/>
      <c r="BP79" s="225"/>
      <c r="BQ79" s="276"/>
      <c r="BR79" s="277"/>
      <c r="BS79" s="225"/>
      <c r="BT79" s="278"/>
      <c r="BX79" s="225"/>
      <c r="BY79" s="225"/>
      <c r="BZ79" s="178"/>
      <c r="CA79" s="178"/>
      <c r="CB79" s="178"/>
      <c r="CC79" s="178"/>
    </row>
    <row r="80" spans="6:81" x14ac:dyDescent="0.2">
      <c r="H80" s="176">
        <v>74</v>
      </c>
      <c r="I80" s="468">
        <f t="shared" si="25"/>
        <v>0.37</v>
      </c>
      <c r="J80" s="223"/>
      <c r="K80" s="223"/>
      <c r="L80" s="223"/>
      <c r="M80" s="223"/>
      <c r="N80" s="273"/>
      <c r="O80" s="178"/>
      <c r="P80" s="223"/>
      <c r="Q80" s="454"/>
      <c r="S80" s="274"/>
      <c r="T80" s="274"/>
      <c r="U80" s="274"/>
      <c r="AJ80" s="454"/>
      <c r="AZ80" s="275"/>
      <c r="BJ80" s="225"/>
      <c r="BK80" s="225"/>
      <c r="BL80" s="225"/>
      <c r="BO80" s="178"/>
      <c r="BP80" s="225"/>
      <c r="BQ80" s="276"/>
      <c r="BR80" s="277"/>
      <c r="BS80" s="225"/>
      <c r="BT80" s="278"/>
      <c r="BX80" s="225"/>
      <c r="BY80" s="225"/>
      <c r="BZ80" s="178"/>
      <c r="CA80" s="178"/>
      <c r="CB80" s="178"/>
      <c r="CC80" s="178"/>
    </row>
    <row r="81" spans="6:81" x14ac:dyDescent="0.2">
      <c r="H81" s="176">
        <v>75</v>
      </c>
      <c r="I81" s="468">
        <f t="shared" si="25"/>
        <v>0.375</v>
      </c>
      <c r="J81" s="223"/>
      <c r="K81" s="223"/>
      <c r="L81" s="223"/>
      <c r="M81" s="223"/>
      <c r="N81" s="273"/>
      <c r="O81" s="178"/>
      <c r="P81" s="223"/>
      <c r="Q81" s="454"/>
      <c r="S81" s="274"/>
      <c r="T81" s="274"/>
      <c r="U81" s="274"/>
      <c r="AJ81" s="454"/>
      <c r="AZ81" s="275"/>
      <c r="BJ81" s="225"/>
      <c r="BK81" s="225"/>
      <c r="BL81" s="225"/>
      <c r="BO81" s="178"/>
      <c r="BP81" s="225"/>
      <c r="BQ81" s="276"/>
      <c r="BR81" s="277"/>
      <c r="BS81" s="225"/>
      <c r="BT81" s="278"/>
      <c r="BX81" s="225"/>
      <c r="BY81" s="225"/>
      <c r="BZ81" s="178"/>
      <c r="CA81" s="178"/>
      <c r="CB81" s="178"/>
      <c r="CC81" s="178"/>
    </row>
    <row r="82" spans="6:81" x14ac:dyDescent="0.2">
      <c r="H82" s="176">
        <v>76</v>
      </c>
      <c r="I82" s="468">
        <f t="shared" si="25"/>
        <v>0.38</v>
      </c>
      <c r="J82" s="223"/>
      <c r="K82" s="223"/>
      <c r="L82" s="223"/>
      <c r="M82" s="223"/>
      <c r="N82" s="273"/>
      <c r="O82" s="178"/>
      <c r="P82" s="223"/>
      <c r="Q82" s="454"/>
      <c r="S82" s="274"/>
      <c r="T82" s="274"/>
      <c r="U82" s="274"/>
      <c r="AJ82" s="454"/>
      <c r="AZ82" s="275"/>
      <c r="BJ82" s="225"/>
      <c r="BK82" s="225"/>
      <c r="BL82" s="225"/>
      <c r="BO82" s="178"/>
      <c r="BP82" s="225"/>
      <c r="BQ82" s="276"/>
      <c r="BR82" s="277"/>
      <c r="BS82" s="225"/>
      <c r="BT82" s="278"/>
      <c r="BX82" s="225"/>
      <c r="BY82" s="225"/>
      <c r="BZ82" s="178"/>
      <c r="CA82" s="178"/>
      <c r="CB82" s="178"/>
      <c r="CC82" s="178"/>
    </row>
    <row r="83" spans="6:81" x14ac:dyDescent="0.2">
      <c r="H83" s="176">
        <v>77</v>
      </c>
      <c r="I83" s="468">
        <f t="shared" si="25"/>
        <v>0.38500000000000001</v>
      </c>
      <c r="J83" s="223"/>
      <c r="K83" s="223"/>
      <c r="L83" s="223"/>
      <c r="M83" s="223"/>
      <c r="N83" s="273"/>
      <c r="O83" s="178"/>
      <c r="P83" s="223"/>
      <c r="Q83" s="454"/>
      <c r="S83" s="274"/>
      <c r="T83" s="274"/>
      <c r="U83" s="274"/>
      <c r="AJ83" s="454"/>
      <c r="AZ83" s="275"/>
      <c r="BJ83" s="225"/>
      <c r="BK83" s="225"/>
      <c r="BL83" s="225"/>
      <c r="BO83" s="178"/>
      <c r="BP83" s="225"/>
      <c r="BQ83" s="276"/>
      <c r="BR83" s="277"/>
      <c r="BS83" s="225"/>
      <c r="BT83" s="278"/>
      <c r="BX83" s="225"/>
      <c r="BY83" s="225"/>
      <c r="BZ83" s="178"/>
      <c r="CA83" s="178"/>
      <c r="CB83" s="178"/>
      <c r="CC83" s="178"/>
    </row>
    <row r="84" spans="6:81" x14ac:dyDescent="0.2">
      <c r="H84" s="176">
        <v>78</v>
      </c>
      <c r="I84" s="468">
        <f t="shared" si="25"/>
        <v>0.39</v>
      </c>
      <c r="J84" s="223"/>
      <c r="K84" s="223"/>
      <c r="L84" s="223"/>
      <c r="M84" s="223"/>
      <c r="N84" s="273"/>
      <c r="O84" s="178"/>
      <c r="P84" s="223"/>
      <c r="Q84" s="454"/>
      <c r="S84" s="274"/>
      <c r="T84" s="274"/>
      <c r="U84" s="274"/>
      <c r="AJ84" s="454"/>
      <c r="AZ84" s="275"/>
      <c r="BJ84" s="225"/>
      <c r="BK84" s="225"/>
      <c r="BL84" s="225"/>
      <c r="BO84" s="178"/>
      <c r="BP84" s="225"/>
      <c r="BQ84" s="276"/>
      <c r="BR84" s="277"/>
      <c r="BS84" s="225"/>
      <c r="BT84" s="278"/>
      <c r="BX84" s="225"/>
      <c r="BY84" s="225"/>
      <c r="BZ84" s="178"/>
      <c r="CA84" s="178"/>
      <c r="CB84" s="178"/>
      <c r="CC84" s="178"/>
    </row>
    <row r="85" spans="6:81" x14ac:dyDescent="0.2">
      <c r="H85" s="176">
        <v>79</v>
      </c>
      <c r="I85" s="468">
        <f t="shared" si="25"/>
        <v>0.39500000000000002</v>
      </c>
      <c r="J85" s="223"/>
      <c r="K85" s="223"/>
      <c r="L85" s="223"/>
      <c r="M85" s="223"/>
      <c r="N85" s="273"/>
      <c r="O85" s="178"/>
      <c r="P85" s="223"/>
      <c r="Q85" s="454"/>
      <c r="S85" s="274"/>
      <c r="T85" s="274"/>
      <c r="U85" s="274"/>
      <c r="AJ85" s="454"/>
      <c r="AZ85" s="275"/>
      <c r="BJ85" s="225"/>
      <c r="BK85" s="225"/>
      <c r="BL85" s="225"/>
      <c r="BO85" s="178"/>
      <c r="BP85" s="225"/>
      <c r="BQ85" s="276"/>
      <c r="BR85" s="277"/>
      <c r="BS85" s="225"/>
      <c r="BT85" s="278"/>
      <c r="BX85" s="225"/>
      <c r="BY85" s="225"/>
      <c r="BZ85" s="178"/>
      <c r="CA85" s="178"/>
      <c r="CB85" s="178"/>
      <c r="CC85" s="178"/>
    </row>
    <row r="86" spans="6:81" x14ac:dyDescent="0.2">
      <c r="H86" s="176">
        <v>80</v>
      </c>
      <c r="I86" s="468">
        <f t="shared" si="25"/>
        <v>0.4</v>
      </c>
      <c r="J86" s="223"/>
      <c r="K86" s="223"/>
      <c r="L86" s="223"/>
      <c r="M86" s="223"/>
      <c r="N86" s="273"/>
      <c r="O86" s="178"/>
      <c r="P86" s="223"/>
      <c r="Q86" s="454"/>
      <c r="S86" s="274"/>
      <c r="T86" s="274"/>
      <c r="U86" s="274"/>
      <c r="AJ86" s="454"/>
      <c r="AZ86" s="275"/>
      <c r="BJ86" s="225"/>
      <c r="BK86" s="225"/>
      <c r="BL86" s="225"/>
      <c r="BO86" s="178"/>
      <c r="BP86" s="225"/>
      <c r="BQ86" s="276"/>
      <c r="BR86" s="277"/>
      <c r="BS86" s="225"/>
      <c r="BT86" s="278"/>
      <c r="BX86" s="225"/>
      <c r="BY86" s="225"/>
      <c r="BZ86" s="178"/>
      <c r="CA86" s="178"/>
      <c r="CB86" s="178"/>
      <c r="CC86" s="178"/>
    </row>
    <row r="87" spans="6:81" x14ac:dyDescent="0.2">
      <c r="H87" s="176">
        <v>81</v>
      </c>
      <c r="I87" s="468">
        <f t="shared" si="25"/>
        <v>0.40500000000000003</v>
      </c>
      <c r="J87" s="223"/>
      <c r="K87" s="223"/>
      <c r="L87" s="223"/>
      <c r="M87" s="223"/>
      <c r="N87" s="273"/>
      <c r="O87" s="178"/>
      <c r="P87" s="223"/>
      <c r="Q87" s="454"/>
      <c r="S87" s="274"/>
      <c r="T87" s="274"/>
      <c r="U87" s="274"/>
      <c r="AJ87" s="454"/>
      <c r="AZ87" s="275"/>
      <c r="BJ87" s="225"/>
      <c r="BK87" s="225"/>
      <c r="BL87" s="225"/>
      <c r="BO87" s="178"/>
      <c r="BP87" s="225"/>
      <c r="BQ87" s="276"/>
      <c r="BR87" s="277"/>
      <c r="BS87" s="225"/>
      <c r="BT87" s="278"/>
      <c r="BX87" s="225"/>
      <c r="BY87" s="225"/>
      <c r="BZ87" s="178"/>
      <c r="CA87" s="178"/>
      <c r="CB87" s="178"/>
      <c r="CC87" s="178"/>
    </row>
    <row r="88" spans="6:81" x14ac:dyDescent="0.2">
      <c r="F88" s="331" t="s">
        <v>275</v>
      </c>
      <c r="G88" s="331" t="s">
        <v>276</v>
      </c>
      <c r="H88" s="176">
        <v>82</v>
      </c>
      <c r="I88" s="468">
        <f t="shared" si="25"/>
        <v>0.41</v>
      </c>
      <c r="J88" s="223"/>
      <c r="K88" s="223"/>
      <c r="L88" s="223"/>
      <c r="M88" s="223"/>
      <c r="N88" s="273"/>
      <c r="O88" s="178"/>
      <c r="P88" s="223"/>
      <c r="Q88" s="454"/>
      <c r="S88" s="274"/>
      <c r="T88" s="274"/>
      <c r="U88" s="274"/>
      <c r="AJ88" s="454"/>
      <c r="AZ88" s="275"/>
      <c r="BJ88" s="225"/>
      <c r="BK88" s="225"/>
      <c r="BL88" s="225"/>
      <c r="BO88" s="178"/>
      <c r="BP88" s="225"/>
      <c r="BQ88" s="276"/>
      <c r="BR88" s="277"/>
      <c r="BS88" s="225"/>
      <c r="BT88" s="278"/>
      <c r="BX88" s="225"/>
      <c r="BY88" s="225"/>
      <c r="BZ88" s="178"/>
      <c r="CA88" s="178"/>
      <c r="CB88" s="178"/>
      <c r="CC88" s="178"/>
    </row>
    <row r="89" spans="6:81" x14ac:dyDescent="0.2">
      <c r="F89" s="332">
        <f>BO51</f>
        <v>0</v>
      </c>
      <c r="G89" s="333">
        <f>I56*1000</f>
        <v>250</v>
      </c>
      <c r="H89" s="176">
        <v>83</v>
      </c>
      <c r="I89" s="468">
        <f t="shared" si="25"/>
        <v>0.41499999999999998</v>
      </c>
      <c r="J89" s="223"/>
      <c r="K89" s="223"/>
      <c r="L89" s="223"/>
      <c r="M89" s="223"/>
      <c r="N89" s="273"/>
      <c r="O89" s="178"/>
      <c r="P89" s="223"/>
      <c r="Q89" s="454"/>
      <c r="S89" s="274"/>
      <c r="T89" s="274"/>
      <c r="U89" s="274"/>
      <c r="AJ89" s="454"/>
      <c r="AZ89" s="275"/>
      <c r="BJ89" s="225"/>
      <c r="BK89" s="225"/>
      <c r="BL89" s="225"/>
      <c r="BO89" s="178"/>
      <c r="BP89" s="225"/>
      <c r="BQ89" s="276"/>
      <c r="BR89" s="277"/>
      <c r="BS89" s="225"/>
      <c r="BT89" s="278"/>
      <c r="BX89" s="225"/>
      <c r="BY89" s="225"/>
      <c r="BZ89" s="178"/>
      <c r="CA89" s="178"/>
      <c r="CB89" s="178"/>
      <c r="CC89" s="178"/>
    </row>
    <row r="90" spans="6:81" x14ac:dyDescent="0.2">
      <c r="F90" s="332">
        <f>BO81</f>
        <v>0</v>
      </c>
      <c r="G90" s="333">
        <f>I81*1000</f>
        <v>375</v>
      </c>
      <c r="H90" s="176">
        <v>84</v>
      </c>
      <c r="I90" s="468">
        <f t="shared" si="25"/>
        <v>0.42</v>
      </c>
      <c r="J90" s="223"/>
      <c r="K90" s="223"/>
      <c r="L90" s="223"/>
      <c r="M90" s="223"/>
      <c r="N90" s="273"/>
      <c r="O90" s="178"/>
      <c r="P90" s="223"/>
      <c r="Q90" s="454"/>
      <c r="S90" s="274"/>
      <c r="T90" s="274"/>
      <c r="U90" s="274"/>
      <c r="AJ90" s="454"/>
      <c r="AZ90" s="275"/>
      <c r="BJ90" s="225"/>
      <c r="BK90" s="225"/>
      <c r="BL90" s="225"/>
      <c r="BO90" s="178"/>
      <c r="BP90" s="225"/>
      <c r="BQ90" s="276"/>
      <c r="BR90" s="277"/>
      <c r="BS90" s="225"/>
      <c r="BT90" s="278"/>
      <c r="BX90" s="225"/>
      <c r="BY90" s="225"/>
      <c r="BZ90" s="178"/>
      <c r="CA90" s="178"/>
      <c r="CB90" s="178"/>
      <c r="CC90" s="178"/>
    </row>
    <row r="91" spans="6:81" x14ac:dyDescent="0.2">
      <c r="F91" s="332">
        <f>BO106</f>
        <v>88.698181382326453</v>
      </c>
      <c r="G91" s="333">
        <f>I106*1000</f>
        <v>500</v>
      </c>
      <c r="H91" s="176">
        <v>85</v>
      </c>
      <c r="I91" s="468">
        <f t="shared" si="25"/>
        <v>0.42499999999999999</v>
      </c>
      <c r="J91" s="223"/>
      <c r="K91" s="223"/>
      <c r="L91" s="223"/>
      <c r="M91" s="223"/>
      <c r="N91" s="273"/>
      <c r="O91" s="178"/>
      <c r="P91" s="223"/>
      <c r="Q91" s="454"/>
      <c r="S91" s="274"/>
      <c r="T91" s="274"/>
      <c r="U91" s="274"/>
      <c r="AJ91" s="454"/>
      <c r="AZ91" s="275"/>
      <c r="BJ91" s="225"/>
      <c r="BK91" s="225"/>
      <c r="BL91" s="225"/>
      <c r="BO91" s="178"/>
      <c r="BP91" s="225"/>
      <c r="BQ91" s="276"/>
      <c r="BR91" s="277"/>
      <c r="BS91" s="225"/>
      <c r="BT91" s="278"/>
      <c r="BX91" s="225"/>
      <c r="BY91" s="225"/>
      <c r="BZ91" s="178"/>
      <c r="CA91" s="178"/>
      <c r="CB91" s="178"/>
      <c r="CC91" s="178"/>
    </row>
    <row r="92" spans="6:81" x14ac:dyDescent="0.2">
      <c r="H92" s="176">
        <v>86</v>
      </c>
      <c r="I92" s="468">
        <f t="shared" si="25"/>
        <v>0.43</v>
      </c>
      <c r="J92" s="223"/>
      <c r="K92" s="223"/>
      <c r="L92" s="223"/>
      <c r="M92" s="223"/>
      <c r="N92" s="273"/>
      <c r="O92" s="178"/>
      <c r="P92" s="223"/>
      <c r="Q92" s="454"/>
      <c r="S92" s="274"/>
      <c r="T92" s="274"/>
      <c r="U92" s="274"/>
      <c r="AJ92" s="454"/>
      <c r="AZ92" s="275"/>
      <c r="BJ92" s="225"/>
      <c r="BK92" s="225"/>
      <c r="BL92" s="225"/>
      <c r="BO92" s="178"/>
      <c r="BP92" s="225"/>
      <c r="BQ92" s="276"/>
      <c r="BR92" s="277"/>
      <c r="BS92" s="225"/>
      <c r="BT92" s="278"/>
      <c r="BX92" s="225"/>
      <c r="BY92" s="225"/>
      <c r="BZ92" s="178"/>
      <c r="CA92" s="178"/>
      <c r="CB92" s="178"/>
      <c r="CC92" s="178"/>
    </row>
    <row r="93" spans="6:81" x14ac:dyDescent="0.2">
      <c r="H93" s="176">
        <v>87</v>
      </c>
      <c r="I93" s="468">
        <f t="shared" si="25"/>
        <v>0.435</v>
      </c>
      <c r="J93" s="223"/>
      <c r="K93" s="223"/>
      <c r="L93" s="223"/>
      <c r="M93" s="223"/>
      <c r="N93" s="273"/>
      <c r="O93" s="178"/>
      <c r="P93" s="223"/>
      <c r="Q93" s="454"/>
      <c r="S93" s="274"/>
      <c r="T93" s="274"/>
      <c r="U93" s="274"/>
      <c r="AJ93" s="454"/>
      <c r="AZ93" s="275"/>
      <c r="BJ93" s="225"/>
      <c r="BK93" s="225"/>
      <c r="BL93" s="225"/>
      <c r="BO93" s="178"/>
      <c r="BP93" s="225"/>
      <c r="BQ93" s="276"/>
      <c r="BR93" s="277"/>
      <c r="BS93" s="225"/>
      <c r="BT93" s="278"/>
      <c r="BX93" s="225"/>
      <c r="BY93" s="225"/>
      <c r="BZ93" s="178"/>
      <c r="CA93" s="178"/>
      <c r="CB93" s="178"/>
      <c r="CC93" s="178"/>
    </row>
    <row r="94" spans="6:81" x14ac:dyDescent="0.2">
      <c r="H94" s="176">
        <v>88</v>
      </c>
      <c r="I94" s="468">
        <f t="shared" si="25"/>
        <v>0.44</v>
      </c>
      <c r="J94" s="223"/>
      <c r="K94" s="223"/>
      <c r="L94" s="223"/>
      <c r="M94" s="223"/>
      <c r="N94" s="273"/>
      <c r="O94" s="178"/>
      <c r="P94" s="223"/>
      <c r="Q94" s="454"/>
      <c r="S94" s="274"/>
      <c r="T94" s="274"/>
      <c r="U94" s="274"/>
      <c r="AJ94" s="454"/>
      <c r="AZ94" s="275"/>
      <c r="BJ94" s="225"/>
      <c r="BK94" s="225"/>
      <c r="BL94" s="225"/>
      <c r="BO94" s="178"/>
      <c r="BP94" s="225"/>
      <c r="BQ94" s="276"/>
      <c r="BR94" s="277"/>
      <c r="BS94" s="225"/>
      <c r="BT94" s="278"/>
      <c r="BX94" s="225"/>
      <c r="BY94" s="225"/>
      <c r="BZ94" s="178"/>
      <c r="CA94" s="178"/>
      <c r="CB94" s="178"/>
      <c r="CC94" s="178"/>
    </row>
    <row r="95" spans="6:81" x14ac:dyDescent="0.2">
      <c r="H95" s="176">
        <v>89</v>
      </c>
      <c r="I95" s="468">
        <f t="shared" si="25"/>
        <v>0.44500000000000001</v>
      </c>
      <c r="J95" s="223"/>
      <c r="K95" s="223"/>
      <c r="L95" s="223"/>
      <c r="M95" s="223"/>
      <c r="N95" s="273"/>
      <c r="O95" s="178"/>
      <c r="P95" s="223"/>
      <c r="Q95" s="454"/>
      <c r="S95" s="274"/>
      <c r="T95" s="274"/>
      <c r="U95" s="274"/>
      <c r="AJ95" s="454"/>
      <c r="AZ95" s="275"/>
      <c r="BJ95" s="225"/>
      <c r="BK95" s="225"/>
      <c r="BL95" s="225"/>
      <c r="BO95" s="178"/>
      <c r="BP95" s="225"/>
      <c r="BQ95" s="276"/>
      <c r="BR95" s="277"/>
      <c r="BS95" s="225"/>
      <c r="BT95" s="278"/>
      <c r="BX95" s="225"/>
      <c r="BY95" s="225"/>
      <c r="BZ95" s="178"/>
      <c r="CA95" s="178"/>
      <c r="CB95" s="178"/>
      <c r="CC95" s="178"/>
    </row>
    <row r="96" spans="6:81" x14ac:dyDescent="0.2">
      <c r="H96" s="176">
        <v>90</v>
      </c>
      <c r="I96" s="468">
        <f t="shared" si="25"/>
        <v>0.45</v>
      </c>
      <c r="J96" s="223"/>
      <c r="K96" s="223"/>
      <c r="L96" s="223"/>
      <c r="M96" s="223"/>
      <c r="N96" s="273"/>
      <c r="O96" s="178"/>
      <c r="P96" s="223"/>
      <c r="Q96" s="454"/>
      <c r="S96" s="274"/>
      <c r="T96" s="274"/>
      <c r="U96" s="274"/>
      <c r="AJ96" s="454"/>
      <c r="AZ96" s="275"/>
      <c r="BJ96" s="225"/>
      <c r="BK96" s="225"/>
      <c r="BL96" s="225"/>
      <c r="BO96" s="178"/>
      <c r="BP96" s="225"/>
      <c r="BQ96" s="276"/>
      <c r="BR96" s="277"/>
      <c r="BS96" s="225"/>
      <c r="BT96" s="278"/>
      <c r="BX96" s="225"/>
      <c r="BY96" s="225"/>
      <c r="BZ96" s="178"/>
      <c r="CA96" s="178"/>
      <c r="CB96" s="178"/>
      <c r="CC96" s="178"/>
    </row>
    <row r="97" spans="8:81" x14ac:dyDescent="0.2">
      <c r="H97" s="176">
        <v>91</v>
      </c>
      <c r="I97" s="468">
        <f t="shared" si="25"/>
        <v>0.45500000000000002</v>
      </c>
      <c r="J97" s="223"/>
      <c r="K97" s="223"/>
      <c r="L97" s="223"/>
      <c r="M97" s="223"/>
      <c r="N97" s="273"/>
      <c r="O97" s="178"/>
      <c r="P97" s="223"/>
      <c r="Q97" s="454"/>
      <c r="S97" s="274"/>
      <c r="T97" s="274"/>
      <c r="U97" s="274"/>
      <c r="AJ97" s="454"/>
      <c r="AZ97" s="275"/>
      <c r="BJ97" s="225"/>
      <c r="BK97" s="225"/>
      <c r="BL97" s="225"/>
      <c r="BO97" s="178"/>
      <c r="BP97" s="225"/>
      <c r="BQ97" s="276"/>
      <c r="BR97" s="277"/>
      <c r="BS97" s="225"/>
      <c r="BT97" s="278"/>
      <c r="BX97" s="225"/>
      <c r="BY97" s="225"/>
      <c r="BZ97" s="178"/>
      <c r="CA97" s="178"/>
      <c r="CB97" s="178"/>
      <c r="CC97" s="178"/>
    </row>
    <row r="98" spans="8:81" x14ac:dyDescent="0.2">
      <c r="H98" s="176">
        <v>92</v>
      </c>
      <c r="I98" s="468">
        <f t="shared" si="25"/>
        <v>0.46</v>
      </c>
      <c r="J98" s="223"/>
      <c r="K98" s="223"/>
      <c r="L98" s="223"/>
      <c r="M98" s="223"/>
      <c r="N98" s="273"/>
      <c r="O98" s="178"/>
      <c r="P98" s="223"/>
      <c r="Q98" s="454"/>
      <c r="S98" s="274"/>
      <c r="T98" s="274"/>
      <c r="U98" s="274"/>
      <c r="AJ98" s="454"/>
      <c r="AZ98" s="275"/>
      <c r="BJ98" s="225"/>
      <c r="BK98" s="225"/>
      <c r="BL98" s="225"/>
      <c r="BO98" s="178"/>
      <c r="BP98" s="225"/>
      <c r="BQ98" s="276"/>
      <c r="BR98" s="277"/>
      <c r="BS98" s="225"/>
      <c r="BT98" s="278"/>
      <c r="BX98" s="225"/>
      <c r="BY98" s="225"/>
      <c r="BZ98" s="178"/>
      <c r="CA98" s="178"/>
      <c r="CB98" s="178"/>
      <c r="CC98" s="178"/>
    </row>
    <row r="99" spans="8:81" x14ac:dyDescent="0.2">
      <c r="H99" s="176">
        <v>93</v>
      </c>
      <c r="I99" s="468">
        <f t="shared" si="25"/>
        <v>0.46500000000000002</v>
      </c>
      <c r="J99" s="223"/>
      <c r="K99" s="223"/>
      <c r="L99" s="223"/>
      <c r="M99" s="223"/>
      <c r="N99" s="273"/>
      <c r="O99" s="178"/>
      <c r="P99" s="223"/>
      <c r="Q99" s="454"/>
      <c r="S99" s="274"/>
      <c r="T99" s="274"/>
      <c r="U99" s="274"/>
      <c r="AJ99" s="454"/>
      <c r="AZ99" s="275"/>
      <c r="BJ99" s="225"/>
      <c r="BK99" s="225"/>
      <c r="BL99" s="225"/>
      <c r="BO99" s="178"/>
      <c r="BP99" s="225"/>
      <c r="BQ99" s="276"/>
      <c r="BR99" s="277"/>
      <c r="BS99" s="225"/>
      <c r="BT99" s="278"/>
      <c r="BX99" s="225"/>
      <c r="BY99" s="225"/>
      <c r="BZ99" s="178"/>
      <c r="CA99" s="178"/>
      <c r="CB99" s="178"/>
      <c r="CC99" s="178"/>
    </row>
    <row r="100" spans="8:81" x14ac:dyDescent="0.2">
      <c r="H100" s="176">
        <v>94</v>
      </c>
      <c r="I100" s="468">
        <f t="shared" si="25"/>
        <v>0.47</v>
      </c>
      <c r="J100" s="223"/>
      <c r="K100" s="223"/>
      <c r="L100" s="223"/>
      <c r="M100" s="223"/>
      <c r="N100" s="273"/>
      <c r="O100" s="178"/>
      <c r="P100" s="223"/>
      <c r="Q100" s="454"/>
      <c r="S100" s="274"/>
      <c r="T100" s="274"/>
      <c r="U100" s="274"/>
      <c r="AJ100" s="454"/>
      <c r="AZ100" s="275"/>
      <c r="BJ100" s="225"/>
      <c r="BK100" s="225"/>
      <c r="BL100" s="225"/>
      <c r="BO100" s="178"/>
      <c r="BP100" s="225"/>
      <c r="BQ100" s="276"/>
      <c r="BR100" s="277"/>
      <c r="BS100" s="225"/>
      <c r="BT100" s="278"/>
      <c r="BX100" s="225"/>
      <c r="BY100" s="225"/>
      <c r="BZ100" s="178"/>
      <c r="CA100" s="178"/>
      <c r="CB100" s="178"/>
      <c r="CC100" s="178"/>
    </row>
    <row r="101" spans="8:81" x14ac:dyDescent="0.2">
      <c r="H101" s="176">
        <v>95</v>
      </c>
      <c r="I101" s="468">
        <f t="shared" si="25"/>
        <v>0.47499999999999998</v>
      </c>
      <c r="J101" s="223"/>
      <c r="K101" s="223"/>
      <c r="L101" s="223"/>
      <c r="M101" s="223"/>
      <c r="N101" s="273"/>
      <c r="O101" s="178"/>
      <c r="P101" s="223"/>
      <c r="Q101" s="454"/>
      <c r="S101" s="274"/>
      <c r="T101" s="274"/>
      <c r="U101" s="274"/>
      <c r="AJ101" s="454"/>
      <c r="AZ101" s="275"/>
      <c r="BJ101" s="225"/>
      <c r="BK101" s="225"/>
      <c r="BL101" s="225"/>
      <c r="BO101" s="178"/>
      <c r="BP101" s="225"/>
      <c r="BQ101" s="276"/>
      <c r="BR101" s="277"/>
      <c r="BS101" s="225"/>
      <c r="BT101" s="278"/>
      <c r="BX101" s="225"/>
      <c r="BY101" s="225"/>
      <c r="BZ101" s="178"/>
      <c r="CA101" s="178"/>
      <c r="CB101" s="178"/>
      <c r="CC101" s="178"/>
    </row>
    <row r="102" spans="8:81" x14ac:dyDescent="0.2">
      <c r="H102" s="176">
        <v>96</v>
      </c>
      <c r="I102" s="468">
        <f t="shared" ref="I102:I106" si="26">IF(PLOT_TYPE=1, H102/100*Iout_max, min_I*EXP(H102*rr/100))</f>
        <v>0.48</v>
      </c>
      <c r="J102" s="223"/>
      <c r="K102" s="223"/>
      <c r="L102" s="223"/>
      <c r="M102" s="223"/>
      <c r="N102" s="273"/>
      <c r="O102" s="178"/>
      <c r="P102" s="223"/>
      <c r="Q102" s="454"/>
      <c r="S102" s="274"/>
      <c r="T102" s="274"/>
      <c r="U102" s="274"/>
      <c r="AJ102" s="454"/>
      <c r="AZ102" s="275"/>
      <c r="BJ102" s="225"/>
      <c r="BK102" s="225"/>
      <c r="BL102" s="225"/>
      <c r="BO102" s="178"/>
      <c r="BP102" s="225"/>
      <c r="BQ102" s="276"/>
      <c r="BR102" s="277"/>
      <c r="BS102" s="225"/>
      <c r="BT102" s="278"/>
      <c r="BX102" s="225"/>
      <c r="BY102" s="225"/>
      <c r="BZ102" s="178"/>
      <c r="CA102" s="178"/>
      <c r="CB102" s="178"/>
      <c r="CC102" s="178"/>
    </row>
    <row r="103" spans="8:81" x14ac:dyDescent="0.2">
      <c r="H103" s="176">
        <v>97</v>
      </c>
      <c r="I103" s="468">
        <f t="shared" si="26"/>
        <v>0.48499999999999999</v>
      </c>
      <c r="J103" s="223"/>
      <c r="K103" s="223"/>
      <c r="L103" s="223"/>
      <c r="M103" s="223"/>
      <c r="N103" s="273"/>
      <c r="O103" s="178"/>
      <c r="P103" s="223"/>
      <c r="Q103" s="454"/>
      <c r="S103" s="274"/>
      <c r="T103" s="274"/>
      <c r="U103" s="274"/>
      <c r="AJ103" s="454"/>
      <c r="AZ103" s="275"/>
      <c r="BJ103" s="225"/>
      <c r="BK103" s="225"/>
      <c r="BL103" s="225"/>
      <c r="BO103" s="178"/>
      <c r="BP103" s="225"/>
      <c r="BQ103" s="276"/>
      <c r="BR103" s="277"/>
      <c r="BS103" s="225"/>
      <c r="BT103" s="278"/>
      <c r="BX103" s="225"/>
      <c r="BY103" s="225"/>
      <c r="BZ103" s="178"/>
      <c r="CA103" s="178"/>
      <c r="CB103" s="178"/>
      <c r="CC103" s="178"/>
    </row>
    <row r="104" spans="8:81" x14ac:dyDescent="0.2">
      <c r="H104" s="176">
        <v>98</v>
      </c>
      <c r="I104" s="468">
        <f t="shared" si="26"/>
        <v>0.49</v>
      </c>
      <c r="J104" s="223"/>
      <c r="K104" s="223"/>
      <c r="L104" s="223"/>
      <c r="M104" s="223"/>
      <c r="N104" s="273"/>
      <c r="O104" s="178"/>
      <c r="P104" s="223"/>
      <c r="Q104" s="454"/>
      <c r="S104" s="274"/>
      <c r="T104" s="274"/>
      <c r="U104" s="274"/>
      <c r="AJ104" s="454"/>
      <c r="AZ104" s="275"/>
      <c r="BJ104" s="225"/>
      <c r="BK104" s="225"/>
      <c r="BL104" s="225"/>
      <c r="BO104" s="178"/>
      <c r="BP104" s="225"/>
      <c r="BQ104" s="276"/>
      <c r="BR104" s="277"/>
      <c r="BS104" s="225"/>
      <c r="BT104" s="278"/>
      <c r="BX104" s="225"/>
      <c r="BY104" s="225"/>
      <c r="BZ104" s="178"/>
      <c r="CA104" s="178"/>
      <c r="CB104" s="178"/>
      <c r="CC104" s="178"/>
    </row>
    <row r="105" spans="8:81" x14ac:dyDescent="0.2">
      <c r="H105" s="176">
        <v>99</v>
      </c>
      <c r="I105" s="468">
        <f t="shared" si="26"/>
        <v>0.495</v>
      </c>
      <c r="J105" s="223"/>
      <c r="K105" s="223"/>
      <c r="L105" s="223"/>
      <c r="M105" s="223"/>
      <c r="N105" s="273"/>
      <c r="O105" s="178"/>
      <c r="P105" s="223"/>
      <c r="Q105" s="454"/>
      <c r="S105" s="274"/>
      <c r="T105" s="274"/>
      <c r="U105" s="274"/>
      <c r="AJ105" s="454"/>
      <c r="AZ105" s="275"/>
      <c r="BJ105" s="225"/>
      <c r="BK105" s="225"/>
      <c r="BL105" s="225"/>
      <c r="BO105" s="178"/>
      <c r="BP105" s="225"/>
      <c r="BQ105" s="276"/>
      <c r="BR105" s="277"/>
      <c r="BS105" s="225"/>
      <c r="BT105" s="278"/>
      <c r="BX105" s="225"/>
      <c r="BY105" s="225"/>
      <c r="BZ105" s="178"/>
      <c r="CA105" s="178"/>
      <c r="CB105" s="178"/>
      <c r="CC105" s="178"/>
    </row>
    <row r="106" spans="8:81" x14ac:dyDescent="0.2">
      <c r="H106" s="176">
        <v>100</v>
      </c>
      <c r="I106" s="468">
        <f t="shared" si="26"/>
        <v>0.5</v>
      </c>
      <c r="J106" s="223"/>
      <c r="K106" s="223"/>
      <c r="L106" s="223"/>
      <c r="M106" s="223"/>
      <c r="N106" s="273"/>
      <c r="O106" s="178"/>
      <c r="P106" s="223"/>
      <c r="Q106" s="454"/>
      <c r="S106" s="274"/>
      <c r="T106" s="274"/>
      <c r="U106" s="274"/>
      <c r="AJ106" s="454"/>
      <c r="AY106" s="222">
        <f>Vout*I106</f>
        <v>2.5</v>
      </c>
      <c r="AZ106" s="275">
        <f t="shared" ref="AZ106" si="27">AY106/(AY106+AX106)</f>
        <v>1</v>
      </c>
      <c r="BA106" s="351">
        <f t="shared" ref="BA106" si="28">AG106/($AY106+$AX106)</f>
        <v>0</v>
      </c>
      <c r="BB106" s="351">
        <f t="shared" ref="BB106" si="29">AO106/($AY106+$AX106)</f>
        <v>0</v>
      </c>
      <c r="BC106" s="351" t="e">
        <f t="shared" ref="BC106" si="30">Vin*R106*(QgBot+Qg)/($AY106+$AX106)</f>
        <v>#NAME?</v>
      </c>
      <c r="BD106" s="351">
        <f t="shared" ref="BD106" si="31">AK106/($AY106+$AX106)</f>
        <v>0</v>
      </c>
      <c r="BE106" s="351">
        <f t="shared" ref="BE106" si="32">AQ106/(AX106+AY106)</f>
        <v>0</v>
      </c>
      <c r="BF106" s="351">
        <f t="shared" ref="BF106" si="33">AR106/($AY106+$AX106)</f>
        <v>0</v>
      </c>
      <c r="BG106" s="351">
        <f t="shared" ref="BG106" si="34">W106/($AY106+$AX106)</f>
        <v>0</v>
      </c>
      <c r="BH106" s="351">
        <f t="shared" ref="BH106" si="35">X106/($AY106+$AX106)</f>
        <v>0</v>
      </c>
      <c r="BI106" s="351">
        <f t="shared" ref="BI106" si="36">(AB106+AE106)/($AY106+$AX106)</f>
        <v>0</v>
      </c>
      <c r="BJ106" s="225">
        <f t="shared" ref="BJ106" si="37">AT106/($AY106+$AX106)</f>
        <v>0</v>
      </c>
      <c r="BK106" s="225">
        <f t="shared" ref="BK106" si="38">AX106/($AY106+$AX106)</f>
        <v>0</v>
      </c>
      <c r="BL106" s="225">
        <f t="shared" ref="BL106" si="39">AZ106</f>
        <v>1</v>
      </c>
      <c r="BM106" s="178">
        <f t="shared" ref="BM106" si="40">100*BL106</f>
        <v>100</v>
      </c>
      <c r="BN106" s="223">
        <f xml:space="preserve"> CHOOSE(MODE, I106*1000,#REF!)</f>
        <v>500</v>
      </c>
      <c r="BO106" s="178">
        <v>88.698181382326453</v>
      </c>
      <c r="BP106" s="225">
        <f t="shared" ref="BP106" si="41">BO106/100</f>
        <v>0.88698181382326458</v>
      </c>
      <c r="BQ106" s="276">
        <f t="shared" ref="BQ106" si="42">R106/1000</f>
        <v>0</v>
      </c>
      <c r="BR106" s="277"/>
      <c r="BS106" s="225">
        <f t="shared" ref="BS106" si="43">AL106/($AY106+$AX106)</f>
        <v>0</v>
      </c>
      <c r="BT106" s="278"/>
      <c r="BU106" s="178">
        <f t="shared" ref="BU106" si="44">1000*AW106</f>
        <v>0</v>
      </c>
      <c r="BV106" s="178">
        <f t="shared" ref="BV106" si="45">1000*AU106</f>
        <v>0</v>
      </c>
      <c r="BW106" s="178">
        <f t="shared" ref="BW106" si="46">1000*Y106</f>
        <v>0</v>
      </c>
      <c r="BX106" s="225"/>
      <c r="BY106" s="225"/>
      <c r="BZ106" s="178">
        <f xml:space="preserve"> IF(MODE=1, BM106,#REF!)</f>
        <v>100</v>
      </c>
      <c r="CA106" s="178">
        <f xml:space="preserve"> IF(MODE=1, BU106,#REF!)</f>
        <v>0</v>
      </c>
      <c r="CB106" s="178">
        <f xml:space="preserve"> IF(MODE=1, BV106,#REF!)</f>
        <v>0</v>
      </c>
      <c r="CC106" s="178">
        <f xml:space="preserve"> IF(MODE=1, BW106,#REF!)</f>
        <v>0</v>
      </c>
    </row>
    <row r="107" spans="8:81" x14ac:dyDescent="0.2">
      <c r="BQ107" s="276"/>
      <c r="BR107" s="277"/>
      <c r="BS107" s="277"/>
      <c r="BT107" s="278"/>
      <c r="BX107" s="225"/>
      <c r="BY107" s="225"/>
    </row>
    <row r="108" spans="8:81" x14ac:dyDescent="0.2">
      <c r="H108" s="334">
        <v>1.0000000000000001E-5</v>
      </c>
      <c r="I108" s="335" t="s">
        <v>1</v>
      </c>
      <c r="J108" s="336" t="s">
        <v>277</v>
      </c>
      <c r="AG108" s="222">
        <v>4.9516878778202269E-3</v>
      </c>
      <c r="AH108" s="222">
        <v>3.7188236700537959E-3</v>
      </c>
      <c r="AI108">
        <v>20</v>
      </c>
      <c r="AJ108" s="222">
        <v>18.943591787921068</v>
      </c>
      <c r="AK108" s="222">
        <v>4.1453367485397245E-3</v>
      </c>
      <c r="AL108" s="222">
        <v>7.1640215182307235E-3</v>
      </c>
      <c r="AN108" s="222">
        <v>9.1940431932401354E-2</v>
      </c>
      <c r="AO108" s="222">
        <v>8.4530430239165271E-3</v>
      </c>
      <c r="AP108" s="222">
        <v>9.3281530185295868E-4</v>
      </c>
      <c r="AQ108" s="222">
        <v>9.1178757202630047E-3</v>
      </c>
      <c r="AR108" s="222">
        <v>1.2140752334887425E-3</v>
      </c>
      <c r="AS108" s="222">
        <v>1.8784993977668273E-2</v>
      </c>
      <c r="AZ108" s="338" t="s">
        <v>281</v>
      </c>
      <c r="BA108" s="358">
        <v>3.6409104085968987E-3</v>
      </c>
      <c r="BB108" s="358">
        <v>6.5692245841190103E-3</v>
      </c>
      <c r="BC108" s="358">
        <v>5.4394694205683519E-2</v>
      </c>
      <c r="BD108" s="358">
        <v>4.5907837520612008E-3</v>
      </c>
      <c r="BE108" s="358">
        <v>0</v>
      </c>
      <c r="BF108" s="358">
        <v>7.3751579484765363E-4</v>
      </c>
      <c r="BG108" s="358">
        <v>7.2151246180390156E-3</v>
      </c>
      <c r="BH108" s="358">
        <v>1.4929120352630757E-2</v>
      </c>
      <c r="BI108" s="358">
        <v>5.5024434421027814E-6</v>
      </c>
      <c r="BJ108" s="358">
        <v>8.2551506228875166E-2</v>
      </c>
    </row>
    <row r="109" spans="8:81" x14ac:dyDescent="0.2">
      <c r="H109" s="337">
        <f>Iout_max</f>
        <v>0.5</v>
      </c>
      <c r="I109" s="335" t="s">
        <v>1</v>
      </c>
      <c r="J109" s="336" t="s">
        <v>278</v>
      </c>
      <c r="AZ109" s="338" t="s">
        <v>279</v>
      </c>
      <c r="BA109" s="358">
        <v>8.1000709018000279E-3</v>
      </c>
      <c r="BB109" s="358">
        <v>1.4614802049391215E-2</v>
      </c>
      <c r="BC109" s="358">
        <v>2.4831534664325892E-2</v>
      </c>
      <c r="BD109" s="358">
        <v>9.9057039827182662E-3</v>
      </c>
      <c r="BE109" s="358">
        <v>1.1631608311305648E-2</v>
      </c>
      <c r="BF109" s="358">
        <v>1.6465542803473395E-3</v>
      </c>
      <c r="BG109" s="358">
        <v>1.6051760250250457E-2</v>
      </c>
      <c r="BH109" s="358">
        <v>6.8152413568584669E-3</v>
      </c>
      <c r="BI109" s="358">
        <v>1.7517781122613987E-5</v>
      </c>
      <c r="BJ109" s="358">
        <v>1.2837829865088564E-2</v>
      </c>
    </row>
    <row r="110" spans="8:81" x14ac:dyDescent="0.2">
      <c r="H110" s="337">
        <f>LOG(max_I/min_I,EXP(1))</f>
        <v>10.819778284410283</v>
      </c>
      <c r="I110" s="223"/>
      <c r="J110" s="336" t="s">
        <v>280</v>
      </c>
    </row>
    <row r="111" spans="8:81" x14ac:dyDescent="0.2">
      <c r="AZ111" s="338"/>
      <c r="BA111" s="358"/>
      <c r="BB111" s="358"/>
      <c r="BC111" s="358"/>
      <c r="BD111" s="358"/>
      <c r="BE111" s="358"/>
      <c r="BF111" s="358"/>
      <c r="BG111" s="358"/>
      <c r="BH111" s="358"/>
      <c r="BI111" s="358"/>
      <c r="BJ111" s="358"/>
    </row>
    <row r="112" spans="8:81" x14ac:dyDescent="0.2">
      <c r="J112" s="340"/>
      <c r="R112" s="341"/>
      <c r="S112" s="341"/>
      <c r="T112" s="341"/>
      <c r="U112" s="341"/>
      <c r="V112" s="342"/>
    </row>
    <row r="113" spans="10:22" x14ac:dyDescent="0.2">
      <c r="J113" s="340"/>
      <c r="R113" s="341"/>
      <c r="S113" s="341"/>
      <c r="T113" s="341"/>
      <c r="U113" s="341"/>
      <c r="V113" s="342"/>
    </row>
    <row r="114" spans="10:22" x14ac:dyDescent="0.2">
      <c r="R114" s="343"/>
      <c r="S114" s="343"/>
      <c r="T114" s="343"/>
      <c r="U114" s="343"/>
      <c r="V114" s="342"/>
    </row>
    <row r="116" spans="10:22" x14ac:dyDescent="0.2">
      <c r="R116" s="343"/>
      <c r="S116" s="343"/>
      <c r="T116" s="343"/>
      <c r="U116" s="343"/>
      <c r="V116" s="342"/>
    </row>
    <row r="121" spans="10:22" x14ac:dyDescent="0.2">
      <c r="V121" s="336"/>
    </row>
    <row r="122" spans="10:22" x14ac:dyDescent="0.2">
      <c r="O122" s="336"/>
      <c r="P122" s="336"/>
      <c r="Q122" s="336"/>
    </row>
    <row r="123" spans="10:22" x14ac:dyDescent="0.2">
      <c r="O123" s="336"/>
      <c r="P123" s="336"/>
      <c r="Q123" s="336"/>
    </row>
    <row r="124" spans="10:22" x14ac:dyDescent="0.2">
      <c r="O124" s="336"/>
      <c r="P124" s="336"/>
      <c r="Q124" s="336"/>
    </row>
    <row r="125" spans="10:22" x14ac:dyDescent="0.2">
      <c r="O125" s="336"/>
      <c r="P125" s="336"/>
      <c r="Q125" s="336"/>
    </row>
    <row r="126" spans="10:22" x14ac:dyDescent="0.2">
      <c r="J126" s="344"/>
      <c r="O126" s="336"/>
      <c r="P126" s="336"/>
      <c r="Q126" s="336"/>
    </row>
    <row r="127" spans="10:22" x14ac:dyDescent="0.2">
      <c r="J127" s="344"/>
      <c r="O127" s="336"/>
      <c r="P127" s="336"/>
      <c r="Q127" s="336"/>
    </row>
    <row r="128" spans="10:22" x14ac:dyDescent="0.2">
      <c r="J128" s="344"/>
      <c r="O128" s="336"/>
      <c r="P128" s="336"/>
      <c r="Q128" s="336"/>
    </row>
    <row r="129" spans="10:17" x14ac:dyDescent="0.2">
      <c r="J129" s="335"/>
      <c r="O129" s="336"/>
      <c r="P129" s="336"/>
      <c r="Q129" s="336"/>
    </row>
    <row r="130" spans="10:17" x14ac:dyDescent="0.2">
      <c r="J130" s="335"/>
    </row>
    <row r="131" spans="10:17" x14ac:dyDescent="0.2">
      <c r="J131" s="335"/>
    </row>
    <row r="132" spans="10:17" x14ac:dyDescent="0.2">
      <c r="J132" s="335"/>
    </row>
    <row r="133" spans="10:17" x14ac:dyDescent="0.2">
      <c r="J133" s="335"/>
    </row>
  </sheetData>
  <mergeCells count="4">
    <mergeCell ref="A1:E3"/>
    <mergeCell ref="G2:H2"/>
    <mergeCell ref="A4:E4"/>
    <mergeCell ref="K4:U4"/>
  </mergeCells>
  <conditionalFormatting sqref="B26:B28">
    <cfRule type="cellIs" dxfId="9" priority="8" stopIfTrue="1" operator="notEqual">
      <formula>G28</formula>
    </cfRule>
  </conditionalFormatting>
  <conditionalFormatting sqref="B30:B33 B37:B38">
    <cfRule type="cellIs" dxfId="8" priority="6" stopIfTrue="1" operator="notEqual">
      <formula>G36</formula>
    </cfRule>
  </conditionalFormatting>
  <conditionalFormatting sqref="B35:B36">
    <cfRule type="cellIs" dxfId="7" priority="5" stopIfTrue="1" operator="notEqual">
      <formula>G42</formula>
    </cfRule>
  </conditionalFormatting>
  <conditionalFormatting sqref="B40">
    <cfRule type="cellIs" dxfId="6" priority="4" stopIfTrue="1" operator="notEqual">
      <formula>G53</formula>
    </cfRule>
  </conditionalFormatting>
  <conditionalFormatting sqref="B49:B52">
    <cfRule type="cellIs" dxfId="5" priority="9" stopIfTrue="1" operator="notEqual">
      <formula>G70</formula>
    </cfRule>
  </conditionalFormatting>
  <conditionalFormatting sqref="B47:B48">
    <cfRule type="cellIs" dxfId="4" priority="12" stopIfTrue="1" operator="notEqual">
      <formula>G68</formula>
    </cfRule>
  </conditionalFormatting>
  <conditionalFormatting sqref="B42:B44">
    <cfRule type="cellIs" dxfId="3" priority="13" stopIfTrue="1" operator="notEqual">
      <formula>G54</formula>
    </cfRule>
  </conditionalFormatting>
  <conditionalFormatting sqref="B45">
    <cfRule type="cellIs" dxfId="2" priority="2" stopIfTrue="1" operator="notEqual">
      <formula>G66</formula>
    </cfRule>
  </conditionalFormatting>
  <conditionalFormatting sqref="B29">
    <cfRule type="cellIs" dxfId="1" priority="145" stopIfTrue="1" operator="notEqual">
      <formula>G30</formula>
    </cfRule>
  </conditionalFormatting>
  <pageMargins left="0.75" right="0.75" top="1" bottom="1" header="0.5" footer="0.5"/>
  <pageSetup scale="79" orientation="portrait" r:id="rId1"/>
  <headerFooter alignWithMargins="0"/>
  <colBreaks count="1" manualBreakCount="1">
    <brk id="7" max="1048575" man="1"/>
  </colBreaks>
  <ignoredErrors>
    <ignoredError sqref="B8:B9 BQ6:BQ7" unlockedFormula="1"/>
    <ignoredError sqref="D11" formula="1"/>
  </ignoredErrors>
  <drawing r:id="rId2"/>
  <legacyDrawing r:id="rId3"/>
  <oleObjects>
    <mc:AlternateContent xmlns:mc="http://schemas.openxmlformats.org/markup-compatibility/2006">
      <mc:Choice Requires="x14">
        <oleObject progId="Visio.Drawing.11" shapeId="683009" r:id="rId4">
          <objectPr defaultSize="0" autoPict="0" r:id="rId5">
            <anchor moveWithCells="1">
              <from>
                <xdr:col>22</xdr:col>
                <xdr:colOff>180975</xdr:colOff>
                <xdr:row>111</xdr:row>
                <xdr:rowOff>142875</xdr:rowOff>
              </from>
              <to>
                <xdr:col>36</xdr:col>
                <xdr:colOff>9525</xdr:colOff>
                <xdr:row>125</xdr:row>
                <xdr:rowOff>142875</xdr:rowOff>
              </to>
            </anchor>
          </objectPr>
        </oleObject>
      </mc:Choice>
      <mc:Fallback>
        <oleObject progId="Visio.Drawing.11" shapeId="68300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2:B7"/>
  <sheetViews>
    <sheetView zoomScaleNormal="100" workbookViewId="0">
      <selection activeCell="H7" sqref="H7"/>
    </sheetView>
  </sheetViews>
  <sheetFormatPr defaultRowHeight="12.75" x14ac:dyDescent="0.2"/>
  <cols>
    <col min="2" max="2" width="126.42578125" customWidth="1"/>
  </cols>
  <sheetData>
    <row r="2" spans="1:2" ht="17.25" customHeight="1" x14ac:dyDescent="0.2">
      <c r="A2" s="78" t="str">
        <f>CHOOSE(MODE, "EFF_SINGLE", "EFF_DUAL")</f>
        <v>EFF_SINGLE</v>
      </c>
    </row>
    <row r="5" spans="1:2" ht="409.5" customHeight="1" x14ac:dyDescent="0.2">
      <c r="B5" s="366"/>
    </row>
    <row r="6" spans="1:2" ht="17.100000000000001" customHeight="1" x14ac:dyDescent="0.2"/>
    <row r="7" spans="1:2" ht="409.5" customHeight="1" x14ac:dyDescent="0.2">
      <c r="B7" s="366"/>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163</vt:i4>
      </vt:variant>
    </vt:vector>
  </HeadingPairs>
  <TitlesOfParts>
    <vt:vector size="175" baseType="lpstr">
      <vt:lpstr>Design Converter</vt:lpstr>
      <vt:lpstr>BOM &amp; Schematic</vt:lpstr>
      <vt:lpstr>EVMs</vt:lpstr>
      <vt:lpstr>Variable Mgmt</vt:lpstr>
      <vt:lpstr>Calculations - Single</vt:lpstr>
      <vt:lpstr>Calculations - Dual</vt:lpstr>
      <vt:lpstr>Fsw vs VIN</vt:lpstr>
      <vt:lpstr>Parameters</vt:lpstr>
      <vt:lpstr>Efficiency Plots</vt:lpstr>
      <vt:lpstr>Fsw Plots</vt:lpstr>
      <vt:lpstr>Schematic Mgmt</vt:lpstr>
      <vt:lpstr>Standard Value Calculator</vt:lpstr>
      <vt:lpstr>_Don1</vt:lpstr>
      <vt:lpstr>BDserR</vt:lpstr>
      <vt:lpstr>Cb</vt:lpstr>
      <vt:lpstr>Parameters!Cin</vt:lpstr>
      <vt:lpstr>Cin</vt:lpstr>
      <vt:lpstr>CinEsrMax</vt:lpstr>
      <vt:lpstr>Cinmin</vt:lpstr>
      <vt:lpstr>CONFIG</vt:lpstr>
      <vt:lpstr>Coss</vt:lpstr>
      <vt:lpstr>Parameters!Cout</vt:lpstr>
      <vt:lpstr>Cout</vt:lpstr>
      <vt:lpstr>Cout_Voltage_Rating</vt:lpstr>
      <vt:lpstr>Cout2</vt:lpstr>
      <vt:lpstr>CoutEsr</vt:lpstr>
      <vt:lpstr>CoutEsr2</vt:lpstr>
      <vt:lpstr>Css</vt:lpstr>
      <vt:lpstr>Css_u</vt:lpstr>
      <vt:lpstr>Csw</vt:lpstr>
      <vt:lpstr>Diode_TC</vt:lpstr>
      <vt:lpstr>Don_Vinmax</vt:lpstr>
      <vt:lpstr>Don_Vinmin</vt:lpstr>
      <vt:lpstr>Don_Vinnom</vt:lpstr>
      <vt:lpstr>EFF_DUAL</vt:lpstr>
      <vt:lpstr>EFF_SINGLE</vt:lpstr>
      <vt:lpstr>Efficiency</vt:lpstr>
      <vt:lpstr>Parameters!Fsw</vt:lpstr>
      <vt:lpstr>Fsw_DCM</vt:lpstr>
      <vt:lpstr>Fsw_DUAL</vt:lpstr>
      <vt:lpstr>Fsw_max</vt:lpstr>
      <vt:lpstr>Fsw_SINGLE</vt:lpstr>
      <vt:lpstr>Icinrms</vt:lpstr>
      <vt:lpstr>Icoutrms</vt:lpstr>
      <vt:lpstr>Iin_Vinmax</vt:lpstr>
      <vt:lpstr>Iin_Vinmin</vt:lpstr>
      <vt:lpstr>Iin_Vinnom</vt:lpstr>
      <vt:lpstr>Iout</vt:lpstr>
      <vt:lpstr>Iout_max</vt:lpstr>
      <vt:lpstr>Iout2</vt:lpstr>
      <vt:lpstr>Iout2_actual</vt:lpstr>
      <vt:lpstr>'Calculations - Dual'!Ioutmax_Vinmax</vt:lpstr>
      <vt:lpstr>Ioutmax_Vinmax</vt:lpstr>
      <vt:lpstr>'Calculations - Dual'!Ioutmax_Vinmin</vt:lpstr>
      <vt:lpstr>Ioutmax_Vinmin</vt:lpstr>
      <vt:lpstr>'Calculations - Dual'!Ioutmax_Vinnom</vt:lpstr>
      <vt:lpstr>Ioutmax_Vinnom</vt:lpstr>
      <vt:lpstr>IQ</vt:lpstr>
      <vt:lpstr>Iripple</vt:lpstr>
      <vt:lpstr>Iss</vt:lpstr>
      <vt:lpstr>Isw_max</vt:lpstr>
      <vt:lpstr>Isw_min</vt:lpstr>
      <vt:lpstr>Iuvlo_hys</vt:lpstr>
      <vt:lpstr>Iuvlo1</vt:lpstr>
      <vt:lpstr>Iuvlo2</vt:lpstr>
      <vt:lpstr>k_core</vt:lpstr>
      <vt:lpstr>L</vt:lpstr>
      <vt:lpstr>Lf</vt:lpstr>
      <vt:lpstr>Lleak</vt:lpstr>
      <vt:lpstr>Lmin</vt:lpstr>
      <vt:lpstr>Ltc</vt:lpstr>
      <vt:lpstr>max_I</vt:lpstr>
      <vt:lpstr>min_I</vt:lpstr>
      <vt:lpstr>MODE</vt:lpstr>
      <vt:lpstr>MODE_SS</vt:lpstr>
      <vt:lpstr>MODE_TC</vt:lpstr>
      <vt:lpstr>MODE_TOP</vt:lpstr>
      <vt:lpstr>MODE_UVLO</vt:lpstr>
      <vt:lpstr>Npri_sec1</vt:lpstr>
      <vt:lpstr>Npri_sec2</vt:lpstr>
      <vt:lpstr>Nps</vt:lpstr>
      <vt:lpstr>Nsec1sec2</vt:lpstr>
      <vt:lpstr>OffTime</vt:lpstr>
      <vt:lpstr>OnTime</vt:lpstr>
      <vt:lpstr>Pi</vt:lpstr>
      <vt:lpstr>Pin</vt:lpstr>
      <vt:lpstr>PLOT_TYPE</vt:lpstr>
      <vt:lpstr>Pout</vt:lpstr>
      <vt:lpstr>Pout_total</vt:lpstr>
      <vt:lpstr>Pout2</vt:lpstr>
      <vt:lpstr>'BOM &amp; Schematic'!Print_Area</vt:lpstr>
      <vt:lpstr>'Design Converter'!Print_Area</vt:lpstr>
      <vt:lpstr>Qg</vt:lpstr>
      <vt:lpstr>Parameters!RCinEsr</vt:lpstr>
      <vt:lpstr>RCinEsr</vt:lpstr>
      <vt:lpstr>Parameters!RCoutEsr</vt:lpstr>
      <vt:lpstr>RCoutEsr</vt:lpstr>
      <vt:lpstr>Rdcr_pri</vt:lpstr>
      <vt:lpstr>Rdcr_sec</vt:lpstr>
      <vt:lpstr>Rdcr_sec2</vt:lpstr>
      <vt:lpstr>Rdson</vt:lpstr>
      <vt:lpstr>RdsonTC</vt:lpstr>
      <vt:lpstr>Rfb</vt:lpstr>
      <vt:lpstr>Rfb_recommend</vt:lpstr>
      <vt:lpstr>Rfb2_u</vt:lpstr>
      <vt:lpstr>Rout</vt:lpstr>
      <vt:lpstr>Rout2</vt:lpstr>
      <vt:lpstr>rr</vt:lpstr>
      <vt:lpstr>RTC</vt:lpstr>
      <vt:lpstr>RTC_1</vt:lpstr>
      <vt:lpstr>Ruvlo1</vt:lpstr>
      <vt:lpstr>Ruvlo2</vt:lpstr>
      <vt:lpstr>SCH_BIPOLAR_UVLOadj_SSadj_TCno</vt:lpstr>
      <vt:lpstr>SCH_BIPOLAR_UVLOadj_SSadj_TCyes</vt:lpstr>
      <vt:lpstr>SCH_BIPOLAR_UVLOadj_SSint_TCno</vt:lpstr>
      <vt:lpstr>SCH_BIPOLAR_UVLOadj_SSint_TCyes</vt:lpstr>
      <vt:lpstr>SCH_BIPOLAR_UVLOint_SSadj_TCno</vt:lpstr>
      <vt:lpstr>SCH_BIPOLAR_UVLOint_SSadj_TCyes</vt:lpstr>
      <vt:lpstr>SCH_BIPOLAR_UVLOint_SSint_TCno</vt:lpstr>
      <vt:lpstr>SCH_BIPOLAR_UVLOint_SSint_TCyes</vt:lpstr>
      <vt:lpstr>SCH_DUAL_UVLOadj_SSadj_TCno</vt:lpstr>
      <vt:lpstr>SCH_DUAL_UVLOadj_SSadj_TCyes</vt:lpstr>
      <vt:lpstr>SCH_DUAL_UVLOadj_SSint_TCno</vt:lpstr>
      <vt:lpstr>SCH_DUAL_UVLOadj_SSint_TCyes</vt:lpstr>
      <vt:lpstr>SCH_DUAL_UVLOint_SSadj_TCno</vt:lpstr>
      <vt:lpstr>SCH_DUAL_UVLOint_SSadj_TCyes</vt:lpstr>
      <vt:lpstr>SCH_DUAL_UVLOint_SSint_TCno</vt:lpstr>
      <vt:lpstr>SCH_DUAL_UVLOint_SSint_TCyes</vt:lpstr>
      <vt:lpstr>SCH_SINGLE_UVLOadj_SSadj_TCno</vt:lpstr>
      <vt:lpstr>SCH_SINGLE_UVLOadj_SSadj_TCyes</vt:lpstr>
      <vt:lpstr>SCH_SINGLE_UVLOadj_SSint_TCno</vt:lpstr>
      <vt:lpstr>SCH_SINGLE_UVLOadj_SSint_TCyes</vt:lpstr>
      <vt:lpstr>SCH_SINGLE_UVLOint_SSadj_TCno</vt:lpstr>
      <vt:lpstr>SCH_SINGLE_UVLOint_SSadj_TCyes</vt:lpstr>
      <vt:lpstr>SCH_SINGLE_UVLOint_SSint_TCno</vt:lpstr>
      <vt:lpstr>SCH_SINGLE_UVLOint_SSint_TCyes</vt:lpstr>
      <vt:lpstr>Parameters!Ta</vt:lpstr>
      <vt:lpstr>Ta</vt:lpstr>
      <vt:lpstr>TC</vt:lpstr>
      <vt:lpstr>Tfall</vt:lpstr>
      <vt:lpstr>ThetaCa</vt:lpstr>
      <vt:lpstr>ThetaJA</vt:lpstr>
      <vt:lpstr>TL</vt:lpstr>
      <vt:lpstr>Toff_Vinmax</vt:lpstr>
      <vt:lpstr>Ton_Vinmin</vt:lpstr>
      <vt:lpstr>Trise</vt:lpstr>
      <vt:lpstr>TrrBot</vt:lpstr>
      <vt:lpstr>Tss</vt:lpstr>
      <vt:lpstr>Turns_Ratio</vt:lpstr>
      <vt:lpstr>Turns_Ratio2</vt:lpstr>
      <vt:lpstr>Vdd</vt:lpstr>
      <vt:lpstr>Vfwd1</vt:lpstr>
      <vt:lpstr>Vfwd2</vt:lpstr>
      <vt:lpstr>Vin</vt:lpstr>
      <vt:lpstr>VIN_max</vt:lpstr>
      <vt:lpstr>VIN_min</vt:lpstr>
      <vt:lpstr>VIN_nom</vt:lpstr>
      <vt:lpstr>Vinripple1</vt:lpstr>
      <vt:lpstr>Vinripple2</vt:lpstr>
      <vt:lpstr>VINuvlo_off</vt:lpstr>
      <vt:lpstr>VINuvlo_on</vt:lpstr>
      <vt:lpstr>Vout</vt:lpstr>
      <vt:lpstr>Vout_ripple</vt:lpstr>
      <vt:lpstr>Vout_ripple2</vt:lpstr>
      <vt:lpstr>Vout2</vt:lpstr>
      <vt:lpstr>Vout2_actual</vt:lpstr>
      <vt:lpstr>Vref</vt:lpstr>
      <vt:lpstr>Vripple1_actual</vt:lpstr>
      <vt:lpstr>Vripple1_spec</vt:lpstr>
      <vt:lpstr>Vripple2_actual</vt:lpstr>
      <vt:lpstr>Vripple2_spec</vt:lpstr>
      <vt:lpstr>VRRM_DIODE</vt:lpstr>
      <vt:lpstr>Vuvlo_hys</vt:lpstr>
      <vt:lpstr>Vuvlo_off</vt:lpstr>
      <vt:lpstr>Vuvlo_on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LM5180 Design Calculator</dc:title>
  <dc:creator>Timothy Hegarty</dc:creator>
  <cp:keywords>LM5180 PSR flyback converter</cp:keywords>
  <cp:lastModifiedBy>Hegarty, Timothy</cp:lastModifiedBy>
  <cp:lastPrinted>2016-03-02T21:18:53Z</cp:lastPrinted>
  <dcterms:created xsi:type="dcterms:W3CDTF">1996-10-14T23:33:28Z</dcterms:created>
  <dcterms:modified xsi:type="dcterms:W3CDTF">2020-04-08T00:01:05Z</dcterms:modified>
</cp:coreProperties>
</file>