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6.xml" ContentType="application/vnd.openxmlformats-officedocument.drawing+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09207\Desktop\"/>
    </mc:Choice>
  </mc:AlternateContent>
  <workbookProtection workbookAlgorithmName="SHA-512" workbookHashValue="a2ZWUz88Bb4Vv1xvrqtqzQl5Y7XhpjCfrzFUdUeyT76bGng7e/JIkAe0pPnGTcWP5Dd28BcTsaXc0Vj2LR+yoA==" workbookSaltValue="dgNTjxgF1uxhfVmbum7iQQ==" workbookSpinCount="100000" lockStructure="1"/>
  <bookViews>
    <workbookView xWindow="0" yWindow="0" windowWidth="28800" windowHeight="11145" tabRatio="722" activeTab="1"/>
  </bookViews>
  <sheets>
    <sheet name="How to use" sheetId="8" r:id="rId1"/>
    <sheet name="Design" sheetId="1" r:id="rId2"/>
    <sheet name="Important Notice and Disclaimer" sheetId="3" r:id="rId3"/>
    <sheet name="Calc" sheetId="2" state="hidden" r:id="rId4"/>
    <sheet name="STD_VAL" sheetId="4" state="hidden" r:id="rId5"/>
    <sheet name="SCH" sheetId="5" state="hidden" r:id="rId6"/>
    <sheet name="Bode" sheetId="7" state="hidden" r:id="rId7"/>
    <sheet name="Efficiency" sheetId="6" state="hidden" r:id="rId8"/>
  </sheets>
  <definedNames>
    <definedName name="A.s_max">Calc!$F$45</definedName>
    <definedName name="A.s_min">Calc!$F$44</definedName>
    <definedName name="A.s_typ">Calc!$F$43</definedName>
    <definedName name="A_COMP2CS">Bode!$D$24</definedName>
    <definedName name="A_COMP2VOUT">Bode!$D$20</definedName>
    <definedName name="C.comp">Calc!$F$131</definedName>
    <definedName name="C.comp_desired">Calc!$F$125</definedName>
    <definedName name="C.eaout">Calc!$F$122</definedName>
    <definedName name="C.fbb">Calc!$F$118</definedName>
    <definedName name="C.ff">Calc!$F$136</definedName>
    <definedName name="C.hf">Calc!$F$132</definedName>
    <definedName name="C.hf_desired">Calc!$F$126</definedName>
    <definedName name="C.imon">Calc!$F$159</definedName>
    <definedName name="C.imon_desired">Calc!$F$153</definedName>
    <definedName name="C.inb_derated">Calc!$F$223</definedName>
    <definedName name="C.iset">Calc!$F$145</definedName>
    <definedName name="C.oss_hs">Calc!$F$179</definedName>
    <definedName name="C.oss_ls">Calc!$F$195</definedName>
    <definedName name="C.outb_derated">Calc!$F$93</definedName>
    <definedName name="C.outb_derated_min">Calc!$F$90</definedName>
    <definedName name="C.outb_derated_min1">Calc!$F$87</definedName>
    <definedName name="C.outb_derated_min2">Calc!$F$88</definedName>
    <definedName name="C.outb_derated_min3">Calc!$F$89</definedName>
    <definedName name="C.outb_derating_factor">Calc!$F$92</definedName>
    <definedName name="C.outb_rated">Calc!$F$91</definedName>
    <definedName name="C.outhf_derated">Calc!$F$98</definedName>
    <definedName name="C.outhf_derating_factor">Calc!$F$97</definedName>
    <definedName name="C.outhf_rated">Calc!$F$96</definedName>
    <definedName name="C.outtotal_derated">Calc!$F$101</definedName>
    <definedName name="CC_LOOP">Bode!$CE$1</definedName>
    <definedName name="CV_LOOP">Bode!$A$1</definedName>
    <definedName name="D.off_min_150">Calc!$F$68</definedName>
    <definedName name="D.off_min_ideal">Calc!$F$66</definedName>
    <definedName name="D.on_min_150">Calc!$F$64</definedName>
    <definedName name="D.on_min_ideal">Calc!$F$62</definedName>
    <definedName name="DESIGN_GUIDE1">SCH!$A$3</definedName>
    <definedName name="DEVICE">Calc!$F$20</definedName>
    <definedName name="dI.out_max">Calc!$F$102</definedName>
    <definedName name="dI.out_max_rms">Calc!$F$103</definedName>
    <definedName name="dV.out_max_rms">Calc!$F$105</definedName>
    <definedName name="EfficiencyChart">Efficiency!$A$1</definedName>
    <definedName name="ExtVCC">Calc!$F$207</definedName>
    <definedName name="f.cross_desired">Calc!$F$86</definedName>
    <definedName name="f.p_err">Calc!$F$134</definedName>
    <definedName name="f.p_err_desired">Calc!$F$128</definedName>
    <definedName name="f.p_imon">Calc!$F$161</definedName>
    <definedName name="f.p_imon_desired">Calc!$F$155</definedName>
    <definedName name="f.sw">Calc!$F$18</definedName>
    <definedName name="f.z_cff">Calc!$F$138</definedName>
    <definedName name="f.z_err">Calc!$F$133</definedName>
    <definedName name="f.z_err_desired">Calc!$F$127</definedName>
    <definedName name="f.z_imon">Calc!$F$162</definedName>
    <definedName name="f.z_imon_desired">Calc!$F$156</definedName>
    <definedName name="FCROSSOVER_FOUND_CV">Bode!$AI$8</definedName>
    <definedName name="FPWM">Calc!$F$19</definedName>
    <definedName name="fsw_sh">Bode!$D$19</definedName>
    <definedName name="g.fs_hs">Calc!$F$181</definedName>
    <definedName name="g.fs_ls">Calc!$F$197</definedName>
    <definedName name="GM">Calc!$F$123</definedName>
    <definedName name="GM.imon">Calc!$F$151</definedName>
    <definedName name="I.imon">Calc!$F$150</definedName>
    <definedName name="I.iset">Calc!$F$142</definedName>
    <definedName name="I.load">Calc!$F$17</definedName>
    <definedName name="I.peak_tblank">Calc!$F$57</definedName>
    <definedName name="I.peakcl">Calc!$F$31</definedName>
    <definedName name="I.q_IC">Calc!$F$10</definedName>
    <definedName name="Ipeak_atvinmax">Calc!$F$55</definedName>
    <definedName name="IVCC">Calc!$F$209</definedName>
    <definedName name="kfactor">Bode!$D$16</definedName>
    <definedName name="L.margin">Calc!$F$46</definedName>
    <definedName name="L.out">Calc!$F$53</definedName>
    <definedName name="L.out_desired">Calc!$F$39</definedName>
    <definedName name="L.outmin1">Calc!$F$47</definedName>
    <definedName name="L.outmin2">Calc!$F$48</definedName>
    <definedName name="L.outmin3">Calc!$F$50</definedName>
    <definedName name="L.outmin4">Calc!$F$51</definedName>
    <definedName name="L.smalest">Calc!$F$52</definedName>
    <definedName name="MaxOperatinvVIN">Calc!$F$25</definedName>
    <definedName name="mc">Bode!$D$15</definedName>
    <definedName name="MinCboot">Calc!$F$219</definedName>
    <definedName name="MinCvcc">Calc!$F$220</definedName>
    <definedName name="MinCvcc2">Calc!$F$221</definedName>
    <definedName name="P.core">Calc!$F$61</definedName>
    <definedName name="P.out">Calc!$F$21</definedName>
    <definedName name="P.rs">Calc!$F$34</definedName>
    <definedName name="PCB_TYPICAL1">SCH!$A$2</definedName>
    <definedName name="PI">Calc!$F$8</definedName>
    <definedName name="_xlnm.Print_Area" localSheetId="1">Design!$A$1:$V$153</definedName>
    <definedName name="Q.g_hs">Calc!$F$175</definedName>
    <definedName name="Q.g_ls">Calc!$F$191</definedName>
    <definedName name="Q.gd_hs">Calc!$F$176</definedName>
    <definedName name="Q.gd_ls">Calc!$F$192</definedName>
    <definedName name="Q.gs_hs">Calc!$F$177</definedName>
    <definedName name="Q.gs_ls">Calc!$F$193</definedName>
    <definedName name="Q.oss_hs">Calc!$F$178</definedName>
    <definedName name="Q.oss_ls">Calc!$F$194</definedName>
    <definedName name="Q.rr_hs">Calc!$F$185</definedName>
    <definedName name="Q.rr_ls">Calc!$F$201</definedName>
    <definedName name="Q.rr_sch">Calc!$F$206</definedName>
    <definedName name="Qfactor">Bode!$D$17</definedName>
    <definedName name="R.comp">Calc!$F$130</definedName>
    <definedName name="R.comp_desired">Calc!$F$124</definedName>
    <definedName name="R.dcr150">Calc!$F$60</definedName>
    <definedName name="R.dcr25">Calc!$F$59</definedName>
    <definedName name="R.drv_hs_sink">Calc!$F$168</definedName>
    <definedName name="R.drv_hs_source">Calc!$F$167</definedName>
    <definedName name="R.drv_ls_sink">Calc!$F$170</definedName>
    <definedName name="R.drv_ls_source">Calc!$F$169</definedName>
    <definedName name="R.eaout">Calc!$F$121</definedName>
    <definedName name="R.enb">Calc!$F$79</definedName>
    <definedName name="R.ent">Calc!$F$78</definedName>
    <definedName name="R.esr_cin">Calc!$F$224</definedName>
    <definedName name="R.esrb">Calc!$F$94</definedName>
    <definedName name="R.esrhf">Calc!$F$99</definedName>
    <definedName name="R.fbb">Calc!$F$117</definedName>
    <definedName name="R.fbt">Calc!$F$115</definedName>
    <definedName name="R.fbt_min">Calc!$F$119</definedName>
    <definedName name="R.ff">Calc!$F$137</definedName>
    <definedName name="R.g_hs">Calc!$F$180</definedName>
    <definedName name="R.g_ls">Calc!$F$196</definedName>
    <definedName name="R.hs150">Calc!$F$174</definedName>
    <definedName name="R.hs25">Calc!$F$173</definedName>
    <definedName name="R.imon">Calc!$F$158</definedName>
    <definedName name="R.imon_desired">Calc!$F$152</definedName>
    <definedName name="R.imonhf">Calc!$F$160</definedName>
    <definedName name="R.imonhf_desired">Calc!$F$154</definedName>
    <definedName name="R.iset">Calc!$F$144</definedName>
    <definedName name="R.load">Calc!$F$22</definedName>
    <definedName name="R.lp">Calc!$F$114</definedName>
    <definedName name="R.ls150">Calc!$F$190</definedName>
    <definedName name="R.ls25">Calc!$F$189</definedName>
    <definedName name="R.s">Calc!$F$33</definedName>
    <definedName name="R.s_desired">Calc!$F$32</definedName>
    <definedName name="R.t_calc">Calc!$F$23</definedName>
    <definedName name="R.t_std">Calc!$F$24</definedName>
    <definedName name="RR.typ">Calc!$F$38</definedName>
    <definedName name="S.fall">Bode!$D$14</definedName>
    <definedName name="S.rise">Bode!$D$13</definedName>
    <definedName name="S.slope">Bode!$D$12</definedName>
    <definedName name="SCH_TYPICAL1">SCH!$A$1</definedName>
    <definedName name="SCHEMATIC_LINK">INDIRECT(SCH!$B$1)</definedName>
    <definedName name="T.amb">Calc!$F$208</definedName>
    <definedName name="t.blank_max">Calc!$F$56</definedName>
    <definedName name="t.d_hoff_lon">Calc!$F$171</definedName>
    <definedName name="t.d_loff_hon">Calc!$F$172</definedName>
    <definedName name="T.fall">Calc!$F$212</definedName>
    <definedName name="T.off_min_150">Calc!$F$69</definedName>
    <definedName name="T.off_min_ideal">Calc!$F$67</definedName>
    <definedName name="T.offmin_IC">Calc!$F$71</definedName>
    <definedName name="T.on_min_150">Calc!$F$65</definedName>
    <definedName name="T.on_min_ideal">Calc!$F$63</definedName>
    <definedName name="T.onmin_IC">Calc!$F$70</definedName>
    <definedName name="T.rise">Calc!$F$211</definedName>
    <definedName name="T.sscc">Calc!$F$146</definedName>
    <definedName name="TC_rdson_hs">Calc!$F$187</definedName>
    <definedName name="TC_rdson_ls">Calc!$F$203</definedName>
    <definedName name="theta.ja_hs">Calc!$F$186</definedName>
    <definedName name="theta.ja_ls">Calc!$F$202</definedName>
    <definedName name="Trf_CorrectionFactor">Calc!$F$210</definedName>
    <definedName name="V.bd_hs">Calc!$F$184</definedName>
    <definedName name="V.bd_ls">Calc!$F$200</definedName>
    <definedName name="V.enfalling_max">Calc!$F$76</definedName>
    <definedName name="V.enrising_max">Calc!$F$75</definedName>
    <definedName name="V.fwd_sch">Calc!$F$205</definedName>
    <definedName name="V.imon_offset">Calc!$F$164</definedName>
    <definedName name="V.in_ripple_required">Calc!$F$226</definedName>
    <definedName name="V.iset_desired">Calc!$F$143</definedName>
    <definedName name="V.load">Calc!$F$16</definedName>
    <definedName name="V.ncl_max">Calc!$F$49</definedName>
    <definedName name="V.overshoot">Calc!$F$84</definedName>
    <definedName name="V.overshoot_calc">Calc!$F$109</definedName>
    <definedName name="V.overshoot_calc1">Calc!$F$107</definedName>
    <definedName name="V.overshoot_calc2">Calc!$F$108</definedName>
    <definedName name="V.pcl_max">Calc!$F$30</definedName>
    <definedName name="V.pcl_min">Calc!$F$29</definedName>
    <definedName name="V.pcl_typ">Calc!$F$28</definedName>
    <definedName name="V.slope_max">Calc!$F$42</definedName>
    <definedName name="V.slope_min">Calc!$F$41</definedName>
    <definedName name="V.slope_typ">Calc!$F$40</definedName>
    <definedName name="V.sp_hs">Calc!$F$183</definedName>
    <definedName name="V.sp_hs_100A">Calc!$F$215</definedName>
    <definedName name="V.sp_ls">Calc!$F$199</definedName>
    <definedName name="V.sp_ls_100A">Calc!$F$216</definedName>
    <definedName name="V.sp_max">Calc!$F$214</definedName>
    <definedName name="V.sp_max_100A">Calc!$F$217</definedName>
    <definedName name="V.startup">Calc!$F$77</definedName>
    <definedName name="V.supply_max">Calc!$F$15</definedName>
    <definedName name="V.supply_min">Calc!$F$13</definedName>
    <definedName name="V.supply_typ">Calc!$F$14</definedName>
    <definedName name="V.th_hs">Calc!$F$182</definedName>
    <definedName name="V.th_ls">Calc!$F$198</definedName>
    <definedName name="V.undershoot">Calc!$F$85</definedName>
    <definedName name="V.undershoot_calc">Calc!$F$110</definedName>
    <definedName name="V.vref">Calc!$F$116</definedName>
    <definedName name="VCC">Calc!$F$9</definedName>
    <definedName name="Vshutdown">Calc!$F$80</definedName>
    <definedName name="Wesr_zero">Bode!$D$21</definedName>
    <definedName name="Wload_pole">Bode!$D$22</definedName>
    <definedName name="WloadZ">Bode!$D$23</definedName>
    <definedName name="Wsh">Bode!$D$18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3" i="7" l="1"/>
  <c r="U14" i="7"/>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45" i="7"/>
  <c r="U46" i="7"/>
  <c r="U47" i="7"/>
  <c r="U48" i="7"/>
  <c r="U49" i="7"/>
  <c r="U50" i="7"/>
  <c r="U51" i="7"/>
  <c r="U52" i="7"/>
  <c r="U53" i="7"/>
  <c r="U54" i="7"/>
  <c r="U55" i="7"/>
  <c r="U56" i="7"/>
  <c r="U57" i="7"/>
  <c r="U58" i="7"/>
  <c r="U59" i="7"/>
  <c r="U60" i="7"/>
  <c r="U61" i="7"/>
  <c r="U62" i="7"/>
  <c r="U63" i="7"/>
  <c r="U64" i="7"/>
  <c r="U65" i="7"/>
  <c r="U66" i="7"/>
  <c r="U67" i="7"/>
  <c r="U68" i="7"/>
  <c r="U69" i="7"/>
  <c r="U70" i="7"/>
  <c r="U71" i="7"/>
  <c r="U72" i="7"/>
  <c r="U73" i="7"/>
  <c r="U74" i="7"/>
  <c r="U75" i="7"/>
  <c r="U76" i="7"/>
  <c r="U77" i="7"/>
  <c r="U78" i="7"/>
  <c r="U79" i="7"/>
  <c r="U80" i="7"/>
  <c r="U81" i="7"/>
  <c r="U82" i="7"/>
  <c r="U83" i="7"/>
  <c r="U84" i="7"/>
  <c r="U85" i="7"/>
  <c r="U86" i="7"/>
  <c r="U87" i="7"/>
  <c r="U88" i="7"/>
  <c r="U89" i="7"/>
  <c r="U90" i="7"/>
  <c r="U91" i="7"/>
  <c r="U92" i="7"/>
  <c r="U93" i="7"/>
  <c r="U94" i="7"/>
  <c r="U95" i="7"/>
  <c r="U96" i="7"/>
  <c r="U97" i="7"/>
  <c r="U98" i="7"/>
  <c r="U99" i="7"/>
  <c r="U100" i="7"/>
  <c r="U101" i="7"/>
  <c r="U102" i="7"/>
  <c r="U103" i="7"/>
  <c r="U104" i="7"/>
  <c r="U105" i="7"/>
  <c r="U106" i="7"/>
  <c r="U107" i="7"/>
  <c r="U108" i="7"/>
  <c r="U109" i="7"/>
  <c r="U110" i="7"/>
  <c r="U111" i="7"/>
  <c r="U112" i="7"/>
  <c r="U113" i="7"/>
  <c r="U114" i="7"/>
  <c r="U115" i="7"/>
  <c r="U116" i="7"/>
  <c r="U117" i="7"/>
  <c r="U118" i="7"/>
  <c r="U119" i="7"/>
  <c r="U120" i="7"/>
  <c r="U121" i="7"/>
  <c r="U122" i="7"/>
  <c r="U123" i="7"/>
  <c r="U124" i="7"/>
  <c r="U125" i="7"/>
  <c r="U126" i="7"/>
  <c r="U127" i="7"/>
  <c r="U128" i="7"/>
  <c r="U129" i="7"/>
  <c r="U130" i="7"/>
  <c r="U131" i="7"/>
  <c r="U132" i="7"/>
  <c r="U133" i="7"/>
  <c r="U134" i="7"/>
  <c r="U135" i="7"/>
  <c r="U136" i="7"/>
  <c r="U137" i="7"/>
  <c r="U138" i="7"/>
  <c r="U12" i="7"/>
  <c r="C172" i="2" l="1"/>
  <c r="C171" i="2"/>
  <c r="E220" i="2" l="1"/>
  <c r="E219" i="2"/>
  <c r="C160" i="2" l="1"/>
  <c r="X19" i="7" l="1"/>
  <c r="Y20" i="7"/>
  <c r="X27" i="7"/>
  <c r="Y28" i="7"/>
  <c r="X35" i="7"/>
  <c r="X36" i="7"/>
  <c r="X43" i="7"/>
  <c r="Y44" i="7"/>
  <c r="X51" i="7"/>
  <c r="Y52" i="7"/>
  <c r="X59" i="7"/>
  <c r="Y60" i="7"/>
  <c r="X67" i="7"/>
  <c r="Y68" i="7"/>
  <c r="X75" i="7"/>
  <c r="Y76" i="7"/>
  <c r="X83" i="7"/>
  <c r="Y84" i="7"/>
  <c r="X91" i="7"/>
  <c r="Y92" i="7"/>
  <c r="X99" i="7"/>
  <c r="Y100" i="7"/>
  <c r="X107" i="7"/>
  <c r="Y108" i="7"/>
  <c r="X115" i="7"/>
  <c r="Y116" i="7"/>
  <c r="X123" i="7"/>
  <c r="X124" i="7"/>
  <c r="X131" i="7"/>
  <c r="Y132" i="7"/>
  <c r="Y12" i="7"/>
  <c r="Y13" i="7"/>
  <c r="Y14" i="7"/>
  <c r="Y15" i="7"/>
  <c r="Y16" i="7"/>
  <c r="Y17" i="7"/>
  <c r="Y18" i="7"/>
  <c r="Y21" i="7"/>
  <c r="Y22" i="7"/>
  <c r="Y23" i="7"/>
  <c r="Y24" i="7"/>
  <c r="Y25" i="7"/>
  <c r="Y26" i="7"/>
  <c r="Y29" i="7"/>
  <c r="Y30" i="7"/>
  <c r="Y31" i="7"/>
  <c r="Y32" i="7"/>
  <c r="Y33" i="7"/>
  <c r="Y34" i="7"/>
  <c r="Y37" i="7"/>
  <c r="Y38" i="7"/>
  <c r="Y39" i="7"/>
  <c r="Y40" i="7"/>
  <c r="Y41" i="7"/>
  <c r="Y42" i="7"/>
  <c r="Y45" i="7"/>
  <c r="Y46" i="7"/>
  <c r="Y47" i="7"/>
  <c r="Y48" i="7"/>
  <c r="Y49" i="7"/>
  <c r="Y50" i="7"/>
  <c r="Y53" i="7"/>
  <c r="Y54" i="7"/>
  <c r="Y55" i="7"/>
  <c r="Y56" i="7"/>
  <c r="Y57" i="7"/>
  <c r="Y58" i="7"/>
  <c r="Y61" i="7"/>
  <c r="Y62" i="7"/>
  <c r="Y63" i="7"/>
  <c r="Y64" i="7"/>
  <c r="Y65" i="7"/>
  <c r="Y66" i="7"/>
  <c r="Y69" i="7"/>
  <c r="Y70" i="7"/>
  <c r="Y71" i="7"/>
  <c r="Y72" i="7"/>
  <c r="Y73" i="7"/>
  <c r="Y74" i="7"/>
  <c r="Y77" i="7"/>
  <c r="Y78" i="7"/>
  <c r="Y79" i="7"/>
  <c r="Y80" i="7"/>
  <c r="Y81" i="7"/>
  <c r="Y82" i="7"/>
  <c r="Y85" i="7"/>
  <c r="Y86" i="7"/>
  <c r="Y87" i="7"/>
  <c r="Y88" i="7"/>
  <c r="Y89" i="7"/>
  <c r="Y90" i="7"/>
  <c r="Y93" i="7"/>
  <c r="Y94" i="7"/>
  <c r="Y95" i="7"/>
  <c r="Y96" i="7"/>
  <c r="Y97" i="7"/>
  <c r="Y98" i="7"/>
  <c r="Y101" i="7"/>
  <c r="Y102" i="7"/>
  <c r="Y103" i="7"/>
  <c r="Y104" i="7"/>
  <c r="Y105" i="7"/>
  <c r="Y106" i="7"/>
  <c r="Y109" i="7"/>
  <c r="Y110" i="7"/>
  <c r="Y111" i="7"/>
  <c r="Y112" i="7"/>
  <c r="Y113" i="7"/>
  <c r="Y114" i="7"/>
  <c r="Y117" i="7"/>
  <c r="Y118" i="7"/>
  <c r="Y119" i="7"/>
  <c r="Y120" i="7"/>
  <c r="Y121" i="7"/>
  <c r="Y122" i="7"/>
  <c r="Y125" i="7"/>
  <c r="Y126" i="7"/>
  <c r="Y127" i="7"/>
  <c r="Y128" i="7"/>
  <c r="Y129" i="7"/>
  <c r="Y130" i="7"/>
  <c r="Y133" i="7"/>
  <c r="Y134" i="7"/>
  <c r="Y135" i="7"/>
  <c r="Y136" i="7"/>
  <c r="Y137" i="7"/>
  <c r="Y138" i="7"/>
  <c r="X13" i="7"/>
  <c r="X14" i="7"/>
  <c r="X15" i="7"/>
  <c r="X16" i="7"/>
  <c r="X17" i="7"/>
  <c r="X18" i="7"/>
  <c r="X21" i="7"/>
  <c r="X22" i="7"/>
  <c r="X23" i="7"/>
  <c r="X24" i="7"/>
  <c r="X25" i="7"/>
  <c r="X26" i="7"/>
  <c r="X29" i="7"/>
  <c r="X30" i="7"/>
  <c r="X31" i="7"/>
  <c r="X32" i="7"/>
  <c r="X33" i="7"/>
  <c r="X34" i="7"/>
  <c r="X37" i="7"/>
  <c r="X38" i="7"/>
  <c r="X39" i="7"/>
  <c r="X40" i="7"/>
  <c r="X41" i="7"/>
  <c r="X42" i="7"/>
  <c r="X45" i="7"/>
  <c r="X46" i="7"/>
  <c r="X47" i="7"/>
  <c r="X48" i="7"/>
  <c r="X49" i="7"/>
  <c r="X50" i="7"/>
  <c r="X53" i="7"/>
  <c r="X54" i="7"/>
  <c r="X55" i="7"/>
  <c r="X56" i="7"/>
  <c r="X57" i="7"/>
  <c r="X58" i="7"/>
  <c r="X61" i="7"/>
  <c r="X62" i="7"/>
  <c r="X63" i="7"/>
  <c r="X64" i="7"/>
  <c r="X65" i="7"/>
  <c r="X66" i="7"/>
  <c r="X69" i="7"/>
  <c r="X70" i="7"/>
  <c r="X71" i="7"/>
  <c r="X72" i="7"/>
  <c r="X73" i="7"/>
  <c r="X74" i="7"/>
  <c r="X77" i="7"/>
  <c r="X78" i="7"/>
  <c r="X79" i="7"/>
  <c r="X80" i="7"/>
  <c r="X81" i="7"/>
  <c r="X82" i="7"/>
  <c r="X85" i="7"/>
  <c r="X86" i="7"/>
  <c r="X87" i="7"/>
  <c r="X88" i="7"/>
  <c r="X89" i="7"/>
  <c r="X90" i="7"/>
  <c r="X93" i="7"/>
  <c r="X94" i="7"/>
  <c r="X95" i="7"/>
  <c r="X96" i="7"/>
  <c r="X97" i="7"/>
  <c r="X98" i="7"/>
  <c r="X101" i="7"/>
  <c r="X102" i="7"/>
  <c r="X103" i="7"/>
  <c r="X104" i="7"/>
  <c r="X105" i="7"/>
  <c r="X106" i="7"/>
  <c r="X109" i="7"/>
  <c r="X110" i="7"/>
  <c r="X111" i="7"/>
  <c r="X112" i="7"/>
  <c r="X113" i="7"/>
  <c r="X114" i="7"/>
  <c r="X117" i="7"/>
  <c r="X118" i="7"/>
  <c r="X119" i="7"/>
  <c r="X120" i="7"/>
  <c r="X121" i="7"/>
  <c r="X122" i="7"/>
  <c r="X125" i="7"/>
  <c r="X126" i="7"/>
  <c r="X127" i="7"/>
  <c r="X128" i="7"/>
  <c r="X129" i="7"/>
  <c r="X130" i="7"/>
  <c r="X133" i="7"/>
  <c r="X134" i="7"/>
  <c r="X135" i="7"/>
  <c r="X136" i="7"/>
  <c r="X137" i="7"/>
  <c r="X138" i="7"/>
  <c r="Y124" i="7" l="1"/>
  <c r="Y36" i="7"/>
  <c r="Y131" i="7"/>
  <c r="Y123" i="7"/>
  <c r="Y115" i="7"/>
  <c r="Y107" i="7"/>
  <c r="Y99" i="7"/>
  <c r="Y91" i="7"/>
  <c r="Y83" i="7"/>
  <c r="Y75" i="7"/>
  <c r="Y67" i="7"/>
  <c r="Y59" i="7"/>
  <c r="Y51" i="7"/>
  <c r="Y43" i="7"/>
  <c r="Y35" i="7"/>
  <c r="Y27" i="7"/>
  <c r="Y19" i="7"/>
  <c r="X108" i="7"/>
  <c r="X100" i="7"/>
  <c r="X92" i="7"/>
  <c r="X84" i="7"/>
  <c r="X76" i="7"/>
  <c r="X68" i="7"/>
  <c r="X60" i="7"/>
  <c r="X52" i="7"/>
  <c r="X44" i="7"/>
  <c r="X28" i="7"/>
  <c r="X20" i="7"/>
  <c r="X132" i="7"/>
  <c r="X116" i="7"/>
  <c r="X12" i="7"/>
  <c r="C226" i="2"/>
  <c r="F226" i="2" s="1"/>
  <c r="C122" i="2" l="1"/>
  <c r="F122" i="2" s="1"/>
  <c r="C121" i="2"/>
  <c r="F121" i="2" s="1"/>
  <c r="S13" i="7" l="1"/>
  <c r="S21" i="7"/>
  <c r="S29" i="7"/>
  <c r="S37" i="7"/>
  <c r="S45" i="7"/>
  <c r="S53" i="7"/>
  <c r="S61" i="7"/>
  <c r="S69" i="7"/>
  <c r="S77" i="7"/>
  <c r="S85" i="7"/>
  <c r="S93" i="7"/>
  <c r="S101" i="7"/>
  <c r="S109" i="7"/>
  <c r="S117" i="7"/>
  <c r="S125" i="7"/>
  <c r="S133" i="7"/>
  <c r="S90" i="7"/>
  <c r="S138" i="7"/>
  <c r="S14" i="7"/>
  <c r="S22" i="7"/>
  <c r="S30" i="7"/>
  <c r="S38" i="7"/>
  <c r="S46" i="7"/>
  <c r="S54" i="7"/>
  <c r="S62" i="7"/>
  <c r="S70" i="7"/>
  <c r="S78" i="7"/>
  <c r="S86" i="7"/>
  <c r="S94" i="7"/>
  <c r="S102" i="7"/>
  <c r="S110" i="7"/>
  <c r="S118" i="7"/>
  <c r="S126" i="7"/>
  <c r="S134" i="7"/>
  <c r="S50" i="7"/>
  <c r="S58" i="7"/>
  <c r="S98" i="7"/>
  <c r="S15" i="7"/>
  <c r="S23" i="7"/>
  <c r="S31" i="7"/>
  <c r="S39" i="7"/>
  <c r="S47" i="7"/>
  <c r="S55" i="7"/>
  <c r="S63" i="7"/>
  <c r="S71" i="7"/>
  <c r="S79" i="7"/>
  <c r="S87" i="7"/>
  <c r="S95" i="7"/>
  <c r="S103" i="7"/>
  <c r="S111" i="7"/>
  <c r="S119" i="7"/>
  <c r="S127" i="7"/>
  <c r="S135" i="7"/>
  <c r="S82" i="7"/>
  <c r="S122" i="7"/>
  <c r="S16" i="7"/>
  <c r="S24" i="7"/>
  <c r="S32" i="7"/>
  <c r="S40" i="7"/>
  <c r="S48" i="7"/>
  <c r="S56" i="7"/>
  <c r="S64" i="7"/>
  <c r="S72" i="7"/>
  <c r="S80" i="7"/>
  <c r="S88" i="7"/>
  <c r="S96" i="7"/>
  <c r="S104" i="7"/>
  <c r="S112" i="7"/>
  <c r="S120" i="7"/>
  <c r="S128" i="7"/>
  <c r="S136" i="7"/>
  <c r="S18" i="7"/>
  <c r="S17" i="7"/>
  <c r="S25" i="7"/>
  <c r="S33" i="7"/>
  <c r="S41" i="7"/>
  <c r="S49" i="7"/>
  <c r="S57" i="7"/>
  <c r="S65" i="7"/>
  <c r="S73" i="7"/>
  <c r="S81" i="7"/>
  <c r="S89" i="7"/>
  <c r="S97" i="7"/>
  <c r="S105" i="7"/>
  <c r="S113" i="7"/>
  <c r="S121" i="7"/>
  <c r="S129" i="7"/>
  <c r="S137" i="7"/>
  <c r="S26" i="7"/>
  <c r="S19" i="7"/>
  <c r="S27" i="7"/>
  <c r="S35" i="7"/>
  <c r="S43" i="7"/>
  <c r="S51" i="7"/>
  <c r="S59" i="7"/>
  <c r="S67" i="7"/>
  <c r="S75" i="7"/>
  <c r="S83" i="7"/>
  <c r="S91" i="7"/>
  <c r="S99" i="7"/>
  <c r="S107" i="7"/>
  <c r="S115" i="7"/>
  <c r="S123" i="7"/>
  <c r="S131" i="7"/>
  <c r="S12" i="7"/>
  <c r="S42" i="7"/>
  <c r="S66" i="7"/>
  <c r="S114" i="7"/>
  <c r="S20" i="7"/>
  <c r="S28" i="7"/>
  <c r="S36" i="7"/>
  <c r="S44" i="7"/>
  <c r="S52" i="7"/>
  <c r="S60" i="7"/>
  <c r="S68" i="7"/>
  <c r="S76" i="7"/>
  <c r="S84" i="7"/>
  <c r="S92" i="7"/>
  <c r="S100" i="7"/>
  <c r="S108" i="7"/>
  <c r="S116" i="7"/>
  <c r="S124" i="7"/>
  <c r="S132" i="7"/>
  <c r="S34" i="7"/>
  <c r="S74" i="7"/>
  <c r="S106" i="7"/>
  <c r="S130" i="7"/>
  <c r="F118" i="2"/>
  <c r="C182" i="2" l="1"/>
  <c r="C198" i="2"/>
  <c r="C207" i="2" l="1"/>
  <c r="F207" i="2" s="1"/>
  <c r="F10" i="2"/>
  <c r="F203" i="2"/>
  <c r="F187" i="2"/>
  <c r="F172" i="2"/>
  <c r="F171" i="2"/>
  <c r="F170" i="2" l="1"/>
  <c r="F169" i="2"/>
  <c r="F168" i="2"/>
  <c r="F167" i="2"/>
  <c r="F224" i="2" l="1"/>
  <c r="C223" i="2"/>
  <c r="F223" i="2" s="1"/>
  <c r="C208" i="2"/>
  <c r="F208" i="2" s="1"/>
  <c r="E206" i="2" l="1"/>
  <c r="C206" i="2"/>
  <c r="C205" i="2"/>
  <c r="F205" i="2" s="1"/>
  <c r="AJ4" i="6" s="1"/>
  <c r="E201" i="2"/>
  <c r="E195" i="2"/>
  <c r="E194" i="2"/>
  <c r="E193" i="2"/>
  <c r="E192" i="2"/>
  <c r="E191" i="2"/>
  <c r="E185" i="2"/>
  <c r="E179" i="2"/>
  <c r="E178" i="2"/>
  <c r="E177" i="2"/>
  <c r="E176" i="2"/>
  <c r="E175" i="2"/>
  <c r="C192" i="2"/>
  <c r="F192" i="2" s="1"/>
  <c r="C193" i="2"/>
  <c r="C195" i="2"/>
  <c r="C196" i="2"/>
  <c r="F196" i="2" s="1"/>
  <c r="C197" i="2"/>
  <c r="F197" i="2" s="1"/>
  <c r="F198" i="2"/>
  <c r="C200" i="2"/>
  <c r="F200" i="2" s="1"/>
  <c r="AJ3" i="6" s="1"/>
  <c r="AJ5" i="6" s="1"/>
  <c r="C201" i="2"/>
  <c r="F201" i="2" s="1"/>
  <c r="C202" i="2"/>
  <c r="F202" i="2" s="1"/>
  <c r="C191" i="2"/>
  <c r="C176" i="2"/>
  <c r="C177" i="2"/>
  <c r="C178" i="2"/>
  <c r="F178" i="2" s="1"/>
  <c r="C179" i="2"/>
  <c r="C180" i="2"/>
  <c r="F180" i="2" s="1"/>
  <c r="C181" i="2"/>
  <c r="F181" i="2" s="1"/>
  <c r="F182" i="2"/>
  <c r="C184" i="2"/>
  <c r="F184" i="2" s="1"/>
  <c r="C185" i="2"/>
  <c r="F185" i="2" s="1"/>
  <c r="C186" i="2"/>
  <c r="F186" i="2" s="1"/>
  <c r="C175" i="2"/>
  <c r="C219" i="2" s="1"/>
  <c r="C216" i="2" l="1"/>
  <c r="F216" i="2" s="1"/>
  <c r="F219" i="2"/>
  <c r="G37" i="1" s="1"/>
  <c r="C220" i="2"/>
  <c r="F220" i="2" s="1"/>
  <c r="C215" i="2"/>
  <c r="F215" i="2" s="1"/>
  <c r="C217" i="2" s="1"/>
  <c r="F217" i="2" s="1"/>
  <c r="F177" i="2"/>
  <c r="F193" i="2"/>
  <c r="F179" i="2"/>
  <c r="F175" i="2"/>
  <c r="F195" i="2"/>
  <c r="F206" i="2"/>
  <c r="F176" i="2"/>
  <c r="F191" i="2"/>
  <c r="E159" i="2"/>
  <c r="F160" i="2"/>
  <c r="C159" i="2"/>
  <c r="C158" i="2"/>
  <c r="F158" i="2" s="1"/>
  <c r="F151" i="2"/>
  <c r="C150" i="2"/>
  <c r="F150" i="2" s="1"/>
  <c r="E145" i="2"/>
  <c r="C145" i="2"/>
  <c r="C143" i="2"/>
  <c r="F143" i="2" s="1"/>
  <c r="G99" i="1" s="1"/>
  <c r="C142" i="2"/>
  <c r="F142" i="2" s="1"/>
  <c r="E136" i="2"/>
  <c r="C137" i="2"/>
  <c r="F137" i="2" s="1"/>
  <c r="C136" i="2"/>
  <c r="F136" i="2" s="1"/>
  <c r="E132" i="2"/>
  <c r="E131" i="2"/>
  <c r="C132" i="2"/>
  <c r="C131" i="2"/>
  <c r="C130" i="2"/>
  <c r="F130" i="2" s="1"/>
  <c r="C94" i="2"/>
  <c r="F94" i="2" s="1"/>
  <c r="F123" i="2"/>
  <c r="F116" i="2"/>
  <c r="C115" i="2"/>
  <c r="F115" i="2" s="1"/>
  <c r="F114" i="2"/>
  <c r="E96" i="2"/>
  <c r="C99" i="2"/>
  <c r="F99" i="2" s="1"/>
  <c r="C97" i="2"/>
  <c r="F97" i="2" s="1"/>
  <c r="C96" i="2"/>
  <c r="E91" i="2"/>
  <c r="C92" i="2"/>
  <c r="F92" i="2" s="1"/>
  <c r="C86" i="2"/>
  <c r="F86" i="2" s="1"/>
  <c r="C78" i="2"/>
  <c r="F78" i="2" s="1"/>
  <c r="C77" i="2"/>
  <c r="F77" i="2" s="1"/>
  <c r="F75" i="2"/>
  <c r="C76" i="2"/>
  <c r="F76" i="2" s="1"/>
  <c r="C71" i="2"/>
  <c r="F71" i="2" s="1"/>
  <c r="C70" i="2"/>
  <c r="F70" i="2" s="1"/>
  <c r="C194" i="2"/>
  <c r="F194" i="2" s="1"/>
  <c r="C173" i="2"/>
  <c r="F173" i="2" s="1"/>
  <c r="D12" i="6" s="1"/>
  <c r="C189" i="2"/>
  <c r="F189" i="2" s="1"/>
  <c r="E12" i="6" s="1"/>
  <c r="C61" i="2"/>
  <c r="F61" i="2" s="1"/>
  <c r="C59" i="2"/>
  <c r="F59" i="2" s="1"/>
  <c r="F12" i="6" s="1"/>
  <c r="AW13" i="7" l="1"/>
  <c r="AW21" i="7"/>
  <c r="AW29" i="7"/>
  <c r="AW37" i="7"/>
  <c r="AW45" i="7"/>
  <c r="AW53" i="7"/>
  <c r="AW61" i="7"/>
  <c r="AW69" i="7"/>
  <c r="AW77" i="7"/>
  <c r="AW85" i="7"/>
  <c r="AW93" i="7"/>
  <c r="AW101" i="7"/>
  <c r="AW109" i="7"/>
  <c r="AW117" i="7"/>
  <c r="AW125" i="7"/>
  <c r="AW133" i="7"/>
  <c r="AW14" i="7"/>
  <c r="AW22" i="7"/>
  <c r="AW30" i="7"/>
  <c r="AW38" i="7"/>
  <c r="AW46" i="7"/>
  <c r="AW54" i="7"/>
  <c r="AW62" i="7"/>
  <c r="AW70" i="7"/>
  <c r="AW78" i="7"/>
  <c r="AW86" i="7"/>
  <c r="AW94" i="7"/>
  <c r="AW102" i="7"/>
  <c r="AW110" i="7"/>
  <c r="AW118" i="7"/>
  <c r="AW126" i="7"/>
  <c r="AW134" i="7"/>
  <c r="AW15" i="7"/>
  <c r="AW23" i="7"/>
  <c r="AW31" i="7"/>
  <c r="AW39" i="7"/>
  <c r="AW47" i="7"/>
  <c r="AW55" i="7"/>
  <c r="AW63" i="7"/>
  <c r="AW71" i="7"/>
  <c r="AW79" i="7"/>
  <c r="AW87" i="7"/>
  <c r="AW95" i="7"/>
  <c r="AW103" i="7"/>
  <c r="AW111" i="7"/>
  <c r="AW119" i="7"/>
  <c r="AW127" i="7"/>
  <c r="AW135" i="7"/>
  <c r="AW16" i="7"/>
  <c r="AW24" i="7"/>
  <c r="AW32" i="7"/>
  <c r="AW40" i="7"/>
  <c r="AW48" i="7"/>
  <c r="AW56" i="7"/>
  <c r="AW64" i="7"/>
  <c r="AW72" i="7"/>
  <c r="AW80" i="7"/>
  <c r="AW88" i="7"/>
  <c r="AW96" i="7"/>
  <c r="AW104" i="7"/>
  <c r="AW112" i="7"/>
  <c r="AW120" i="7"/>
  <c r="AW128" i="7"/>
  <c r="AW136" i="7"/>
  <c r="AW17" i="7"/>
  <c r="AW25" i="7"/>
  <c r="AW33" i="7"/>
  <c r="AW41" i="7"/>
  <c r="AW49" i="7"/>
  <c r="AW57" i="7"/>
  <c r="AW65" i="7"/>
  <c r="AW73" i="7"/>
  <c r="AW81" i="7"/>
  <c r="AW89" i="7"/>
  <c r="AW97" i="7"/>
  <c r="AW105" i="7"/>
  <c r="AW113" i="7"/>
  <c r="AW121" i="7"/>
  <c r="AW129" i="7"/>
  <c r="AW137" i="7"/>
  <c r="AW18" i="7"/>
  <c r="AW26" i="7"/>
  <c r="AW34" i="7"/>
  <c r="AW42" i="7"/>
  <c r="AW50" i="7"/>
  <c r="AW58" i="7"/>
  <c r="AW66" i="7"/>
  <c r="AW74" i="7"/>
  <c r="AW82" i="7"/>
  <c r="AW90" i="7"/>
  <c r="AW98" i="7"/>
  <c r="AW106" i="7"/>
  <c r="AW114" i="7"/>
  <c r="AW122" i="7"/>
  <c r="AW130" i="7"/>
  <c r="AW138" i="7"/>
  <c r="AW19" i="7"/>
  <c r="AW27" i="7"/>
  <c r="AW35" i="7"/>
  <c r="AW43" i="7"/>
  <c r="AW51" i="7"/>
  <c r="AW59" i="7"/>
  <c r="AW67" i="7"/>
  <c r="AW75" i="7"/>
  <c r="AW83" i="7"/>
  <c r="AW91" i="7"/>
  <c r="AW99" i="7"/>
  <c r="AW107" i="7"/>
  <c r="AW115" i="7"/>
  <c r="AW123" i="7"/>
  <c r="AW131" i="7"/>
  <c r="AW12" i="7"/>
  <c r="AW20" i="7"/>
  <c r="AW28" i="7"/>
  <c r="AW36" i="7"/>
  <c r="AW44" i="7"/>
  <c r="AW52" i="7"/>
  <c r="AW60" i="7"/>
  <c r="AW68" i="7"/>
  <c r="AW76" i="7"/>
  <c r="AW84" i="7"/>
  <c r="AW92" i="7"/>
  <c r="AW100" i="7"/>
  <c r="AW108" i="7"/>
  <c r="AW116" i="7"/>
  <c r="AW124" i="7"/>
  <c r="AW132" i="7"/>
  <c r="L16" i="7"/>
  <c r="M16" i="7" s="1"/>
  <c r="L19" i="7"/>
  <c r="M19" i="7" s="1"/>
  <c r="L33" i="7"/>
  <c r="M33" i="7" s="1"/>
  <c r="L36" i="7"/>
  <c r="M36" i="7" s="1"/>
  <c r="L38" i="7"/>
  <c r="M38" i="7" s="1"/>
  <c r="L63" i="7"/>
  <c r="M63" i="7" s="1"/>
  <c r="L81" i="7"/>
  <c r="M81" i="7" s="1"/>
  <c r="L84" i="7"/>
  <c r="M84" i="7" s="1"/>
  <c r="L88" i="7"/>
  <c r="M88" i="7" s="1"/>
  <c r="L91" i="7"/>
  <c r="M91" i="7" s="1"/>
  <c r="L97" i="7"/>
  <c r="M97" i="7" s="1"/>
  <c r="L100" i="7"/>
  <c r="M100" i="7" s="1"/>
  <c r="L103" i="7"/>
  <c r="M103" i="7" s="1"/>
  <c r="L109" i="7"/>
  <c r="M109" i="7" s="1"/>
  <c r="L114" i="7"/>
  <c r="M114" i="7" s="1"/>
  <c r="L120" i="7"/>
  <c r="M120" i="7" s="1"/>
  <c r="L123" i="7"/>
  <c r="M123" i="7" s="1"/>
  <c r="L129" i="7"/>
  <c r="M129" i="7" s="1"/>
  <c r="L132" i="7"/>
  <c r="M132" i="7" s="1"/>
  <c r="L135" i="7"/>
  <c r="M135" i="7" s="1"/>
  <c r="L35" i="7"/>
  <c r="M35" i="7" s="1"/>
  <c r="L83" i="7"/>
  <c r="M83" i="7" s="1"/>
  <c r="L99" i="7"/>
  <c r="M99" i="7" s="1"/>
  <c r="L117" i="7"/>
  <c r="M117" i="7" s="1"/>
  <c r="L21" i="7"/>
  <c r="M21" i="7" s="1"/>
  <c r="L46" i="7"/>
  <c r="M46" i="7" s="1"/>
  <c r="L78" i="7"/>
  <c r="M78" i="7" s="1"/>
  <c r="L12" i="7"/>
  <c r="M12" i="7" s="1"/>
  <c r="L13" i="7"/>
  <c r="M13" i="7" s="1"/>
  <c r="L25" i="7"/>
  <c r="M25" i="7" s="1"/>
  <c r="L28" i="7"/>
  <c r="M28" i="7" s="1"/>
  <c r="L30" i="7"/>
  <c r="M30" i="7" s="1"/>
  <c r="L55" i="7"/>
  <c r="M55" i="7" s="1"/>
  <c r="L58" i="7"/>
  <c r="M58" i="7" s="1"/>
  <c r="L71" i="7"/>
  <c r="M71" i="7" s="1"/>
  <c r="L86" i="7"/>
  <c r="M86" i="7" s="1"/>
  <c r="L118" i="7"/>
  <c r="M118" i="7" s="1"/>
  <c r="L54" i="7"/>
  <c r="M54" i="7" s="1"/>
  <c r="L111" i="7"/>
  <c r="M111" i="7" s="1"/>
  <c r="L128" i="7"/>
  <c r="M128" i="7" s="1"/>
  <c r="L27" i="7"/>
  <c r="M27" i="7" s="1"/>
  <c r="L41" i="7"/>
  <c r="M41" i="7" s="1"/>
  <c r="L17" i="7"/>
  <c r="M17" i="7" s="1"/>
  <c r="L20" i="7"/>
  <c r="M20" i="7" s="1"/>
  <c r="L22" i="7"/>
  <c r="M22" i="7" s="1"/>
  <c r="L47" i="7"/>
  <c r="M47" i="7" s="1"/>
  <c r="L50" i="7"/>
  <c r="M50" i="7" s="1"/>
  <c r="L61" i="7"/>
  <c r="M61" i="7" s="1"/>
  <c r="L66" i="7"/>
  <c r="M66" i="7" s="1"/>
  <c r="L79" i="7"/>
  <c r="M79" i="7" s="1"/>
  <c r="L89" i="7"/>
  <c r="M89" i="7" s="1"/>
  <c r="L92" i="7"/>
  <c r="M92" i="7" s="1"/>
  <c r="L95" i="7"/>
  <c r="M95" i="7" s="1"/>
  <c r="L101" i="7"/>
  <c r="M101" i="7" s="1"/>
  <c r="L106" i="7"/>
  <c r="M106" i="7" s="1"/>
  <c r="L112" i="7"/>
  <c r="M112" i="7" s="1"/>
  <c r="L115" i="7"/>
  <c r="M115" i="7" s="1"/>
  <c r="L121" i="7"/>
  <c r="M121" i="7" s="1"/>
  <c r="L124" i="7"/>
  <c r="M124" i="7" s="1"/>
  <c r="L127" i="7"/>
  <c r="M127" i="7" s="1"/>
  <c r="L133" i="7"/>
  <c r="M133" i="7" s="1"/>
  <c r="L138" i="7"/>
  <c r="M138" i="7" s="1"/>
  <c r="L29" i="7"/>
  <c r="M29" i="7" s="1"/>
  <c r="L49" i="7"/>
  <c r="M49" i="7" s="1"/>
  <c r="L65" i="7"/>
  <c r="M65" i="7" s="1"/>
  <c r="L80" i="7"/>
  <c r="M80" i="7" s="1"/>
  <c r="L96" i="7"/>
  <c r="M96" i="7" s="1"/>
  <c r="L131" i="7"/>
  <c r="M131" i="7" s="1"/>
  <c r="L24" i="7"/>
  <c r="M24" i="7" s="1"/>
  <c r="L44" i="7"/>
  <c r="M44" i="7" s="1"/>
  <c r="L73" i="7"/>
  <c r="M73" i="7" s="1"/>
  <c r="L14" i="7"/>
  <c r="M14" i="7" s="1"/>
  <c r="L39" i="7"/>
  <c r="M39" i="7" s="1"/>
  <c r="L42" i="7"/>
  <c r="M42" i="7" s="1"/>
  <c r="L53" i="7"/>
  <c r="M53" i="7" s="1"/>
  <c r="L56" i="7"/>
  <c r="M56" i="7" s="1"/>
  <c r="L59" i="7"/>
  <c r="M59" i="7" s="1"/>
  <c r="L69" i="7"/>
  <c r="M69" i="7" s="1"/>
  <c r="L74" i="7"/>
  <c r="M74" i="7" s="1"/>
  <c r="L110" i="7"/>
  <c r="M110" i="7" s="1"/>
  <c r="L134" i="7"/>
  <c r="M134" i="7" s="1"/>
  <c r="L18" i="7"/>
  <c r="M18" i="7" s="1"/>
  <c r="L90" i="7"/>
  <c r="M90" i="7" s="1"/>
  <c r="L108" i="7"/>
  <c r="M108" i="7" s="1"/>
  <c r="L122" i="7"/>
  <c r="M122" i="7" s="1"/>
  <c r="L31" i="7"/>
  <c r="M31" i="7" s="1"/>
  <c r="L34" i="7"/>
  <c r="M34" i="7" s="1"/>
  <c r="L45" i="7"/>
  <c r="M45" i="7" s="1"/>
  <c r="L48" i="7"/>
  <c r="M48" i="7" s="1"/>
  <c r="L51" i="7"/>
  <c r="M51" i="7" s="1"/>
  <c r="L64" i="7"/>
  <c r="M64" i="7" s="1"/>
  <c r="L67" i="7"/>
  <c r="M67" i="7" s="1"/>
  <c r="L77" i="7"/>
  <c r="M77" i="7" s="1"/>
  <c r="L82" i="7"/>
  <c r="M82" i="7" s="1"/>
  <c r="L87" i="7"/>
  <c r="M87" i="7" s="1"/>
  <c r="L93" i="7"/>
  <c r="M93" i="7" s="1"/>
  <c r="L98" i="7"/>
  <c r="M98" i="7" s="1"/>
  <c r="L104" i="7"/>
  <c r="M104" i="7" s="1"/>
  <c r="L107" i="7"/>
  <c r="M107" i="7" s="1"/>
  <c r="L113" i="7"/>
  <c r="M113" i="7" s="1"/>
  <c r="L116" i="7"/>
  <c r="M116" i="7" s="1"/>
  <c r="L119" i="7"/>
  <c r="M119" i="7" s="1"/>
  <c r="L125" i="7"/>
  <c r="M125" i="7" s="1"/>
  <c r="L130" i="7"/>
  <c r="M130" i="7" s="1"/>
  <c r="L136" i="7"/>
  <c r="M136" i="7" s="1"/>
  <c r="L15" i="7"/>
  <c r="M15" i="7" s="1"/>
  <c r="L70" i="7"/>
  <c r="M70" i="7" s="1"/>
  <c r="L105" i="7"/>
  <c r="M105" i="7" s="1"/>
  <c r="L126" i="7"/>
  <c r="M126" i="7" s="1"/>
  <c r="L23" i="7"/>
  <c r="M23" i="7" s="1"/>
  <c r="L26" i="7"/>
  <c r="M26" i="7" s="1"/>
  <c r="L37" i="7"/>
  <c r="M37" i="7" s="1"/>
  <c r="L40" i="7"/>
  <c r="M40" i="7" s="1"/>
  <c r="L43" i="7"/>
  <c r="M43" i="7" s="1"/>
  <c r="L57" i="7"/>
  <c r="M57" i="7" s="1"/>
  <c r="L60" i="7"/>
  <c r="M60" i="7" s="1"/>
  <c r="L62" i="7"/>
  <c r="M62" i="7" s="1"/>
  <c r="L72" i="7"/>
  <c r="M72" i="7" s="1"/>
  <c r="L75" i="7"/>
  <c r="M75" i="7" s="1"/>
  <c r="L85" i="7"/>
  <c r="M85" i="7" s="1"/>
  <c r="L102" i="7"/>
  <c r="M102" i="7" s="1"/>
  <c r="L32" i="7"/>
  <c r="M32" i="7" s="1"/>
  <c r="L52" i="7"/>
  <c r="M52" i="7" s="1"/>
  <c r="L68" i="7"/>
  <c r="M68" i="7" s="1"/>
  <c r="L137" i="7"/>
  <c r="M137" i="7" s="1"/>
  <c r="L76" i="7"/>
  <c r="M76" i="7" s="1"/>
  <c r="L94" i="7"/>
  <c r="M94" i="7" s="1"/>
  <c r="C190" i="2"/>
  <c r="F190" i="2" s="1"/>
  <c r="C164" i="2"/>
  <c r="F164" i="2" s="1"/>
  <c r="C174" i="2"/>
  <c r="F174" i="2" s="1"/>
  <c r="C60" i="2"/>
  <c r="F60" i="2" s="1"/>
  <c r="F145" i="2"/>
  <c r="C146" i="2" s="1"/>
  <c r="F146" i="2" s="1"/>
  <c r="G101" i="1" s="1"/>
  <c r="C144" i="2"/>
  <c r="F144" i="2" s="1"/>
  <c r="F159" i="2"/>
  <c r="C161" i="2" s="1"/>
  <c r="F161" i="2" s="1"/>
  <c r="G114" i="1" s="1"/>
  <c r="F132" i="2"/>
  <c r="F96" i="2"/>
  <c r="C98" i="2" s="1"/>
  <c r="F98" i="2" s="1"/>
  <c r="G62" i="1" s="1"/>
  <c r="C79" i="2"/>
  <c r="F79" i="2" s="1"/>
  <c r="C80" i="2" s="1"/>
  <c r="F80" i="2" s="1"/>
  <c r="G47" i="1" s="1"/>
  <c r="C138" i="2"/>
  <c r="F138" i="2" s="1"/>
  <c r="G94" i="1" s="1"/>
  <c r="F131" i="2"/>
  <c r="BX7" i="7" l="1"/>
  <c r="AX86" i="7"/>
  <c r="AY86" i="7" s="1"/>
  <c r="AX93" i="7"/>
  <c r="AY93" i="7" s="1"/>
  <c r="AX95" i="7"/>
  <c r="AY95" i="7" s="1"/>
  <c r="AX18" i="7"/>
  <c r="AY18" i="7" s="1"/>
  <c r="AX101" i="7"/>
  <c r="AY101" i="7" s="1"/>
  <c r="AX120" i="7"/>
  <c r="AY120" i="7" s="1"/>
  <c r="AX110" i="7"/>
  <c r="AY110" i="7" s="1"/>
  <c r="AX128" i="7"/>
  <c r="AY128" i="7" s="1"/>
  <c r="AX39" i="7"/>
  <c r="AY39" i="7" s="1"/>
  <c r="AX60" i="7"/>
  <c r="AY60" i="7" s="1"/>
  <c r="AX82" i="7"/>
  <c r="AY82" i="7" s="1"/>
  <c r="AX15" i="7"/>
  <c r="AY15" i="7" s="1"/>
  <c r="AX91" i="7"/>
  <c r="AY91" i="7" s="1"/>
  <c r="AX104" i="7"/>
  <c r="AY104" i="7" s="1"/>
  <c r="AX84" i="7"/>
  <c r="AY84" i="7" s="1"/>
  <c r="AX129" i="7"/>
  <c r="AY129" i="7" s="1"/>
  <c r="AX23" i="7"/>
  <c r="AY23" i="7" s="1"/>
  <c r="AX54" i="7"/>
  <c r="AY54" i="7" s="1"/>
  <c r="AX79" i="7"/>
  <c r="AY79" i="7" s="1"/>
  <c r="AX96" i="7"/>
  <c r="AY96" i="7" s="1"/>
  <c r="AX69" i="7"/>
  <c r="AY69" i="7" s="1"/>
  <c r="AX72" i="7"/>
  <c r="AY72" i="7" s="1"/>
  <c r="AX78" i="7"/>
  <c r="AY78" i="7" s="1"/>
  <c r="AX119" i="7"/>
  <c r="AY119" i="7" s="1"/>
  <c r="AX17" i="7"/>
  <c r="AY17" i="7" s="1"/>
  <c r="AX80" i="7"/>
  <c r="AY80" i="7" s="1"/>
  <c r="AX44" i="7"/>
  <c r="AY44" i="7" s="1"/>
  <c r="AX63" i="7"/>
  <c r="AY63" i="7" s="1"/>
  <c r="AX137" i="7"/>
  <c r="AY137" i="7" s="1"/>
  <c r="AX59" i="7"/>
  <c r="AY59" i="7" s="1"/>
  <c r="AX56" i="7"/>
  <c r="AY56" i="7" s="1"/>
  <c r="AX68" i="7"/>
  <c r="AY68" i="7" s="1"/>
  <c r="AX87" i="7"/>
  <c r="AY87" i="7" s="1"/>
  <c r="AX122" i="7"/>
  <c r="AY122" i="7" s="1"/>
  <c r="AX124" i="7"/>
  <c r="AY124" i="7" s="1"/>
  <c r="AX28" i="7"/>
  <c r="AY28" i="7" s="1"/>
  <c r="AX57" i="7"/>
  <c r="AY57" i="7" s="1"/>
  <c r="AX127" i="7"/>
  <c r="AY127" i="7" s="1"/>
  <c r="AX53" i="7"/>
  <c r="AY53" i="7" s="1"/>
  <c r="AX112" i="7"/>
  <c r="AY112" i="7" s="1"/>
  <c r="AX52" i="7"/>
  <c r="AY52" i="7" s="1"/>
  <c r="AX81" i="7"/>
  <c r="AY81" i="7" s="1"/>
  <c r="AX113" i="7"/>
  <c r="AY113" i="7" s="1"/>
  <c r="AX118" i="7"/>
  <c r="AY118" i="7" s="1"/>
  <c r="AX22" i="7"/>
  <c r="AY22" i="7" s="1"/>
  <c r="AX50" i="7"/>
  <c r="AY50" i="7" s="1"/>
  <c r="AX133" i="7"/>
  <c r="AY133" i="7" s="1"/>
  <c r="AX37" i="7"/>
  <c r="AY37" i="7" s="1"/>
  <c r="AX16" i="7"/>
  <c r="AY16" i="7" s="1"/>
  <c r="AX46" i="7"/>
  <c r="AY46" i="7" s="1"/>
  <c r="AX65" i="7"/>
  <c r="AY65" i="7" s="1"/>
  <c r="AX131" i="7"/>
  <c r="AY131" i="7" s="1"/>
  <c r="AX108" i="7"/>
  <c r="AY108" i="7" s="1"/>
  <c r="AX111" i="7"/>
  <c r="AY111" i="7" s="1"/>
  <c r="AX41" i="7"/>
  <c r="AY41" i="7" s="1"/>
  <c r="AX123" i="7"/>
  <c r="AY123" i="7" s="1"/>
  <c r="AX27" i="7"/>
  <c r="AY27" i="7" s="1"/>
  <c r="AX132" i="7"/>
  <c r="AY132" i="7" s="1"/>
  <c r="AX20" i="7"/>
  <c r="AY20" i="7" s="1"/>
  <c r="AX58" i="7"/>
  <c r="AY58" i="7" s="1"/>
  <c r="AX125" i="7"/>
  <c r="AY125" i="7" s="1"/>
  <c r="AX92" i="7"/>
  <c r="AY92" i="7" s="1"/>
  <c r="AX105" i="7"/>
  <c r="AY105" i="7" s="1"/>
  <c r="AX34" i="7"/>
  <c r="AY34" i="7" s="1"/>
  <c r="AX117" i="7"/>
  <c r="AY117" i="7" s="1"/>
  <c r="AX136" i="7"/>
  <c r="AY136" i="7" s="1"/>
  <c r="AX116" i="7"/>
  <c r="AY116" i="7" s="1"/>
  <c r="AX14" i="7"/>
  <c r="AY14" i="7" s="1"/>
  <c r="AX42" i="7"/>
  <c r="AY42" i="7" s="1"/>
  <c r="AX99" i="7"/>
  <c r="AY99" i="7" s="1"/>
  <c r="AX74" i="7"/>
  <c r="AY74" i="7" s="1"/>
  <c r="AX33" i="7"/>
  <c r="AY33" i="7" s="1"/>
  <c r="AX103" i="7"/>
  <c r="AY103" i="7" s="1"/>
  <c r="AX83" i="7"/>
  <c r="AY83" i="7" s="1"/>
  <c r="AX102" i="7"/>
  <c r="AY102" i="7" s="1"/>
  <c r="AX38" i="7"/>
  <c r="AY38" i="7" s="1"/>
  <c r="AX89" i="7"/>
  <c r="AY89" i="7" s="1"/>
  <c r="AX47" i="7"/>
  <c r="AY47" i="7" s="1"/>
  <c r="AX48" i="7"/>
  <c r="AY48" i="7" s="1"/>
  <c r="AX107" i="7"/>
  <c r="AY107" i="7" s="1"/>
  <c r="AX43" i="7"/>
  <c r="AY43" i="7" s="1"/>
  <c r="AX88" i="7"/>
  <c r="AY88" i="7" s="1"/>
  <c r="AX126" i="7"/>
  <c r="AY126" i="7" s="1"/>
  <c r="AX62" i="7"/>
  <c r="AY62" i="7" s="1"/>
  <c r="AX138" i="7"/>
  <c r="AY138" i="7" s="1"/>
  <c r="AX71" i="7"/>
  <c r="AY71" i="7" s="1"/>
  <c r="AX26" i="7"/>
  <c r="AY26" i="7" s="1"/>
  <c r="AX90" i="7"/>
  <c r="AY90" i="7" s="1"/>
  <c r="AX77" i="7"/>
  <c r="AY77" i="7" s="1"/>
  <c r="AX13" i="7"/>
  <c r="AY13" i="7" s="1"/>
  <c r="AX67" i="7"/>
  <c r="AY67" i="7" s="1"/>
  <c r="AX61" i="7"/>
  <c r="AY61" i="7" s="1"/>
  <c r="AX12" i="7"/>
  <c r="AY12" i="7" s="1"/>
  <c r="AX76" i="7"/>
  <c r="AY76" i="7" s="1"/>
  <c r="AX130" i="7"/>
  <c r="AY130" i="7" s="1"/>
  <c r="AX73" i="7"/>
  <c r="AY73" i="7" s="1"/>
  <c r="AX31" i="7"/>
  <c r="AY31" i="7" s="1"/>
  <c r="AX114" i="7"/>
  <c r="AY114" i="7" s="1"/>
  <c r="AX85" i="7"/>
  <c r="AY85" i="7" s="1"/>
  <c r="AX21" i="7"/>
  <c r="AY21" i="7" s="1"/>
  <c r="AX40" i="7"/>
  <c r="AY40" i="7" s="1"/>
  <c r="AX100" i="7"/>
  <c r="AY100" i="7" s="1"/>
  <c r="AX36" i="7"/>
  <c r="AY36" i="7" s="1"/>
  <c r="AX106" i="7"/>
  <c r="AY106" i="7" s="1"/>
  <c r="AX55" i="7"/>
  <c r="AY55" i="7" s="1"/>
  <c r="AX64" i="7"/>
  <c r="AY64" i="7" s="1"/>
  <c r="AX115" i="7"/>
  <c r="AY115" i="7" s="1"/>
  <c r="AX51" i="7"/>
  <c r="AY51" i="7" s="1"/>
  <c r="AX134" i="7"/>
  <c r="AY134" i="7" s="1"/>
  <c r="AX70" i="7"/>
  <c r="AY70" i="7" s="1"/>
  <c r="AX121" i="7"/>
  <c r="AY121" i="7" s="1"/>
  <c r="AX66" i="7"/>
  <c r="AY66" i="7" s="1"/>
  <c r="AX25" i="7"/>
  <c r="AY25" i="7" s="1"/>
  <c r="AX98" i="7"/>
  <c r="AY98" i="7" s="1"/>
  <c r="AX75" i="7"/>
  <c r="AY75" i="7" s="1"/>
  <c r="AX32" i="7"/>
  <c r="AY32" i="7" s="1"/>
  <c r="AX24" i="7"/>
  <c r="AY24" i="7" s="1"/>
  <c r="AX94" i="7"/>
  <c r="AY94" i="7" s="1"/>
  <c r="AX30" i="7"/>
  <c r="AY30" i="7" s="1"/>
  <c r="AX97" i="7"/>
  <c r="AY97" i="7" s="1"/>
  <c r="AX49" i="7"/>
  <c r="AY49" i="7" s="1"/>
  <c r="AX135" i="7"/>
  <c r="AY135" i="7" s="1"/>
  <c r="AX109" i="7"/>
  <c r="AY109" i="7" s="1"/>
  <c r="AX45" i="7"/>
  <c r="AY45" i="7" s="1"/>
  <c r="AX35" i="7"/>
  <c r="AY35" i="7" s="1"/>
  <c r="AX29" i="7"/>
  <c r="AY29" i="7" s="1"/>
  <c r="AX19" i="7"/>
  <c r="AY19" i="7" s="1"/>
  <c r="Q16" i="7"/>
  <c r="Q24" i="7"/>
  <c r="Q32" i="7"/>
  <c r="Q40" i="7"/>
  <c r="Q48" i="7"/>
  <c r="Q56" i="7"/>
  <c r="Q64" i="7"/>
  <c r="Q72" i="7"/>
  <c r="Q80" i="7"/>
  <c r="Q88" i="7"/>
  <c r="Q96" i="7"/>
  <c r="Q104" i="7"/>
  <c r="Q112" i="7"/>
  <c r="Q120" i="7"/>
  <c r="Q128" i="7"/>
  <c r="Q136" i="7"/>
  <c r="Q17" i="7"/>
  <c r="Q33" i="7"/>
  <c r="Q25" i="7"/>
  <c r="Q19" i="7"/>
  <c r="Q27" i="7"/>
  <c r="Q35" i="7"/>
  <c r="Q43" i="7"/>
  <c r="Q51" i="7"/>
  <c r="Q59" i="7"/>
  <c r="Q67" i="7"/>
  <c r="Q75" i="7"/>
  <c r="Q83" i="7"/>
  <c r="Q91" i="7"/>
  <c r="Q99" i="7"/>
  <c r="Q107" i="7"/>
  <c r="Q115" i="7"/>
  <c r="Q123" i="7"/>
  <c r="Q131" i="7"/>
  <c r="Q12" i="7"/>
  <c r="Q15" i="7"/>
  <c r="Q29" i="7"/>
  <c r="Q41" i="7"/>
  <c r="Q52" i="7"/>
  <c r="Q62" i="7"/>
  <c r="Q73" i="7"/>
  <c r="Q84" i="7"/>
  <c r="Q94" i="7"/>
  <c r="Q105" i="7"/>
  <c r="Q116" i="7"/>
  <c r="Q126" i="7"/>
  <c r="Q137" i="7"/>
  <c r="Q118" i="7"/>
  <c r="Q111" i="7"/>
  <c r="Q49" i="7"/>
  <c r="Q124" i="7"/>
  <c r="Q61" i="7"/>
  <c r="Q125" i="7"/>
  <c r="Q18" i="7"/>
  <c r="Q30" i="7"/>
  <c r="Q42" i="7"/>
  <c r="Q53" i="7"/>
  <c r="Q63" i="7"/>
  <c r="Q74" i="7"/>
  <c r="Q85" i="7"/>
  <c r="Q95" i="7"/>
  <c r="Q106" i="7"/>
  <c r="Q117" i="7"/>
  <c r="Q127" i="7"/>
  <c r="Q138" i="7"/>
  <c r="Q122" i="7"/>
  <c r="Q26" i="7"/>
  <c r="Q70" i="7"/>
  <c r="Q113" i="7"/>
  <c r="Q14" i="7"/>
  <c r="Q50" i="7"/>
  <c r="Q93" i="7"/>
  <c r="Q135" i="7"/>
  <c r="Q20" i="7"/>
  <c r="Q31" i="7"/>
  <c r="Q44" i="7"/>
  <c r="Q54" i="7"/>
  <c r="Q65" i="7"/>
  <c r="Q76" i="7"/>
  <c r="Q86" i="7"/>
  <c r="Q97" i="7"/>
  <c r="Q108" i="7"/>
  <c r="Q129" i="7"/>
  <c r="Q101" i="7"/>
  <c r="Q81" i="7"/>
  <c r="Q28" i="7"/>
  <c r="Q82" i="7"/>
  <c r="Q21" i="7"/>
  <c r="Q34" i="7"/>
  <c r="Q45" i="7"/>
  <c r="Q55" i="7"/>
  <c r="Q66" i="7"/>
  <c r="Q77" i="7"/>
  <c r="Q87" i="7"/>
  <c r="Q98" i="7"/>
  <c r="Q109" i="7"/>
  <c r="Q119" i="7"/>
  <c r="Q130" i="7"/>
  <c r="Q90" i="7"/>
  <c r="Q92" i="7"/>
  <c r="Q39" i="7"/>
  <c r="Q103" i="7"/>
  <c r="Q22" i="7"/>
  <c r="Q36" i="7"/>
  <c r="Q46" i="7"/>
  <c r="Q57" i="7"/>
  <c r="Q68" i="7"/>
  <c r="Q78" i="7"/>
  <c r="Q89" i="7"/>
  <c r="Q100" i="7"/>
  <c r="Q110" i="7"/>
  <c r="Q121" i="7"/>
  <c r="Q132" i="7"/>
  <c r="Q60" i="7"/>
  <c r="Q134" i="7"/>
  <c r="Q71" i="7"/>
  <c r="Q114" i="7"/>
  <c r="Q23" i="7"/>
  <c r="Q37" i="7"/>
  <c r="Q47" i="7"/>
  <c r="Q58" i="7"/>
  <c r="Q69" i="7"/>
  <c r="Q79" i="7"/>
  <c r="Q133" i="7"/>
  <c r="Q13" i="7"/>
  <c r="Q38" i="7"/>
  <c r="Q102" i="7"/>
  <c r="P13" i="7"/>
  <c r="P21" i="7"/>
  <c r="P29" i="7"/>
  <c r="P37" i="7"/>
  <c r="P45" i="7"/>
  <c r="P53" i="7"/>
  <c r="P61" i="7"/>
  <c r="P69" i="7"/>
  <c r="P77" i="7"/>
  <c r="P85" i="7"/>
  <c r="P93" i="7"/>
  <c r="P101" i="7"/>
  <c r="P109" i="7"/>
  <c r="P117" i="7"/>
  <c r="P125" i="7"/>
  <c r="P133" i="7"/>
  <c r="P36" i="7"/>
  <c r="P76" i="7"/>
  <c r="P132" i="7"/>
  <c r="P14" i="7"/>
  <c r="P22" i="7"/>
  <c r="P30" i="7"/>
  <c r="P38" i="7"/>
  <c r="P46" i="7"/>
  <c r="P54" i="7"/>
  <c r="P62" i="7"/>
  <c r="P70" i="7"/>
  <c r="P78" i="7"/>
  <c r="P86" i="7"/>
  <c r="P94" i="7"/>
  <c r="P102" i="7"/>
  <c r="P110" i="7"/>
  <c r="P118" i="7"/>
  <c r="P126" i="7"/>
  <c r="P134" i="7"/>
  <c r="P28" i="7"/>
  <c r="P84" i="7"/>
  <c r="P15" i="7"/>
  <c r="P23" i="7"/>
  <c r="P31" i="7"/>
  <c r="P39" i="7"/>
  <c r="P47" i="7"/>
  <c r="P55" i="7"/>
  <c r="P63" i="7"/>
  <c r="P71" i="7"/>
  <c r="P79" i="7"/>
  <c r="P87" i="7"/>
  <c r="P95" i="7"/>
  <c r="P103" i="7"/>
  <c r="P111" i="7"/>
  <c r="P119" i="7"/>
  <c r="P127" i="7"/>
  <c r="P135" i="7"/>
  <c r="P20" i="7"/>
  <c r="P100" i="7"/>
  <c r="P16" i="7"/>
  <c r="P24" i="7"/>
  <c r="P32" i="7"/>
  <c r="P40" i="7"/>
  <c r="P48" i="7"/>
  <c r="P56" i="7"/>
  <c r="P64" i="7"/>
  <c r="P72" i="7"/>
  <c r="P80" i="7"/>
  <c r="P88" i="7"/>
  <c r="P96" i="7"/>
  <c r="P104" i="7"/>
  <c r="P112" i="7"/>
  <c r="P120" i="7"/>
  <c r="P128" i="7"/>
  <c r="P136" i="7"/>
  <c r="P137" i="7"/>
  <c r="P68" i="7"/>
  <c r="P124" i="7"/>
  <c r="P17" i="7"/>
  <c r="P25" i="7"/>
  <c r="P33" i="7"/>
  <c r="P41" i="7"/>
  <c r="P49" i="7"/>
  <c r="P57" i="7"/>
  <c r="P65" i="7"/>
  <c r="P73" i="7"/>
  <c r="R73" i="7" s="1"/>
  <c r="T73" i="7" s="1"/>
  <c r="P81" i="7"/>
  <c r="P89" i="7"/>
  <c r="P97" i="7"/>
  <c r="P105" i="7"/>
  <c r="P113" i="7"/>
  <c r="P121" i="7"/>
  <c r="P129" i="7"/>
  <c r="P60" i="7"/>
  <c r="P116" i="7"/>
  <c r="P18" i="7"/>
  <c r="P26" i="7"/>
  <c r="P34" i="7"/>
  <c r="P42" i="7"/>
  <c r="P50" i="7"/>
  <c r="P58" i="7"/>
  <c r="P66" i="7"/>
  <c r="P74" i="7"/>
  <c r="P82" i="7"/>
  <c r="P90" i="7"/>
  <c r="P98" i="7"/>
  <c r="P106" i="7"/>
  <c r="P114" i="7"/>
  <c r="P122" i="7"/>
  <c r="P130" i="7"/>
  <c r="P138" i="7"/>
  <c r="P44" i="7"/>
  <c r="P92" i="7"/>
  <c r="P19" i="7"/>
  <c r="P27" i="7"/>
  <c r="P35" i="7"/>
  <c r="P43" i="7"/>
  <c r="P51" i="7"/>
  <c r="P59" i="7"/>
  <c r="P67" i="7"/>
  <c r="P75" i="7"/>
  <c r="P83" i="7"/>
  <c r="P91" i="7"/>
  <c r="P99" i="7"/>
  <c r="P107" i="7"/>
  <c r="P115" i="7"/>
  <c r="P123" i="7"/>
  <c r="P131" i="7"/>
  <c r="P12" i="7"/>
  <c r="P52" i="7"/>
  <c r="P108" i="7"/>
  <c r="C133" i="2"/>
  <c r="F133" i="2" s="1"/>
  <c r="L12" i="6"/>
  <c r="C162" i="2"/>
  <c r="F162" i="2" s="1"/>
  <c r="G115" i="1" s="1"/>
  <c r="G46" i="1"/>
  <c r="C134" i="2"/>
  <c r="F134" i="2" s="1"/>
  <c r="G90" i="1" s="1"/>
  <c r="R106" i="7" l="1"/>
  <c r="T106" i="7" s="1"/>
  <c r="R111" i="7"/>
  <c r="T111" i="7" s="1"/>
  <c r="V111" i="7" s="1"/>
  <c r="R25" i="7"/>
  <c r="T25" i="7" s="1"/>
  <c r="R87" i="7"/>
  <c r="T87" i="7" s="1"/>
  <c r="R100" i="7"/>
  <c r="T100" i="7" s="1"/>
  <c r="W100" i="7" s="1"/>
  <c r="R23" i="7"/>
  <c r="T23" i="7" s="1"/>
  <c r="R96" i="7"/>
  <c r="T96" i="7" s="1"/>
  <c r="V96" i="7" s="1"/>
  <c r="R13" i="7"/>
  <c r="T13" i="7" s="1"/>
  <c r="W13" i="7" s="1"/>
  <c r="R91" i="7"/>
  <c r="T91" i="7" s="1"/>
  <c r="V91" i="7" s="1"/>
  <c r="R27" i="7"/>
  <c r="T27" i="7" s="1"/>
  <c r="V27" i="7" s="1"/>
  <c r="R113" i="7"/>
  <c r="T113" i="7" s="1"/>
  <c r="W113" i="7" s="1"/>
  <c r="R92" i="7"/>
  <c r="T92" i="7" s="1"/>
  <c r="W92" i="7" s="1"/>
  <c r="R89" i="7"/>
  <c r="T89" i="7" s="1"/>
  <c r="W89" i="7" s="1"/>
  <c r="R112" i="7"/>
  <c r="T112" i="7" s="1"/>
  <c r="V112" i="7" s="1"/>
  <c r="R48" i="7"/>
  <c r="T48" i="7" s="1"/>
  <c r="W48" i="7" s="1"/>
  <c r="R75" i="7"/>
  <c r="T75" i="7" s="1"/>
  <c r="W75" i="7" s="1"/>
  <c r="R32" i="7"/>
  <c r="T32" i="7" s="1"/>
  <c r="W32" i="7" s="1"/>
  <c r="R66" i="7"/>
  <c r="T66" i="7" s="1"/>
  <c r="W66" i="7" s="1"/>
  <c r="G89" i="1"/>
  <c r="AP8" i="7"/>
  <c r="BS8" i="7"/>
  <c r="R44" i="7"/>
  <c r="T44" i="7" s="1"/>
  <c r="W44" i="7" s="1"/>
  <c r="R38" i="7"/>
  <c r="T38" i="7" s="1"/>
  <c r="V38" i="7" s="1"/>
  <c r="R110" i="7"/>
  <c r="T110" i="7" s="1"/>
  <c r="W110" i="7" s="1"/>
  <c r="R64" i="7"/>
  <c r="T64" i="7" s="1"/>
  <c r="W64" i="7" s="1"/>
  <c r="R107" i="7"/>
  <c r="T107" i="7" s="1"/>
  <c r="V107" i="7" s="1"/>
  <c r="R43" i="7"/>
  <c r="T43" i="7" s="1"/>
  <c r="V43" i="7" s="1"/>
  <c r="R82" i="7"/>
  <c r="T82" i="7" s="1"/>
  <c r="W82" i="7" s="1"/>
  <c r="R59" i="7"/>
  <c r="T59" i="7" s="1"/>
  <c r="V59" i="7" s="1"/>
  <c r="R138" i="7"/>
  <c r="T138" i="7" s="1"/>
  <c r="W138" i="7" s="1"/>
  <c r="BX13" i="7"/>
  <c r="BX21" i="7"/>
  <c r="BX29" i="7"/>
  <c r="BX37" i="7"/>
  <c r="BX78" i="7"/>
  <c r="BX86" i="7"/>
  <c r="BX94" i="7"/>
  <c r="BX102" i="7"/>
  <c r="BX110" i="7"/>
  <c r="BX118" i="7"/>
  <c r="BX126" i="7"/>
  <c r="BX134" i="7"/>
  <c r="BX47" i="7"/>
  <c r="BX63" i="7"/>
  <c r="BX80" i="7"/>
  <c r="BX96" i="7"/>
  <c r="BX104" i="7"/>
  <c r="BX120" i="7"/>
  <c r="BX136" i="7"/>
  <c r="BX14" i="7"/>
  <c r="BX22" i="7"/>
  <c r="BX30" i="7"/>
  <c r="BX38" i="7"/>
  <c r="BX46" i="7"/>
  <c r="BX54" i="7"/>
  <c r="BX71" i="7"/>
  <c r="BX79" i="7"/>
  <c r="BX87" i="7"/>
  <c r="BX95" i="7"/>
  <c r="BX103" i="7"/>
  <c r="BX111" i="7"/>
  <c r="BX119" i="7"/>
  <c r="BX127" i="7"/>
  <c r="BX135" i="7"/>
  <c r="BX23" i="7"/>
  <c r="BX39" i="7"/>
  <c r="BX55" i="7"/>
  <c r="BX88" i="7"/>
  <c r="BX112" i="7"/>
  <c r="BX128" i="7"/>
  <c r="BX15" i="7"/>
  <c r="BX16" i="7"/>
  <c r="BX24" i="7"/>
  <c r="BX32" i="7"/>
  <c r="BX40" i="7"/>
  <c r="BX64" i="7"/>
  <c r="BX73" i="7"/>
  <c r="BX81" i="7"/>
  <c r="BX89" i="7"/>
  <c r="BX97" i="7"/>
  <c r="BX105" i="7"/>
  <c r="BX113" i="7"/>
  <c r="BX121" i="7"/>
  <c r="BX129" i="7"/>
  <c r="BX137" i="7"/>
  <c r="BX34" i="7"/>
  <c r="BX42" i="7"/>
  <c r="BX58" i="7"/>
  <c r="BX75" i="7"/>
  <c r="BX91" i="7"/>
  <c r="BX107" i="7"/>
  <c r="BX131" i="7"/>
  <c r="BX17" i="7"/>
  <c r="BX25" i="7"/>
  <c r="BX33" i="7"/>
  <c r="BX41" i="7"/>
  <c r="BX57" i="7"/>
  <c r="BX65" i="7"/>
  <c r="BX74" i="7"/>
  <c r="BX82" i="7"/>
  <c r="BX90" i="7"/>
  <c r="BX98" i="7"/>
  <c r="BX106" i="7"/>
  <c r="BX114" i="7"/>
  <c r="BX122" i="7"/>
  <c r="BX130" i="7"/>
  <c r="BX138" i="7"/>
  <c r="BX26" i="7"/>
  <c r="BX83" i="7"/>
  <c r="BX99" i="7"/>
  <c r="BX115" i="7"/>
  <c r="BX123" i="7"/>
  <c r="BX12" i="7"/>
  <c r="BX18" i="7"/>
  <c r="BX19" i="7"/>
  <c r="BX27" i="7"/>
  <c r="BX35" i="7"/>
  <c r="BX43" i="7"/>
  <c r="BX51" i="7"/>
  <c r="BX59" i="7"/>
  <c r="BX76" i="7"/>
  <c r="BX84" i="7"/>
  <c r="BX92" i="7"/>
  <c r="BX100" i="7"/>
  <c r="BX108" i="7"/>
  <c r="BX116" i="7"/>
  <c r="BX124" i="7"/>
  <c r="BX132" i="7"/>
  <c r="BX20" i="7"/>
  <c r="BX28" i="7"/>
  <c r="BX36" i="7"/>
  <c r="BX44" i="7"/>
  <c r="BX60" i="7"/>
  <c r="BX77" i="7"/>
  <c r="BX93" i="7"/>
  <c r="BX101" i="7"/>
  <c r="BX109" i="7"/>
  <c r="BX117" i="7"/>
  <c r="BX125" i="7"/>
  <c r="BX133" i="7"/>
  <c r="R97" i="7"/>
  <c r="T97" i="7" s="1"/>
  <c r="V97" i="7" s="1"/>
  <c r="R120" i="7"/>
  <c r="T120" i="7" s="1"/>
  <c r="W120" i="7" s="1"/>
  <c r="R17" i="7"/>
  <c r="T17" i="7" s="1"/>
  <c r="W17" i="7" s="1"/>
  <c r="R128" i="7"/>
  <c r="T128" i="7" s="1"/>
  <c r="W128" i="7" s="1"/>
  <c r="R76" i="7"/>
  <c r="T76" i="7" s="1"/>
  <c r="W76" i="7" s="1"/>
  <c r="R65" i="7"/>
  <c r="T65" i="7" s="1"/>
  <c r="W65" i="7" s="1"/>
  <c r="R88" i="7"/>
  <c r="T88" i="7" s="1"/>
  <c r="W88" i="7" s="1"/>
  <c r="R24" i="7"/>
  <c r="T24" i="7" s="1"/>
  <c r="V24" i="7" s="1"/>
  <c r="R103" i="7"/>
  <c r="T103" i="7" s="1"/>
  <c r="V103" i="7" s="1"/>
  <c r="R80" i="7"/>
  <c r="T80" i="7" s="1"/>
  <c r="W80" i="7" s="1"/>
  <c r="R16" i="7"/>
  <c r="T16" i="7" s="1"/>
  <c r="W16" i="7" s="1"/>
  <c r="R56" i="7"/>
  <c r="T56" i="7" s="1"/>
  <c r="W56" i="7" s="1"/>
  <c r="R125" i="7"/>
  <c r="T125" i="7" s="1"/>
  <c r="V125" i="7" s="1"/>
  <c r="R26" i="7"/>
  <c r="T26" i="7" s="1"/>
  <c r="W26" i="7" s="1"/>
  <c r="R124" i="7"/>
  <c r="T124" i="7" s="1"/>
  <c r="V124" i="7" s="1"/>
  <c r="R116" i="7"/>
  <c r="T116" i="7" s="1"/>
  <c r="W116" i="7" s="1"/>
  <c r="R81" i="7"/>
  <c r="T81" i="7" s="1"/>
  <c r="W81" i="7" s="1"/>
  <c r="R104" i="7"/>
  <c r="T104" i="7" s="1"/>
  <c r="V104" i="7" s="1"/>
  <c r="R40" i="7"/>
  <c r="T40" i="7" s="1"/>
  <c r="W40" i="7" s="1"/>
  <c r="R29" i="7"/>
  <c r="T29" i="7" s="1"/>
  <c r="W29" i="7" s="1"/>
  <c r="R60" i="7"/>
  <c r="T60" i="7" s="1"/>
  <c r="V60" i="7" s="1"/>
  <c r="R130" i="7"/>
  <c r="T130" i="7" s="1"/>
  <c r="W130" i="7" s="1"/>
  <c r="R45" i="7"/>
  <c r="T45" i="7" s="1"/>
  <c r="V45" i="7" s="1"/>
  <c r="R63" i="7"/>
  <c r="T63" i="7" s="1"/>
  <c r="W63" i="7" s="1"/>
  <c r="R84" i="7"/>
  <c r="T84" i="7" s="1"/>
  <c r="V84" i="7" s="1"/>
  <c r="R131" i="7"/>
  <c r="T131" i="7" s="1"/>
  <c r="W131" i="7" s="1"/>
  <c r="R67" i="7"/>
  <c r="T67" i="7" s="1"/>
  <c r="V67" i="7" s="1"/>
  <c r="R39" i="7"/>
  <c r="T39" i="7" s="1"/>
  <c r="V39" i="7" s="1"/>
  <c r="R54" i="7"/>
  <c r="T54" i="7" s="1"/>
  <c r="W54" i="7" s="1"/>
  <c r="R77" i="7"/>
  <c r="T77" i="7" s="1"/>
  <c r="W77" i="7" s="1"/>
  <c r="R47" i="7"/>
  <c r="T47" i="7" s="1"/>
  <c r="V47" i="7" s="1"/>
  <c r="R109" i="7"/>
  <c r="T109" i="7" s="1"/>
  <c r="V109" i="7" s="1"/>
  <c r="R21" i="7"/>
  <c r="T21" i="7" s="1"/>
  <c r="W21" i="7" s="1"/>
  <c r="R86" i="7"/>
  <c r="T86" i="7" s="1"/>
  <c r="W86" i="7" s="1"/>
  <c r="R93" i="7"/>
  <c r="T93" i="7" s="1"/>
  <c r="W93" i="7" s="1"/>
  <c r="R127" i="7"/>
  <c r="T127" i="7" s="1"/>
  <c r="W127" i="7" s="1"/>
  <c r="R42" i="7"/>
  <c r="T42" i="7" s="1"/>
  <c r="W42" i="7" s="1"/>
  <c r="R62" i="7"/>
  <c r="T62" i="7" s="1"/>
  <c r="V62" i="7" s="1"/>
  <c r="R115" i="7"/>
  <c r="T115" i="7" s="1"/>
  <c r="V115" i="7" s="1"/>
  <c r="R51" i="7"/>
  <c r="T51" i="7" s="1"/>
  <c r="W51" i="7" s="1"/>
  <c r="R136" i="7"/>
  <c r="T136" i="7" s="1"/>
  <c r="V136" i="7" s="1"/>
  <c r="R72" i="7"/>
  <c r="T72" i="7" s="1"/>
  <c r="V72" i="7" s="1"/>
  <c r="R134" i="7"/>
  <c r="T134" i="7" s="1"/>
  <c r="V134" i="7" s="1"/>
  <c r="R129" i="7"/>
  <c r="T129" i="7" s="1"/>
  <c r="V129" i="7" s="1"/>
  <c r="R74" i="7"/>
  <c r="T74" i="7" s="1"/>
  <c r="W74" i="7" s="1"/>
  <c r="R68" i="7"/>
  <c r="T68" i="7" s="1"/>
  <c r="V68" i="7" s="1"/>
  <c r="R90" i="7"/>
  <c r="T90" i="7" s="1"/>
  <c r="W90" i="7" s="1"/>
  <c r="V13" i="7"/>
  <c r="W96" i="7"/>
  <c r="W106" i="7"/>
  <c r="V106" i="7"/>
  <c r="W87" i="7"/>
  <c r="V87" i="7"/>
  <c r="W23" i="7"/>
  <c r="V23" i="7"/>
  <c r="V73" i="7"/>
  <c r="W73" i="7"/>
  <c r="R122" i="7"/>
  <c r="T122" i="7" s="1"/>
  <c r="V25" i="7"/>
  <c r="W25" i="7"/>
  <c r="R33" i="7"/>
  <c r="T33" i="7" s="1"/>
  <c r="R49" i="7"/>
  <c r="T49" i="7" s="1"/>
  <c r="R61" i="7"/>
  <c r="T61" i="7" s="1"/>
  <c r="R108" i="7"/>
  <c r="T108" i="7" s="1"/>
  <c r="R28" i="7"/>
  <c r="T28" i="7" s="1"/>
  <c r="R14" i="7"/>
  <c r="T14" i="7" s="1"/>
  <c r="R18" i="7"/>
  <c r="T18" i="7" s="1"/>
  <c r="R126" i="7"/>
  <c r="T126" i="7" s="1"/>
  <c r="R102" i="7"/>
  <c r="T102" i="7" s="1"/>
  <c r="R37" i="7"/>
  <c r="T37" i="7" s="1"/>
  <c r="R22" i="7"/>
  <c r="T22" i="7" s="1"/>
  <c r="R118" i="7"/>
  <c r="T118" i="7" s="1"/>
  <c r="R71" i="7"/>
  <c r="T71" i="7" s="1"/>
  <c r="R78" i="7"/>
  <c r="T78" i="7" s="1"/>
  <c r="R101" i="7"/>
  <c r="T101" i="7" s="1"/>
  <c r="R70" i="7"/>
  <c r="T70" i="7" s="1"/>
  <c r="R85" i="7"/>
  <c r="T85" i="7" s="1"/>
  <c r="R36" i="7"/>
  <c r="T36" i="7" s="1"/>
  <c r="R55" i="7"/>
  <c r="T55" i="7" s="1"/>
  <c r="R58" i="7"/>
  <c r="T58" i="7" s="1"/>
  <c r="R132" i="7"/>
  <c r="T132" i="7" s="1"/>
  <c r="R46" i="7"/>
  <c r="T46" i="7" s="1"/>
  <c r="R119" i="7"/>
  <c r="T119" i="7" s="1"/>
  <c r="R135" i="7"/>
  <c r="T135" i="7" s="1"/>
  <c r="R123" i="7"/>
  <c r="T123" i="7" s="1"/>
  <c r="R52" i="7"/>
  <c r="T52" i="7" s="1"/>
  <c r="R98" i="7"/>
  <c r="T98" i="7" s="1"/>
  <c r="R105" i="7"/>
  <c r="T105" i="7" s="1"/>
  <c r="R41" i="7"/>
  <c r="T41" i="7" s="1"/>
  <c r="R20" i="7"/>
  <c r="T20" i="7" s="1"/>
  <c r="R114" i="7"/>
  <c r="T114" i="7" s="1"/>
  <c r="R121" i="7"/>
  <c r="T121" i="7" s="1"/>
  <c r="R57" i="7"/>
  <c r="T57" i="7" s="1"/>
  <c r="R117" i="7"/>
  <c r="T117" i="7" s="1"/>
  <c r="R53" i="7"/>
  <c r="T53" i="7" s="1"/>
  <c r="R99" i="7"/>
  <c r="T99" i="7" s="1"/>
  <c r="R35" i="7"/>
  <c r="T35" i="7" s="1"/>
  <c r="R50" i="7"/>
  <c r="T50" i="7" s="1"/>
  <c r="R95" i="7"/>
  <c r="T95" i="7" s="1"/>
  <c r="R31" i="7"/>
  <c r="T31" i="7" s="1"/>
  <c r="R94" i="7"/>
  <c r="T94" i="7" s="1"/>
  <c r="R30" i="7"/>
  <c r="T30" i="7" s="1"/>
  <c r="R83" i="7"/>
  <c r="T83" i="7" s="1"/>
  <c r="R19" i="7"/>
  <c r="T19" i="7" s="1"/>
  <c r="R34" i="7"/>
  <c r="T34" i="7" s="1"/>
  <c r="R79" i="7"/>
  <c r="T79" i="7" s="1"/>
  <c r="R15" i="7"/>
  <c r="T15" i="7" s="1"/>
  <c r="R137" i="7"/>
  <c r="T137" i="7" s="1"/>
  <c r="R133" i="7"/>
  <c r="T133" i="7" s="1"/>
  <c r="R69" i="7"/>
  <c r="T69" i="7" s="1"/>
  <c r="R12" i="7"/>
  <c r="T12" i="7" s="1"/>
  <c r="C56" i="2"/>
  <c r="F56" i="2" s="1"/>
  <c r="E53" i="2"/>
  <c r="C53" i="2"/>
  <c r="V100" i="7" l="1"/>
  <c r="V32" i="7"/>
  <c r="W91" i="7"/>
  <c r="W111" i="7"/>
  <c r="V75" i="7"/>
  <c r="V64" i="7"/>
  <c r="W27" i="7"/>
  <c r="V66" i="7"/>
  <c r="W107" i="7"/>
  <c r="V89" i="7"/>
  <c r="V130" i="7"/>
  <c r="V26" i="7"/>
  <c r="W43" i="7"/>
  <c r="W67" i="7"/>
  <c r="W104" i="7"/>
  <c r="V113" i="7"/>
  <c r="V93" i="7"/>
  <c r="V16" i="7"/>
  <c r="V17" i="7"/>
  <c r="V92" i="7"/>
  <c r="V77" i="7"/>
  <c r="V65" i="7"/>
  <c r="W59" i="7"/>
  <c r="W45" i="7"/>
  <c r="W38" i="7"/>
  <c r="V48" i="7"/>
  <c r="W112" i="7"/>
  <c r="W134" i="7"/>
  <c r="W24" i="7"/>
  <c r="V90" i="7"/>
  <c r="W124" i="7"/>
  <c r="W47" i="7"/>
  <c r="W115" i="7"/>
  <c r="V44" i="7"/>
  <c r="V88" i="7"/>
  <c r="V110" i="7"/>
  <c r="W103" i="7"/>
  <c r="AQ19" i="7"/>
  <c r="AQ27" i="7"/>
  <c r="AQ35" i="7"/>
  <c r="AQ43" i="7"/>
  <c r="AQ59" i="7"/>
  <c r="AQ75" i="7"/>
  <c r="AQ83" i="7"/>
  <c r="AQ91" i="7"/>
  <c r="AQ99" i="7"/>
  <c r="AQ107" i="7"/>
  <c r="AQ115" i="7"/>
  <c r="AQ123" i="7"/>
  <c r="AQ131" i="7"/>
  <c r="AQ20" i="7"/>
  <c r="AQ36" i="7"/>
  <c r="AQ44" i="7"/>
  <c r="AQ76" i="7"/>
  <c r="AQ92" i="7"/>
  <c r="AQ100" i="7"/>
  <c r="AQ108" i="7"/>
  <c r="AQ116" i="7"/>
  <c r="AQ124" i="7"/>
  <c r="AQ132" i="7"/>
  <c r="AQ89" i="7"/>
  <c r="AQ18" i="7"/>
  <c r="AQ42" i="7"/>
  <c r="AQ58" i="7"/>
  <c r="AQ98" i="7"/>
  <c r="AQ114" i="7"/>
  <c r="AQ12" i="7"/>
  <c r="AQ13" i="7"/>
  <c r="AQ21" i="7"/>
  <c r="AQ29" i="7"/>
  <c r="AQ37" i="7"/>
  <c r="AQ45" i="7"/>
  <c r="AQ53" i="7"/>
  <c r="AQ61" i="7"/>
  <c r="AQ93" i="7"/>
  <c r="AQ101" i="7"/>
  <c r="AQ109" i="7"/>
  <c r="AQ117" i="7"/>
  <c r="AQ125" i="7"/>
  <c r="AQ133" i="7"/>
  <c r="AQ15" i="7"/>
  <c r="AQ55" i="7"/>
  <c r="AQ103" i="7"/>
  <c r="AQ119" i="7"/>
  <c r="AQ135" i="7"/>
  <c r="AQ24" i="7"/>
  <c r="AQ56" i="7"/>
  <c r="AQ88" i="7"/>
  <c r="AQ96" i="7"/>
  <c r="AQ112" i="7"/>
  <c r="AQ128" i="7"/>
  <c r="AQ25" i="7"/>
  <c r="AQ105" i="7"/>
  <c r="AQ121" i="7"/>
  <c r="AQ137" i="7"/>
  <c r="AQ34" i="7"/>
  <c r="AQ90" i="7"/>
  <c r="AQ130" i="7"/>
  <c r="AQ14" i="7"/>
  <c r="AQ22" i="7"/>
  <c r="AQ38" i="7"/>
  <c r="AQ46" i="7"/>
  <c r="AQ54" i="7"/>
  <c r="AQ62" i="7"/>
  <c r="AQ86" i="7"/>
  <c r="AQ94" i="7"/>
  <c r="AQ102" i="7"/>
  <c r="AQ110" i="7"/>
  <c r="AQ118" i="7"/>
  <c r="AQ126" i="7"/>
  <c r="AQ134" i="7"/>
  <c r="AQ23" i="7"/>
  <c r="AQ31" i="7"/>
  <c r="AQ39" i="7"/>
  <c r="AQ47" i="7"/>
  <c r="AQ79" i="7"/>
  <c r="AQ95" i="7"/>
  <c r="AQ111" i="7"/>
  <c r="AQ127" i="7"/>
  <c r="AQ16" i="7"/>
  <c r="AQ32" i="7"/>
  <c r="AQ40" i="7"/>
  <c r="AQ104" i="7"/>
  <c r="AQ136" i="7"/>
  <c r="AQ17" i="7"/>
  <c r="AQ33" i="7"/>
  <c r="AQ41" i="7"/>
  <c r="AQ49" i="7"/>
  <c r="AQ57" i="7"/>
  <c r="AQ97" i="7"/>
  <c r="AQ113" i="7"/>
  <c r="AQ129" i="7"/>
  <c r="AQ26" i="7"/>
  <c r="AQ82" i="7"/>
  <c r="AQ106" i="7"/>
  <c r="AQ122" i="7"/>
  <c r="V40" i="7"/>
  <c r="W62" i="7"/>
  <c r="V86" i="7"/>
  <c r="V128" i="7"/>
  <c r="W39" i="7"/>
  <c r="W129" i="7"/>
  <c r="V120" i="7"/>
  <c r="V138" i="7"/>
  <c r="V29" i="7"/>
  <c r="V82" i="7"/>
  <c r="V56" i="7"/>
  <c r="V127" i="7"/>
  <c r="V54" i="7"/>
  <c r="W68" i="7"/>
  <c r="W60" i="7"/>
  <c r="V42" i="7"/>
  <c r="V76" i="7"/>
  <c r="W125" i="7"/>
  <c r="W72" i="7"/>
  <c r="W97" i="7"/>
  <c r="W136" i="7"/>
  <c r="V131" i="7"/>
  <c r="V81" i="7"/>
  <c r="W84" i="7"/>
  <c r="V21" i="7"/>
  <c r="V74" i="7"/>
  <c r="V116" i="7"/>
  <c r="V63" i="7"/>
  <c r="W109" i="7"/>
  <c r="V80" i="7"/>
  <c r="V51" i="7"/>
  <c r="W133" i="7"/>
  <c r="V133" i="7"/>
  <c r="W102" i="7"/>
  <c r="V102" i="7"/>
  <c r="W137" i="7"/>
  <c r="V137" i="7"/>
  <c r="V121" i="7"/>
  <c r="W121" i="7"/>
  <c r="W135" i="7"/>
  <c r="V135" i="7"/>
  <c r="W70" i="7"/>
  <c r="V70" i="7"/>
  <c r="W126" i="7"/>
  <c r="V126" i="7"/>
  <c r="W12" i="7"/>
  <c r="V12" i="7"/>
  <c r="W85" i="7"/>
  <c r="V85" i="7"/>
  <c r="V31" i="7"/>
  <c r="W31" i="7"/>
  <c r="W15" i="7"/>
  <c r="V15" i="7"/>
  <c r="V95" i="7"/>
  <c r="W95" i="7"/>
  <c r="W114" i="7"/>
  <c r="V114" i="7"/>
  <c r="V119" i="7"/>
  <c r="W119" i="7"/>
  <c r="V101" i="7"/>
  <c r="W101" i="7"/>
  <c r="W18" i="7"/>
  <c r="V18" i="7"/>
  <c r="V123" i="7"/>
  <c r="W123" i="7"/>
  <c r="W79" i="7"/>
  <c r="V79" i="7"/>
  <c r="W50" i="7"/>
  <c r="V50" i="7"/>
  <c r="V20" i="7"/>
  <c r="W20" i="7"/>
  <c r="W46" i="7"/>
  <c r="V46" i="7"/>
  <c r="V78" i="7"/>
  <c r="W78" i="7"/>
  <c r="V14" i="7"/>
  <c r="W14" i="7"/>
  <c r="V122" i="7"/>
  <c r="W122" i="7"/>
  <c r="V57" i="7"/>
  <c r="W57" i="7"/>
  <c r="V34" i="7"/>
  <c r="W34" i="7"/>
  <c r="V35" i="7"/>
  <c r="W35" i="7"/>
  <c r="W41" i="7"/>
  <c r="V41" i="7"/>
  <c r="V132" i="7"/>
  <c r="W132" i="7"/>
  <c r="W71" i="7"/>
  <c r="V71" i="7"/>
  <c r="W28" i="7"/>
  <c r="V28" i="7"/>
  <c r="V33" i="7"/>
  <c r="W33" i="7"/>
  <c r="W94" i="7"/>
  <c r="V94" i="7"/>
  <c r="V19" i="7"/>
  <c r="W19" i="7"/>
  <c r="V99" i="7"/>
  <c r="W99" i="7"/>
  <c r="W105" i="7"/>
  <c r="V105" i="7"/>
  <c r="V58" i="7"/>
  <c r="W58" i="7"/>
  <c r="W118" i="7"/>
  <c r="V118" i="7"/>
  <c r="W108" i="7"/>
  <c r="V108" i="7"/>
  <c r="W49" i="7"/>
  <c r="V49" i="7"/>
  <c r="V83" i="7"/>
  <c r="W83" i="7"/>
  <c r="V98" i="7"/>
  <c r="W98" i="7"/>
  <c r="V22" i="7"/>
  <c r="W22" i="7"/>
  <c r="W53" i="7"/>
  <c r="V53" i="7"/>
  <c r="W55" i="7"/>
  <c r="V55" i="7"/>
  <c r="W61" i="7"/>
  <c r="V61" i="7"/>
  <c r="W69" i="7"/>
  <c r="V69" i="7"/>
  <c r="W30" i="7"/>
  <c r="V30" i="7"/>
  <c r="W117" i="7"/>
  <c r="V117" i="7"/>
  <c r="W52" i="7"/>
  <c r="V52" i="7"/>
  <c r="W36" i="7"/>
  <c r="V36" i="7"/>
  <c r="V37" i="7"/>
  <c r="W37" i="7"/>
  <c r="F53" i="2"/>
  <c r="C49" i="2"/>
  <c r="F49" i="2" s="1"/>
  <c r="F46" i="2"/>
  <c r="F43" i="2"/>
  <c r="F40" i="2"/>
  <c r="C33" i="2"/>
  <c r="F33" i="2" s="1"/>
  <c r="C31" i="2"/>
  <c r="F31" i="2" s="1"/>
  <c r="F28" i="2"/>
  <c r="C30" i="2"/>
  <c r="F30" i="2" s="1"/>
  <c r="C29" i="2"/>
  <c r="F29" i="2" s="1"/>
  <c r="C20" i="2"/>
  <c r="F20" i="2" s="1"/>
  <c r="F25" i="2" s="1"/>
  <c r="C45" i="2" l="1"/>
  <c r="F45" i="2" s="1"/>
  <c r="AZ67" i="7"/>
  <c r="BF67" i="7" s="1"/>
  <c r="AZ79" i="7"/>
  <c r="BF79" i="7" s="1"/>
  <c r="BA110" i="7"/>
  <c r="BG110" i="7" s="1"/>
  <c r="AZ61" i="7"/>
  <c r="BF61" i="7" s="1"/>
  <c r="BA114" i="7"/>
  <c r="BG114" i="7" s="1"/>
  <c r="BA24" i="7"/>
  <c r="BG24" i="7" s="1"/>
  <c r="AZ60" i="7"/>
  <c r="BF60" i="7" s="1"/>
  <c r="BA99" i="7"/>
  <c r="BG99" i="7" s="1"/>
  <c r="AZ118" i="7"/>
  <c r="BF118" i="7" s="1"/>
  <c r="BA59" i="7"/>
  <c r="BG59" i="7" s="1"/>
  <c r="AZ81" i="7"/>
  <c r="BF81" i="7" s="1"/>
  <c r="BA29" i="7"/>
  <c r="BG29" i="7" s="1"/>
  <c r="AZ21" i="7"/>
  <c r="BF21" i="7" s="1"/>
  <c r="AZ95" i="7"/>
  <c r="BF95" i="7" s="1"/>
  <c r="AZ104" i="7"/>
  <c r="BF104" i="7" s="1"/>
  <c r="BA100" i="7"/>
  <c r="BG100" i="7" s="1"/>
  <c r="BA47" i="7"/>
  <c r="BG47" i="7" s="1"/>
  <c r="AZ138" i="7"/>
  <c r="BF138" i="7" s="1"/>
  <c r="BA80" i="7"/>
  <c r="BG80" i="7" s="1"/>
  <c r="BA127" i="7"/>
  <c r="BG127" i="7" s="1"/>
  <c r="AZ46" i="7"/>
  <c r="BF46" i="7" s="1"/>
  <c r="AZ12" i="7"/>
  <c r="BF12" i="7" s="1"/>
  <c r="AZ36" i="7"/>
  <c r="BF36" i="7" s="1"/>
  <c r="AZ24" i="7"/>
  <c r="BF24" i="7" s="1"/>
  <c r="BA85" i="7"/>
  <c r="BG85" i="7" s="1"/>
  <c r="BA111" i="7"/>
  <c r="BG111" i="7" s="1"/>
  <c r="BA20" i="7"/>
  <c r="BG20" i="7" s="1"/>
  <c r="AZ99" i="7"/>
  <c r="BF99" i="7" s="1"/>
  <c r="BA118" i="7"/>
  <c r="BG118" i="7" s="1"/>
  <c r="AZ59" i="7"/>
  <c r="BF59" i="7" s="1"/>
  <c r="BA81" i="7"/>
  <c r="BG81" i="7" s="1"/>
  <c r="AZ29" i="7"/>
  <c r="BF29" i="7" s="1"/>
  <c r="BA64" i="7"/>
  <c r="BG64" i="7" s="1"/>
  <c r="AZ50" i="7"/>
  <c r="BF50" i="7" s="1"/>
  <c r="BA132" i="7"/>
  <c r="BG132" i="7" s="1"/>
  <c r="AZ100" i="7"/>
  <c r="BF100" i="7" s="1"/>
  <c r="AZ47" i="7"/>
  <c r="BF47" i="7" s="1"/>
  <c r="BA138" i="7"/>
  <c r="BG138" i="7" s="1"/>
  <c r="AZ69" i="7"/>
  <c r="BF69" i="7" s="1"/>
  <c r="BA95" i="7"/>
  <c r="BG95" i="7" s="1"/>
  <c r="AZ80" i="7"/>
  <c r="BF80" i="7" s="1"/>
  <c r="AZ127" i="7"/>
  <c r="BF127" i="7" s="1"/>
  <c r="BA46" i="7"/>
  <c r="BG46" i="7" s="1"/>
  <c r="BA12" i="7"/>
  <c r="BG12" i="7" s="1"/>
  <c r="BA51" i="7"/>
  <c r="BG51" i="7" s="1"/>
  <c r="AZ94" i="7"/>
  <c r="BF94" i="7" s="1"/>
  <c r="AZ85" i="7"/>
  <c r="BF85" i="7" s="1"/>
  <c r="AZ111" i="7"/>
  <c r="BF111" i="7" s="1"/>
  <c r="AZ20" i="7"/>
  <c r="BF20" i="7" s="1"/>
  <c r="BA35" i="7"/>
  <c r="BG35" i="7" s="1"/>
  <c r="AZ54" i="7"/>
  <c r="BF54" i="7" s="1"/>
  <c r="BA120" i="7"/>
  <c r="BG120" i="7" s="1"/>
  <c r="BA39" i="7"/>
  <c r="BG39" i="7" s="1"/>
  <c r="BA28" i="7"/>
  <c r="BG28" i="7" s="1"/>
  <c r="AZ64" i="7"/>
  <c r="BF64" i="7" s="1"/>
  <c r="BA50" i="7"/>
  <c r="BG50" i="7" s="1"/>
  <c r="AZ132" i="7"/>
  <c r="BF132" i="7" s="1"/>
  <c r="AZ102" i="7"/>
  <c r="BF102" i="7" s="1"/>
  <c r="BA88" i="7"/>
  <c r="BG88" i="7" s="1"/>
  <c r="BA71" i="7"/>
  <c r="BG71" i="7" s="1"/>
  <c r="BA79" i="7"/>
  <c r="BG79" i="7" s="1"/>
  <c r="AZ32" i="7"/>
  <c r="BF32" i="7" s="1"/>
  <c r="AZ15" i="7"/>
  <c r="BF15" i="7" s="1"/>
  <c r="BA52" i="7"/>
  <c r="BG52" i="7" s="1"/>
  <c r="AZ86" i="7"/>
  <c r="BF86" i="7" s="1"/>
  <c r="BA91" i="7"/>
  <c r="BG91" i="7" s="1"/>
  <c r="AZ58" i="7"/>
  <c r="BF58" i="7" s="1"/>
  <c r="BA101" i="7"/>
  <c r="BG101" i="7" s="1"/>
  <c r="AZ51" i="7"/>
  <c r="BF51" i="7" s="1"/>
  <c r="BA109" i="7"/>
  <c r="BG109" i="7" s="1"/>
  <c r="BA115" i="7"/>
  <c r="BG115" i="7" s="1"/>
  <c r="BA63" i="7"/>
  <c r="BG63" i="7" s="1"/>
  <c r="BA87" i="7"/>
  <c r="BG87" i="7" s="1"/>
  <c r="AZ35" i="7"/>
  <c r="BF35" i="7" s="1"/>
  <c r="BA54" i="7"/>
  <c r="BG54" i="7" s="1"/>
  <c r="AZ120" i="7"/>
  <c r="BF120" i="7" s="1"/>
  <c r="AZ39" i="7"/>
  <c r="BF39" i="7" s="1"/>
  <c r="AZ28" i="7"/>
  <c r="BF28" i="7" s="1"/>
  <c r="BA108" i="7"/>
  <c r="BG108" i="7" s="1"/>
  <c r="BA96" i="7"/>
  <c r="BG96" i="7" s="1"/>
  <c r="BA102" i="7"/>
  <c r="BG102" i="7" s="1"/>
  <c r="AZ88" i="7"/>
  <c r="BF88" i="7" s="1"/>
  <c r="AZ71" i="7"/>
  <c r="BF71" i="7" s="1"/>
  <c r="BA61" i="7"/>
  <c r="BG61" i="7" s="1"/>
  <c r="AZ92" i="7"/>
  <c r="BF92" i="7" s="1"/>
  <c r="BA14" i="7"/>
  <c r="BG14" i="7" s="1"/>
  <c r="BA89" i="7"/>
  <c r="BG89" i="7" s="1"/>
  <c r="BA86" i="7"/>
  <c r="BG86" i="7" s="1"/>
  <c r="AZ91" i="7"/>
  <c r="BF91" i="7" s="1"/>
  <c r="BA58" i="7"/>
  <c r="BG58" i="7" s="1"/>
  <c r="AZ101" i="7"/>
  <c r="BF101" i="7" s="1"/>
  <c r="AZ98" i="7"/>
  <c r="BF98" i="7" s="1"/>
  <c r="BA45" i="7"/>
  <c r="BG45" i="7" s="1"/>
  <c r="AZ115" i="7"/>
  <c r="BF115" i="7" s="1"/>
  <c r="AZ63" i="7"/>
  <c r="BF63" i="7" s="1"/>
  <c r="AZ42" i="7"/>
  <c r="BF42" i="7" s="1"/>
  <c r="AZ82" i="7"/>
  <c r="BF82" i="7" s="1"/>
  <c r="AZ57" i="7"/>
  <c r="BF57" i="7" s="1"/>
  <c r="AZ78" i="7"/>
  <c r="BF78" i="7" s="1"/>
  <c r="AZ113" i="7"/>
  <c r="BF113" i="7" s="1"/>
  <c r="BA116" i="7"/>
  <c r="BG116" i="7" s="1"/>
  <c r="AZ108" i="7"/>
  <c r="BF108" i="7" s="1"/>
  <c r="AZ96" i="7"/>
  <c r="BF96" i="7" s="1"/>
  <c r="BA103" i="7"/>
  <c r="BG103" i="7" s="1"/>
  <c r="AZ38" i="7"/>
  <c r="BF38" i="7" s="1"/>
  <c r="AZ126" i="7"/>
  <c r="BF126" i="7" s="1"/>
  <c r="AZ26" i="7"/>
  <c r="BF26" i="7" s="1"/>
  <c r="AZ131" i="7"/>
  <c r="BF131" i="7" s="1"/>
  <c r="AZ114" i="7"/>
  <c r="BF114" i="7" s="1"/>
  <c r="AZ40" i="7"/>
  <c r="BF40" i="7" s="1"/>
  <c r="BA104" i="7"/>
  <c r="BG104" i="7" s="1"/>
  <c r="AZ22" i="7"/>
  <c r="BF22" i="7" s="1"/>
  <c r="BA27" i="7"/>
  <c r="BG27" i="7" s="1"/>
  <c r="BA125" i="7"/>
  <c r="BG125" i="7" s="1"/>
  <c r="AZ65" i="7"/>
  <c r="BF65" i="7" s="1"/>
  <c r="BA98" i="7"/>
  <c r="BG98" i="7" s="1"/>
  <c r="AZ45" i="7"/>
  <c r="BF45" i="7" s="1"/>
  <c r="BA124" i="7"/>
  <c r="BG124" i="7" s="1"/>
  <c r="AZ18" i="7"/>
  <c r="BF18" i="7" s="1"/>
  <c r="BA42" i="7"/>
  <c r="BG42" i="7" s="1"/>
  <c r="BA82" i="7"/>
  <c r="BG82" i="7" s="1"/>
  <c r="BA57" i="7"/>
  <c r="BG57" i="7" s="1"/>
  <c r="BA78" i="7"/>
  <c r="BG78" i="7" s="1"/>
  <c r="BA113" i="7"/>
  <c r="BG113" i="7" s="1"/>
  <c r="AZ116" i="7"/>
  <c r="BF116" i="7" s="1"/>
  <c r="BA44" i="7"/>
  <c r="BG44" i="7" s="1"/>
  <c r="BA117" i="7"/>
  <c r="BG117" i="7" s="1"/>
  <c r="BA83" i="7"/>
  <c r="BG83" i="7" s="1"/>
  <c r="BA38" i="7"/>
  <c r="BG38" i="7" s="1"/>
  <c r="BA126" i="7"/>
  <c r="BG126" i="7" s="1"/>
  <c r="BA13" i="7"/>
  <c r="BG13" i="7" s="1"/>
  <c r="BA122" i="7"/>
  <c r="BG122" i="7" s="1"/>
  <c r="BA21" i="7"/>
  <c r="BG21" i="7" s="1"/>
  <c r="BA131" i="7"/>
  <c r="BG131" i="7" s="1"/>
  <c r="BA22" i="7"/>
  <c r="BG22" i="7" s="1"/>
  <c r="AZ56" i="7"/>
  <c r="BF56" i="7" s="1"/>
  <c r="AZ125" i="7"/>
  <c r="BF125" i="7" s="1"/>
  <c r="BA65" i="7"/>
  <c r="BG65" i="7" s="1"/>
  <c r="BA32" i="7"/>
  <c r="BG32" i="7" s="1"/>
  <c r="BA92" i="7"/>
  <c r="BG92" i="7" s="1"/>
  <c r="AZ124" i="7"/>
  <c r="BF124" i="7" s="1"/>
  <c r="BA18" i="7"/>
  <c r="BG18" i="7" s="1"/>
  <c r="AZ122" i="7"/>
  <c r="BF122" i="7" s="1"/>
  <c r="BA40" i="7"/>
  <c r="BG40" i="7" s="1"/>
  <c r="BA15" i="7"/>
  <c r="BG15" i="7" s="1"/>
  <c r="AZ14" i="7"/>
  <c r="BF14" i="7" s="1"/>
  <c r="BA93" i="7"/>
  <c r="BG93" i="7" s="1"/>
  <c r="BA130" i="7"/>
  <c r="BG130" i="7" s="1"/>
  <c r="AZ44" i="7"/>
  <c r="BF44" i="7" s="1"/>
  <c r="BA53" i="7"/>
  <c r="BG53" i="7" s="1"/>
  <c r="AZ83" i="7"/>
  <c r="BF83" i="7" s="1"/>
  <c r="AZ89" i="7"/>
  <c r="BF89" i="7" s="1"/>
  <c r="AZ62" i="7"/>
  <c r="BF62" i="7" s="1"/>
  <c r="AZ13" i="7"/>
  <c r="BF13" i="7" s="1"/>
  <c r="AZ110" i="7"/>
  <c r="BF110" i="7" s="1"/>
  <c r="BA60" i="7"/>
  <c r="BG60" i="7" s="1"/>
  <c r="AZ93" i="7"/>
  <c r="BF93" i="7" s="1"/>
  <c r="BA62" i="7"/>
  <c r="BG62" i="7" s="1"/>
  <c r="AZ106" i="7"/>
  <c r="BF106" i="7" s="1"/>
  <c r="BA26" i="7"/>
  <c r="BG26" i="7" s="1"/>
  <c r="BA37" i="7"/>
  <c r="BG37" i="7" s="1"/>
  <c r="AZ66" i="7"/>
  <c r="BF66" i="7" s="1"/>
  <c r="AZ134" i="7"/>
  <c r="BF134" i="7" s="1"/>
  <c r="AZ49" i="7"/>
  <c r="BF49" i="7" s="1"/>
  <c r="AZ27" i="7"/>
  <c r="BF27" i="7" s="1"/>
  <c r="BA66" i="7"/>
  <c r="BG66" i="7" s="1"/>
  <c r="AZ123" i="7"/>
  <c r="BF123" i="7" s="1"/>
  <c r="AZ70" i="7"/>
  <c r="BF70" i="7" s="1"/>
  <c r="AZ84" i="7"/>
  <c r="BF84" i="7" s="1"/>
  <c r="AZ72" i="7"/>
  <c r="BF72" i="7" s="1"/>
  <c r="BA75" i="7"/>
  <c r="BG75" i="7" s="1"/>
  <c r="BA123" i="7"/>
  <c r="BG123" i="7" s="1"/>
  <c r="BA48" i="7"/>
  <c r="BG48" i="7" s="1"/>
  <c r="AZ129" i="7"/>
  <c r="BF129" i="7" s="1"/>
  <c r="AZ34" i="7"/>
  <c r="BF34" i="7" s="1"/>
  <c r="AZ109" i="7"/>
  <c r="BF109" i="7" s="1"/>
  <c r="AZ25" i="7"/>
  <c r="BF25" i="7" s="1"/>
  <c r="BA16" i="7"/>
  <c r="BG16" i="7" s="1"/>
  <c r="BA137" i="7"/>
  <c r="BG137" i="7" s="1"/>
  <c r="BA70" i="7"/>
  <c r="BG70" i="7" s="1"/>
  <c r="AZ19" i="7"/>
  <c r="BF19" i="7" s="1"/>
  <c r="BA17" i="7"/>
  <c r="BG17" i="7" s="1"/>
  <c r="AZ68" i="7"/>
  <c r="BF68" i="7" s="1"/>
  <c r="BA105" i="7"/>
  <c r="BG105" i="7" s="1"/>
  <c r="AZ136" i="7"/>
  <c r="BF136" i="7" s="1"/>
  <c r="BA119" i="7"/>
  <c r="BG119" i="7" s="1"/>
  <c r="BA67" i="7"/>
  <c r="BG67" i="7" s="1"/>
  <c r="BA55" i="7"/>
  <c r="BG55" i="7" s="1"/>
  <c r="AZ52" i="7"/>
  <c r="BF52" i="7" s="1"/>
  <c r="BA73" i="7"/>
  <c r="BG73" i="7" s="1"/>
  <c r="BA134" i="7"/>
  <c r="BG134" i="7" s="1"/>
  <c r="AZ128" i="7"/>
  <c r="BF128" i="7" s="1"/>
  <c r="BA30" i="7"/>
  <c r="BG30" i="7" s="1"/>
  <c r="AZ105" i="7"/>
  <c r="BF105" i="7" s="1"/>
  <c r="AZ31" i="7"/>
  <c r="BF31" i="7" s="1"/>
  <c r="BA19" i="7"/>
  <c r="BG19" i="7" s="1"/>
  <c r="BA41" i="7"/>
  <c r="BG41" i="7" s="1"/>
  <c r="BA94" i="7"/>
  <c r="BG94" i="7" s="1"/>
  <c r="BA68" i="7"/>
  <c r="BG68" i="7" s="1"/>
  <c r="BA97" i="7"/>
  <c r="BG97" i="7" s="1"/>
  <c r="BA31" i="7"/>
  <c r="BG31" i="7" s="1"/>
  <c r="AZ87" i="7"/>
  <c r="BF87" i="7" s="1"/>
  <c r="AZ73" i="7"/>
  <c r="BF73" i="7" s="1"/>
  <c r="AZ119" i="7"/>
  <c r="BF119" i="7" s="1"/>
  <c r="BA136" i="7"/>
  <c r="BG136" i="7" s="1"/>
  <c r="BA25" i="7"/>
  <c r="BG25" i="7" s="1"/>
  <c r="AZ55" i="7"/>
  <c r="BF55" i="7" s="1"/>
  <c r="AZ30" i="7"/>
  <c r="BF30" i="7" s="1"/>
  <c r="AZ53" i="7"/>
  <c r="BF53" i="7" s="1"/>
  <c r="BA107" i="7"/>
  <c r="BG107" i="7" s="1"/>
  <c r="BA133" i="7"/>
  <c r="BG133" i="7" s="1"/>
  <c r="BA77" i="7"/>
  <c r="BG77" i="7" s="1"/>
  <c r="AZ17" i="7"/>
  <c r="BF17" i="7" s="1"/>
  <c r="AZ107" i="7"/>
  <c r="BF107" i="7" s="1"/>
  <c r="BA121" i="7"/>
  <c r="BG121" i="7" s="1"/>
  <c r="AZ23" i="7"/>
  <c r="BF23" i="7" s="1"/>
  <c r="BA49" i="7"/>
  <c r="BG49" i="7" s="1"/>
  <c r="AZ121" i="7"/>
  <c r="BF121" i="7" s="1"/>
  <c r="BA56" i="7"/>
  <c r="BG56" i="7" s="1"/>
  <c r="AZ112" i="7"/>
  <c r="BF112" i="7" s="1"/>
  <c r="AZ90" i="7"/>
  <c r="BF90" i="7" s="1"/>
  <c r="BA112" i="7"/>
  <c r="BG112" i="7" s="1"/>
  <c r="BA43" i="7"/>
  <c r="BG43" i="7" s="1"/>
  <c r="BA23" i="7"/>
  <c r="BG23" i="7" s="1"/>
  <c r="BA34" i="7"/>
  <c r="BG34" i="7" s="1"/>
  <c r="BA106" i="7"/>
  <c r="BG106" i="7" s="1"/>
  <c r="BA129" i="7"/>
  <c r="BG129" i="7" s="1"/>
  <c r="AZ41" i="7"/>
  <c r="BF41" i="7" s="1"/>
  <c r="AZ77" i="7"/>
  <c r="BF77" i="7" s="1"/>
  <c r="AZ76" i="7"/>
  <c r="BF76" i="7" s="1"/>
  <c r="BA36" i="7"/>
  <c r="BG36" i="7" s="1"/>
  <c r="BA84" i="7"/>
  <c r="BG84" i="7" s="1"/>
  <c r="AZ33" i="7"/>
  <c r="BF33" i="7" s="1"/>
  <c r="AZ37" i="7"/>
  <c r="BF37" i="7" s="1"/>
  <c r="AZ103" i="7"/>
  <c r="BF103" i="7" s="1"/>
  <c r="BA33" i="7"/>
  <c r="BG33" i="7" s="1"/>
  <c r="AZ135" i="7"/>
  <c r="BF135" i="7" s="1"/>
  <c r="AZ74" i="7"/>
  <c r="BF74" i="7" s="1"/>
  <c r="AZ133" i="7"/>
  <c r="BF133" i="7" s="1"/>
  <c r="AZ43" i="7"/>
  <c r="BF43" i="7" s="1"/>
  <c r="BA76" i="7"/>
  <c r="BG76" i="7" s="1"/>
  <c r="AZ130" i="7"/>
  <c r="BF130" i="7" s="1"/>
  <c r="AZ137" i="7"/>
  <c r="BF137" i="7" s="1"/>
  <c r="BA69" i="7"/>
  <c r="BG69" i="7" s="1"/>
  <c r="BA128" i="7"/>
  <c r="BG128" i="7" s="1"/>
  <c r="BA72" i="7"/>
  <c r="BG72" i="7" s="1"/>
  <c r="AZ117" i="7"/>
  <c r="BF117" i="7" s="1"/>
  <c r="AZ97" i="7"/>
  <c r="BF97" i="7" s="1"/>
  <c r="BA90" i="7"/>
  <c r="BG90" i="7" s="1"/>
  <c r="BA135" i="7"/>
  <c r="BG135" i="7" s="1"/>
  <c r="BA74" i="7"/>
  <c r="BG74" i="7" s="1"/>
  <c r="AZ48" i="7"/>
  <c r="BF48" i="7" s="1"/>
  <c r="AZ16" i="7"/>
  <c r="BF16" i="7" s="1"/>
  <c r="AZ75" i="7"/>
  <c r="BF75" i="7" s="1"/>
  <c r="C41" i="2"/>
  <c r="F41" i="2" s="1"/>
  <c r="M18" i="6"/>
  <c r="M26" i="6"/>
  <c r="M34" i="6"/>
  <c r="M42" i="6"/>
  <c r="M50" i="6"/>
  <c r="M58" i="6"/>
  <c r="M66" i="6"/>
  <c r="M74" i="6"/>
  <c r="M82" i="6"/>
  <c r="M90" i="6"/>
  <c r="M98" i="6"/>
  <c r="M106" i="6"/>
  <c r="M19" i="6"/>
  <c r="M27" i="6"/>
  <c r="M35" i="6"/>
  <c r="M43" i="6"/>
  <c r="M51" i="6"/>
  <c r="M59" i="6"/>
  <c r="M67" i="6"/>
  <c r="M75" i="6"/>
  <c r="M83" i="6"/>
  <c r="M91" i="6"/>
  <c r="M99" i="6"/>
  <c r="M107" i="6"/>
  <c r="M17" i="6"/>
  <c r="M65" i="6"/>
  <c r="M12" i="6"/>
  <c r="M20" i="6"/>
  <c r="M28" i="6"/>
  <c r="M36" i="6"/>
  <c r="M44" i="6"/>
  <c r="M52" i="6"/>
  <c r="M60" i="6"/>
  <c r="M68" i="6"/>
  <c r="M76" i="6"/>
  <c r="M84" i="6"/>
  <c r="M92" i="6"/>
  <c r="M100" i="6"/>
  <c r="M108" i="6"/>
  <c r="M33" i="6"/>
  <c r="M73" i="6"/>
  <c r="M13" i="6"/>
  <c r="M21" i="6"/>
  <c r="M29" i="6"/>
  <c r="M37" i="6"/>
  <c r="M45" i="6"/>
  <c r="M53" i="6"/>
  <c r="M61" i="6"/>
  <c r="M69" i="6"/>
  <c r="M77" i="6"/>
  <c r="M85" i="6"/>
  <c r="M93" i="6"/>
  <c r="M101" i="6"/>
  <c r="M109" i="6"/>
  <c r="M25" i="6"/>
  <c r="M81" i="6"/>
  <c r="M14" i="6"/>
  <c r="M22" i="6"/>
  <c r="M30" i="6"/>
  <c r="M38" i="6"/>
  <c r="M46" i="6"/>
  <c r="M54" i="6"/>
  <c r="M62" i="6"/>
  <c r="M70" i="6"/>
  <c r="M78" i="6"/>
  <c r="M86" i="6"/>
  <c r="M94" i="6"/>
  <c r="M102" i="6"/>
  <c r="M110" i="6"/>
  <c r="M49" i="6"/>
  <c r="M89" i="6"/>
  <c r="M15" i="6"/>
  <c r="M23" i="6"/>
  <c r="M31" i="6"/>
  <c r="M39" i="6"/>
  <c r="M47" i="6"/>
  <c r="M55" i="6"/>
  <c r="M63" i="6"/>
  <c r="M71" i="6"/>
  <c r="M79" i="6"/>
  <c r="M87" i="6"/>
  <c r="M95" i="6"/>
  <c r="M103" i="6"/>
  <c r="M111" i="6"/>
  <c r="M41" i="6"/>
  <c r="M97" i="6"/>
  <c r="M16" i="6"/>
  <c r="M24" i="6"/>
  <c r="M32" i="6"/>
  <c r="M40" i="6"/>
  <c r="M48" i="6"/>
  <c r="M56" i="6"/>
  <c r="M64" i="6"/>
  <c r="M72" i="6"/>
  <c r="M80" i="6"/>
  <c r="M88" i="6"/>
  <c r="M96" i="6"/>
  <c r="M104" i="6"/>
  <c r="M112" i="6"/>
  <c r="M57" i="6"/>
  <c r="M105" i="6"/>
  <c r="C42" i="2"/>
  <c r="F42" i="2" s="1"/>
  <c r="C44" i="2"/>
  <c r="F44" i="2" s="1"/>
  <c r="C34" i="2"/>
  <c r="F34" i="2" s="1"/>
  <c r="G22" i="1" s="1"/>
  <c r="C32" i="2"/>
  <c r="F32" i="2" s="1"/>
  <c r="G20" i="1" s="1"/>
  <c r="C19" i="2" l="1"/>
  <c r="F19" i="2" s="1"/>
  <c r="C18" i="2"/>
  <c r="F18" i="2" s="1"/>
  <c r="C17" i="2"/>
  <c r="F17" i="2" s="1"/>
  <c r="C16" i="2"/>
  <c r="C15" i="2"/>
  <c r="F15" i="2" s="1"/>
  <c r="C14" i="2"/>
  <c r="F14" i="2" s="1"/>
  <c r="C13" i="2"/>
  <c r="F13" i="2" s="1"/>
  <c r="C209" i="2" l="1"/>
  <c r="F209" i="2" s="1"/>
  <c r="G146" i="1" s="1"/>
  <c r="C221" i="2"/>
  <c r="F221" i="2" s="1"/>
  <c r="G36" i="1" s="1"/>
  <c r="C152" i="2"/>
  <c r="C234" i="2"/>
  <c r="G152" i="1" s="1"/>
  <c r="C231" i="2"/>
  <c r="C228" i="2"/>
  <c r="D12" i="7"/>
  <c r="D19" i="7"/>
  <c r="C23" i="2"/>
  <c r="F23" i="2" s="1"/>
  <c r="C24" i="2" s="1"/>
  <c r="G15" i="1" s="1"/>
  <c r="AJ2" i="6"/>
  <c r="AJ6" i="6" s="1"/>
  <c r="AW14" i="6"/>
  <c r="AW22" i="6"/>
  <c r="AW30" i="6"/>
  <c r="AW38" i="6"/>
  <c r="AW46" i="6"/>
  <c r="AW54" i="6"/>
  <c r="AW62" i="6"/>
  <c r="AW70" i="6"/>
  <c r="AW78" i="6"/>
  <c r="AW86" i="6"/>
  <c r="AW94" i="6"/>
  <c r="AW102" i="6"/>
  <c r="AW110" i="6"/>
  <c r="AW42" i="6"/>
  <c r="AW51" i="6"/>
  <c r="AW36" i="6"/>
  <c r="AW108" i="6"/>
  <c r="AW37" i="6"/>
  <c r="AW15" i="6"/>
  <c r="AW23" i="6"/>
  <c r="AW31" i="6"/>
  <c r="AW39" i="6"/>
  <c r="AW47" i="6"/>
  <c r="AW55" i="6"/>
  <c r="AW63" i="6"/>
  <c r="AW71" i="6"/>
  <c r="AW79" i="6"/>
  <c r="AW87" i="6"/>
  <c r="AW95" i="6"/>
  <c r="AW103" i="6"/>
  <c r="AW111" i="6"/>
  <c r="AW34" i="6"/>
  <c r="AW66" i="6"/>
  <c r="AW82" i="6"/>
  <c r="AW106" i="6"/>
  <c r="AW44" i="6"/>
  <c r="AW76" i="6"/>
  <c r="AW100" i="6"/>
  <c r="AW21" i="6"/>
  <c r="AW61" i="6"/>
  <c r="AW85" i="6"/>
  <c r="AW109" i="6"/>
  <c r="AW16" i="6"/>
  <c r="AW24" i="6"/>
  <c r="AW32" i="6"/>
  <c r="AW40" i="6"/>
  <c r="AW48" i="6"/>
  <c r="AW56" i="6"/>
  <c r="AW64" i="6"/>
  <c r="AW72" i="6"/>
  <c r="AW80" i="6"/>
  <c r="AW88" i="6"/>
  <c r="AW96" i="6"/>
  <c r="AW104" i="6"/>
  <c r="AW112" i="6"/>
  <c r="AW26" i="6"/>
  <c r="AW50" i="6"/>
  <c r="AW74" i="6"/>
  <c r="AW98" i="6"/>
  <c r="AW19" i="6"/>
  <c r="AW35" i="6"/>
  <c r="AW59" i="6"/>
  <c r="AW75" i="6"/>
  <c r="AW91" i="6"/>
  <c r="AW107" i="6"/>
  <c r="AW20" i="6"/>
  <c r="AW52" i="6"/>
  <c r="AW68" i="6"/>
  <c r="AW92" i="6"/>
  <c r="AW29" i="6"/>
  <c r="AW45" i="6"/>
  <c r="AW69" i="6"/>
  <c r="AW93" i="6"/>
  <c r="AW17" i="6"/>
  <c r="AW25" i="6"/>
  <c r="AW33" i="6"/>
  <c r="AW41" i="6"/>
  <c r="AW49" i="6"/>
  <c r="AW57" i="6"/>
  <c r="AW65" i="6"/>
  <c r="AW73" i="6"/>
  <c r="AW81" i="6"/>
  <c r="AW89" i="6"/>
  <c r="AW97" i="6"/>
  <c r="AW105" i="6"/>
  <c r="AW12" i="6"/>
  <c r="AW18" i="6"/>
  <c r="AW58" i="6"/>
  <c r="AW90" i="6"/>
  <c r="AW27" i="6"/>
  <c r="AW43" i="6"/>
  <c r="AW67" i="6"/>
  <c r="AW83" i="6"/>
  <c r="AW99" i="6"/>
  <c r="AW28" i="6"/>
  <c r="AW60" i="6"/>
  <c r="AW84" i="6"/>
  <c r="AW13" i="6"/>
  <c r="AW53" i="6"/>
  <c r="AW77" i="6"/>
  <c r="AW101" i="6"/>
  <c r="AQ16" i="6"/>
  <c r="AQ48" i="6"/>
  <c r="AQ80" i="6"/>
  <c r="AQ112" i="6"/>
  <c r="AQ78" i="6"/>
  <c r="AQ33" i="6"/>
  <c r="AQ65" i="6"/>
  <c r="AQ97" i="6"/>
  <c r="AQ62" i="6"/>
  <c r="AQ14" i="6"/>
  <c r="AQ31" i="6"/>
  <c r="AQ63" i="6"/>
  <c r="AQ95" i="6"/>
  <c r="AR106" i="6"/>
  <c r="AR24" i="6"/>
  <c r="AR56" i="6"/>
  <c r="AR88" i="6"/>
  <c r="AR34" i="6"/>
  <c r="AR95" i="6"/>
  <c r="AR63" i="6"/>
  <c r="AR29" i="6"/>
  <c r="AR61" i="6"/>
  <c r="AR93" i="6"/>
  <c r="AR66" i="6"/>
  <c r="AR111" i="6"/>
  <c r="AR51" i="6"/>
  <c r="AQ108" i="6"/>
  <c r="AQ27" i="6"/>
  <c r="AR84" i="6"/>
  <c r="AR25" i="6"/>
  <c r="AQ20" i="6"/>
  <c r="AQ52" i="6"/>
  <c r="AQ84" i="6"/>
  <c r="AQ18" i="6"/>
  <c r="AQ94" i="6"/>
  <c r="AQ37" i="6"/>
  <c r="AQ69" i="6"/>
  <c r="AQ101" i="6"/>
  <c r="AQ82" i="6"/>
  <c r="AQ38" i="6"/>
  <c r="AQ35" i="6"/>
  <c r="AQ67" i="6"/>
  <c r="AQ99" i="6"/>
  <c r="AR27" i="6"/>
  <c r="AR28" i="6"/>
  <c r="AR60" i="6"/>
  <c r="AR92" i="6"/>
  <c r="AR70" i="6"/>
  <c r="AR26" i="6"/>
  <c r="AR83" i="6"/>
  <c r="AR33" i="6"/>
  <c r="AR65" i="6"/>
  <c r="AR97" i="6"/>
  <c r="AR82" i="6"/>
  <c r="AR30" i="6"/>
  <c r="AR75" i="6"/>
  <c r="AQ29" i="6"/>
  <c r="AQ93" i="6"/>
  <c r="AR20" i="6"/>
  <c r="AR43" i="6"/>
  <c r="AQ24" i="6"/>
  <c r="AQ56" i="6"/>
  <c r="AQ88" i="6"/>
  <c r="AQ50" i="6"/>
  <c r="AQ110" i="6"/>
  <c r="AQ41" i="6"/>
  <c r="AQ73" i="6"/>
  <c r="AQ105" i="6"/>
  <c r="AQ102" i="6"/>
  <c r="AQ66" i="6"/>
  <c r="AQ39" i="6"/>
  <c r="AQ71" i="6"/>
  <c r="AQ103" i="6"/>
  <c r="AR47" i="6"/>
  <c r="AR32" i="6"/>
  <c r="AR64" i="6"/>
  <c r="AR96" i="6"/>
  <c r="AR98" i="6"/>
  <c r="AR42" i="6"/>
  <c r="AR99" i="6"/>
  <c r="AR37" i="6"/>
  <c r="AR69" i="6"/>
  <c r="AR101" i="6"/>
  <c r="AR90" i="6"/>
  <c r="AR38" i="6"/>
  <c r="AQ76" i="6"/>
  <c r="AQ59" i="6"/>
  <c r="AR22" i="6"/>
  <c r="AR57" i="6"/>
  <c r="AQ28" i="6"/>
  <c r="AQ60" i="6"/>
  <c r="AQ92" i="6"/>
  <c r="AQ70" i="6"/>
  <c r="AQ13" i="6"/>
  <c r="AQ45" i="6"/>
  <c r="AQ77" i="6"/>
  <c r="AQ109" i="6"/>
  <c r="AQ30" i="6"/>
  <c r="AQ86" i="6"/>
  <c r="AQ43" i="6"/>
  <c r="AS43" i="6" s="1"/>
  <c r="AQ75" i="6"/>
  <c r="AQ107" i="6"/>
  <c r="AR67" i="6"/>
  <c r="AR36" i="6"/>
  <c r="AR68" i="6"/>
  <c r="AR100" i="6"/>
  <c r="AR15" i="6"/>
  <c r="AR58" i="6"/>
  <c r="AR107" i="6"/>
  <c r="AR41" i="6"/>
  <c r="AR73" i="6"/>
  <c r="AR105" i="6"/>
  <c r="AR110" i="6"/>
  <c r="AR46" i="6"/>
  <c r="AQ44" i="6"/>
  <c r="AQ46" i="6"/>
  <c r="AR52" i="6"/>
  <c r="AR91" i="6"/>
  <c r="AQ32" i="6"/>
  <c r="AQ64" i="6"/>
  <c r="AQ96" i="6"/>
  <c r="AQ90" i="6"/>
  <c r="AQ17" i="6"/>
  <c r="AQ49" i="6"/>
  <c r="AQ81" i="6"/>
  <c r="AQ12" i="6"/>
  <c r="AQ42" i="6"/>
  <c r="AS42" i="6" s="1"/>
  <c r="AQ15" i="6"/>
  <c r="AQ47" i="6"/>
  <c r="AQ79" i="6"/>
  <c r="AQ111" i="6"/>
  <c r="AR87" i="6"/>
  <c r="AR40" i="6"/>
  <c r="AR72" i="6"/>
  <c r="AR104" i="6"/>
  <c r="AR35" i="6"/>
  <c r="AR78" i="6"/>
  <c r="AR13" i="6"/>
  <c r="AR45" i="6"/>
  <c r="AR77" i="6"/>
  <c r="AR109" i="6"/>
  <c r="AR31" i="6"/>
  <c r="AR54" i="6"/>
  <c r="AQ91" i="6"/>
  <c r="AR50" i="6"/>
  <c r="AQ36" i="6"/>
  <c r="AQ68" i="6"/>
  <c r="AQ100" i="6"/>
  <c r="AQ106" i="6"/>
  <c r="AQ21" i="6"/>
  <c r="AQ53" i="6"/>
  <c r="AQ85" i="6"/>
  <c r="AQ26" i="6"/>
  <c r="AS26" i="6" s="1"/>
  <c r="AQ58" i="6"/>
  <c r="AQ19" i="6"/>
  <c r="AQ51" i="6"/>
  <c r="AQ83" i="6"/>
  <c r="AR14" i="6"/>
  <c r="AR103" i="6"/>
  <c r="AR44" i="6"/>
  <c r="AR76" i="6"/>
  <c r="AR108" i="6"/>
  <c r="AR39" i="6"/>
  <c r="AR102" i="6"/>
  <c r="AR17" i="6"/>
  <c r="AR49" i="6"/>
  <c r="AR81" i="6"/>
  <c r="AR12" i="6"/>
  <c r="AR55" i="6"/>
  <c r="AR74" i="6"/>
  <c r="AQ54" i="6"/>
  <c r="AQ61" i="6"/>
  <c r="AR86" i="6"/>
  <c r="AR79" i="6"/>
  <c r="AR19" i="6"/>
  <c r="AQ40" i="6"/>
  <c r="AQ72" i="6"/>
  <c r="AQ104" i="6"/>
  <c r="AQ22" i="6"/>
  <c r="AQ25" i="6"/>
  <c r="AQ57" i="6"/>
  <c r="AQ89" i="6"/>
  <c r="AQ34" i="6"/>
  <c r="AQ74" i="6"/>
  <c r="AQ23" i="6"/>
  <c r="AQ55" i="6"/>
  <c r="AQ87" i="6"/>
  <c r="AR62" i="6"/>
  <c r="AR16" i="6"/>
  <c r="AR48" i="6"/>
  <c r="AR80" i="6"/>
  <c r="AR112" i="6"/>
  <c r="AR59" i="6"/>
  <c r="AR23" i="6"/>
  <c r="AR21" i="6"/>
  <c r="AR53" i="6"/>
  <c r="AR85" i="6"/>
  <c r="AR18" i="6"/>
  <c r="AR71" i="6"/>
  <c r="AR94" i="6"/>
  <c r="AQ98" i="6"/>
  <c r="AR89" i="6"/>
  <c r="C183" i="2"/>
  <c r="F183" i="2" s="1"/>
  <c r="C199" i="2"/>
  <c r="F199" i="2" s="1"/>
  <c r="G14" i="6"/>
  <c r="G22" i="6"/>
  <c r="G30" i="6"/>
  <c r="G38" i="6"/>
  <c r="G46" i="6"/>
  <c r="G54" i="6"/>
  <c r="G62" i="6"/>
  <c r="G70" i="6"/>
  <c r="G78" i="6"/>
  <c r="G86" i="6"/>
  <c r="G94" i="6"/>
  <c r="G102" i="6"/>
  <c r="G110" i="6"/>
  <c r="G96" i="6"/>
  <c r="G33" i="6"/>
  <c r="G57" i="6"/>
  <c r="G73" i="6"/>
  <c r="G97" i="6"/>
  <c r="G45" i="6"/>
  <c r="G93" i="6"/>
  <c r="G15" i="6"/>
  <c r="G23" i="6"/>
  <c r="G31" i="6"/>
  <c r="G39" i="6"/>
  <c r="G47" i="6"/>
  <c r="G55" i="6"/>
  <c r="G63" i="6"/>
  <c r="G71" i="6"/>
  <c r="G79" i="6"/>
  <c r="G87" i="6"/>
  <c r="G95" i="6"/>
  <c r="G103" i="6"/>
  <c r="G111" i="6"/>
  <c r="G88" i="6"/>
  <c r="G112" i="6"/>
  <c r="G17" i="6"/>
  <c r="G41" i="6"/>
  <c r="G65" i="6"/>
  <c r="G89" i="6"/>
  <c r="G12" i="6"/>
  <c r="G13" i="6"/>
  <c r="G69" i="6"/>
  <c r="G101" i="6"/>
  <c r="G16" i="6"/>
  <c r="G24" i="6"/>
  <c r="G32" i="6"/>
  <c r="G40" i="6"/>
  <c r="G48" i="6"/>
  <c r="G56" i="6"/>
  <c r="G64" i="6"/>
  <c r="G72" i="6"/>
  <c r="G80" i="6"/>
  <c r="G104" i="6"/>
  <c r="G25" i="6"/>
  <c r="G49" i="6"/>
  <c r="G81" i="6"/>
  <c r="G105" i="6"/>
  <c r="G37" i="6"/>
  <c r="G109" i="6"/>
  <c r="G18" i="6"/>
  <c r="G26" i="6"/>
  <c r="G34" i="6"/>
  <c r="G42" i="6"/>
  <c r="G50" i="6"/>
  <c r="G58" i="6"/>
  <c r="G66" i="6"/>
  <c r="G74" i="6"/>
  <c r="G82" i="6"/>
  <c r="G90" i="6"/>
  <c r="G98" i="6"/>
  <c r="G106" i="6"/>
  <c r="G36" i="6"/>
  <c r="G52" i="6"/>
  <c r="G68" i="6"/>
  <c r="G84" i="6"/>
  <c r="G100" i="6"/>
  <c r="G29" i="6"/>
  <c r="G53" i="6"/>
  <c r="G77" i="6"/>
  <c r="G19" i="6"/>
  <c r="G27" i="6"/>
  <c r="G35" i="6"/>
  <c r="G43" i="6"/>
  <c r="G51" i="6"/>
  <c r="G59" i="6"/>
  <c r="G67" i="6"/>
  <c r="G75" i="6"/>
  <c r="G83" i="6"/>
  <c r="G91" i="6"/>
  <c r="G99" i="6"/>
  <c r="G107" i="6"/>
  <c r="G20" i="6"/>
  <c r="G28" i="6"/>
  <c r="G44" i="6"/>
  <c r="G60" i="6"/>
  <c r="G76" i="6"/>
  <c r="G92" i="6"/>
  <c r="G108" i="6"/>
  <c r="G21" i="6"/>
  <c r="G61" i="6"/>
  <c r="G85" i="6"/>
  <c r="I19" i="6"/>
  <c r="I27" i="6"/>
  <c r="I35" i="6"/>
  <c r="I43" i="6"/>
  <c r="I51" i="6"/>
  <c r="I59" i="6"/>
  <c r="I67" i="6"/>
  <c r="I75" i="6"/>
  <c r="I83" i="6"/>
  <c r="I91" i="6"/>
  <c r="I99" i="6"/>
  <c r="I107" i="6"/>
  <c r="I14" i="6"/>
  <c r="I46" i="6"/>
  <c r="I70" i="6"/>
  <c r="I86" i="6"/>
  <c r="I110" i="6"/>
  <c r="I34" i="6"/>
  <c r="I90" i="6"/>
  <c r="I20" i="6"/>
  <c r="I28" i="6"/>
  <c r="I36" i="6"/>
  <c r="I44" i="6"/>
  <c r="I52" i="6"/>
  <c r="I60" i="6"/>
  <c r="I68" i="6"/>
  <c r="I76" i="6"/>
  <c r="I84" i="6"/>
  <c r="I92" i="6"/>
  <c r="I100" i="6"/>
  <c r="I108" i="6"/>
  <c r="I30" i="6"/>
  <c r="I38" i="6"/>
  <c r="I62" i="6"/>
  <c r="I94" i="6"/>
  <c r="I50" i="6"/>
  <c r="I74" i="6"/>
  <c r="I21" i="6"/>
  <c r="I29" i="6"/>
  <c r="I37" i="6"/>
  <c r="I45" i="6"/>
  <c r="I53" i="6"/>
  <c r="I61" i="6"/>
  <c r="I69" i="6"/>
  <c r="I77" i="6"/>
  <c r="I85" i="6"/>
  <c r="I93" i="6"/>
  <c r="I101" i="6"/>
  <c r="I109" i="6"/>
  <c r="I22" i="6"/>
  <c r="I54" i="6"/>
  <c r="I78" i="6"/>
  <c r="I102" i="6"/>
  <c r="I42" i="6"/>
  <c r="I98" i="6"/>
  <c r="I15" i="6"/>
  <c r="I23" i="6"/>
  <c r="I31" i="6"/>
  <c r="I39" i="6"/>
  <c r="I47" i="6"/>
  <c r="I55" i="6"/>
  <c r="I63" i="6"/>
  <c r="I71" i="6"/>
  <c r="I79" i="6"/>
  <c r="I87" i="6"/>
  <c r="I95" i="6"/>
  <c r="I103" i="6"/>
  <c r="I111" i="6"/>
  <c r="I25" i="6"/>
  <c r="I33" i="6"/>
  <c r="I49" i="6"/>
  <c r="I65" i="6"/>
  <c r="I81" i="6"/>
  <c r="I97" i="6"/>
  <c r="I13" i="6"/>
  <c r="I18" i="6"/>
  <c r="I66" i="6"/>
  <c r="I106" i="6"/>
  <c r="I16" i="6"/>
  <c r="I24" i="6"/>
  <c r="I32" i="6"/>
  <c r="I40" i="6"/>
  <c r="I48" i="6"/>
  <c r="I56" i="6"/>
  <c r="I64" i="6"/>
  <c r="I72" i="6"/>
  <c r="I80" i="6"/>
  <c r="I88" i="6"/>
  <c r="I96" i="6"/>
  <c r="I104" i="6"/>
  <c r="I112" i="6"/>
  <c r="I17" i="6"/>
  <c r="I41" i="6"/>
  <c r="I57" i="6"/>
  <c r="I73" i="6"/>
  <c r="I89" i="6"/>
  <c r="I105" i="6"/>
  <c r="I26" i="6"/>
  <c r="I58" i="6"/>
  <c r="I82" i="6"/>
  <c r="H28" i="6"/>
  <c r="H13" i="6"/>
  <c r="H21" i="6"/>
  <c r="H29" i="6"/>
  <c r="H37" i="6"/>
  <c r="H45" i="6"/>
  <c r="H53" i="6"/>
  <c r="H61" i="6"/>
  <c r="H69" i="6"/>
  <c r="H77" i="6"/>
  <c r="H85" i="6"/>
  <c r="H93" i="6"/>
  <c r="H101" i="6"/>
  <c r="H109" i="6"/>
  <c r="H15" i="6"/>
  <c r="H39" i="6"/>
  <c r="H55" i="6"/>
  <c r="H12" i="6"/>
  <c r="H14" i="6"/>
  <c r="H22" i="6"/>
  <c r="H30" i="6"/>
  <c r="H38" i="6"/>
  <c r="H46" i="6"/>
  <c r="H54" i="6"/>
  <c r="H62" i="6"/>
  <c r="H70" i="6"/>
  <c r="H78" i="6"/>
  <c r="H86" i="6"/>
  <c r="H94" i="6"/>
  <c r="H102" i="6"/>
  <c r="H110" i="6"/>
  <c r="H23" i="6"/>
  <c r="H47" i="6"/>
  <c r="H63" i="6"/>
  <c r="H71" i="6"/>
  <c r="H79" i="6"/>
  <c r="H87" i="6"/>
  <c r="H95" i="6"/>
  <c r="H103" i="6"/>
  <c r="H111" i="6"/>
  <c r="H89" i="6"/>
  <c r="H31" i="6"/>
  <c r="H16" i="6"/>
  <c r="H24" i="6"/>
  <c r="H32" i="6"/>
  <c r="H40" i="6"/>
  <c r="H48" i="6"/>
  <c r="H56" i="6"/>
  <c r="H64" i="6"/>
  <c r="H72" i="6"/>
  <c r="H80" i="6"/>
  <c r="H88" i="6"/>
  <c r="H96" i="6"/>
  <c r="H104" i="6"/>
  <c r="H112" i="6"/>
  <c r="H17" i="6"/>
  <c r="H25" i="6"/>
  <c r="H33" i="6"/>
  <c r="H41" i="6"/>
  <c r="H49" i="6"/>
  <c r="H57" i="6"/>
  <c r="H65" i="6"/>
  <c r="H73" i="6"/>
  <c r="H105" i="6"/>
  <c r="H18" i="6"/>
  <c r="H26" i="6"/>
  <c r="H34" i="6"/>
  <c r="H42" i="6"/>
  <c r="H50" i="6"/>
  <c r="H58" i="6"/>
  <c r="H66" i="6"/>
  <c r="H74" i="6"/>
  <c r="H82" i="6"/>
  <c r="H90" i="6"/>
  <c r="H98" i="6"/>
  <c r="H106" i="6"/>
  <c r="H36" i="6"/>
  <c r="H84" i="6"/>
  <c r="H100" i="6"/>
  <c r="H97" i="6"/>
  <c r="H19" i="6"/>
  <c r="H27" i="6"/>
  <c r="H35" i="6"/>
  <c r="H43" i="6"/>
  <c r="H51" i="6"/>
  <c r="H59" i="6"/>
  <c r="H67" i="6"/>
  <c r="H75" i="6"/>
  <c r="H83" i="6"/>
  <c r="H91" i="6"/>
  <c r="H99" i="6"/>
  <c r="H107" i="6"/>
  <c r="H20" i="6"/>
  <c r="H44" i="6"/>
  <c r="H52" i="6"/>
  <c r="H60" i="6"/>
  <c r="H68" i="6"/>
  <c r="H76" i="6"/>
  <c r="H92" i="6"/>
  <c r="H108" i="6"/>
  <c r="H81" i="6"/>
  <c r="F152" i="2"/>
  <c r="G105" i="1" s="1"/>
  <c r="C22" i="2"/>
  <c r="F22" i="2" s="1"/>
  <c r="F16" i="2"/>
  <c r="A280" i="4"/>
  <c r="A376" i="4" s="1"/>
  <c r="A472" i="4" s="1"/>
  <c r="A568" i="4" s="1"/>
  <c r="A664" i="4" s="1"/>
  <c r="A760" i="4" s="1"/>
  <c r="A272" i="4"/>
  <c r="A368" i="4" s="1"/>
  <c r="A464" i="4" s="1"/>
  <c r="A560" i="4" s="1"/>
  <c r="A656" i="4" s="1"/>
  <c r="A752" i="4" s="1"/>
  <c r="A264" i="4"/>
  <c r="A360" i="4" s="1"/>
  <c r="A456" i="4" s="1"/>
  <c r="A552" i="4" s="1"/>
  <c r="A648" i="4" s="1"/>
  <c r="A744" i="4" s="1"/>
  <c r="A248" i="4"/>
  <c r="A344" i="4" s="1"/>
  <c r="A440" i="4" s="1"/>
  <c r="A536" i="4" s="1"/>
  <c r="A632" i="4" s="1"/>
  <c r="A728" i="4" s="1"/>
  <c r="A240" i="4"/>
  <c r="A336" i="4" s="1"/>
  <c r="A432" i="4" s="1"/>
  <c r="A528" i="4" s="1"/>
  <c r="A624" i="4" s="1"/>
  <c r="A720" i="4" s="1"/>
  <c r="A232" i="4"/>
  <c r="A328" i="4" s="1"/>
  <c r="A424" i="4" s="1"/>
  <c r="A520" i="4" s="1"/>
  <c r="A616" i="4" s="1"/>
  <c r="A712" i="4" s="1"/>
  <c r="A216" i="4"/>
  <c r="A312" i="4" s="1"/>
  <c r="A408" i="4" s="1"/>
  <c r="A504" i="4" s="1"/>
  <c r="A600" i="4" s="1"/>
  <c r="A696" i="4" s="1"/>
  <c r="A208" i="4"/>
  <c r="A304" i="4" s="1"/>
  <c r="A400" i="4" s="1"/>
  <c r="A496" i="4" s="1"/>
  <c r="A592" i="4" s="1"/>
  <c r="A688" i="4" s="1"/>
  <c r="A200" i="4"/>
  <c r="A296" i="4" s="1"/>
  <c r="A392" i="4" s="1"/>
  <c r="A488" i="4" s="1"/>
  <c r="A584" i="4" s="1"/>
  <c r="A680" i="4" s="1"/>
  <c r="A192" i="4"/>
  <c r="A288" i="4" s="1"/>
  <c r="A384" i="4" s="1"/>
  <c r="A480" i="4" s="1"/>
  <c r="A576" i="4" s="1"/>
  <c r="A672" i="4" s="1"/>
  <c r="A768" i="4" s="1"/>
  <c r="A191" i="4"/>
  <c r="A287" i="4" s="1"/>
  <c r="A383" i="4" s="1"/>
  <c r="A479" i="4" s="1"/>
  <c r="A575" i="4" s="1"/>
  <c r="A671" i="4" s="1"/>
  <c r="A767" i="4" s="1"/>
  <c r="A190" i="4"/>
  <c r="A286" i="4" s="1"/>
  <c r="A382" i="4" s="1"/>
  <c r="A478" i="4" s="1"/>
  <c r="A574" i="4" s="1"/>
  <c r="A670" i="4" s="1"/>
  <c r="A766" i="4" s="1"/>
  <c r="A189" i="4"/>
  <c r="A285" i="4" s="1"/>
  <c r="A381" i="4" s="1"/>
  <c r="A477" i="4" s="1"/>
  <c r="A573" i="4" s="1"/>
  <c r="A669" i="4" s="1"/>
  <c r="A765" i="4" s="1"/>
  <c r="A188" i="4"/>
  <c r="A284" i="4" s="1"/>
  <c r="A380" i="4" s="1"/>
  <c r="A476" i="4" s="1"/>
  <c r="A572" i="4" s="1"/>
  <c r="A668" i="4" s="1"/>
  <c r="A764" i="4" s="1"/>
  <c r="A187" i="4"/>
  <c r="A283" i="4" s="1"/>
  <c r="A379" i="4" s="1"/>
  <c r="A475" i="4" s="1"/>
  <c r="A571" i="4" s="1"/>
  <c r="A667" i="4" s="1"/>
  <c r="A763" i="4" s="1"/>
  <c r="A186" i="4"/>
  <c r="A282" i="4" s="1"/>
  <c r="A378" i="4" s="1"/>
  <c r="A474" i="4" s="1"/>
  <c r="A570" i="4" s="1"/>
  <c r="A666" i="4" s="1"/>
  <c r="A762" i="4" s="1"/>
  <c r="A185" i="4"/>
  <c r="A281" i="4" s="1"/>
  <c r="A377" i="4" s="1"/>
  <c r="A473" i="4" s="1"/>
  <c r="A569" i="4" s="1"/>
  <c r="A665" i="4" s="1"/>
  <c r="A761" i="4" s="1"/>
  <c r="A184" i="4"/>
  <c r="A183" i="4"/>
  <c r="A279" i="4" s="1"/>
  <c r="A375" i="4" s="1"/>
  <c r="A471" i="4" s="1"/>
  <c r="A567" i="4" s="1"/>
  <c r="A663" i="4" s="1"/>
  <c r="A759" i="4" s="1"/>
  <c r="A182" i="4"/>
  <c r="A278" i="4" s="1"/>
  <c r="A374" i="4" s="1"/>
  <c r="A470" i="4" s="1"/>
  <c r="A566" i="4" s="1"/>
  <c r="A662" i="4" s="1"/>
  <c r="A758" i="4" s="1"/>
  <c r="A181" i="4"/>
  <c r="A277" i="4" s="1"/>
  <c r="A373" i="4" s="1"/>
  <c r="A469" i="4" s="1"/>
  <c r="A565" i="4" s="1"/>
  <c r="A661" i="4" s="1"/>
  <c r="A757" i="4" s="1"/>
  <c r="A180" i="4"/>
  <c r="A276" i="4" s="1"/>
  <c r="A372" i="4" s="1"/>
  <c r="A468" i="4" s="1"/>
  <c r="A564" i="4" s="1"/>
  <c r="A660" i="4" s="1"/>
  <c r="A756" i="4" s="1"/>
  <c r="A179" i="4"/>
  <c r="A275" i="4" s="1"/>
  <c r="A371" i="4" s="1"/>
  <c r="A467" i="4" s="1"/>
  <c r="A563" i="4" s="1"/>
  <c r="A659" i="4" s="1"/>
  <c r="A755" i="4" s="1"/>
  <c r="A178" i="4"/>
  <c r="A274" i="4" s="1"/>
  <c r="A370" i="4" s="1"/>
  <c r="A466" i="4" s="1"/>
  <c r="A562" i="4" s="1"/>
  <c r="A658" i="4" s="1"/>
  <c r="A754" i="4" s="1"/>
  <c r="A177" i="4"/>
  <c r="A273" i="4" s="1"/>
  <c r="A369" i="4" s="1"/>
  <c r="A465" i="4" s="1"/>
  <c r="A561" i="4" s="1"/>
  <c r="A657" i="4" s="1"/>
  <c r="A753" i="4" s="1"/>
  <c r="A176" i="4"/>
  <c r="A175" i="4"/>
  <c r="A271" i="4" s="1"/>
  <c r="A367" i="4" s="1"/>
  <c r="A463" i="4" s="1"/>
  <c r="A559" i="4" s="1"/>
  <c r="A655" i="4" s="1"/>
  <c r="A751" i="4" s="1"/>
  <c r="A174" i="4"/>
  <c r="A270" i="4" s="1"/>
  <c r="A366" i="4" s="1"/>
  <c r="A462" i="4" s="1"/>
  <c r="A558" i="4" s="1"/>
  <c r="A654" i="4" s="1"/>
  <c r="A750" i="4" s="1"/>
  <c r="A173" i="4"/>
  <c r="A269" i="4" s="1"/>
  <c r="A365" i="4" s="1"/>
  <c r="A461" i="4" s="1"/>
  <c r="A557" i="4" s="1"/>
  <c r="A653" i="4" s="1"/>
  <c r="A749" i="4" s="1"/>
  <c r="A172" i="4"/>
  <c r="A268" i="4" s="1"/>
  <c r="A364" i="4" s="1"/>
  <c r="A460" i="4" s="1"/>
  <c r="A556" i="4" s="1"/>
  <c r="A652" i="4" s="1"/>
  <c r="A748" i="4" s="1"/>
  <c r="A171" i="4"/>
  <c r="A267" i="4" s="1"/>
  <c r="A363" i="4" s="1"/>
  <c r="A459" i="4" s="1"/>
  <c r="A555" i="4" s="1"/>
  <c r="A651" i="4" s="1"/>
  <c r="A747" i="4" s="1"/>
  <c r="A170" i="4"/>
  <c r="A266" i="4" s="1"/>
  <c r="A362" i="4" s="1"/>
  <c r="A458" i="4" s="1"/>
  <c r="A554" i="4" s="1"/>
  <c r="A650" i="4" s="1"/>
  <c r="A746" i="4" s="1"/>
  <c r="A169" i="4"/>
  <c r="A265" i="4" s="1"/>
  <c r="A361" i="4" s="1"/>
  <c r="A457" i="4" s="1"/>
  <c r="A553" i="4" s="1"/>
  <c r="A649" i="4" s="1"/>
  <c r="A745" i="4" s="1"/>
  <c r="A168" i="4"/>
  <c r="A167" i="4"/>
  <c r="A263" i="4" s="1"/>
  <c r="A359" i="4" s="1"/>
  <c r="A455" i="4" s="1"/>
  <c r="A551" i="4" s="1"/>
  <c r="A647" i="4" s="1"/>
  <c r="A743" i="4" s="1"/>
  <c r="A166" i="4"/>
  <c r="A262" i="4" s="1"/>
  <c r="A358" i="4" s="1"/>
  <c r="A454" i="4" s="1"/>
  <c r="A550" i="4" s="1"/>
  <c r="A646" i="4" s="1"/>
  <c r="A742" i="4" s="1"/>
  <c r="A165" i="4"/>
  <c r="A261" i="4" s="1"/>
  <c r="A357" i="4" s="1"/>
  <c r="A453" i="4" s="1"/>
  <c r="A549" i="4" s="1"/>
  <c r="A645" i="4" s="1"/>
  <c r="A741" i="4" s="1"/>
  <c r="A164" i="4"/>
  <c r="A260" i="4" s="1"/>
  <c r="A356" i="4" s="1"/>
  <c r="A452" i="4" s="1"/>
  <c r="A548" i="4" s="1"/>
  <c r="A644" i="4" s="1"/>
  <c r="A740" i="4" s="1"/>
  <c r="A163" i="4"/>
  <c r="A259" i="4" s="1"/>
  <c r="A355" i="4" s="1"/>
  <c r="A451" i="4" s="1"/>
  <c r="A547" i="4" s="1"/>
  <c r="A643" i="4" s="1"/>
  <c r="A739" i="4" s="1"/>
  <c r="A162" i="4"/>
  <c r="A258" i="4" s="1"/>
  <c r="A354" i="4" s="1"/>
  <c r="A450" i="4" s="1"/>
  <c r="A546" i="4" s="1"/>
  <c r="A642" i="4" s="1"/>
  <c r="A738" i="4" s="1"/>
  <c r="A161" i="4"/>
  <c r="A257" i="4" s="1"/>
  <c r="A353" i="4" s="1"/>
  <c r="A449" i="4" s="1"/>
  <c r="A545" i="4" s="1"/>
  <c r="A641" i="4" s="1"/>
  <c r="A737" i="4" s="1"/>
  <c r="A160" i="4"/>
  <c r="A256" i="4" s="1"/>
  <c r="A352" i="4" s="1"/>
  <c r="A448" i="4" s="1"/>
  <c r="A544" i="4" s="1"/>
  <c r="A640" i="4" s="1"/>
  <c r="A736" i="4" s="1"/>
  <c r="A159" i="4"/>
  <c r="A255" i="4" s="1"/>
  <c r="A351" i="4" s="1"/>
  <c r="A447" i="4" s="1"/>
  <c r="A543" i="4" s="1"/>
  <c r="A639" i="4" s="1"/>
  <c r="A735" i="4" s="1"/>
  <c r="A158" i="4"/>
  <c r="A254" i="4" s="1"/>
  <c r="A350" i="4" s="1"/>
  <c r="A446" i="4" s="1"/>
  <c r="A542" i="4" s="1"/>
  <c r="A638" i="4" s="1"/>
  <c r="A734" i="4" s="1"/>
  <c r="A157" i="4"/>
  <c r="A253" i="4" s="1"/>
  <c r="A349" i="4" s="1"/>
  <c r="A445" i="4" s="1"/>
  <c r="A541" i="4" s="1"/>
  <c r="A637" i="4" s="1"/>
  <c r="A733" i="4" s="1"/>
  <c r="A156" i="4"/>
  <c r="A252" i="4" s="1"/>
  <c r="A348" i="4" s="1"/>
  <c r="A444" i="4" s="1"/>
  <c r="A540" i="4" s="1"/>
  <c r="A636" i="4" s="1"/>
  <c r="A732" i="4" s="1"/>
  <c r="A155" i="4"/>
  <c r="A251" i="4" s="1"/>
  <c r="A347" i="4" s="1"/>
  <c r="A443" i="4" s="1"/>
  <c r="A539" i="4" s="1"/>
  <c r="A635" i="4" s="1"/>
  <c r="A731" i="4" s="1"/>
  <c r="A154" i="4"/>
  <c r="A250" i="4" s="1"/>
  <c r="A346" i="4" s="1"/>
  <c r="A442" i="4" s="1"/>
  <c r="A538" i="4" s="1"/>
  <c r="A634" i="4" s="1"/>
  <c r="A730" i="4" s="1"/>
  <c r="A153" i="4"/>
  <c r="A249" i="4" s="1"/>
  <c r="A345" i="4" s="1"/>
  <c r="A441" i="4" s="1"/>
  <c r="A537" i="4" s="1"/>
  <c r="A633" i="4" s="1"/>
  <c r="A729" i="4" s="1"/>
  <c r="A152" i="4"/>
  <c r="A151" i="4"/>
  <c r="A247" i="4" s="1"/>
  <c r="A343" i="4" s="1"/>
  <c r="A439" i="4" s="1"/>
  <c r="A535" i="4" s="1"/>
  <c r="A631" i="4" s="1"/>
  <c r="A727" i="4" s="1"/>
  <c r="A150" i="4"/>
  <c r="A246" i="4" s="1"/>
  <c r="A342" i="4" s="1"/>
  <c r="A438" i="4" s="1"/>
  <c r="A534" i="4" s="1"/>
  <c r="A630" i="4" s="1"/>
  <c r="A726" i="4" s="1"/>
  <c r="A149" i="4"/>
  <c r="A245" i="4" s="1"/>
  <c r="A341" i="4" s="1"/>
  <c r="A437" i="4" s="1"/>
  <c r="A533" i="4" s="1"/>
  <c r="A629" i="4" s="1"/>
  <c r="A725" i="4" s="1"/>
  <c r="A148" i="4"/>
  <c r="A244" i="4" s="1"/>
  <c r="A340" i="4" s="1"/>
  <c r="A436" i="4" s="1"/>
  <c r="A532" i="4" s="1"/>
  <c r="A628" i="4" s="1"/>
  <c r="A724" i="4" s="1"/>
  <c r="A147" i="4"/>
  <c r="A243" i="4" s="1"/>
  <c r="A339" i="4" s="1"/>
  <c r="A435" i="4" s="1"/>
  <c r="A531" i="4" s="1"/>
  <c r="A627" i="4" s="1"/>
  <c r="A723" i="4" s="1"/>
  <c r="A146" i="4"/>
  <c r="A242" i="4" s="1"/>
  <c r="A338" i="4" s="1"/>
  <c r="A434" i="4" s="1"/>
  <c r="A530" i="4" s="1"/>
  <c r="A626" i="4" s="1"/>
  <c r="A722" i="4" s="1"/>
  <c r="A145" i="4"/>
  <c r="A241" i="4" s="1"/>
  <c r="A337" i="4" s="1"/>
  <c r="A433" i="4" s="1"/>
  <c r="A529" i="4" s="1"/>
  <c r="A625" i="4" s="1"/>
  <c r="A721" i="4" s="1"/>
  <c r="A144" i="4"/>
  <c r="A143" i="4"/>
  <c r="A239" i="4" s="1"/>
  <c r="A335" i="4" s="1"/>
  <c r="A431" i="4" s="1"/>
  <c r="A527" i="4" s="1"/>
  <c r="A623" i="4" s="1"/>
  <c r="A719" i="4" s="1"/>
  <c r="A142" i="4"/>
  <c r="A238" i="4" s="1"/>
  <c r="A334" i="4" s="1"/>
  <c r="A430" i="4" s="1"/>
  <c r="A526" i="4" s="1"/>
  <c r="A622" i="4" s="1"/>
  <c r="A718" i="4" s="1"/>
  <c r="A141" i="4"/>
  <c r="A237" i="4" s="1"/>
  <c r="A333" i="4" s="1"/>
  <c r="A429" i="4" s="1"/>
  <c r="A525" i="4" s="1"/>
  <c r="A621" i="4" s="1"/>
  <c r="A717" i="4" s="1"/>
  <c r="A140" i="4"/>
  <c r="A236" i="4" s="1"/>
  <c r="A332" i="4" s="1"/>
  <c r="A428" i="4" s="1"/>
  <c r="A524" i="4" s="1"/>
  <c r="A620" i="4" s="1"/>
  <c r="A716" i="4" s="1"/>
  <c r="A139" i="4"/>
  <c r="A235" i="4" s="1"/>
  <c r="A331" i="4" s="1"/>
  <c r="A427" i="4" s="1"/>
  <c r="A523" i="4" s="1"/>
  <c r="A619" i="4" s="1"/>
  <c r="A715" i="4" s="1"/>
  <c r="A138" i="4"/>
  <c r="A234" i="4" s="1"/>
  <c r="A330" i="4" s="1"/>
  <c r="A426" i="4" s="1"/>
  <c r="A522" i="4" s="1"/>
  <c r="A618" i="4" s="1"/>
  <c r="A714" i="4" s="1"/>
  <c r="A137" i="4"/>
  <c r="A233" i="4" s="1"/>
  <c r="A329" i="4" s="1"/>
  <c r="A425" i="4" s="1"/>
  <c r="A521" i="4" s="1"/>
  <c r="A617" i="4" s="1"/>
  <c r="A713" i="4" s="1"/>
  <c r="A136" i="4"/>
  <c r="A135" i="4"/>
  <c r="A231" i="4" s="1"/>
  <c r="A327" i="4" s="1"/>
  <c r="A423" i="4" s="1"/>
  <c r="A519" i="4" s="1"/>
  <c r="A615" i="4" s="1"/>
  <c r="A711" i="4" s="1"/>
  <c r="A134" i="4"/>
  <c r="A230" i="4" s="1"/>
  <c r="A326" i="4" s="1"/>
  <c r="A422" i="4" s="1"/>
  <c r="A518" i="4" s="1"/>
  <c r="A614" i="4" s="1"/>
  <c r="A710" i="4" s="1"/>
  <c r="A133" i="4"/>
  <c r="A229" i="4" s="1"/>
  <c r="A325" i="4" s="1"/>
  <c r="A421" i="4" s="1"/>
  <c r="A517" i="4" s="1"/>
  <c r="A613" i="4" s="1"/>
  <c r="A709" i="4" s="1"/>
  <c r="A132" i="4"/>
  <c r="A228" i="4" s="1"/>
  <c r="A324" i="4" s="1"/>
  <c r="A420" i="4" s="1"/>
  <c r="A516" i="4" s="1"/>
  <c r="A612" i="4" s="1"/>
  <c r="A708" i="4" s="1"/>
  <c r="A131" i="4"/>
  <c r="A227" i="4" s="1"/>
  <c r="A323" i="4" s="1"/>
  <c r="A419" i="4" s="1"/>
  <c r="A515" i="4" s="1"/>
  <c r="A611" i="4" s="1"/>
  <c r="A707" i="4" s="1"/>
  <c r="A130" i="4"/>
  <c r="A226" i="4" s="1"/>
  <c r="A322" i="4" s="1"/>
  <c r="A418" i="4" s="1"/>
  <c r="A514" i="4" s="1"/>
  <c r="A610" i="4" s="1"/>
  <c r="A706" i="4" s="1"/>
  <c r="A129" i="4"/>
  <c r="A225" i="4" s="1"/>
  <c r="A321" i="4" s="1"/>
  <c r="A417" i="4" s="1"/>
  <c r="A513" i="4" s="1"/>
  <c r="A609" i="4" s="1"/>
  <c r="A705" i="4" s="1"/>
  <c r="A128" i="4"/>
  <c r="A224" i="4" s="1"/>
  <c r="A320" i="4" s="1"/>
  <c r="A416" i="4" s="1"/>
  <c r="A512" i="4" s="1"/>
  <c r="A608" i="4" s="1"/>
  <c r="A704" i="4" s="1"/>
  <c r="A127" i="4"/>
  <c r="A223" i="4" s="1"/>
  <c r="A319" i="4" s="1"/>
  <c r="A415" i="4" s="1"/>
  <c r="A511" i="4" s="1"/>
  <c r="A607" i="4" s="1"/>
  <c r="A703" i="4" s="1"/>
  <c r="A126" i="4"/>
  <c r="A222" i="4" s="1"/>
  <c r="A318" i="4" s="1"/>
  <c r="A414" i="4" s="1"/>
  <c r="A510" i="4" s="1"/>
  <c r="A606" i="4" s="1"/>
  <c r="A702" i="4" s="1"/>
  <c r="A125" i="4"/>
  <c r="A221" i="4" s="1"/>
  <c r="A317" i="4" s="1"/>
  <c r="A413" i="4" s="1"/>
  <c r="A509" i="4" s="1"/>
  <c r="A605" i="4" s="1"/>
  <c r="A701" i="4" s="1"/>
  <c r="A124" i="4"/>
  <c r="A220" i="4" s="1"/>
  <c r="A316" i="4" s="1"/>
  <c r="A412" i="4" s="1"/>
  <c r="A508" i="4" s="1"/>
  <c r="A604" i="4" s="1"/>
  <c r="A700" i="4" s="1"/>
  <c r="A123" i="4"/>
  <c r="A219" i="4" s="1"/>
  <c r="A315" i="4" s="1"/>
  <c r="A411" i="4" s="1"/>
  <c r="A507" i="4" s="1"/>
  <c r="A603" i="4" s="1"/>
  <c r="A699" i="4" s="1"/>
  <c r="A122" i="4"/>
  <c r="A218" i="4" s="1"/>
  <c r="A314" i="4" s="1"/>
  <c r="A410" i="4" s="1"/>
  <c r="A506" i="4" s="1"/>
  <c r="A602" i="4" s="1"/>
  <c r="A698" i="4" s="1"/>
  <c r="A121" i="4"/>
  <c r="A217" i="4" s="1"/>
  <c r="A313" i="4" s="1"/>
  <c r="A409" i="4" s="1"/>
  <c r="A505" i="4" s="1"/>
  <c r="A601" i="4" s="1"/>
  <c r="A697" i="4" s="1"/>
  <c r="A120" i="4"/>
  <c r="A119" i="4"/>
  <c r="A215" i="4" s="1"/>
  <c r="A311" i="4" s="1"/>
  <c r="A407" i="4" s="1"/>
  <c r="A503" i="4" s="1"/>
  <c r="A599" i="4" s="1"/>
  <c r="A695" i="4" s="1"/>
  <c r="A118" i="4"/>
  <c r="A214" i="4" s="1"/>
  <c r="A310" i="4" s="1"/>
  <c r="A406" i="4" s="1"/>
  <c r="A502" i="4" s="1"/>
  <c r="A598" i="4" s="1"/>
  <c r="A694" i="4" s="1"/>
  <c r="A117" i="4"/>
  <c r="A213" i="4" s="1"/>
  <c r="A309" i="4" s="1"/>
  <c r="A405" i="4" s="1"/>
  <c r="A501" i="4" s="1"/>
  <c r="A597" i="4" s="1"/>
  <c r="A693" i="4" s="1"/>
  <c r="A116" i="4"/>
  <c r="A212" i="4" s="1"/>
  <c r="A308" i="4" s="1"/>
  <c r="A404" i="4" s="1"/>
  <c r="A500" i="4" s="1"/>
  <c r="A596" i="4" s="1"/>
  <c r="A692" i="4" s="1"/>
  <c r="A115" i="4"/>
  <c r="A211" i="4" s="1"/>
  <c r="A307" i="4" s="1"/>
  <c r="A403" i="4" s="1"/>
  <c r="A499" i="4" s="1"/>
  <c r="A595" i="4" s="1"/>
  <c r="A691" i="4" s="1"/>
  <c r="A114" i="4"/>
  <c r="A210" i="4" s="1"/>
  <c r="A306" i="4" s="1"/>
  <c r="A402" i="4" s="1"/>
  <c r="A498" i="4" s="1"/>
  <c r="A594" i="4" s="1"/>
  <c r="A690" i="4" s="1"/>
  <c r="A113" i="4"/>
  <c r="A209" i="4" s="1"/>
  <c r="A305" i="4" s="1"/>
  <c r="A401" i="4" s="1"/>
  <c r="A497" i="4" s="1"/>
  <c r="A593" i="4" s="1"/>
  <c r="A689" i="4" s="1"/>
  <c r="A112" i="4"/>
  <c r="A111" i="4"/>
  <c r="A207" i="4" s="1"/>
  <c r="A303" i="4" s="1"/>
  <c r="A399" i="4" s="1"/>
  <c r="A495" i="4" s="1"/>
  <c r="A591" i="4" s="1"/>
  <c r="A687" i="4" s="1"/>
  <c r="A110" i="4"/>
  <c r="A206" i="4" s="1"/>
  <c r="A302" i="4" s="1"/>
  <c r="A398" i="4" s="1"/>
  <c r="A494" i="4" s="1"/>
  <c r="A590" i="4" s="1"/>
  <c r="A686" i="4" s="1"/>
  <c r="A109" i="4"/>
  <c r="A205" i="4" s="1"/>
  <c r="A301" i="4" s="1"/>
  <c r="A397" i="4" s="1"/>
  <c r="A493" i="4" s="1"/>
  <c r="A589" i="4" s="1"/>
  <c r="A685" i="4" s="1"/>
  <c r="A108" i="4"/>
  <c r="A204" i="4" s="1"/>
  <c r="A300" i="4" s="1"/>
  <c r="A396" i="4" s="1"/>
  <c r="A492" i="4" s="1"/>
  <c r="A588" i="4" s="1"/>
  <c r="A684" i="4" s="1"/>
  <c r="A107" i="4"/>
  <c r="A203" i="4" s="1"/>
  <c r="A299" i="4" s="1"/>
  <c r="A395" i="4" s="1"/>
  <c r="A491" i="4" s="1"/>
  <c r="A587" i="4" s="1"/>
  <c r="A683" i="4" s="1"/>
  <c r="A106" i="4"/>
  <c r="A202" i="4" s="1"/>
  <c r="A298" i="4" s="1"/>
  <c r="A394" i="4" s="1"/>
  <c r="A490" i="4" s="1"/>
  <c r="A586" i="4" s="1"/>
  <c r="A682" i="4" s="1"/>
  <c r="A105" i="4"/>
  <c r="A201" i="4" s="1"/>
  <c r="A297" i="4" s="1"/>
  <c r="A393" i="4" s="1"/>
  <c r="A489" i="4" s="1"/>
  <c r="A585" i="4" s="1"/>
  <c r="A681" i="4" s="1"/>
  <c r="A104" i="4"/>
  <c r="A103" i="4"/>
  <c r="A199" i="4" s="1"/>
  <c r="A295" i="4" s="1"/>
  <c r="A391" i="4" s="1"/>
  <c r="A487" i="4" s="1"/>
  <c r="A583" i="4" s="1"/>
  <c r="A679" i="4" s="1"/>
  <c r="A102" i="4"/>
  <c r="A198" i="4" s="1"/>
  <c r="A294" i="4" s="1"/>
  <c r="A390" i="4" s="1"/>
  <c r="A486" i="4" s="1"/>
  <c r="A582" i="4" s="1"/>
  <c r="A678" i="4" s="1"/>
  <c r="A101" i="4"/>
  <c r="A197" i="4" s="1"/>
  <c r="A293" i="4" s="1"/>
  <c r="A389" i="4" s="1"/>
  <c r="A485" i="4" s="1"/>
  <c r="A581" i="4" s="1"/>
  <c r="A677" i="4" s="1"/>
  <c r="A100" i="4"/>
  <c r="A196" i="4" s="1"/>
  <c r="A292" i="4" s="1"/>
  <c r="A388" i="4" s="1"/>
  <c r="A484" i="4" s="1"/>
  <c r="A580" i="4" s="1"/>
  <c r="A676" i="4" s="1"/>
  <c r="A99" i="4"/>
  <c r="A195" i="4" s="1"/>
  <c r="A291" i="4" s="1"/>
  <c r="A387" i="4" s="1"/>
  <c r="A483" i="4" s="1"/>
  <c r="A579" i="4" s="1"/>
  <c r="A675" i="4" s="1"/>
  <c r="A98" i="4"/>
  <c r="A194" i="4" s="1"/>
  <c r="A290" i="4" s="1"/>
  <c r="A386" i="4" s="1"/>
  <c r="A482" i="4" s="1"/>
  <c r="A578" i="4" s="1"/>
  <c r="A674" i="4" s="1"/>
  <c r="A97" i="4"/>
  <c r="A193" i="4" s="1"/>
  <c r="A289" i="4" s="1"/>
  <c r="A385" i="4" s="1"/>
  <c r="A481" i="4" s="1"/>
  <c r="A577" i="4" s="1"/>
  <c r="A673" i="4" s="1"/>
  <c r="A769" i="4" s="1"/>
  <c r="C214" i="2" l="1"/>
  <c r="F214" i="2" s="1"/>
  <c r="C54" i="2"/>
  <c r="F54" i="2" s="1"/>
  <c r="AJ7" i="6"/>
  <c r="AT42" i="6" s="1"/>
  <c r="AX98" i="6"/>
  <c r="AY98" i="6" s="1"/>
  <c r="BI98" i="6" s="1"/>
  <c r="D14" i="7"/>
  <c r="D13" i="7"/>
  <c r="D15" i="7" s="1"/>
  <c r="D16" i="7" s="1"/>
  <c r="D17" i="7" s="1"/>
  <c r="D18" i="7" s="1"/>
  <c r="G94" i="7" s="1"/>
  <c r="AI42" i="6"/>
  <c r="AI26" i="6"/>
  <c r="AI43" i="6"/>
  <c r="AS12" i="6"/>
  <c r="AS28" i="6"/>
  <c r="AX47" i="6"/>
  <c r="AY47" i="6" s="1"/>
  <c r="BI47" i="6" s="1"/>
  <c r="AX48" i="6"/>
  <c r="AY48" i="6" s="1"/>
  <c r="BI48" i="6" s="1"/>
  <c r="AX76" i="6"/>
  <c r="AY76" i="6" s="1"/>
  <c r="BI76" i="6" s="1"/>
  <c r="AX54" i="6"/>
  <c r="AY54" i="6" s="1"/>
  <c r="BI54" i="6" s="1"/>
  <c r="AX56" i="6"/>
  <c r="AY56" i="6" s="1"/>
  <c r="BI56" i="6" s="1"/>
  <c r="AX23" i="6"/>
  <c r="AY23" i="6" s="1"/>
  <c r="BI23" i="6" s="1"/>
  <c r="AX64" i="6"/>
  <c r="AY64" i="6" s="1"/>
  <c r="BI64" i="6" s="1"/>
  <c r="AX87" i="6"/>
  <c r="AX104" i="6"/>
  <c r="AY104" i="6" s="1"/>
  <c r="BI104" i="6" s="1"/>
  <c r="AX108" i="6"/>
  <c r="AY108" i="6" s="1"/>
  <c r="BI108" i="6" s="1"/>
  <c r="AX39" i="6"/>
  <c r="AY39" i="6" s="1"/>
  <c r="BI39" i="6" s="1"/>
  <c r="AX44" i="6"/>
  <c r="AY44" i="6" s="1"/>
  <c r="BI44" i="6" s="1"/>
  <c r="AX82" i="6"/>
  <c r="AY82" i="6" s="1"/>
  <c r="BI82" i="6" s="1"/>
  <c r="AX101" i="6"/>
  <c r="AY101" i="6" s="1"/>
  <c r="BI101" i="6" s="1"/>
  <c r="AX25" i="6"/>
  <c r="AY25" i="6" s="1"/>
  <c r="BI25" i="6" s="1"/>
  <c r="AX62" i="6"/>
  <c r="AY62" i="6" s="1"/>
  <c r="BI62" i="6" s="1"/>
  <c r="AX90" i="6"/>
  <c r="AY90" i="6" s="1"/>
  <c r="BI90" i="6" s="1"/>
  <c r="AX80" i="6"/>
  <c r="AY80" i="6" s="1"/>
  <c r="BI80" i="6" s="1"/>
  <c r="AX92" i="6"/>
  <c r="AY92" i="6" s="1"/>
  <c r="BI92" i="6" s="1"/>
  <c r="AX73" i="6"/>
  <c r="AY73" i="6" s="1"/>
  <c r="BI73" i="6" s="1"/>
  <c r="AX46" i="6"/>
  <c r="AY46" i="6" s="1"/>
  <c r="BI46" i="6" s="1"/>
  <c r="AX66" i="6"/>
  <c r="AY66" i="6" s="1"/>
  <c r="BI66" i="6" s="1"/>
  <c r="AX51" i="6"/>
  <c r="AY51" i="6" s="1"/>
  <c r="BI51" i="6" s="1"/>
  <c r="AX85" i="6"/>
  <c r="AY85" i="6" s="1"/>
  <c r="BI85" i="6" s="1"/>
  <c r="AX55" i="6"/>
  <c r="AY55" i="6" s="1"/>
  <c r="BI55" i="6" s="1"/>
  <c r="AX41" i="6"/>
  <c r="AY41" i="6" s="1"/>
  <c r="BI41" i="6" s="1"/>
  <c r="AX32" i="6"/>
  <c r="AY32" i="6" s="1"/>
  <c r="BI32" i="6" s="1"/>
  <c r="AX86" i="6"/>
  <c r="AY86" i="6" s="1"/>
  <c r="BI86" i="6" s="1"/>
  <c r="AX63" i="6"/>
  <c r="AY63" i="6" s="1"/>
  <c r="BI63" i="6" s="1"/>
  <c r="AX49" i="6"/>
  <c r="AY49" i="6" s="1"/>
  <c r="BI49" i="6" s="1"/>
  <c r="AX57" i="6"/>
  <c r="AY57" i="6" s="1"/>
  <c r="BI57" i="6" s="1"/>
  <c r="AX53" i="6"/>
  <c r="AY53" i="6" s="1"/>
  <c r="BI53" i="6" s="1"/>
  <c r="AX75" i="6"/>
  <c r="AY75" i="6" s="1"/>
  <c r="BI75" i="6" s="1"/>
  <c r="AX29" i="6"/>
  <c r="AY29" i="6" s="1"/>
  <c r="BI29" i="6" s="1"/>
  <c r="AX59" i="6"/>
  <c r="AY59" i="6" s="1"/>
  <c r="BI59" i="6" s="1"/>
  <c r="AX70" i="6"/>
  <c r="AY70" i="6" s="1"/>
  <c r="BI70" i="6" s="1"/>
  <c r="C211" i="2"/>
  <c r="F211" i="2" s="1"/>
  <c r="C212" i="2"/>
  <c r="F212" i="2" s="1"/>
  <c r="AS87" i="6"/>
  <c r="AX94" i="6"/>
  <c r="AY94" i="6" s="1"/>
  <c r="BI94" i="6" s="1"/>
  <c r="AX24" i="6"/>
  <c r="AY24" i="6" s="1"/>
  <c r="BI24" i="6" s="1"/>
  <c r="AX97" i="6"/>
  <c r="AY97" i="6" s="1"/>
  <c r="BI97" i="6" s="1"/>
  <c r="AX102" i="6"/>
  <c r="AY102" i="6" s="1"/>
  <c r="BI102" i="6" s="1"/>
  <c r="AX89" i="6"/>
  <c r="AY89" i="6" s="1"/>
  <c r="BI89" i="6" s="1"/>
  <c r="AX26" i="6"/>
  <c r="AY26" i="6" s="1"/>
  <c r="BI26" i="6" s="1"/>
  <c r="AX20" i="6"/>
  <c r="AY20" i="6" s="1"/>
  <c r="BI20" i="6" s="1"/>
  <c r="AX40" i="6"/>
  <c r="AY40" i="6" s="1"/>
  <c r="BI40" i="6" s="1"/>
  <c r="AX95" i="6"/>
  <c r="AY95" i="6" s="1"/>
  <c r="BI95" i="6" s="1"/>
  <c r="AX37" i="6"/>
  <c r="AY37" i="6" s="1"/>
  <c r="BI37" i="6" s="1"/>
  <c r="AX31" i="6"/>
  <c r="AY31" i="6" s="1"/>
  <c r="BI31" i="6" s="1"/>
  <c r="AX14" i="6"/>
  <c r="AY14" i="6" s="1"/>
  <c r="BI14" i="6" s="1"/>
  <c r="J12" i="6"/>
  <c r="BA12" i="6"/>
  <c r="AX13" i="6"/>
  <c r="AY13" i="6" s="1"/>
  <c r="BI13" i="6" s="1"/>
  <c r="AX38" i="6"/>
  <c r="AY38" i="6" s="1"/>
  <c r="BI38" i="6" s="1"/>
  <c r="AX96" i="6"/>
  <c r="AY96" i="6" s="1"/>
  <c r="BI96" i="6" s="1"/>
  <c r="AX88" i="6"/>
  <c r="AY88" i="6" s="1"/>
  <c r="BI88" i="6" s="1"/>
  <c r="AX100" i="6"/>
  <c r="AY100" i="6" s="1"/>
  <c r="BI100" i="6" s="1"/>
  <c r="AX109" i="6"/>
  <c r="AY109" i="6" s="1"/>
  <c r="BI109" i="6" s="1"/>
  <c r="AX81" i="6"/>
  <c r="AY81" i="6" s="1"/>
  <c r="BI81" i="6" s="1"/>
  <c r="AX77" i="6"/>
  <c r="AY77" i="6" s="1"/>
  <c r="BI77" i="6" s="1"/>
  <c r="AX69" i="6"/>
  <c r="AY69" i="6" s="1"/>
  <c r="BI69" i="6" s="1"/>
  <c r="AX105" i="6"/>
  <c r="AY105" i="6" s="1"/>
  <c r="BI105" i="6" s="1"/>
  <c r="AX99" i="6"/>
  <c r="AY99" i="6" s="1"/>
  <c r="BI99" i="6" s="1"/>
  <c r="AX78" i="6"/>
  <c r="AY78" i="6" s="1"/>
  <c r="BI78" i="6" s="1"/>
  <c r="AX71" i="6"/>
  <c r="AY71" i="6" s="1"/>
  <c r="BI71" i="6" s="1"/>
  <c r="AX65" i="6"/>
  <c r="AY65" i="6" s="1"/>
  <c r="BI65" i="6" s="1"/>
  <c r="AX103" i="6"/>
  <c r="AY103" i="6" s="1"/>
  <c r="BI103" i="6" s="1"/>
  <c r="AX33" i="6"/>
  <c r="AY33" i="6" s="1"/>
  <c r="BI33" i="6" s="1"/>
  <c r="AX107" i="6"/>
  <c r="AY107" i="6" s="1"/>
  <c r="BI107" i="6" s="1"/>
  <c r="AX19" i="6"/>
  <c r="AY19" i="6" s="1"/>
  <c r="BI19" i="6" s="1"/>
  <c r="AX52" i="6"/>
  <c r="AY52" i="6" s="1"/>
  <c r="BI52" i="6" s="1"/>
  <c r="AX83" i="6"/>
  <c r="AY83" i="6" s="1"/>
  <c r="BI83" i="6" s="1"/>
  <c r="AX72" i="6"/>
  <c r="AY72" i="6" s="1"/>
  <c r="BI72" i="6" s="1"/>
  <c r="AX93" i="6"/>
  <c r="AY93" i="6" s="1"/>
  <c r="BI93" i="6" s="1"/>
  <c r="AX16" i="6"/>
  <c r="AY16" i="6" s="1"/>
  <c r="BI16" i="6" s="1"/>
  <c r="AX28" i="6"/>
  <c r="AY28" i="6" s="1"/>
  <c r="BI28" i="6" s="1"/>
  <c r="AX22" i="6"/>
  <c r="AY22" i="6" s="1"/>
  <c r="BI22" i="6" s="1"/>
  <c r="AX18" i="6"/>
  <c r="AY18" i="6" s="1"/>
  <c r="BI18" i="6" s="1"/>
  <c r="AS64" i="6"/>
  <c r="AX17" i="6"/>
  <c r="AY17" i="6" s="1"/>
  <c r="BI17" i="6" s="1"/>
  <c r="AX43" i="6"/>
  <c r="AY43" i="6" s="1"/>
  <c r="BI43" i="6" s="1"/>
  <c r="AX60" i="6"/>
  <c r="AY60" i="6" s="1"/>
  <c r="BI60" i="6" s="1"/>
  <c r="AX58" i="6"/>
  <c r="AY58" i="6" s="1"/>
  <c r="BI58" i="6" s="1"/>
  <c r="AX61" i="6"/>
  <c r="AY61" i="6" s="1"/>
  <c r="BI61" i="6" s="1"/>
  <c r="AX42" i="6"/>
  <c r="AY42" i="6" s="1"/>
  <c r="BI42" i="6" s="1"/>
  <c r="AX67" i="6"/>
  <c r="AY67" i="6" s="1"/>
  <c r="BI67" i="6" s="1"/>
  <c r="AX106" i="6"/>
  <c r="AY106" i="6" s="1"/>
  <c r="BI106" i="6" s="1"/>
  <c r="AX35" i="6"/>
  <c r="AY35" i="6" s="1"/>
  <c r="BI35" i="6" s="1"/>
  <c r="AX45" i="6"/>
  <c r="AY45" i="6" s="1"/>
  <c r="BI45" i="6" s="1"/>
  <c r="AX34" i="6"/>
  <c r="AY34" i="6" s="1"/>
  <c r="BI34" i="6" s="1"/>
  <c r="AX84" i="6"/>
  <c r="AY84" i="6" s="1"/>
  <c r="BI84" i="6" s="1"/>
  <c r="AX36" i="6"/>
  <c r="AY36" i="6" s="1"/>
  <c r="BI36" i="6" s="1"/>
  <c r="AY87" i="6"/>
  <c r="BI87" i="6" s="1"/>
  <c r="AX74" i="6"/>
  <c r="AY74" i="6" s="1"/>
  <c r="BI74" i="6" s="1"/>
  <c r="AX50" i="6"/>
  <c r="AY50" i="6" s="1"/>
  <c r="BI50" i="6" s="1"/>
  <c r="AX111" i="6"/>
  <c r="AY111" i="6" s="1"/>
  <c r="BI111" i="6" s="1"/>
  <c r="AX112" i="6"/>
  <c r="AY112" i="6" s="1"/>
  <c r="AX27" i="6"/>
  <c r="AY27" i="6" s="1"/>
  <c r="BI27" i="6" s="1"/>
  <c r="AX15" i="6"/>
  <c r="AY15" i="6" s="1"/>
  <c r="BI15" i="6" s="1"/>
  <c r="AX91" i="6"/>
  <c r="AY91" i="6" s="1"/>
  <c r="BI91" i="6" s="1"/>
  <c r="AX79" i="6"/>
  <c r="AY79" i="6" s="1"/>
  <c r="BI79" i="6" s="1"/>
  <c r="AX12" i="6"/>
  <c r="AY12" i="6" s="1"/>
  <c r="BI12" i="6" s="1"/>
  <c r="AX21" i="6"/>
  <c r="AY21" i="6" s="1"/>
  <c r="BI21" i="6" s="1"/>
  <c r="AX110" i="6"/>
  <c r="AY110" i="6" s="1"/>
  <c r="BI110" i="6" s="1"/>
  <c r="AX30" i="6"/>
  <c r="AY30" i="6" s="1"/>
  <c r="BI30" i="6" s="1"/>
  <c r="AX68" i="6"/>
  <c r="AY68" i="6" s="1"/>
  <c r="BI68" i="6" s="1"/>
  <c r="AS40" i="6"/>
  <c r="BA26" i="6"/>
  <c r="F26" i="6"/>
  <c r="L26" i="6" s="1"/>
  <c r="D26" i="6"/>
  <c r="J26" i="6" s="1"/>
  <c r="E26" i="6"/>
  <c r="K26" i="6" s="1"/>
  <c r="BA104" i="6"/>
  <c r="E104" i="6"/>
  <c r="D104" i="6"/>
  <c r="F104" i="6"/>
  <c r="BA40" i="6"/>
  <c r="F40" i="6"/>
  <c r="L40" i="6" s="1"/>
  <c r="E40" i="6"/>
  <c r="K40" i="6" s="1"/>
  <c r="D40" i="6"/>
  <c r="J40" i="6" s="1"/>
  <c r="BA97" i="6"/>
  <c r="D97" i="6"/>
  <c r="F97" i="6"/>
  <c r="E97" i="6"/>
  <c r="BA95" i="6"/>
  <c r="E95" i="6"/>
  <c r="D95" i="6"/>
  <c r="F95" i="6"/>
  <c r="BA31" i="6"/>
  <c r="E31" i="6"/>
  <c r="K31" i="6" s="1"/>
  <c r="D31" i="6"/>
  <c r="J31" i="6" s="1"/>
  <c r="F31" i="6"/>
  <c r="L31" i="6" s="1"/>
  <c r="BA22" i="6"/>
  <c r="F22" i="6"/>
  <c r="L22" i="6" s="1"/>
  <c r="E22" i="6"/>
  <c r="K22" i="6" s="1"/>
  <c r="D22" i="6"/>
  <c r="J22" i="6" s="1"/>
  <c r="BA53" i="6"/>
  <c r="F53" i="6"/>
  <c r="L53" i="6" s="1"/>
  <c r="E53" i="6"/>
  <c r="K53" i="6" s="1"/>
  <c r="D53" i="6"/>
  <c r="J53" i="6" s="1"/>
  <c r="BA62" i="6"/>
  <c r="D62" i="6"/>
  <c r="J62" i="6" s="1"/>
  <c r="E62" i="6"/>
  <c r="K62" i="6" s="1"/>
  <c r="F62" i="6"/>
  <c r="L62" i="6" s="1"/>
  <c r="BA68" i="6"/>
  <c r="D68" i="6"/>
  <c r="J68" i="6" s="1"/>
  <c r="F68" i="6"/>
  <c r="L68" i="6" s="1"/>
  <c r="E68" i="6"/>
  <c r="K68" i="6" s="1"/>
  <c r="BA34" i="6"/>
  <c r="F34" i="6"/>
  <c r="L34" i="6" s="1"/>
  <c r="E34" i="6"/>
  <c r="K34" i="6" s="1"/>
  <c r="D34" i="6"/>
  <c r="J34" i="6" s="1"/>
  <c r="BA91" i="6"/>
  <c r="D91" i="6"/>
  <c r="F91" i="6"/>
  <c r="E91" i="6"/>
  <c r="BA27" i="6"/>
  <c r="D27" i="6"/>
  <c r="J27" i="6" s="1"/>
  <c r="E27" i="6"/>
  <c r="K27" i="6" s="1"/>
  <c r="F27" i="6"/>
  <c r="L27" i="6" s="1"/>
  <c r="BA105" i="6"/>
  <c r="D105" i="6"/>
  <c r="F105" i="6"/>
  <c r="E105" i="6"/>
  <c r="BA96" i="6"/>
  <c r="D96" i="6"/>
  <c r="E96" i="6"/>
  <c r="F96" i="6"/>
  <c r="BA32" i="6"/>
  <c r="F32" i="6"/>
  <c r="L32" i="6" s="1"/>
  <c r="E32" i="6"/>
  <c r="K32" i="6" s="1"/>
  <c r="D32" i="6"/>
  <c r="J32" i="6" s="1"/>
  <c r="BA81" i="6"/>
  <c r="D81" i="6"/>
  <c r="F81" i="6"/>
  <c r="E81" i="6"/>
  <c r="BA87" i="6"/>
  <c r="E87" i="6"/>
  <c r="D87" i="6"/>
  <c r="F87" i="6"/>
  <c r="BA23" i="6"/>
  <c r="E23" i="6"/>
  <c r="K23" i="6" s="1"/>
  <c r="D23" i="6"/>
  <c r="J23" i="6" s="1"/>
  <c r="F23" i="6"/>
  <c r="L23" i="6" s="1"/>
  <c r="BA109" i="6"/>
  <c r="E109" i="6"/>
  <c r="D109" i="6"/>
  <c r="F109" i="6"/>
  <c r="BA45" i="6"/>
  <c r="E45" i="6"/>
  <c r="K45" i="6" s="1"/>
  <c r="F45" i="6"/>
  <c r="L45" i="6" s="1"/>
  <c r="D45" i="6"/>
  <c r="J45" i="6" s="1"/>
  <c r="BA38" i="6"/>
  <c r="E38" i="6"/>
  <c r="K38" i="6" s="1"/>
  <c r="D38" i="6"/>
  <c r="J38" i="6" s="1"/>
  <c r="F38" i="6"/>
  <c r="L38" i="6" s="1"/>
  <c r="BA60" i="6"/>
  <c r="F60" i="6"/>
  <c r="L60" i="6" s="1"/>
  <c r="E60" i="6"/>
  <c r="K60" i="6" s="1"/>
  <c r="D60" i="6"/>
  <c r="J60" i="6" s="1"/>
  <c r="BA110" i="6"/>
  <c r="F110" i="6"/>
  <c r="D110" i="6"/>
  <c r="E110" i="6"/>
  <c r="BA83" i="6"/>
  <c r="F83" i="6"/>
  <c r="E83" i="6"/>
  <c r="D83" i="6"/>
  <c r="BA19" i="6"/>
  <c r="F19" i="6"/>
  <c r="L19" i="6" s="1"/>
  <c r="D19" i="6"/>
  <c r="J19" i="6" s="1"/>
  <c r="E19" i="6"/>
  <c r="K19" i="6" s="1"/>
  <c r="BA89" i="6"/>
  <c r="E89" i="6"/>
  <c r="D89" i="6"/>
  <c r="F89" i="6"/>
  <c r="BA88" i="6"/>
  <c r="D88" i="6"/>
  <c r="E88" i="6"/>
  <c r="F88" i="6"/>
  <c r="BA24" i="6"/>
  <c r="D24" i="6"/>
  <c r="J24" i="6" s="1"/>
  <c r="F24" i="6"/>
  <c r="L24" i="6" s="1"/>
  <c r="E24" i="6"/>
  <c r="K24" i="6" s="1"/>
  <c r="BA65" i="6"/>
  <c r="D65" i="6"/>
  <c r="J65" i="6" s="1"/>
  <c r="F65" i="6"/>
  <c r="L65" i="6" s="1"/>
  <c r="E65" i="6"/>
  <c r="K65" i="6" s="1"/>
  <c r="BA79" i="6"/>
  <c r="D79" i="6"/>
  <c r="F79" i="6"/>
  <c r="E79" i="6"/>
  <c r="BA15" i="6"/>
  <c r="D15" i="6"/>
  <c r="J15" i="6" s="1"/>
  <c r="F15" i="6"/>
  <c r="L15" i="6" s="1"/>
  <c r="E15" i="6"/>
  <c r="K15" i="6" s="1"/>
  <c r="BA101" i="6"/>
  <c r="D101" i="6"/>
  <c r="E101" i="6"/>
  <c r="F101" i="6"/>
  <c r="BA37" i="6"/>
  <c r="D37" i="6"/>
  <c r="J37" i="6" s="1"/>
  <c r="F37" i="6"/>
  <c r="L37" i="6" s="1"/>
  <c r="E37" i="6"/>
  <c r="K37" i="6" s="1"/>
  <c r="BA30" i="6"/>
  <c r="F30" i="6"/>
  <c r="L30" i="6" s="1"/>
  <c r="D30" i="6"/>
  <c r="J30" i="6" s="1"/>
  <c r="E30" i="6"/>
  <c r="K30" i="6" s="1"/>
  <c r="BA52" i="6"/>
  <c r="D52" i="6"/>
  <c r="J52" i="6" s="1"/>
  <c r="F52" i="6"/>
  <c r="L52" i="6" s="1"/>
  <c r="E52" i="6"/>
  <c r="K52" i="6" s="1"/>
  <c r="BA86" i="6"/>
  <c r="D86" i="6"/>
  <c r="E86" i="6"/>
  <c r="F86" i="6"/>
  <c r="BA75" i="6"/>
  <c r="D75" i="6"/>
  <c r="E75" i="6"/>
  <c r="K75" i="6" s="1"/>
  <c r="F75" i="6"/>
  <c r="L75" i="6" s="1"/>
  <c r="BA73" i="6"/>
  <c r="E73" i="6"/>
  <c r="K73" i="6" s="1"/>
  <c r="D73" i="6"/>
  <c r="F73" i="6"/>
  <c r="L73" i="6" s="1"/>
  <c r="BA80" i="6"/>
  <c r="E80" i="6"/>
  <c r="D80" i="6"/>
  <c r="F80" i="6"/>
  <c r="BA16" i="6"/>
  <c r="F16" i="6"/>
  <c r="L16" i="6" s="1"/>
  <c r="E16" i="6"/>
  <c r="K16" i="6" s="1"/>
  <c r="D16" i="6"/>
  <c r="J16" i="6" s="1"/>
  <c r="BA49" i="6"/>
  <c r="E49" i="6"/>
  <c r="K49" i="6" s="1"/>
  <c r="D49" i="6"/>
  <c r="J49" i="6" s="1"/>
  <c r="F49" i="6"/>
  <c r="L49" i="6" s="1"/>
  <c r="BA71" i="6"/>
  <c r="E71" i="6"/>
  <c r="K71" i="6" s="1"/>
  <c r="D71" i="6"/>
  <c r="F71" i="6"/>
  <c r="L71" i="6" s="1"/>
  <c r="BA98" i="6"/>
  <c r="E98" i="6"/>
  <c r="F98" i="6"/>
  <c r="D98" i="6"/>
  <c r="BA93" i="6"/>
  <c r="F93" i="6"/>
  <c r="E93" i="6"/>
  <c r="D93" i="6"/>
  <c r="BA29" i="6"/>
  <c r="F29" i="6"/>
  <c r="L29" i="6" s="1"/>
  <c r="E29" i="6"/>
  <c r="K29" i="6" s="1"/>
  <c r="D29" i="6"/>
  <c r="J29" i="6" s="1"/>
  <c r="BA108" i="6"/>
  <c r="E108" i="6"/>
  <c r="F108" i="6"/>
  <c r="D108" i="6"/>
  <c r="BA44" i="6"/>
  <c r="F44" i="6"/>
  <c r="L44" i="6" s="1"/>
  <c r="E44" i="6"/>
  <c r="K44" i="6" s="1"/>
  <c r="D44" i="6"/>
  <c r="J44" i="6" s="1"/>
  <c r="BA70" i="6"/>
  <c r="F70" i="6"/>
  <c r="L70" i="6" s="1"/>
  <c r="D70" i="6"/>
  <c r="E70" i="6"/>
  <c r="K70" i="6" s="1"/>
  <c r="BA67" i="6"/>
  <c r="E67" i="6"/>
  <c r="K67" i="6" s="1"/>
  <c r="F67" i="6"/>
  <c r="L67" i="6" s="1"/>
  <c r="D67" i="6"/>
  <c r="J67" i="6" s="1"/>
  <c r="BA57" i="6"/>
  <c r="D57" i="6"/>
  <c r="J57" i="6" s="1"/>
  <c r="F57" i="6"/>
  <c r="L57" i="6" s="1"/>
  <c r="E57" i="6"/>
  <c r="K57" i="6" s="1"/>
  <c r="BA72" i="6"/>
  <c r="F72" i="6"/>
  <c r="L72" i="6" s="1"/>
  <c r="E72" i="6"/>
  <c r="K72" i="6" s="1"/>
  <c r="D72" i="6"/>
  <c r="BA106" i="6"/>
  <c r="D106" i="6"/>
  <c r="E106" i="6"/>
  <c r="F106" i="6"/>
  <c r="BA33" i="6"/>
  <c r="E33" i="6"/>
  <c r="K33" i="6" s="1"/>
  <c r="F33" i="6"/>
  <c r="L33" i="6" s="1"/>
  <c r="D33" i="6"/>
  <c r="J33" i="6" s="1"/>
  <c r="BA63" i="6"/>
  <c r="E63" i="6"/>
  <c r="K63" i="6" s="1"/>
  <c r="D63" i="6"/>
  <c r="J63" i="6" s="1"/>
  <c r="F63" i="6"/>
  <c r="L63" i="6" s="1"/>
  <c r="BA42" i="6"/>
  <c r="D42" i="6"/>
  <c r="J42" i="6" s="1"/>
  <c r="E42" i="6"/>
  <c r="K42" i="6" s="1"/>
  <c r="F42" i="6"/>
  <c r="L42" i="6" s="1"/>
  <c r="BA85" i="6"/>
  <c r="D85" i="6"/>
  <c r="E85" i="6"/>
  <c r="F85" i="6"/>
  <c r="BA21" i="6"/>
  <c r="E21" i="6"/>
  <c r="K21" i="6" s="1"/>
  <c r="D21" i="6"/>
  <c r="J21" i="6" s="1"/>
  <c r="F21" i="6"/>
  <c r="L21" i="6" s="1"/>
  <c r="BA100" i="6"/>
  <c r="E100" i="6"/>
  <c r="D100" i="6"/>
  <c r="F100" i="6"/>
  <c r="BA36" i="6"/>
  <c r="E36" i="6"/>
  <c r="K36" i="6" s="1"/>
  <c r="D36" i="6"/>
  <c r="J36" i="6" s="1"/>
  <c r="F36" i="6"/>
  <c r="L36" i="6" s="1"/>
  <c r="BA46" i="6"/>
  <c r="F46" i="6"/>
  <c r="L46" i="6" s="1"/>
  <c r="D46" i="6"/>
  <c r="J46" i="6" s="1"/>
  <c r="E46" i="6"/>
  <c r="K46" i="6" s="1"/>
  <c r="BA59" i="6"/>
  <c r="F59" i="6"/>
  <c r="L59" i="6" s="1"/>
  <c r="D59" i="6"/>
  <c r="J59" i="6" s="1"/>
  <c r="E59" i="6"/>
  <c r="K59" i="6" s="1"/>
  <c r="BA41" i="6"/>
  <c r="D41" i="6"/>
  <c r="J41" i="6" s="1"/>
  <c r="F41" i="6"/>
  <c r="L41" i="6" s="1"/>
  <c r="E41" i="6"/>
  <c r="K41" i="6" s="1"/>
  <c r="BA64" i="6"/>
  <c r="F64" i="6"/>
  <c r="L64" i="6" s="1"/>
  <c r="D64" i="6"/>
  <c r="J64" i="6" s="1"/>
  <c r="E64" i="6"/>
  <c r="K64" i="6" s="1"/>
  <c r="BA66" i="6"/>
  <c r="F66" i="6"/>
  <c r="L66" i="6" s="1"/>
  <c r="D66" i="6"/>
  <c r="J66" i="6" s="1"/>
  <c r="E66" i="6"/>
  <c r="K66" i="6" s="1"/>
  <c r="BA25" i="6"/>
  <c r="E25" i="6"/>
  <c r="K25" i="6" s="1"/>
  <c r="D25" i="6"/>
  <c r="J25" i="6" s="1"/>
  <c r="F25" i="6"/>
  <c r="L25" i="6" s="1"/>
  <c r="BA55" i="6"/>
  <c r="F55" i="6"/>
  <c r="L55" i="6" s="1"/>
  <c r="E55" i="6"/>
  <c r="K55" i="6" s="1"/>
  <c r="D55" i="6"/>
  <c r="J55" i="6" s="1"/>
  <c r="BA102" i="6"/>
  <c r="E102" i="6"/>
  <c r="D102" i="6"/>
  <c r="F102" i="6"/>
  <c r="BA77" i="6"/>
  <c r="F77" i="6"/>
  <c r="D77" i="6"/>
  <c r="E77" i="6"/>
  <c r="BA74" i="6"/>
  <c r="F74" i="6"/>
  <c r="L74" i="6" s="1"/>
  <c r="D74" i="6"/>
  <c r="E74" i="6"/>
  <c r="K74" i="6" s="1"/>
  <c r="BA92" i="6"/>
  <c r="D92" i="6"/>
  <c r="F92" i="6"/>
  <c r="E92" i="6"/>
  <c r="BA28" i="6"/>
  <c r="D28" i="6"/>
  <c r="J28" i="6" s="1"/>
  <c r="F28" i="6"/>
  <c r="L28" i="6" s="1"/>
  <c r="E28" i="6"/>
  <c r="K28" i="6" s="1"/>
  <c r="BA14" i="6"/>
  <c r="E14" i="6"/>
  <c r="K14" i="6" s="1"/>
  <c r="D14" i="6"/>
  <c r="J14" i="6" s="1"/>
  <c r="F14" i="6"/>
  <c r="L14" i="6" s="1"/>
  <c r="BA51" i="6"/>
  <c r="D51" i="6"/>
  <c r="J51" i="6" s="1"/>
  <c r="E51" i="6"/>
  <c r="K51" i="6" s="1"/>
  <c r="F51" i="6"/>
  <c r="L51" i="6" s="1"/>
  <c r="BA82" i="6"/>
  <c r="D82" i="6"/>
  <c r="E82" i="6"/>
  <c r="F82" i="6"/>
  <c r="BA17" i="6"/>
  <c r="D17" i="6"/>
  <c r="J17" i="6" s="1"/>
  <c r="F17" i="6"/>
  <c r="L17" i="6" s="1"/>
  <c r="E17" i="6"/>
  <c r="K17" i="6" s="1"/>
  <c r="BA56" i="6"/>
  <c r="E56" i="6"/>
  <c r="K56" i="6" s="1"/>
  <c r="F56" i="6"/>
  <c r="L56" i="6" s="1"/>
  <c r="D56" i="6"/>
  <c r="J56" i="6" s="1"/>
  <c r="BA18" i="6"/>
  <c r="D18" i="6"/>
  <c r="J18" i="6" s="1"/>
  <c r="E18" i="6"/>
  <c r="K18" i="6" s="1"/>
  <c r="F18" i="6"/>
  <c r="L18" i="6" s="1"/>
  <c r="BA111" i="6"/>
  <c r="D111" i="6"/>
  <c r="F111" i="6"/>
  <c r="E111" i="6"/>
  <c r="BA47" i="6"/>
  <c r="E47" i="6"/>
  <c r="K47" i="6" s="1"/>
  <c r="D47" i="6"/>
  <c r="J47" i="6" s="1"/>
  <c r="F47" i="6"/>
  <c r="L47" i="6" s="1"/>
  <c r="BA78" i="6"/>
  <c r="E78" i="6"/>
  <c r="F78" i="6"/>
  <c r="D78" i="6"/>
  <c r="BA69" i="6"/>
  <c r="F69" i="6"/>
  <c r="L69" i="6" s="1"/>
  <c r="E69" i="6"/>
  <c r="K69" i="6" s="1"/>
  <c r="D69" i="6"/>
  <c r="J69" i="6" s="1"/>
  <c r="BA50" i="6"/>
  <c r="F50" i="6"/>
  <c r="L50" i="6" s="1"/>
  <c r="D50" i="6"/>
  <c r="J50" i="6" s="1"/>
  <c r="E50" i="6"/>
  <c r="K50" i="6" s="1"/>
  <c r="BA84" i="6"/>
  <c r="F84" i="6"/>
  <c r="E84" i="6"/>
  <c r="D84" i="6"/>
  <c r="BA20" i="6"/>
  <c r="F20" i="6"/>
  <c r="L20" i="6" s="1"/>
  <c r="E20" i="6"/>
  <c r="K20" i="6" s="1"/>
  <c r="D20" i="6"/>
  <c r="J20" i="6" s="1"/>
  <c r="BA107" i="6"/>
  <c r="E107" i="6"/>
  <c r="F107" i="6"/>
  <c r="D107" i="6"/>
  <c r="BA43" i="6"/>
  <c r="E43" i="6"/>
  <c r="K43" i="6" s="1"/>
  <c r="F43" i="6"/>
  <c r="L43" i="6" s="1"/>
  <c r="D43" i="6"/>
  <c r="J43" i="6" s="1"/>
  <c r="BA58" i="6"/>
  <c r="E58" i="6"/>
  <c r="K58" i="6" s="1"/>
  <c r="D58" i="6"/>
  <c r="J58" i="6" s="1"/>
  <c r="F58" i="6"/>
  <c r="L58" i="6" s="1"/>
  <c r="BA112" i="6"/>
  <c r="E112" i="6"/>
  <c r="D112" i="6"/>
  <c r="F112" i="6"/>
  <c r="BA48" i="6"/>
  <c r="F48" i="6"/>
  <c r="L48" i="6" s="1"/>
  <c r="E48" i="6"/>
  <c r="K48" i="6" s="1"/>
  <c r="D48" i="6"/>
  <c r="J48" i="6" s="1"/>
  <c r="BA13" i="6"/>
  <c r="D13" i="6"/>
  <c r="J13" i="6" s="1"/>
  <c r="F13" i="6"/>
  <c r="L13" i="6" s="1"/>
  <c r="E13" i="6"/>
  <c r="K13" i="6" s="1"/>
  <c r="BA103" i="6"/>
  <c r="E103" i="6"/>
  <c r="D103" i="6"/>
  <c r="F103" i="6"/>
  <c r="BA39" i="6"/>
  <c r="E39" i="6"/>
  <c r="K39" i="6" s="1"/>
  <c r="D39" i="6"/>
  <c r="J39" i="6" s="1"/>
  <c r="F39" i="6"/>
  <c r="L39" i="6" s="1"/>
  <c r="BA54" i="6"/>
  <c r="D54" i="6"/>
  <c r="J54" i="6" s="1"/>
  <c r="F54" i="6"/>
  <c r="L54" i="6" s="1"/>
  <c r="E54" i="6"/>
  <c r="K54" i="6" s="1"/>
  <c r="BA61" i="6"/>
  <c r="D61" i="6"/>
  <c r="J61" i="6" s="1"/>
  <c r="F61" i="6"/>
  <c r="L61" i="6" s="1"/>
  <c r="E61" i="6"/>
  <c r="K61" i="6" s="1"/>
  <c r="BA94" i="6"/>
  <c r="D94" i="6"/>
  <c r="F94" i="6"/>
  <c r="E94" i="6"/>
  <c r="BA76" i="6"/>
  <c r="E76" i="6"/>
  <c r="K76" i="6" s="1"/>
  <c r="D76" i="6"/>
  <c r="F76" i="6"/>
  <c r="L76" i="6" s="1"/>
  <c r="BA90" i="6"/>
  <c r="F90" i="6"/>
  <c r="D90" i="6"/>
  <c r="E90" i="6"/>
  <c r="BA99" i="6"/>
  <c r="F99" i="6"/>
  <c r="D99" i="6"/>
  <c r="E99" i="6"/>
  <c r="BA35" i="6"/>
  <c r="F35" i="6"/>
  <c r="L35" i="6" s="1"/>
  <c r="E35" i="6"/>
  <c r="K35" i="6" s="1"/>
  <c r="D35" i="6"/>
  <c r="J35" i="6" s="1"/>
  <c r="AS58" i="6"/>
  <c r="AS90" i="6"/>
  <c r="AS47" i="6"/>
  <c r="AS55" i="6"/>
  <c r="AS15" i="6"/>
  <c r="AS32" i="6"/>
  <c r="AS95" i="6"/>
  <c r="AS96" i="6"/>
  <c r="AS74" i="6"/>
  <c r="AS34" i="6"/>
  <c r="AS88" i="6"/>
  <c r="AS57" i="6"/>
  <c r="AS83" i="6"/>
  <c r="AS51" i="6"/>
  <c r="AS68" i="6"/>
  <c r="AS111" i="6"/>
  <c r="AS107" i="6"/>
  <c r="AS101" i="6"/>
  <c r="AS24" i="6"/>
  <c r="AS92" i="6"/>
  <c r="AS104" i="6"/>
  <c r="AS30" i="6"/>
  <c r="AS93" i="6"/>
  <c r="AS85" i="6"/>
  <c r="AS91" i="6"/>
  <c r="AS77" i="6"/>
  <c r="AS50" i="6"/>
  <c r="AS89" i="6"/>
  <c r="AS71" i="6"/>
  <c r="AS38" i="6"/>
  <c r="AS52" i="6"/>
  <c r="AS97" i="6"/>
  <c r="AS21" i="6"/>
  <c r="AS13" i="6"/>
  <c r="AS33" i="6"/>
  <c r="AS54" i="6"/>
  <c r="AS29" i="6"/>
  <c r="AS76" i="6"/>
  <c r="AS66" i="6"/>
  <c r="AS56" i="6"/>
  <c r="AS84" i="6"/>
  <c r="AS53" i="6"/>
  <c r="AS45" i="6"/>
  <c r="AS59" i="6"/>
  <c r="AS39" i="6"/>
  <c r="AS82" i="6"/>
  <c r="AS20" i="6"/>
  <c r="AS65" i="6"/>
  <c r="AS106" i="6"/>
  <c r="AS81" i="6"/>
  <c r="AS75" i="6"/>
  <c r="AS70" i="6"/>
  <c r="AS102" i="6"/>
  <c r="AS69" i="6"/>
  <c r="AS78" i="6"/>
  <c r="AS25" i="6"/>
  <c r="AS61" i="6"/>
  <c r="AS100" i="6"/>
  <c r="AS49" i="6"/>
  <c r="AS46" i="6"/>
  <c r="AS105" i="6"/>
  <c r="AS37" i="6"/>
  <c r="AS27" i="6"/>
  <c r="AS63" i="6"/>
  <c r="AS112" i="6"/>
  <c r="AS22" i="6"/>
  <c r="AS19" i="6"/>
  <c r="AS17" i="6"/>
  <c r="AS44" i="6"/>
  <c r="AS86" i="6"/>
  <c r="AS60" i="6"/>
  <c r="AS73" i="6"/>
  <c r="AS99" i="6"/>
  <c r="AS94" i="6"/>
  <c r="AS108" i="6"/>
  <c r="AS31" i="6"/>
  <c r="AS80" i="6"/>
  <c r="AS36" i="6"/>
  <c r="AS79" i="6"/>
  <c r="AS41" i="6"/>
  <c r="AS67" i="6"/>
  <c r="AS18" i="6"/>
  <c r="AS14" i="6"/>
  <c r="AS48" i="6"/>
  <c r="AS98" i="6"/>
  <c r="AS23" i="6"/>
  <c r="AS72" i="6"/>
  <c r="AS109" i="6"/>
  <c r="AS103" i="6"/>
  <c r="AS110" i="6"/>
  <c r="AS35" i="6"/>
  <c r="AS62" i="6"/>
  <c r="AS16" i="6"/>
  <c r="K12" i="6"/>
  <c r="C68" i="2"/>
  <c r="F68" i="2" s="1"/>
  <c r="C69" i="2" s="1"/>
  <c r="F69" i="2" s="1"/>
  <c r="G32" i="1" s="1"/>
  <c r="C64" i="2"/>
  <c r="F64" i="2" s="1"/>
  <c r="C65" i="2" s="1"/>
  <c r="F65" i="2" s="1"/>
  <c r="F24" i="2"/>
  <c r="C117" i="2"/>
  <c r="C66" i="2"/>
  <c r="F66" i="2" s="1"/>
  <c r="C67" i="2" s="1"/>
  <c r="F67" i="2" s="1"/>
  <c r="C102" i="2"/>
  <c r="F102" i="2" s="1"/>
  <c r="C103" i="2" s="1"/>
  <c r="F103" i="2" s="1"/>
  <c r="C85" i="2"/>
  <c r="F85" i="2" s="1"/>
  <c r="C84" i="2"/>
  <c r="F84" i="2" s="1"/>
  <c r="C87" i="2" s="1"/>
  <c r="F87" i="2" s="1"/>
  <c r="C57" i="2"/>
  <c r="F57" i="2" s="1"/>
  <c r="G30" i="1" s="1"/>
  <c r="C50" i="2"/>
  <c r="F50" i="2" s="1"/>
  <c r="C48" i="2"/>
  <c r="F48" i="2" s="1"/>
  <c r="C62" i="2"/>
  <c r="F62" i="2" s="1"/>
  <c r="C55" i="2"/>
  <c r="F55" i="2" s="1"/>
  <c r="G29" i="1" s="1"/>
  <c r="C39" i="2"/>
  <c r="F39" i="2" s="1"/>
  <c r="G26" i="1" s="1"/>
  <c r="C21" i="2"/>
  <c r="F21" i="2" s="1"/>
  <c r="C47" i="2"/>
  <c r="F47" i="2" s="1"/>
  <c r="C51" i="2"/>
  <c r="C91" i="2"/>
  <c r="F91" i="2" s="1"/>
  <c r="C93" i="2" s="1"/>
  <c r="F93" i="2" s="1"/>
  <c r="G57" i="1" s="1"/>
  <c r="C63" i="2" l="1"/>
  <c r="F63" i="2" s="1"/>
  <c r="G31" i="1" s="1"/>
  <c r="C230" i="2"/>
  <c r="C232" i="2" s="1"/>
  <c r="G151" i="1" s="1"/>
  <c r="C227" i="2"/>
  <c r="C229" i="2" s="1"/>
  <c r="G150" i="1" s="1"/>
  <c r="BI112" i="6"/>
  <c r="G144" i="1"/>
  <c r="G145" i="1" s="1"/>
  <c r="AT43" i="6"/>
  <c r="C52" i="2"/>
  <c r="F52" i="2" s="1"/>
  <c r="G27" i="1" s="1"/>
  <c r="C119" i="2"/>
  <c r="F119" i="2" s="1"/>
  <c r="C89" i="2"/>
  <c r="F89" i="2" s="1"/>
  <c r="AT26" i="6"/>
  <c r="H94" i="7"/>
  <c r="H46" i="7"/>
  <c r="H64" i="7"/>
  <c r="G30" i="7"/>
  <c r="H112" i="7"/>
  <c r="H80" i="7"/>
  <c r="G32" i="7"/>
  <c r="H110" i="7"/>
  <c r="G14" i="7"/>
  <c r="H81" i="7"/>
  <c r="G49" i="7"/>
  <c r="D24" i="7"/>
  <c r="D20" i="7"/>
  <c r="H129" i="7"/>
  <c r="H111" i="7"/>
  <c r="G79" i="7"/>
  <c r="H126" i="7"/>
  <c r="G78" i="7"/>
  <c r="H62" i="7"/>
  <c r="H119" i="7"/>
  <c r="H55" i="7"/>
  <c r="H137" i="7"/>
  <c r="G38" i="7"/>
  <c r="H79" i="7"/>
  <c r="H89" i="7"/>
  <c r="H48" i="7"/>
  <c r="H127" i="7"/>
  <c r="H121" i="7"/>
  <c r="G110" i="7"/>
  <c r="H22" i="7"/>
  <c r="H32" i="7"/>
  <c r="H47" i="7"/>
  <c r="H14" i="7"/>
  <c r="H57" i="7"/>
  <c r="G93" i="7"/>
  <c r="H49" i="7"/>
  <c r="G127" i="7"/>
  <c r="H15" i="7"/>
  <c r="G109" i="7"/>
  <c r="G120" i="7"/>
  <c r="H88" i="7"/>
  <c r="G128" i="7"/>
  <c r="G111" i="7"/>
  <c r="G126" i="7"/>
  <c r="G71" i="7"/>
  <c r="G47" i="7"/>
  <c r="H24" i="7"/>
  <c r="G48" i="7"/>
  <c r="G112" i="7"/>
  <c r="G23" i="7"/>
  <c r="H41" i="7"/>
  <c r="G24" i="7"/>
  <c r="H16" i="7"/>
  <c r="G72" i="7"/>
  <c r="H136" i="7"/>
  <c r="G135" i="7"/>
  <c r="H103" i="7"/>
  <c r="H86" i="7"/>
  <c r="G28" i="7"/>
  <c r="H25" i="7"/>
  <c r="H97" i="7"/>
  <c r="G95" i="7"/>
  <c r="G54" i="7"/>
  <c r="H120" i="7"/>
  <c r="G119" i="7"/>
  <c r="H87" i="7"/>
  <c r="H54" i="7"/>
  <c r="H125" i="7"/>
  <c r="G136" i="7"/>
  <c r="H33" i="7"/>
  <c r="G55" i="7"/>
  <c r="G31" i="7"/>
  <c r="H104" i="7"/>
  <c r="G46" i="7"/>
  <c r="H71" i="7"/>
  <c r="H38" i="7"/>
  <c r="H84" i="7"/>
  <c r="H105" i="7"/>
  <c r="G104" i="7"/>
  <c r="G56" i="7"/>
  <c r="H95" i="7"/>
  <c r="H78" i="7"/>
  <c r="H72" i="7"/>
  <c r="H113" i="7"/>
  <c r="G118" i="7"/>
  <c r="G16" i="7"/>
  <c r="G88" i="7"/>
  <c r="G15" i="7"/>
  <c r="H63" i="7"/>
  <c r="H30" i="7"/>
  <c r="H56" i="7"/>
  <c r="H65" i="7"/>
  <c r="G86" i="7"/>
  <c r="G37" i="7"/>
  <c r="H73" i="7"/>
  <c r="G70" i="7"/>
  <c r="H96" i="7"/>
  <c r="H31" i="7"/>
  <c r="G125" i="7"/>
  <c r="H40" i="7"/>
  <c r="H17" i="7"/>
  <c r="G63" i="7"/>
  <c r="H133" i="7"/>
  <c r="G40" i="7"/>
  <c r="H109" i="7"/>
  <c r="G102" i="7"/>
  <c r="H70" i="7"/>
  <c r="G85" i="7"/>
  <c r="G61" i="7"/>
  <c r="G103" i="7"/>
  <c r="G96" i="7"/>
  <c r="H39" i="7"/>
  <c r="G22" i="7"/>
  <c r="G80" i="7"/>
  <c r="H93" i="7"/>
  <c r="G87" i="7"/>
  <c r="H128" i="7"/>
  <c r="H23" i="7"/>
  <c r="H134" i="7"/>
  <c r="G62" i="7"/>
  <c r="H77" i="7"/>
  <c r="D21" i="7"/>
  <c r="G64" i="7"/>
  <c r="H135" i="7"/>
  <c r="G134" i="7"/>
  <c r="H102" i="7"/>
  <c r="G39" i="7"/>
  <c r="G124" i="7"/>
  <c r="G92" i="7"/>
  <c r="G131" i="7"/>
  <c r="G12" i="7"/>
  <c r="H35" i="7"/>
  <c r="G133" i="7"/>
  <c r="G53" i="7"/>
  <c r="H61" i="7"/>
  <c r="H37" i="7"/>
  <c r="H118" i="7"/>
  <c r="G117" i="7"/>
  <c r="G29" i="7"/>
  <c r="H29" i="7"/>
  <c r="G100" i="7"/>
  <c r="G101" i="7"/>
  <c r="G77" i="7"/>
  <c r="H12" i="7"/>
  <c r="H132" i="7"/>
  <c r="H21" i="7"/>
  <c r="H124" i="7"/>
  <c r="G115" i="7"/>
  <c r="G130" i="7"/>
  <c r="G45" i="7"/>
  <c r="G132" i="7"/>
  <c r="H116" i="7"/>
  <c r="G59" i="7"/>
  <c r="H138" i="7"/>
  <c r="G108" i="7"/>
  <c r="G13" i="7"/>
  <c r="G116" i="7"/>
  <c r="H92" i="7"/>
  <c r="H20" i="7"/>
  <c r="H34" i="7"/>
  <c r="G76" i="7"/>
  <c r="H101" i="7"/>
  <c r="G52" i="7"/>
  <c r="H76" i="7"/>
  <c r="G91" i="7"/>
  <c r="G60" i="7"/>
  <c r="H85" i="7"/>
  <c r="G36" i="7"/>
  <c r="H68" i="7"/>
  <c r="G35" i="7"/>
  <c r="H45" i="7"/>
  <c r="G44" i="7"/>
  <c r="H53" i="7"/>
  <c r="G20" i="7"/>
  <c r="H60" i="7"/>
  <c r="H91" i="7"/>
  <c r="H67" i="7"/>
  <c r="H90" i="7"/>
  <c r="H27" i="7"/>
  <c r="G105" i="7"/>
  <c r="G27" i="7"/>
  <c r="G98" i="7"/>
  <c r="H131" i="7"/>
  <c r="G66" i="7"/>
  <c r="H99" i="7"/>
  <c r="G18" i="7"/>
  <c r="G90" i="7"/>
  <c r="G69" i="7"/>
  <c r="H74" i="7"/>
  <c r="G97" i="7"/>
  <c r="G99" i="7"/>
  <c r="G123" i="7"/>
  <c r="G19" i="7"/>
  <c r="H83" i="7"/>
  <c r="H19" i="7"/>
  <c r="G82" i="7"/>
  <c r="G21" i="7"/>
  <c r="H66" i="7"/>
  <c r="G65" i="7"/>
  <c r="G83" i="7"/>
  <c r="G107" i="7"/>
  <c r="H13" i="7"/>
  <c r="H75" i="7"/>
  <c r="G138" i="7"/>
  <c r="G74" i="7"/>
  <c r="H117" i="7"/>
  <c r="H42" i="7"/>
  <c r="G33" i="7"/>
  <c r="H52" i="7"/>
  <c r="G43" i="7"/>
  <c r="G75" i="7"/>
  <c r="H123" i="7"/>
  <c r="H59" i="7"/>
  <c r="G122" i="7"/>
  <c r="G58" i="7"/>
  <c r="H130" i="7"/>
  <c r="H26" i="7"/>
  <c r="G84" i="7"/>
  <c r="H108" i="7"/>
  <c r="H44" i="7"/>
  <c r="G67" i="7"/>
  <c r="H115" i="7"/>
  <c r="H51" i="7"/>
  <c r="G114" i="7"/>
  <c r="G50" i="7"/>
  <c r="H106" i="7"/>
  <c r="G137" i="7"/>
  <c r="H69" i="7"/>
  <c r="G68" i="7"/>
  <c r="H100" i="7"/>
  <c r="H28" i="7"/>
  <c r="H36" i="7"/>
  <c r="G51" i="7"/>
  <c r="H107" i="7"/>
  <c r="H43" i="7"/>
  <c r="G106" i="7"/>
  <c r="G42" i="7"/>
  <c r="H98" i="7"/>
  <c r="G129" i="7"/>
  <c r="G41" i="7"/>
  <c r="G89" i="7"/>
  <c r="G25" i="7"/>
  <c r="H82" i="7"/>
  <c r="H18" i="7"/>
  <c r="G81" i="7"/>
  <c r="G17" i="7"/>
  <c r="G73" i="7"/>
  <c r="G34" i="7"/>
  <c r="H122" i="7"/>
  <c r="H58" i="7"/>
  <c r="G121" i="7"/>
  <c r="G57" i="7"/>
  <c r="G26" i="7"/>
  <c r="H114" i="7"/>
  <c r="H50" i="7"/>
  <c r="G113" i="7"/>
  <c r="AT109" i="6"/>
  <c r="AI109" i="6"/>
  <c r="AT97" i="6"/>
  <c r="AI97" i="6"/>
  <c r="AI72" i="6"/>
  <c r="AT72" i="6"/>
  <c r="AT66" i="6"/>
  <c r="AI66" i="6"/>
  <c r="AI12" i="6"/>
  <c r="AT12" i="6"/>
  <c r="AI23" i="6"/>
  <c r="AT23" i="6"/>
  <c r="AT36" i="6"/>
  <c r="AI36" i="6"/>
  <c r="AT86" i="6"/>
  <c r="AI86" i="6"/>
  <c r="AT37" i="6"/>
  <c r="AI37" i="6"/>
  <c r="AT69" i="6"/>
  <c r="AI69" i="6"/>
  <c r="AT82" i="6"/>
  <c r="AI82" i="6"/>
  <c r="AT76" i="6"/>
  <c r="AI76" i="6"/>
  <c r="AI38" i="6"/>
  <c r="AT38" i="6"/>
  <c r="AI30" i="6"/>
  <c r="AT30" i="6"/>
  <c r="AT51" i="6"/>
  <c r="AI51" i="6"/>
  <c r="AI32" i="6"/>
  <c r="AT32" i="6"/>
  <c r="AT63" i="6"/>
  <c r="AI63" i="6"/>
  <c r="AI111" i="6"/>
  <c r="AT111" i="6"/>
  <c r="AT52" i="6"/>
  <c r="AI52" i="6"/>
  <c r="AI16" i="6"/>
  <c r="AT16" i="6"/>
  <c r="AT98" i="6"/>
  <c r="AI98" i="6"/>
  <c r="AI80" i="6"/>
  <c r="AT80" i="6"/>
  <c r="AT44" i="6"/>
  <c r="AI44" i="6"/>
  <c r="AT105" i="6"/>
  <c r="AI105" i="6"/>
  <c r="AI102" i="6"/>
  <c r="AT102" i="6"/>
  <c r="AI39" i="6"/>
  <c r="AT39" i="6"/>
  <c r="AI29" i="6"/>
  <c r="AT29" i="6"/>
  <c r="AI71" i="6"/>
  <c r="AT71" i="6"/>
  <c r="AI104" i="6"/>
  <c r="AT104" i="6"/>
  <c r="AT83" i="6"/>
  <c r="AI83" i="6"/>
  <c r="AI15" i="6"/>
  <c r="AT15" i="6"/>
  <c r="AT73" i="6"/>
  <c r="AI73" i="6"/>
  <c r="AT65" i="6"/>
  <c r="AI65" i="6"/>
  <c r="AI96" i="6"/>
  <c r="AT96" i="6"/>
  <c r="AI79" i="6"/>
  <c r="AT79" i="6"/>
  <c r="AI78" i="6"/>
  <c r="AT78" i="6"/>
  <c r="AT68" i="6"/>
  <c r="AI68" i="6"/>
  <c r="AT31" i="6"/>
  <c r="AI31" i="6"/>
  <c r="AI46" i="6"/>
  <c r="AT46" i="6"/>
  <c r="AI92" i="6"/>
  <c r="AT92" i="6"/>
  <c r="AI55" i="6"/>
  <c r="AT55" i="6"/>
  <c r="AI64" i="6"/>
  <c r="AT64" i="6"/>
  <c r="AT35" i="6"/>
  <c r="AI35" i="6"/>
  <c r="AT14" i="6"/>
  <c r="AI14" i="6"/>
  <c r="AT108" i="6"/>
  <c r="AI108" i="6"/>
  <c r="AT19" i="6"/>
  <c r="AI19" i="6"/>
  <c r="AT49" i="6"/>
  <c r="AI49" i="6"/>
  <c r="AT75" i="6"/>
  <c r="AI75" i="6"/>
  <c r="AT45" i="6"/>
  <c r="AI45" i="6"/>
  <c r="AT33" i="6"/>
  <c r="AI33" i="6"/>
  <c r="AT50" i="6"/>
  <c r="AI50" i="6"/>
  <c r="AI24" i="6"/>
  <c r="AT24" i="6"/>
  <c r="AI88" i="6"/>
  <c r="AT88" i="6"/>
  <c r="AI47" i="6"/>
  <c r="AT47" i="6"/>
  <c r="AT41" i="6"/>
  <c r="AI41" i="6"/>
  <c r="AT25" i="6"/>
  <c r="AI25" i="6"/>
  <c r="AT85" i="6"/>
  <c r="AI85" i="6"/>
  <c r="AI28" i="6"/>
  <c r="AT28" i="6"/>
  <c r="AT27" i="6"/>
  <c r="AI27" i="6"/>
  <c r="AI93" i="6"/>
  <c r="AT93" i="6"/>
  <c r="AI48" i="6"/>
  <c r="AT48" i="6"/>
  <c r="AT17" i="6"/>
  <c r="AI17" i="6"/>
  <c r="AI70" i="6"/>
  <c r="AT70" i="6"/>
  <c r="AT54" i="6"/>
  <c r="AI54" i="6"/>
  <c r="AT89" i="6"/>
  <c r="AI89" i="6"/>
  <c r="AT57" i="6"/>
  <c r="AI57" i="6"/>
  <c r="AI110" i="6"/>
  <c r="AT110" i="6"/>
  <c r="AT18" i="6"/>
  <c r="AI18" i="6"/>
  <c r="AI94" i="6"/>
  <c r="AT94" i="6"/>
  <c r="AT22" i="6"/>
  <c r="AI22" i="6"/>
  <c r="AT100" i="6"/>
  <c r="AI100" i="6"/>
  <c r="AT81" i="6"/>
  <c r="AI81" i="6"/>
  <c r="AT53" i="6"/>
  <c r="AI53" i="6"/>
  <c r="AI13" i="6"/>
  <c r="AT13" i="6"/>
  <c r="AT77" i="6"/>
  <c r="AI77" i="6"/>
  <c r="AI101" i="6"/>
  <c r="AT101" i="6"/>
  <c r="AT34" i="6"/>
  <c r="AI34" i="6"/>
  <c r="AT90" i="6"/>
  <c r="AI90" i="6"/>
  <c r="AI56" i="6"/>
  <c r="AT56" i="6"/>
  <c r="AI40" i="6"/>
  <c r="AT40" i="6"/>
  <c r="AI60" i="6"/>
  <c r="AT60" i="6"/>
  <c r="AT20" i="6"/>
  <c r="AI20" i="6"/>
  <c r="AI95" i="6"/>
  <c r="AT95" i="6"/>
  <c r="AI62" i="6"/>
  <c r="AT62" i="6"/>
  <c r="AT59" i="6"/>
  <c r="AI59" i="6"/>
  <c r="AI103" i="6"/>
  <c r="AT103" i="6"/>
  <c r="AT67" i="6"/>
  <c r="AI67" i="6"/>
  <c r="AT99" i="6"/>
  <c r="AI99" i="6"/>
  <c r="AI112" i="6"/>
  <c r="AT112" i="6"/>
  <c r="AI61" i="6"/>
  <c r="AT61" i="6"/>
  <c r="AT106" i="6"/>
  <c r="AI106" i="6"/>
  <c r="AT84" i="6"/>
  <c r="AI84" i="6"/>
  <c r="AT21" i="6"/>
  <c r="AI21" i="6"/>
  <c r="AT91" i="6"/>
  <c r="AI91" i="6"/>
  <c r="AT107" i="6"/>
  <c r="AI107" i="6"/>
  <c r="AT74" i="6"/>
  <c r="AI74" i="6"/>
  <c r="AT58" i="6"/>
  <c r="AI58" i="6"/>
  <c r="AI87" i="6"/>
  <c r="AT87" i="6"/>
  <c r="N12" i="6"/>
  <c r="O12" i="6" s="1"/>
  <c r="N21" i="6"/>
  <c r="O21" i="6" s="1"/>
  <c r="S21" i="6" s="1"/>
  <c r="AV21" i="6" s="1"/>
  <c r="BH21" i="6" s="1"/>
  <c r="N46" i="6"/>
  <c r="O46" i="6" s="1"/>
  <c r="N60" i="6"/>
  <c r="O60" i="6" s="1"/>
  <c r="N19" i="6"/>
  <c r="O19" i="6" s="1"/>
  <c r="P19" i="6" s="1"/>
  <c r="N52" i="6"/>
  <c r="O52" i="6" s="1"/>
  <c r="N15" i="6"/>
  <c r="O15" i="6" s="1"/>
  <c r="N16" i="6"/>
  <c r="O16" i="6" s="1"/>
  <c r="N67" i="6"/>
  <c r="O67" i="6" s="1"/>
  <c r="N68" i="6"/>
  <c r="O68" i="6" s="1"/>
  <c r="W68" i="6" s="1"/>
  <c r="N14" i="6"/>
  <c r="O14" i="6" s="1"/>
  <c r="N38" i="6"/>
  <c r="O38" i="6" s="1"/>
  <c r="N62" i="6"/>
  <c r="O62" i="6" s="1"/>
  <c r="N58" i="6"/>
  <c r="O58" i="6" s="1"/>
  <c r="N22" i="6"/>
  <c r="O22" i="6" s="1"/>
  <c r="N56" i="6"/>
  <c r="O56" i="6" s="1"/>
  <c r="N31" i="6"/>
  <c r="O31" i="6" s="1"/>
  <c r="N39" i="6"/>
  <c r="O39" i="6" s="1"/>
  <c r="N25" i="6"/>
  <c r="O25" i="6" s="1"/>
  <c r="N43" i="6"/>
  <c r="O43" i="6" s="1"/>
  <c r="N29" i="6"/>
  <c r="O29" i="6" s="1"/>
  <c r="N28" i="6"/>
  <c r="O28" i="6" s="1"/>
  <c r="N18" i="6"/>
  <c r="O18" i="6" s="1"/>
  <c r="N35" i="6"/>
  <c r="O35" i="6" s="1"/>
  <c r="N61" i="6"/>
  <c r="O61" i="6" s="1"/>
  <c r="S61" i="6" s="1"/>
  <c r="AV61" i="6" s="1"/>
  <c r="BH61" i="6" s="1"/>
  <c r="N66" i="6"/>
  <c r="O66" i="6" s="1"/>
  <c r="N64" i="6"/>
  <c r="O64" i="6" s="1"/>
  <c r="P64" i="6" s="1"/>
  <c r="N50" i="6"/>
  <c r="O50" i="6" s="1"/>
  <c r="N59" i="6"/>
  <c r="O59" i="6" s="1"/>
  <c r="N49" i="6"/>
  <c r="O49" i="6" s="1"/>
  <c r="W49" i="6" s="1"/>
  <c r="X49" i="6" s="1"/>
  <c r="Y49" i="6" s="1"/>
  <c r="BK49" i="6" s="1"/>
  <c r="N13" i="6"/>
  <c r="O13" i="6" s="1"/>
  <c r="P13" i="6" s="1"/>
  <c r="N20" i="6"/>
  <c r="O20" i="6" s="1"/>
  <c r="S20" i="6" s="1"/>
  <c r="AV20" i="6" s="1"/>
  <c r="BH20" i="6" s="1"/>
  <c r="N34" i="6"/>
  <c r="O34" i="6" s="1"/>
  <c r="N63" i="6"/>
  <c r="O63" i="6" s="1"/>
  <c r="W63" i="6" s="1"/>
  <c r="X63" i="6" s="1"/>
  <c r="Y63" i="6" s="1"/>
  <c r="BK63" i="6" s="1"/>
  <c r="N65" i="6"/>
  <c r="O65" i="6" s="1"/>
  <c r="N48" i="6"/>
  <c r="O48" i="6" s="1"/>
  <c r="N17" i="6"/>
  <c r="O17" i="6" s="1"/>
  <c r="N51" i="6"/>
  <c r="O51" i="6" s="1"/>
  <c r="N36" i="6"/>
  <c r="O36" i="6" s="1"/>
  <c r="N24" i="6"/>
  <c r="O24" i="6" s="1"/>
  <c r="N37" i="6"/>
  <c r="O37" i="6" s="1"/>
  <c r="N44" i="6"/>
  <c r="O44" i="6" s="1"/>
  <c r="N30" i="6"/>
  <c r="O30" i="6" s="1"/>
  <c r="N54" i="6"/>
  <c r="O54" i="6" s="1"/>
  <c r="N32" i="6"/>
  <c r="O32" i="6" s="1"/>
  <c r="N33" i="6"/>
  <c r="O33" i="6" s="1"/>
  <c r="N55" i="6"/>
  <c r="O55" i="6" s="1"/>
  <c r="Q55" i="6" s="1"/>
  <c r="AH55" i="6" s="1"/>
  <c r="N45" i="6"/>
  <c r="O45" i="6" s="1"/>
  <c r="N40" i="6"/>
  <c r="O40" i="6" s="1"/>
  <c r="N42" i="6"/>
  <c r="O42" i="6" s="1"/>
  <c r="N47" i="6"/>
  <c r="O47" i="6" s="1"/>
  <c r="N26" i="6"/>
  <c r="O26" i="6" s="1"/>
  <c r="N57" i="6"/>
  <c r="O57" i="6" s="1"/>
  <c r="N27" i="6"/>
  <c r="O27" i="6" s="1"/>
  <c r="N41" i="6"/>
  <c r="O41" i="6" s="1"/>
  <c r="N53" i="6"/>
  <c r="O53" i="6" s="1"/>
  <c r="N23" i="6"/>
  <c r="O23" i="6" s="1"/>
  <c r="L77" i="6"/>
  <c r="K77" i="6"/>
  <c r="J70" i="6"/>
  <c r="N69" i="6"/>
  <c r="C101" i="2"/>
  <c r="F101" i="2" s="1"/>
  <c r="D23" i="7" s="1"/>
  <c r="C88" i="2"/>
  <c r="F88" i="2" s="1"/>
  <c r="F51" i="2"/>
  <c r="C105" i="2" l="1"/>
  <c r="F105" i="2" s="1"/>
  <c r="G66" i="1" s="1"/>
  <c r="C90" i="2"/>
  <c r="F90" i="2" s="1"/>
  <c r="G53" i="1" s="1"/>
  <c r="D22" i="7"/>
  <c r="J135" i="7" s="1"/>
  <c r="W19" i="6"/>
  <c r="X19" i="6" s="1"/>
  <c r="Y19" i="6" s="1"/>
  <c r="BK19" i="6" s="1"/>
  <c r="Q19" i="6"/>
  <c r="AH19" i="6" s="1"/>
  <c r="AK49" i="6"/>
  <c r="AL49" i="6" s="1"/>
  <c r="AM49" i="6" s="1"/>
  <c r="Z21" i="6"/>
  <c r="AA21" i="6" s="1"/>
  <c r="AB21" i="6" s="1"/>
  <c r="BJ21" i="6" s="1"/>
  <c r="W21" i="6"/>
  <c r="X21" i="6" s="1"/>
  <c r="Y21" i="6" s="1"/>
  <c r="BK21" i="6" s="1"/>
  <c r="AC19" i="6"/>
  <c r="AD19" i="6" s="1"/>
  <c r="AE19" i="6" s="1"/>
  <c r="Q21" i="6"/>
  <c r="R21" i="6" s="1"/>
  <c r="AG21" i="6" s="1"/>
  <c r="P21" i="6"/>
  <c r="S19" i="6"/>
  <c r="AV19" i="6" s="1"/>
  <c r="BH19" i="6" s="1"/>
  <c r="AK21" i="6"/>
  <c r="AL21" i="6" s="1"/>
  <c r="AM21" i="6" s="1"/>
  <c r="Z19" i="6"/>
  <c r="AA19" i="6" s="1"/>
  <c r="AB19" i="6" s="1"/>
  <c r="BJ19" i="6" s="1"/>
  <c r="AK19" i="6"/>
  <c r="AL19" i="6" s="1"/>
  <c r="AM19" i="6" s="1"/>
  <c r="AC21" i="6"/>
  <c r="AD21" i="6" s="1"/>
  <c r="AE21" i="6" s="1"/>
  <c r="S68" i="6"/>
  <c r="AV68" i="6" s="1"/>
  <c r="BH68" i="6" s="1"/>
  <c r="P61" i="6"/>
  <c r="AC64" i="6"/>
  <c r="AD64" i="6" s="1"/>
  <c r="AE64" i="6" s="1"/>
  <c r="P68" i="6"/>
  <c r="Q68" i="6"/>
  <c r="R68" i="6" s="1"/>
  <c r="AG68" i="6" s="1"/>
  <c r="Z68" i="6"/>
  <c r="AA68" i="6" s="1"/>
  <c r="AB68" i="6" s="1"/>
  <c r="BJ68" i="6" s="1"/>
  <c r="AK68" i="6"/>
  <c r="AL68" i="6" s="1"/>
  <c r="AM68" i="6" s="1"/>
  <c r="AC68" i="6"/>
  <c r="AD68" i="6" s="1"/>
  <c r="AE68" i="6" s="1"/>
  <c r="AC49" i="6"/>
  <c r="AD49" i="6" s="1"/>
  <c r="AE49" i="6" s="1"/>
  <c r="Q49" i="6"/>
  <c r="R49" i="6" s="1"/>
  <c r="AG49" i="6" s="1"/>
  <c r="Z49" i="6"/>
  <c r="AA49" i="6" s="1"/>
  <c r="AB49" i="6" s="1"/>
  <c r="BJ49" i="6" s="1"/>
  <c r="S49" i="6"/>
  <c r="AV49" i="6" s="1"/>
  <c r="BH49" i="6" s="1"/>
  <c r="P49" i="6"/>
  <c r="W20" i="6"/>
  <c r="X20" i="6" s="1"/>
  <c r="Y20" i="6" s="1"/>
  <c r="BK20" i="6" s="1"/>
  <c r="Z20" i="6"/>
  <c r="AA20" i="6" s="1"/>
  <c r="AB20" i="6" s="1"/>
  <c r="BJ20" i="6" s="1"/>
  <c r="AC20" i="6"/>
  <c r="AD20" i="6" s="1"/>
  <c r="AE20" i="6" s="1"/>
  <c r="P20" i="6"/>
  <c r="Q20" i="6"/>
  <c r="R20" i="6" s="1"/>
  <c r="AG20" i="6" s="1"/>
  <c r="AK20" i="6"/>
  <c r="AL20" i="6" s="1"/>
  <c r="AM20" i="6" s="1"/>
  <c r="Z13" i="6"/>
  <c r="AA13" i="6" s="1"/>
  <c r="AB13" i="6" s="1"/>
  <c r="BJ13" i="6" s="1"/>
  <c r="AC13" i="6"/>
  <c r="AD13" i="6" s="1"/>
  <c r="AE13" i="6" s="1"/>
  <c r="W13" i="6"/>
  <c r="X13" i="6" s="1"/>
  <c r="Y13" i="6" s="1"/>
  <c r="BK13" i="6" s="1"/>
  <c r="Q13" i="6"/>
  <c r="R13" i="6" s="1"/>
  <c r="AG13" i="6" s="1"/>
  <c r="S13" i="6"/>
  <c r="T13" i="6" s="1"/>
  <c r="AK13" i="6"/>
  <c r="AL13" i="6" s="1"/>
  <c r="AM13" i="6" s="1"/>
  <c r="Z63" i="6"/>
  <c r="AA63" i="6" s="1"/>
  <c r="AB63" i="6" s="1"/>
  <c r="BJ63" i="6" s="1"/>
  <c r="S63" i="6"/>
  <c r="AV63" i="6" s="1"/>
  <c r="BH63" i="6" s="1"/>
  <c r="AC61" i="6"/>
  <c r="AD61" i="6" s="1"/>
  <c r="AE61" i="6" s="1"/>
  <c r="Q61" i="6"/>
  <c r="R61" i="6" s="1"/>
  <c r="AG61" i="6" s="1"/>
  <c r="AK61" i="6"/>
  <c r="AL61" i="6" s="1"/>
  <c r="AM61" i="6" s="1"/>
  <c r="Z61" i="6"/>
  <c r="AA61" i="6" s="1"/>
  <c r="AB61" i="6" s="1"/>
  <c r="BJ61" i="6" s="1"/>
  <c r="W61" i="6"/>
  <c r="X61" i="6" s="1"/>
  <c r="Y61" i="6" s="1"/>
  <c r="BK61" i="6" s="1"/>
  <c r="AK66" i="6"/>
  <c r="AL66" i="6" s="1"/>
  <c r="AM66" i="6" s="1"/>
  <c r="Q53" i="6"/>
  <c r="R53" i="6" s="1"/>
  <c r="AG53" i="6" s="1"/>
  <c r="AK58" i="6"/>
  <c r="AL58" i="6" s="1"/>
  <c r="AM58" i="6" s="1"/>
  <c r="W64" i="6"/>
  <c r="X64" i="6" s="1"/>
  <c r="Y64" i="6" s="1"/>
  <c r="BK64" i="6" s="1"/>
  <c r="AC63" i="6"/>
  <c r="AD63" i="6" s="1"/>
  <c r="AE63" i="6" s="1"/>
  <c r="AK43" i="6"/>
  <c r="AL43" i="6" s="1"/>
  <c r="AM43" i="6" s="1"/>
  <c r="AK38" i="6"/>
  <c r="AL38" i="6" s="1"/>
  <c r="AM38" i="6" s="1"/>
  <c r="Z23" i="6"/>
  <c r="AA23" i="6" s="1"/>
  <c r="AB23" i="6" s="1"/>
  <c r="BJ23" i="6" s="1"/>
  <c r="AK40" i="6"/>
  <c r="AL40" i="6" s="1"/>
  <c r="AM40" i="6" s="1"/>
  <c r="AK37" i="6"/>
  <c r="AL37" i="6" s="1"/>
  <c r="AM37" i="6" s="1"/>
  <c r="AK60" i="6"/>
  <c r="AL60" i="6" s="1"/>
  <c r="AM60" i="6" s="1"/>
  <c r="P31" i="6"/>
  <c r="Q64" i="6"/>
  <c r="R64" i="6" s="1"/>
  <c r="AG64" i="6" s="1"/>
  <c r="AK42" i="6"/>
  <c r="AL42" i="6" s="1"/>
  <c r="AM42" i="6" s="1"/>
  <c r="AK59" i="6"/>
  <c r="AL59" i="6" s="1"/>
  <c r="AM59" i="6" s="1"/>
  <c r="AK12" i="6"/>
  <c r="AL12" i="6" s="1"/>
  <c r="AM12" i="6" s="1"/>
  <c r="AK24" i="6"/>
  <c r="AL24" i="6" s="1"/>
  <c r="AM24" i="6" s="1"/>
  <c r="AK41" i="6"/>
  <c r="AL41" i="6" s="1"/>
  <c r="AM41" i="6" s="1"/>
  <c r="S55" i="6"/>
  <c r="AO13" i="6"/>
  <c r="Z22" i="6"/>
  <c r="AA22" i="6" s="1"/>
  <c r="AB22" i="6" s="1"/>
  <c r="BJ22" i="6" s="1"/>
  <c r="AK39" i="6"/>
  <c r="AL39" i="6" s="1"/>
  <c r="AM39" i="6" s="1"/>
  <c r="S64" i="6"/>
  <c r="AK29" i="6"/>
  <c r="AL29" i="6" s="1"/>
  <c r="AM29" i="6" s="1"/>
  <c r="AK14" i="6"/>
  <c r="AL14" i="6" s="1"/>
  <c r="AM14" i="6" s="1"/>
  <c r="AK27" i="6"/>
  <c r="AL27" i="6" s="1"/>
  <c r="AM27" i="6" s="1"/>
  <c r="AK33" i="6"/>
  <c r="AL33" i="6" s="1"/>
  <c r="AM33" i="6" s="1"/>
  <c r="AK51" i="6"/>
  <c r="AL51" i="6" s="1"/>
  <c r="AM51" i="6" s="1"/>
  <c r="AK30" i="6"/>
  <c r="AL30" i="6" s="1"/>
  <c r="AM30" i="6" s="1"/>
  <c r="AK44" i="6"/>
  <c r="AL44" i="6" s="1"/>
  <c r="AM44" i="6" s="1"/>
  <c r="AK52" i="6"/>
  <c r="AL52" i="6" s="1"/>
  <c r="AM52" i="6" s="1"/>
  <c r="AK50" i="6"/>
  <c r="AL50" i="6" s="1"/>
  <c r="AM50" i="6" s="1"/>
  <c r="AC18" i="6"/>
  <c r="AD18" i="6" s="1"/>
  <c r="AE18" i="6" s="1"/>
  <c r="AK35" i="6"/>
  <c r="AL35" i="6" s="1"/>
  <c r="AM35" i="6" s="1"/>
  <c r="AK57" i="6"/>
  <c r="AL57" i="6" s="1"/>
  <c r="AM57" i="6" s="1"/>
  <c r="AK32" i="6"/>
  <c r="AL32" i="6" s="1"/>
  <c r="AM32" i="6" s="1"/>
  <c r="Q17" i="6"/>
  <c r="AH17" i="6" s="1"/>
  <c r="AK25" i="6"/>
  <c r="AL25" i="6" s="1"/>
  <c r="AM25" i="6" s="1"/>
  <c r="P65" i="6"/>
  <c r="AK46" i="6"/>
  <c r="AL46" i="6" s="1"/>
  <c r="AM46" i="6" s="1"/>
  <c r="Q63" i="6"/>
  <c r="R63" i="6" s="1"/>
  <c r="AG63" i="6" s="1"/>
  <c r="P63" i="6"/>
  <c r="Z64" i="6"/>
  <c r="AA64" i="6" s="1"/>
  <c r="AB64" i="6" s="1"/>
  <c r="BJ64" i="6" s="1"/>
  <c r="AK48" i="6"/>
  <c r="AL48" i="6" s="1"/>
  <c r="AM48" i="6" s="1"/>
  <c r="AK16" i="6"/>
  <c r="AL16" i="6" s="1"/>
  <c r="AM16" i="6" s="1"/>
  <c r="AK64" i="6"/>
  <c r="AL64" i="6" s="1"/>
  <c r="AM64" i="6" s="1"/>
  <c r="AK63" i="6"/>
  <c r="AL63" i="6" s="1"/>
  <c r="AM63" i="6" s="1"/>
  <c r="AK26" i="6"/>
  <c r="AL26" i="6" s="1"/>
  <c r="AM26" i="6" s="1"/>
  <c r="W17" i="6"/>
  <c r="X17" i="6" s="1"/>
  <c r="Y17" i="6" s="1"/>
  <c r="BK17" i="6" s="1"/>
  <c r="AC27" i="6"/>
  <c r="AD27" i="6" s="1"/>
  <c r="AE27" i="6" s="1"/>
  <c r="S27" i="6"/>
  <c r="Z17" i="6"/>
  <c r="AA17" i="6" s="1"/>
  <c r="AB17" i="6" s="1"/>
  <c r="BJ17" i="6" s="1"/>
  <c r="Q27" i="6"/>
  <c r="R27" i="6" s="1"/>
  <c r="AG27" i="6" s="1"/>
  <c r="S17" i="6"/>
  <c r="AK17" i="6"/>
  <c r="AL17" i="6" s="1"/>
  <c r="AM17" i="6" s="1"/>
  <c r="AC17" i="6"/>
  <c r="AD17" i="6" s="1"/>
  <c r="AE17" i="6" s="1"/>
  <c r="P17" i="6"/>
  <c r="AK55" i="6"/>
  <c r="AL55" i="6" s="1"/>
  <c r="AM55" i="6" s="1"/>
  <c r="P55" i="6"/>
  <c r="AN55" i="6" s="1"/>
  <c r="W55" i="6"/>
  <c r="X55" i="6" s="1"/>
  <c r="Y55" i="6" s="1"/>
  <c r="BK55" i="6" s="1"/>
  <c r="AC55" i="6"/>
  <c r="AD55" i="6" s="1"/>
  <c r="AE55" i="6" s="1"/>
  <c r="Z55" i="6"/>
  <c r="AA55" i="6" s="1"/>
  <c r="AB55" i="6" s="1"/>
  <c r="BJ55" i="6" s="1"/>
  <c r="S18" i="6"/>
  <c r="S23" i="6"/>
  <c r="Q23" i="6"/>
  <c r="R23" i="6" s="1"/>
  <c r="AG23" i="6" s="1"/>
  <c r="AK23" i="6"/>
  <c r="AL23" i="6" s="1"/>
  <c r="AM23" i="6" s="1"/>
  <c r="Z48" i="6"/>
  <c r="AA48" i="6" s="1"/>
  <c r="AB48" i="6" s="1"/>
  <c r="BJ48" i="6" s="1"/>
  <c r="W23" i="6"/>
  <c r="X23" i="6" s="1"/>
  <c r="Y23" i="6" s="1"/>
  <c r="BK23" i="6" s="1"/>
  <c r="AC23" i="6"/>
  <c r="AD23" i="6" s="1"/>
  <c r="AE23" i="6" s="1"/>
  <c r="AC48" i="6"/>
  <c r="AD48" i="6" s="1"/>
  <c r="AE48" i="6" s="1"/>
  <c r="P23" i="6"/>
  <c r="AC44" i="6"/>
  <c r="AD44" i="6" s="1"/>
  <c r="AE44" i="6" s="1"/>
  <c r="Z44" i="6"/>
  <c r="AA44" i="6" s="1"/>
  <c r="AB44" i="6" s="1"/>
  <c r="BJ44" i="6" s="1"/>
  <c r="W14" i="6"/>
  <c r="X14" i="6" s="1"/>
  <c r="Y14" i="6" s="1"/>
  <c r="BK14" i="6" s="1"/>
  <c r="S22" i="6"/>
  <c r="L78" i="6"/>
  <c r="W26" i="6"/>
  <c r="X26" i="6" s="1"/>
  <c r="Y26" i="6" s="1"/>
  <c r="BK26" i="6" s="1"/>
  <c r="S60" i="6"/>
  <c r="P60" i="6"/>
  <c r="Z57" i="6"/>
  <c r="AA57" i="6" s="1"/>
  <c r="AB57" i="6" s="1"/>
  <c r="BJ57" i="6" s="1"/>
  <c r="S14" i="6"/>
  <c r="W48" i="6"/>
  <c r="X48" i="6" s="1"/>
  <c r="Y48" i="6" s="1"/>
  <c r="BK48" i="6" s="1"/>
  <c r="AC14" i="6"/>
  <c r="AD14" i="6" s="1"/>
  <c r="AE14" i="6" s="1"/>
  <c r="P14" i="6"/>
  <c r="Z14" i="6"/>
  <c r="AA14" i="6" s="1"/>
  <c r="AB14" i="6" s="1"/>
  <c r="BJ14" i="6" s="1"/>
  <c r="Q14" i="6"/>
  <c r="R14" i="6" s="1"/>
  <c r="AG14" i="6" s="1"/>
  <c r="AC60" i="6"/>
  <c r="AD60" i="6" s="1"/>
  <c r="AE60" i="6" s="1"/>
  <c r="W60" i="6"/>
  <c r="X60" i="6" s="1"/>
  <c r="Y60" i="6" s="1"/>
  <c r="BK60" i="6" s="1"/>
  <c r="Z60" i="6"/>
  <c r="AA60" i="6" s="1"/>
  <c r="AB60" i="6" s="1"/>
  <c r="BJ60" i="6" s="1"/>
  <c r="Q60" i="6"/>
  <c r="R60" i="6" s="1"/>
  <c r="AG60" i="6" s="1"/>
  <c r="K78" i="6"/>
  <c r="Q48" i="6"/>
  <c r="R48" i="6" s="1"/>
  <c r="AG48" i="6" s="1"/>
  <c r="S48" i="6"/>
  <c r="AV48" i="6" s="1"/>
  <c r="BH48" i="6" s="1"/>
  <c r="P57" i="6"/>
  <c r="Q57" i="6"/>
  <c r="U57" i="6" s="1"/>
  <c r="W57" i="6"/>
  <c r="X57" i="6" s="1"/>
  <c r="Y57" i="6" s="1"/>
  <c r="BK57" i="6" s="1"/>
  <c r="P48" i="6"/>
  <c r="P40" i="6"/>
  <c r="W44" i="6"/>
  <c r="X44" i="6" s="1"/>
  <c r="Y44" i="6" s="1"/>
  <c r="BK44" i="6" s="1"/>
  <c r="AH63" i="6"/>
  <c r="Q32" i="6"/>
  <c r="R32" i="6" s="1"/>
  <c r="AG32" i="6" s="1"/>
  <c r="AC40" i="6"/>
  <c r="AD40" i="6" s="1"/>
  <c r="AE40" i="6" s="1"/>
  <c r="S40" i="6"/>
  <c r="S44" i="6"/>
  <c r="Q44" i="6"/>
  <c r="R44" i="6" s="1"/>
  <c r="AG44" i="6" s="1"/>
  <c r="AC32" i="6"/>
  <c r="AD32" i="6" s="1"/>
  <c r="AE32" i="6" s="1"/>
  <c r="Z40" i="6"/>
  <c r="AA40" i="6" s="1"/>
  <c r="AB40" i="6" s="1"/>
  <c r="BJ40" i="6" s="1"/>
  <c r="P44" i="6"/>
  <c r="Z32" i="6"/>
  <c r="AA32" i="6" s="1"/>
  <c r="AB32" i="6" s="1"/>
  <c r="BJ32" i="6" s="1"/>
  <c r="P32" i="6"/>
  <c r="P26" i="6"/>
  <c r="AC65" i="6"/>
  <c r="AD65" i="6" s="1"/>
  <c r="AE65" i="6" s="1"/>
  <c r="Z24" i="6"/>
  <c r="AA24" i="6" s="1"/>
  <c r="AB24" i="6" s="1"/>
  <c r="BJ24" i="6" s="1"/>
  <c r="S57" i="6"/>
  <c r="AV57" i="6" s="1"/>
  <c r="BH57" i="6" s="1"/>
  <c r="P24" i="6"/>
  <c r="AC57" i="6"/>
  <c r="AD57" i="6" s="1"/>
  <c r="AE57" i="6" s="1"/>
  <c r="S26" i="6"/>
  <c r="W24" i="6"/>
  <c r="X24" i="6" s="1"/>
  <c r="Y24" i="6" s="1"/>
  <c r="BK24" i="6" s="1"/>
  <c r="Z26" i="6"/>
  <c r="AA26" i="6" s="1"/>
  <c r="AB26" i="6" s="1"/>
  <c r="BJ26" i="6" s="1"/>
  <c r="Q26" i="6"/>
  <c r="R26" i="6" s="1"/>
  <c r="AG26" i="6" s="1"/>
  <c r="AC26" i="6"/>
  <c r="AD26" i="6" s="1"/>
  <c r="AE26" i="6" s="1"/>
  <c r="W65" i="6"/>
  <c r="X65" i="6" s="1"/>
  <c r="Y65" i="6" s="1"/>
  <c r="BK65" i="6" s="1"/>
  <c r="Q24" i="6"/>
  <c r="R24" i="6" s="1"/>
  <c r="AG24" i="6" s="1"/>
  <c r="Z65" i="6"/>
  <c r="AA65" i="6" s="1"/>
  <c r="AB65" i="6" s="1"/>
  <c r="BJ65" i="6" s="1"/>
  <c r="S65" i="6"/>
  <c r="S31" i="6"/>
  <c r="Q65" i="6"/>
  <c r="R65" i="6" s="1"/>
  <c r="AG65" i="6" s="1"/>
  <c r="AC24" i="6"/>
  <c r="AD24" i="6" s="1"/>
  <c r="AE24" i="6" s="1"/>
  <c r="S24" i="6"/>
  <c r="P12" i="6"/>
  <c r="W31" i="6"/>
  <c r="X31" i="6" s="1"/>
  <c r="Y31" i="6" s="1"/>
  <c r="BK31" i="6" s="1"/>
  <c r="Z35" i="6"/>
  <c r="AA35" i="6" s="1"/>
  <c r="AB35" i="6" s="1"/>
  <c r="BJ35" i="6" s="1"/>
  <c r="Z31" i="6"/>
  <c r="AA31" i="6" s="1"/>
  <c r="AB31" i="6" s="1"/>
  <c r="BJ31" i="6" s="1"/>
  <c r="Q31" i="6"/>
  <c r="R31" i="6" s="1"/>
  <c r="AG31" i="6" s="1"/>
  <c r="AK31" i="6"/>
  <c r="AL31" i="6" s="1"/>
  <c r="AM31" i="6" s="1"/>
  <c r="Z12" i="6"/>
  <c r="AA12" i="6" s="1"/>
  <c r="AB12" i="6" s="1"/>
  <c r="BJ12" i="6" s="1"/>
  <c r="Z38" i="6"/>
  <c r="AA38" i="6" s="1"/>
  <c r="AB38" i="6" s="1"/>
  <c r="BJ38" i="6" s="1"/>
  <c r="AC35" i="6"/>
  <c r="AD35" i="6" s="1"/>
  <c r="AE35" i="6" s="1"/>
  <c r="AC31" i="6"/>
  <c r="AD31" i="6" s="1"/>
  <c r="AE31" i="6" s="1"/>
  <c r="S35" i="6"/>
  <c r="Q35" i="6"/>
  <c r="R35" i="6" s="1"/>
  <c r="AG35" i="6" s="1"/>
  <c r="W35" i="6"/>
  <c r="X35" i="6" s="1"/>
  <c r="Y35" i="6" s="1"/>
  <c r="BK35" i="6" s="1"/>
  <c r="Q40" i="6"/>
  <c r="R40" i="6" s="1"/>
  <c r="AG40" i="6" s="1"/>
  <c r="P35" i="6"/>
  <c r="W40" i="6"/>
  <c r="X40" i="6" s="1"/>
  <c r="Y40" i="6" s="1"/>
  <c r="BK40" i="6" s="1"/>
  <c r="AH53" i="6"/>
  <c r="W18" i="6"/>
  <c r="X18" i="6" s="1"/>
  <c r="Y18" i="6" s="1"/>
  <c r="BK18" i="6" s="1"/>
  <c r="S53" i="6"/>
  <c r="AV53" i="6" s="1"/>
  <c r="BH53" i="6" s="1"/>
  <c r="AC16" i="6"/>
  <c r="AD16" i="6" s="1"/>
  <c r="AE16" i="6" s="1"/>
  <c r="Z25" i="6"/>
  <c r="AA25" i="6" s="1"/>
  <c r="AB25" i="6" s="1"/>
  <c r="BJ25" i="6" s="1"/>
  <c r="S25" i="6"/>
  <c r="AV25" i="6" s="1"/>
  <c r="BH25" i="6" s="1"/>
  <c r="P25" i="6"/>
  <c r="Q25" i="6"/>
  <c r="R25" i="6" s="1"/>
  <c r="AG25" i="6" s="1"/>
  <c r="W25" i="6"/>
  <c r="X25" i="6" s="1"/>
  <c r="Y25" i="6" s="1"/>
  <c r="BK25" i="6" s="1"/>
  <c r="AC25" i="6"/>
  <c r="AD25" i="6" s="1"/>
  <c r="AE25" i="6" s="1"/>
  <c r="AK56" i="6"/>
  <c r="AL56" i="6" s="1"/>
  <c r="AM56" i="6" s="1"/>
  <c r="Z36" i="6"/>
  <c r="AA36" i="6" s="1"/>
  <c r="AB36" i="6" s="1"/>
  <c r="BJ36" i="6" s="1"/>
  <c r="Z53" i="6"/>
  <c r="AA53" i="6" s="1"/>
  <c r="AB53" i="6" s="1"/>
  <c r="BJ53" i="6" s="1"/>
  <c r="AC52" i="6"/>
  <c r="AD52" i="6" s="1"/>
  <c r="AE52" i="6" s="1"/>
  <c r="P27" i="6"/>
  <c r="Z18" i="6"/>
  <c r="AA18" i="6" s="1"/>
  <c r="AB18" i="6" s="1"/>
  <c r="BJ18" i="6" s="1"/>
  <c r="Q18" i="6"/>
  <c r="R18" i="6" s="1"/>
  <c r="AG18" i="6" s="1"/>
  <c r="Q22" i="6"/>
  <c r="R22" i="6" s="1"/>
  <c r="AG22" i="6" s="1"/>
  <c r="W16" i="6"/>
  <c r="X16" i="6" s="1"/>
  <c r="Y16" i="6" s="1"/>
  <c r="BK16" i="6" s="1"/>
  <c r="Z54" i="6"/>
  <c r="AA54" i="6" s="1"/>
  <c r="AB54" i="6" s="1"/>
  <c r="BJ54" i="6" s="1"/>
  <c r="AC53" i="6"/>
  <c r="AD53" i="6" s="1"/>
  <c r="AE53" i="6" s="1"/>
  <c r="Z27" i="6"/>
  <c r="AA27" i="6" s="1"/>
  <c r="AB27" i="6" s="1"/>
  <c r="BJ27" i="6" s="1"/>
  <c r="Z43" i="6"/>
  <c r="AA43" i="6" s="1"/>
  <c r="AB43" i="6" s="1"/>
  <c r="BJ43" i="6" s="1"/>
  <c r="Z16" i="6"/>
  <c r="AA16" i="6" s="1"/>
  <c r="AB16" i="6" s="1"/>
  <c r="BJ16" i="6" s="1"/>
  <c r="AK67" i="6"/>
  <c r="AL67" i="6" s="1"/>
  <c r="AM67" i="6" s="1"/>
  <c r="Z29" i="6"/>
  <c r="AA29" i="6" s="1"/>
  <c r="AB29" i="6" s="1"/>
  <c r="BJ29" i="6" s="1"/>
  <c r="P18" i="6"/>
  <c r="S16" i="6"/>
  <c r="AV16" i="6" s="1"/>
  <c r="BH16" i="6" s="1"/>
  <c r="AC22" i="6"/>
  <c r="AD22" i="6" s="1"/>
  <c r="AE22" i="6" s="1"/>
  <c r="AC38" i="6"/>
  <c r="AD38" i="6" s="1"/>
  <c r="AE38" i="6" s="1"/>
  <c r="W22" i="6"/>
  <c r="X22" i="6" s="1"/>
  <c r="Y22" i="6" s="1"/>
  <c r="BK22" i="6" s="1"/>
  <c r="P16" i="6"/>
  <c r="AH60" i="6"/>
  <c r="AK28" i="6"/>
  <c r="AL28" i="6" s="1"/>
  <c r="AM28" i="6" s="1"/>
  <c r="AC51" i="6"/>
  <c r="AD51" i="6" s="1"/>
  <c r="AE51" i="6" s="1"/>
  <c r="AK54" i="6"/>
  <c r="AL54" i="6" s="1"/>
  <c r="AM54" i="6" s="1"/>
  <c r="AC30" i="6"/>
  <c r="AD30" i="6" s="1"/>
  <c r="AE30" i="6" s="1"/>
  <c r="Z42" i="6"/>
  <c r="AA42" i="6" s="1"/>
  <c r="AB42" i="6" s="1"/>
  <c r="BJ42" i="6" s="1"/>
  <c r="W32" i="6"/>
  <c r="X32" i="6" s="1"/>
  <c r="Y32" i="6" s="1"/>
  <c r="BK32" i="6" s="1"/>
  <c r="AH48" i="6"/>
  <c r="AK15" i="6"/>
  <c r="AL15" i="6" s="1"/>
  <c r="AM15" i="6" s="1"/>
  <c r="AK45" i="6"/>
  <c r="AL45" i="6" s="1"/>
  <c r="AM45" i="6" s="1"/>
  <c r="AC41" i="6"/>
  <c r="AD41" i="6" s="1"/>
  <c r="AE41" i="6" s="1"/>
  <c r="AK18" i="6"/>
  <c r="AL18" i="6" s="1"/>
  <c r="AM18" i="6" s="1"/>
  <c r="P53" i="6"/>
  <c r="AC39" i="6"/>
  <c r="AD39" i="6" s="1"/>
  <c r="AE39" i="6" s="1"/>
  <c r="AC33" i="6"/>
  <c r="AD33" i="6" s="1"/>
  <c r="AE33" i="6" s="1"/>
  <c r="AC50" i="6"/>
  <c r="AD50" i="6" s="1"/>
  <c r="AE50" i="6" s="1"/>
  <c r="W67" i="6"/>
  <c r="X67" i="6" s="1"/>
  <c r="Y67" i="6" s="1"/>
  <c r="BK67" i="6" s="1"/>
  <c r="Q67" i="6"/>
  <c r="R67" i="6" s="1"/>
  <c r="AG67" i="6" s="1"/>
  <c r="Z67" i="6"/>
  <c r="AA67" i="6" s="1"/>
  <c r="AB67" i="6" s="1"/>
  <c r="BJ67" i="6" s="1"/>
  <c r="S67" i="6"/>
  <c r="AV67" i="6" s="1"/>
  <c r="BH67" i="6" s="1"/>
  <c r="AC67" i="6"/>
  <c r="AD67" i="6" s="1"/>
  <c r="AE67" i="6" s="1"/>
  <c r="P67" i="6"/>
  <c r="AC12" i="6"/>
  <c r="AD12" i="6" s="1"/>
  <c r="AE12" i="6" s="1"/>
  <c r="W12" i="6"/>
  <c r="X12" i="6" s="1"/>
  <c r="Y12" i="6" s="1"/>
  <c r="BK12" i="6" s="1"/>
  <c r="Q12" i="6"/>
  <c r="R12" i="6" s="1"/>
  <c r="AG12" i="6" s="1"/>
  <c r="S12" i="6"/>
  <c r="W27" i="6"/>
  <c r="X27" i="6" s="1"/>
  <c r="Y27" i="6" s="1"/>
  <c r="BK27" i="6" s="1"/>
  <c r="S32" i="6"/>
  <c r="AV32" i="6" s="1"/>
  <c r="BH32" i="6" s="1"/>
  <c r="W53" i="6"/>
  <c r="X53" i="6" s="1"/>
  <c r="Y53" i="6" s="1"/>
  <c r="BK53" i="6" s="1"/>
  <c r="P22" i="6"/>
  <c r="Q16" i="6"/>
  <c r="R16" i="6" s="1"/>
  <c r="AG16" i="6" s="1"/>
  <c r="AK36" i="6"/>
  <c r="AL36" i="6" s="1"/>
  <c r="AM36" i="6" s="1"/>
  <c r="AK53" i="6"/>
  <c r="AL53" i="6" s="1"/>
  <c r="AM53" i="6" s="1"/>
  <c r="AK22" i="6"/>
  <c r="AL22" i="6" s="1"/>
  <c r="AM22" i="6" s="1"/>
  <c r="AK34" i="6"/>
  <c r="AL34" i="6" s="1"/>
  <c r="AM34" i="6" s="1"/>
  <c r="AK62" i="6"/>
  <c r="AL62" i="6" s="1"/>
  <c r="AM62" i="6" s="1"/>
  <c r="AK65" i="6"/>
  <c r="AL65" i="6" s="1"/>
  <c r="AM65" i="6" s="1"/>
  <c r="AK47" i="6"/>
  <c r="AL47" i="6" s="1"/>
  <c r="AM47" i="6" s="1"/>
  <c r="R55" i="6"/>
  <c r="AG55" i="6" s="1"/>
  <c r="Z51" i="6"/>
  <c r="AA51" i="6" s="1"/>
  <c r="AB51" i="6" s="1"/>
  <c r="BJ51" i="6" s="1"/>
  <c r="U55" i="6"/>
  <c r="Z30" i="6"/>
  <c r="AA30" i="6" s="1"/>
  <c r="AB30" i="6" s="1"/>
  <c r="BJ30" i="6" s="1"/>
  <c r="AC62" i="6"/>
  <c r="AD62" i="6" s="1"/>
  <c r="AE62" i="6" s="1"/>
  <c r="Z62" i="6"/>
  <c r="AA62" i="6" s="1"/>
  <c r="AB62" i="6" s="1"/>
  <c r="BJ62" i="6" s="1"/>
  <c r="AC15" i="6"/>
  <c r="AD15" i="6" s="1"/>
  <c r="AE15" i="6" s="1"/>
  <c r="Z15" i="6"/>
  <c r="AA15" i="6" s="1"/>
  <c r="AB15" i="6" s="1"/>
  <c r="BJ15" i="6" s="1"/>
  <c r="Z58" i="6"/>
  <c r="AA58" i="6" s="1"/>
  <c r="AB58" i="6" s="1"/>
  <c r="BJ58" i="6" s="1"/>
  <c r="S38" i="6"/>
  <c r="AV38" i="6" s="1"/>
  <c r="BH38" i="6" s="1"/>
  <c r="P38" i="6"/>
  <c r="Q38" i="6"/>
  <c r="R38" i="6" s="1"/>
  <c r="AG38" i="6" s="1"/>
  <c r="W38" i="6"/>
  <c r="X38" i="6" s="1"/>
  <c r="Y38" i="6" s="1"/>
  <c r="BK38" i="6" s="1"/>
  <c r="Z52" i="6"/>
  <c r="AA52" i="6" s="1"/>
  <c r="AB52" i="6" s="1"/>
  <c r="BJ52" i="6" s="1"/>
  <c r="T61" i="6"/>
  <c r="W50" i="6"/>
  <c r="X50" i="6" s="1"/>
  <c r="Y50" i="6" s="1"/>
  <c r="BK50" i="6" s="1"/>
  <c r="P50" i="6"/>
  <c r="Q50" i="6"/>
  <c r="R50" i="6" s="1"/>
  <c r="AG50" i="6" s="1"/>
  <c r="S50" i="6"/>
  <c r="AV50" i="6" s="1"/>
  <c r="BH50" i="6" s="1"/>
  <c r="AC54" i="6"/>
  <c r="AD54" i="6" s="1"/>
  <c r="AE54" i="6" s="1"/>
  <c r="S54" i="6"/>
  <c r="AV54" i="6" s="1"/>
  <c r="BH54" i="6" s="1"/>
  <c r="P54" i="6"/>
  <c r="Q54" i="6"/>
  <c r="R54" i="6" s="1"/>
  <c r="AG54" i="6" s="1"/>
  <c r="W54" i="6"/>
  <c r="X54" i="6" s="1"/>
  <c r="Y54" i="6" s="1"/>
  <c r="BK54" i="6" s="1"/>
  <c r="Q41" i="6"/>
  <c r="R41" i="6" s="1"/>
  <c r="AG41" i="6" s="1"/>
  <c r="W41" i="6"/>
  <c r="X41" i="6" s="1"/>
  <c r="Y41" i="6" s="1"/>
  <c r="BK41" i="6" s="1"/>
  <c r="P41" i="6"/>
  <c r="S41" i="6"/>
  <c r="AV41" i="6" s="1"/>
  <c r="BH41" i="6" s="1"/>
  <c r="W43" i="6"/>
  <c r="X43" i="6" s="1"/>
  <c r="Y43" i="6" s="1"/>
  <c r="BK43" i="6" s="1"/>
  <c r="S43" i="6"/>
  <c r="AV43" i="6" s="1"/>
  <c r="BH43" i="6" s="1"/>
  <c r="Q43" i="6"/>
  <c r="R43" i="6" s="1"/>
  <c r="AG43" i="6" s="1"/>
  <c r="P43" i="6"/>
  <c r="P33" i="6"/>
  <c r="Q33" i="6"/>
  <c r="R33" i="6" s="1"/>
  <c r="AG33" i="6" s="1"/>
  <c r="S33" i="6"/>
  <c r="AV33" i="6" s="1"/>
  <c r="BH33" i="6" s="1"/>
  <c r="W33" i="6"/>
  <c r="X33" i="6" s="1"/>
  <c r="Y33" i="6" s="1"/>
  <c r="BK33" i="6" s="1"/>
  <c r="P45" i="6"/>
  <c r="Q45" i="6"/>
  <c r="R45" i="6" s="1"/>
  <c r="AG45" i="6" s="1"/>
  <c r="S45" i="6"/>
  <c r="AV45" i="6" s="1"/>
  <c r="BH45" i="6" s="1"/>
  <c r="W45" i="6"/>
  <c r="X45" i="6" s="1"/>
  <c r="Y45" i="6" s="1"/>
  <c r="BK45" i="6" s="1"/>
  <c r="W52" i="6"/>
  <c r="X52" i="6" s="1"/>
  <c r="Y52" i="6" s="1"/>
  <c r="BK52" i="6" s="1"/>
  <c r="P52" i="6"/>
  <c r="S52" i="6"/>
  <c r="AV52" i="6" s="1"/>
  <c r="BH52" i="6" s="1"/>
  <c r="Q52" i="6"/>
  <c r="R52" i="6" s="1"/>
  <c r="AG52" i="6" s="1"/>
  <c r="Q46" i="6"/>
  <c r="R46" i="6" s="1"/>
  <c r="AG46" i="6" s="1"/>
  <c r="S46" i="6"/>
  <c r="AV46" i="6" s="1"/>
  <c r="BH46" i="6" s="1"/>
  <c r="P46" i="6"/>
  <c r="W46" i="6"/>
  <c r="X46" i="6" s="1"/>
  <c r="Y46" i="6" s="1"/>
  <c r="BK46" i="6" s="1"/>
  <c r="Q42" i="6"/>
  <c r="R42" i="6" s="1"/>
  <c r="AG42" i="6" s="1"/>
  <c r="W42" i="6"/>
  <c r="X42" i="6" s="1"/>
  <c r="Y42" i="6" s="1"/>
  <c r="BK42" i="6" s="1"/>
  <c r="P42" i="6"/>
  <c r="S42" i="6"/>
  <c r="AV42" i="6" s="1"/>
  <c r="BH42" i="6" s="1"/>
  <c r="AC45" i="6"/>
  <c r="AD45" i="6" s="1"/>
  <c r="AE45" i="6" s="1"/>
  <c r="W47" i="6"/>
  <c r="X47" i="6" s="1"/>
  <c r="Y47" i="6" s="1"/>
  <c r="BK47" i="6" s="1"/>
  <c r="P47" i="6"/>
  <c r="S47" i="6"/>
  <c r="AV47" i="6" s="1"/>
  <c r="BH47" i="6" s="1"/>
  <c r="Q47" i="6"/>
  <c r="R47" i="6" s="1"/>
  <c r="AG47" i="6" s="1"/>
  <c r="AC42" i="6"/>
  <c r="AD42" i="6" s="1"/>
  <c r="AE42" i="6" s="1"/>
  <c r="Z50" i="6"/>
  <c r="AA50" i="6" s="1"/>
  <c r="AB50" i="6" s="1"/>
  <c r="BJ50" i="6" s="1"/>
  <c r="P58" i="6"/>
  <c r="Q58" i="6"/>
  <c r="R58" i="6" s="1"/>
  <c r="AG58" i="6" s="1"/>
  <c r="S58" i="6"/>
  <c r="AV58" i="6" s="1"/>
  <c r="BH58" i="6" s="1"/>
  <c r="W58" i="6"/>
  <c r="X58" i="6" s="1"/>
  <c r="Y58" i="6" s="1"/>
  <c r="BK58" i="6" s="1"/>
  <c r="S66" i="6"/>
  <c r="AV66" i="6" s="1"/>
  <c r="BH66" i="6" s="1"/>
  <c r="P66" i="6"/>
  <c r="Q66" i="6"/>
  <c r="R66" i="6" s="1"/>
  <c r="AG66" i="6" s="1"/>
  <c r="W66" i="6"/>
  <c r="X66" i="6" s="1"/>
  <c r="Y66" i="6" s="1"/>
  <c r="BK66" i="6" s="1"/>
  <c r="P59" i="6"/>
  <c r="S59" i="6"/>
  <c r="AV59" i="6" s="1"/>
  <c r="BH59" i="6" s="1"/>
  <c r="Q59" i="6"/>
  <c r="R59" i="6" s="1"/>
  <c r="AG59" i="6" s="1"/>
  <c r="W59" i="6"/>
  <c r="X59" i="6" s="1"/>
  <c r="Y59" i="6" s="1"/>
  <c r="BK59" i="6" s="1"/>
  <c r="Z37" i="6"/>
  <c r="AA37" i="6" s="1"/>
  <c r="AB37" i="6" s="1"/>
  <c r="BJ37" i="6" s="1"/>
  <c r="Z45" i="6"/>
  <c r="AA45" i="6" s="1"/>
  <c r="AB45" i="6" s="1"/>
  <c r="BJ45" i="6" s="1"/>
  <c r="W56" i="6"/>
  <c r="X56" i="6" s="1"/>
  <c r="Y56" i="6" s="1"/>
  <c r="BK56" i="6" s="1"/>
  <c r="S56" i="6"/>
  <c r="AV56" i="6" s="1"/>
  <c r="BH56" i="6" s="1"/>
  <c r="Q56" i="6"/>
  <c r="R56" i="6" s="1"/>
  <c r="AG56" i="6" s="1"/>
  <c r="P56" i="6"/>
  <c r="Z59" i="6"/>
  <c r="AA59" i="6" s="1"/>
  <c r="AB59" i="6" s="1"/>
  <c r="BJ59" i="6" s="1"/>
  <c r="Q29" i="6"/>
  <c r="R29" i="6" s="1"/>
  <c r="AG29" i="6" s="1"/>
  <c r="W29" i="6"/>
  <c r="X29" i="6" s="1"/>
  <c r="Y29" i="6" s="1"/>
  <c r="BK29" i="6" s="1"/>
  <c r="AC29" i="6"/>
  <c r="AD29" i="6" s="1"/>
  <c r="AE29" i="6" s="1"/>
  <c r="S29" i="6"/>
  <c r="AV29" i="6" s="1"/>
  <c r="BH29" i="6" s="1"/>
  <c r="P29" i="6"/>
  <c r="Z66" i="6"/>
  <c r="AA66" i="6" s="1"/>
  <c r="AB66" i="6" s="1"/>
  <c r="BJ66" i="6" s="1"/>
  <c r="AC37" i="6"/>
  <c r="AD37" i="6" s="1"/>
  <c r="AE37" i="6" s="1"/>
  <c r="S15" i="6"/>
  <c r="AV15" i="6" s="1"/>
  <c r="BH15" i="6" s="1"/>
  <c r="P15" i="6"/>
  <c r="Q15" i="6"/>
  <c r="R15" i="6" s="1"/>
  <c r="AG15" i="6" s="1"/>
  <c r="W15" i="6"/>
  <c r="X15" i="6" s="1"/>
  <c r="Y15" i="6" s="1"/>
  <c r="BK15" i="6" s="1"/>
  <c r="AC59" i="6"/>
  <c r="AD59" i="6" s="1"/>
  <c r="AE59" i="6" s="1"/>
  <c r="Z56" i="6"/>
  <c r="AA56" i="6" s="1"/>
  <c r="AB56" i="6" s="1"/>
  <c r="BJ56" i="6" s="1"/>
  <c r="S36" i="6"/>
  <c r="AV36" i="6" s="1"/>
  <c r="BH36" i="6" s="1"/>
  <c r="Q36" i="6"/>
  <c r="R36" i="6" s="1"/>
  <c r="AG36" i="6" s="1"/>
  <c r="P36" i="6"/>
  <c r="W36" i="6"/>
  <c r="X36" i="6" s="1"/>
  <c r="Y36" i="6" s="1"/>
  <c r="BK36" i="6" s="1"/>
  <c r="AC66" i="6"/>
  <c r="AD66" i="6" s="1"/>
  <c r="AE66" i="6" s="1"/>
  <c r="W30" i="6"/>
  <c r="X30" i="6" s="1"/>
  <c r="Y30" i="6" s="1"/>
  <c r="BK30" i="6" s="1"/>
  <c r="S30" i="6"/>
  <c r="AV30" i="6" s="1"/>
  <c r="BH30" i="6" s="1"/>
  <c r="Q30" i="6"/>
  <c r="R30" i="6" s="1"/>
  <c r="AG30" i="6" s="1"/>
  <c r="P30" i="6"/>
  <c r="T20" i="6"/>
  <c r="S62" i="6"/>
  <c r="AV62" i="6" s="1"/>
  <c r="BH62" i="6" s="1"/>
  <c r="P62" i="6"/>
  <c r="W62" i="6"/>
  <c r="X62" i="6" s="1"/>
  <c r="Y62" i="6" s="1"/>
  <c r="BK62" i="6" s="1"/>
  <c r="Q62" i="6"/>
  <c r="R62" i="6" s="1"/>
  <c r="AG62" i="6" s="1"/>
  <c r="AC56" i="6"/>
  <c r="AD56" i="6" s="1"/>
  <c r="AE56" i="6" s="1"/>
  <c r="P37" i="6"/>
  <c r="S37" i="6"/>
  <c r="AV37" i="6" s="1"/>
  <c r="BH37" i="6" s="1"/>
  <c r="Q37" i="6"/>
  <c r="R37" i="6" s="1"/>
  <c r="AG37" i="6" s="1"/>
  <c r="W37" i="6"/>
  <c r="X37" i="6" s="1"/>
  <c r="Y37" i="6" s="1"/>
  <c r="BK37" i="6" s="1"/>
  <c r="T21" i="6"/>
  <c r="W39" i="6"/>
  <c r="X39" i="6" s="1"/>
  <c r="Y39" i="6" s="1"/>
  <c r="BK39" i="6" s="1"/>
  <c r="P39" i="6"/>
  <c r="Z39" i="6"/>
  <c r="AA39" i="6" s="1"/>
  <c r="AB39" i="6" s="1"/>
  <c r="BJ39" i="6" s="1"/>
  <c r="Q39" i="6"/>
  <c r="R39" i="6" s="1"/>
  <c r="AG39" i="6" s="1"/>
  <c r="S39" i="6"/>
  <c r="AV39" i="6" s="1"/>
  <c r="BH39" i="6" s="1"/>
  <c r="AC43" i="6"/>
  <c r="AD43" i="6" s="1"/>
  <c r="AE43" i="6" s="1"/>
  <c r="AC46" i="6"/>
  <c r="AD46" i="6" s="1"/>
  <c r="AE46" i="6" s="1"/>
  <c r="Z47" i="6"/>
  <c r="AA47" i="6" s="1"/>
  <c r="AB47" i="6" s="1"/>
  <c r="BJ47" i="6" s="1"/>
  <c r="Z34" i="6"/>
  <c r="AA34" i="6" s="1"/>
  <c r="AB34" i="6" s="1"/>
  <c r="BJ34" i="6" s="1"/>
  <c r="Q34" i="6"/>
  <c r="R34" i="6" s="1"/>
  <c r="AG34" i="6" s="1"/>
  <c r="S34" i="6"/>
  <c r="AV34" i="6" s="1"/>
  <c r="BH34" i="6" s="1"/>
  <c r="P34" i="6"/>
  <c r="W34" i="6"/>
  <c r="X34" i="6" s="1"/>
  <c r="Y34" i="6" s="1"/>
  <c r="BK34" i="6" s="1"/>
  <c r="AC36" i="6"/>
  <c r="AD36" i="6" s="1"/>
  <c r="AE36" i="6" s="1"/>
  <c r="Z41" i="6"/>
  <c r="AA41" i="6" s="1"/>
  <c r="AB41" i="6" s="1"/>
  <c r="BJ41" i="6" s="1"/>
  <c r="W28" i="6"/>
  <c r="X28" i="6" s="1"/>
  <c r="Y28" i="6" s="1"/>
  <c r="BK28" i="6" s="1"/>
  <c r="AC28" i="6"/>
  <c r="AD28" i="6" s="1"/>
  <c r="AE28" i="6" s="1"/>
  <c r="P28" i="6"/>
  <c r="Q28" i="6"/>
  <c r="R28" i="6" s="1"/>
  <c r="AG28" i="6" s="1"/>
  <c r="S28" i="6"/>
  <c r="AV28" i="6" s="1"/>
  <c r="BH28" i="6" s="1"/>
  <c r="Z28" i="6"/>
  <c r="AA28" i="6" s="1"/>
  <c r="AB28" i="6" s="1"/>
  <c r="BJ28" i="6" s="1"/>
  <c r="Z33" i="6"/>
  <c r="AA33" i="6" s="1"/>
  <c r="AB33" i="6" s="1"/>
  <c r="BJ33" i="6" s="1"/>
  <c r="Z46" i="6"/>
  <c r="AA46" i="6" s="1"/>
  <c r="AB46" i="6" s="1"/>
  <c r="BJ46" i="6" s="1"/>
  <c r="S51" i="6"/>
  <c r="AV51" i="6" s="1"/>
  <c r="BH51" i="6" s="1"/>
  <c r="Q51" i="6"/>
  <c r="R51" i="6" s="1"/>
  <c r="AG51" i="6" s="1"/>
  <c r="P51" i="6"/>
  <c r="W51" i="6"/>
  <c r="X51" i="6" s="1"/>
  <c r="Y51" i="6" s="1"/>
  <c r="BK51" i="6" s="1"/>
  <c r="AC34" i="6"/>
  <c r="AD34" i="6" s="1"/>
  <c r="AE34" i="6" s="1"/>
  <c r="AC58" i="6"/>
  <c r="AD58" i="6" s="1"/>
  <c r="AE58" i="6" s="1"/>
  <c r="AC47" i="6"/>
  <c r="AD47" i="6" s="1"/>
  <c r="AE47" i="6" s="1"/>
  <c r="J71" i="6"/>
  <c r="O69" i="6"/>
  <c r="N70" i="6"/>
  <c r="X68" i="6"/>
  <c r="Y68" i="6" s="1"/>
  <c r="BK68" i="6" s="1"/>
  <c r="G65" i="1"/>
  <c r="C153" i="2"/>
  <c r="F153" i="2" s="1"/>
  <c r="G106" i="1" s="1"/>
  <c r="C108" i="2"/>
  <c r="F108" i="2" s="1"/>
  <c r="C107" i="2"/>
  <c r="C124" i="2"/>
  <c r="F124" i="2" s="1"/>
  <c r="I75" i="7" l="1"/>
  <c r="AA75" i="7" s="1"/>
  <c r="I84" i="7"/>
  <c r="AA84" i="7" s="1"/>
  <c r="J37" i="7"/>
  <c r="J72" i="7"/>
  <c r="J98" i="7"/>
  <c r="J101" i="7"/>
  <c r="J24" i="7"/>
  <c r="J15" i="7"/>
  <c r="J79" i="7"/>
  <c r="AB79" i="7" s="1"/>
  <c r="J97" i="7"/>
  <c r="J32" i="7"/>
  <c r="AB32" i="7" s="1"/>
  <c r="J13" i="7"/>
  <c r="AB13" i="7" s="1"/>
  <c r="J50" i="7"/>
  <c r="I134" i="7"/>
  <c r="AA134" i="7" s="1"/>
  <c r="J27" i="7"/>
  <c r="AB27" i="7" s="1"/>
  <c r="I71" i="7"/>
  <c r="AA71" i="7" s="1"/>
  <c r="I92" i="7"/>
  <c r="AA92" i="7" s="1"/>
  <c r="I79" i="7"/>
  <c r="AA79" i="7" s="1"/>
  <c r="J23" i="7"/>
  <c r="AB23" i="7" s="1"/>
  <c r="J125" i="7"/>
  <c r="AB125" i="7" s="1"/>
  <c r="I77" i="7"/>
  <c r="AA77" i="7" s="1"/>
  <c r="I101" i="7"/>
  <c r="AA101" i="7" s="1"/>
  <c r="J35" i="7"/>
  <c r="AB35" i="7" s="1"/>
  <c r="I100" i="7"/>
  <c r="AA100" i="7" s="1"/>
  <c r="AH57" i="6"/>
  <c r="AH65" i="6"/>
  <c r="AH40" i="6"/>
  <c r="I95" i="7"/>
  <c r="AA95" i="7" s="1"/>
  <c r="J31" i="7"/>
  <c r="AB31" i="7" s="1"/>
  <c r="I126" i="7"/>
  <c r="AA126" i="7" s="1"/>
  <c r="I65" i="7"/>
  <c r="AA65" i="7" s="1"/>
  <c r="J105" i="7"/>
  <c r="J104" i="7"/>
  <c r="AB104" i="7" s="1"/>
  <c r="I25" i="7"/>
  <c r="AA25" i="7" s="1"/>
  <c r="J70" i="7"/>
  <c r="AB70" i="7" s="1"/>
  <c r="J121" i="7"/>
  <c r="AB121" i="7" s="1"/>
  <c r="J20" i="7"/>
  <c r="J51" i="7"/>
  <c r="AB51" i="7" s="1"/>
  <c r="J113" i="7"/>
  <c r="AB113" i="7" s="1"/>
  <c r="I46" i="7"/>
  <c r="AA46" i="7" s="1"/>
  <c r="I133" i="7"/>
  <c r="AA133" i="7" s="1"/>
  <c r="I112" i="7"/>
  <c r="AA112" i="7" s="1"/>
  <c r="J18" i="7"/>
  <c r="AB18" i="7" s="1"/>
  <c r="J85" i="7"/>
  <c r="J87" i="7"/>
  <c r="AB87" i="7" s="1"/>
  <c r="I82" i="7"/>
  <c r="AA82" i="7" s="1"/>
  <c r="J26" i="7"/>
  <c r="J93" i="7"/>
  <c r="AB93" i="7" s="1"/>
  <c r="J95" i="7"/>
  <c r="AB95" i="7" s="1"/>
  <c r="I106" i="7"/>
  <c r="AA106" i="7" s="1"/>
  <c r="I35" i="7"/>
  <c r="AA35" i="7" s="1"/>
  <c r="J103" i="7"/>
  <c r="AB103" i="7" s="1"/>
  <c r="J76" i="7"/>
  <c r="AB76" i="7" s="1"/>
  <c r="I118" i="7"/>
  <c r="AA118" i="7" s="1"/>
  <c r="I90" i="7"/>
  <c r="AA90" i="7" s="1"/>
  <c r="I23" i="7"/>
  <c r="AA23" i="7" s="1"/>
  <c r="I64" i="7"/>
  <c r="AA64" i="7" s="1"/>
  <c r="I14" i="7"/>
  <c r="AA14" i="7" s="1"/>
  <c r="I16" i="7"/>
  <c r="AA16" i="7" s="1"/>
  <c r="I17" i="7"/>
  <c r="AA17" i="7" s="1"/>
  <c r="J82" i="7"/>
  <c r="AB82" i="7" s="1"/>
  <c r="I22" i="7"/>
  <c r="AA22" i="7" s="1"/>
  <c r="I24" i="7"/>
  <c r="AA24" i="7" s="1"/>
  <c r="I74" i="7"/>
  <c r="AA74" i="7" s="1"/>
  <c r="J90" i="7"/>
  <c r="AB90" i="7" s="1"/>
  <c r="I30" i="7"/>
  <c r="AA30" i="7" s="1"/>
  <c r="I32" i="7"/>
  <c r="AA32" i="7" s="1"/>
  <c r="I89" i="7"/>
  <c r="AA89" i="7" s="1"/>
  <c r="I99" i="7"/>
  <c r="AA99" i="7" s="1"/>
  <c r="I40" i="7"/>
  <c r="AA40" i="7" s="1"/>
  <c r="I69" i="7"/>
  <c r="AA69" i="7" s="1"/>
  <c r="J86" i="7"/>
  <c r="AB86" i="7" s="1"/>
  <c r="I117" i="7"/>
  <c r="AA117" i="7" s="1"/>
  <c r="I120" i="7"/>
  <c r="AA120" i="7" s="1"/>
  <c r="J17" i="7"/>
  <c r="AB17" i="7" s="1"/>
  <c r="I78" i="7"/>
  <c r="AA78" i="7" s="1"/>
  <c r="I80" i="7"/>
  <c r="AA80" i="7" s="1"/>
  <c r="I33" i="7"/>
  <c r="AA33" i="7" s="1"/>
  <c r="I19" i="7"/>
  <c r="AA19" i="7" s="1"/>
  <c r="I86" i="7"/>
  <c r="AA86" i="7" s="1"/>
  <c r="I88" i="7"/>
  <c r="AA88" i="7" s="1"/>
  <c r="I114" i="7"/>
  <c r="AA114" i="7" s="1"/>
  <c r="I27" i="7"/>
  <c r="AA27" i="7" s="1"/>
  <c r="I94" i="7"/>
  <c r="AA94" i="7" s="1"/>
  <c r="I96" i="7"/>
  <c r="AA96" i="7" s="1"/>
  <c r="J84" i="7"/>
  <c r="J43" i="7"/>
  <c r="AB43" i="7" s="1"/>
  <c r="I104" i="7"/>
  <c r="AA104" i="7" s="1"/>
  <c r="J42" i="7"/>
  <c r="AB42" i="7" s="1"/>
  <c r="J111" i="7"/>
  <c r="AB111" i="7" s="1"/>
  <c r="J132" i="7"/>
  <c r="AB132" i="7" s="1"/>
  <c r="I136" i="7"/>
  <c r="AA136" i="7" s="1"/>
  <c r="I18" i="7"/>
  <c r="AA18" i="7" s="1"/>
  <c r="J138" i="7"/>
  <c r="AB138" i="7" s="1"/>
  <c r="J78" i="7"/>
  <c r="AB78" i="7" s="1"/>
  <c r="J33" i="7"/>
  <c r="AB33" i="7" s="1"/>
  <c r="I85" i="7"/>
  <c r="AA85" i="7" s="1"/>
  <c r="I83" i="7"/>
  <c r="AA83" i="7" s="1"/>
  <c r="J94" i="7"/>
  <c r="AB94" i="7" s="1"/>
  <c r="J41" i="7"/>
  <c r="AB41" i="7" s="1"/>
  <c r="I21" i="7"/>
  <c r="AA21" i="7" s="1"/>
  <c r="I91" i="7"/>
  <c r="AA91" i="7" s="1"/>
  <c r="J102" i="7"/>
  <c r="AO101" i="7" s="1"/>
  <c r="J49" i="7"/>
  <c r="AO49" i="7" s="1"/>
  <c r="I13" i="7"/>
  <c r="AA13" i="7" s="1"/>
  <c r="J107" i="7"/>
  <c r="AB107" i="7" s="1"/>
  <c r="J57" i="7"/>
  <c r="AB57" i="7" s="1"/>
  <c r="I107" i="7"/>
  <c r="AA107" i="7" s="1"/>
  <c r="I48" i="7"/>
  <c r="AA48" i="7" s="1"/>
  <c r="J68" i="7"/>
  <c r="I49" i="7"/>
  <c r="AA49" i="7" s="1"/>
  <c r="J44" i="7"/>
  <c r="AB44" i="7" s="1"/>
  <c r="J83" i="7"/>
  <c r="AB83" i="7" s="1"/>
  <c r="J38" i="7"/>
  <c r="AB38" i="7" s="1"/>
  <c r="I34" i="7"/>
  <c r="AA34" i="7" s="1"/>
  <c r="I93" i="7"/>
  <c r="AA93" i="7" s="1"/>
  <c r="J91" i="7"/>
  <c r="J46" i="7"/>
  <c r="AB46" i="7" s="1"/>
  <c r="I42" i="7"/>
  <c r="AA42" i="7" s="1"/>
  <c r="J69" i="7"/>
  <c r="AB69" i="7" s="1"/>
  <c r="J99" i="7"/>
  <c r="AB99" i="7" s="1"/>
  <c r="J54" i="7"/>
  <c r="AB54" i="7" s="1"/>
  <c r="I50" i="7"/>
  <c r="AA50" i="7" s="1"/>
  <c r="I125" i="7"/>
  <c r="AA125" i="7" s="1"/>
  <c r="I38" i="7"/>
  <c r="AA38" i="7" s="1"/>
  <c r="I138" i="7"/>
  <c r="AA138" i="7" s="1"/>
  <c r="J115" i="7"/>
  <c r="AB115" i="7" s="1"/>
  <c r="J65" i="7"/>
  <c r="AB65" i="7" s="1"/>
  <c r="J117" i="7"/>
  <c r="AB117" i="7" s="1"/>
  <c r="J40" i="7"/>
  <c r="AB40" i="7" s="1"/>
  <c r="I20" i="7"/>
  <c r="AA20" i="7" s="1"/>
  <c r="I31" i="7"/>
  <c r="AA31" i="7" s="1"/>
  <c r="I97" i="7"/>
  <c r="AA97" i="7" s="1"/>
  <c r="J92" i="7"/>
  <c r="I28" i="7"/>
  <c r="AA28" i="7" s="1"/>
  <c r="I47" i="7"/>
  <c r="AA47" i="7" s="1"/>
  <c r="I129" i="7"/>
  <c r="AA129" i="7" s="1"/>
  <c r="J61" i="7"/>
  <c r="I36" i="7"/>
  <c r="AA36" i="7" s="1"/>
  <c r="I63" i="7"/>
  <c r="AA63" i="7" s="1"/>
  <c r="I98" i="7"/>
  <c r="AA98" i="7" s="1"/>
  <c r="J34" i="7"/>
  <c r="I102" i="7"/>
  <c r="AA102" i="7" s="1"/>
  <c r="J112" i="7"/>
  <c r="AB112" i="7" s="1"/>
  <c r="J109" i="7"/>
  <c r="AB109" i="7" s="1"/>
  <c r="J129" i="7"/>
  <c r="I54" i="7"/>
  <c r="AA54" i="7" s="1"/>
  <c r="J58" i="7"/>
  <c r="AB58" i="7" s="1"/>
  <c r="J122" i="7"/>
  <c r="AB122" i="7" s="1"/>
  <c r="I59" i="7"/>
  <c r="AA59" i="7" s="1"/>
  <c r="J118" i="7"/>
  <c r="AB118" i="7" s="1"/>
  <c r="I58" i="7"/>
  <c r="AA58" i="7" s="1"/>
  <c r="J106" i="7"/>
  <c r="AB106" i="7" s="1"/>
  <c r="J134" i="7"/>
  <c r="AB134" i="7" s="1"/>
  <c r="I66" i="7"/>
  <c r="AA66" i="7" s="1"/>
  <c r="J114" i="7"/>
  <c r="AB114" i="7" s="1"/>
  <c r="J73" i="7"/>
  <c r="AB73" i="7" s="1"/>
  <c r="I123" i="7"/>
  <c r="AA123" i="7" s="1"/>
  <c r="I111" i="7"/>
  <c r="AA111" i="7" s="1"/>
  <c r="I41" i="7"/>
  <c r="AA41" i="7" s="1"/>
  <c r="I43" i="7"/>
  <c r="AA43" i="7" s="1"/>
  <c r="I127" i="7"/>
  <c r="AA127" i="7" s="1"/>
  <c r="I121" i="7"/>
  <c r="AA121" i="7" s="1"/>
  <c r="J59" i="7"/>
  <c r="AB59" i="7" s="1"/>
  <c r="J137" i="7"/>
  <c r="J67" i="7"/>
  <c r="I113" i="7"/>
  <c r="AA113" i="7" s="1"/>
  <c r="I51" i="7"/>
  <c r="AA51" i="7" s="1"/>
  <c r="J119" i="7"/>
  <c r="AB119" i="7" s="1"/>
  <c r="J45" i="7"/>
  <c r="AB45" i="7" s="1"/>
  <c r="I62" i="7"/>
  <c r="AA62" i="7" s="1"/>
  <c r="I115" i="7"/>
  <c r="AA115" i="7" s="1"/>
  <c r="I56" i="7"/>
  <c r="AA56" i="7" s="1"/>
  <c r="J60" i="7"/>
  <c r="J30" i="7"/>
  <c r="AB30" i="7" s="1"/>
  <c r="J14" i="7"/>
  <c r="J127" i="7"/>
  <c r="AB127" i="7" s="1"/>
  <c r="AN14" i="6"/>
  <c r="J130" i="7"/>
  <c r="AB130" i="7" s="1"/>
  <c r="I39" i="7"/>
  <c r="AA39" i="7" s="1"/>
  <c r="J81" i="7"/>
  <c r="AO81" i="7" s="1"/>
  <c r="J96" i="7"/>
  <c r="J123" i="7"/>
  <c r="AB123" i="7" s="1"/>
  <c r="J110" i="7"/>
  <c r="AB110" i="7" s="1"/>
  <c r="J56" i="7"/>
  <c r="J53" i="7"/>
  <c r="AB53" i="7" s="1"/>
  <c r="J131" i="7"/>
  <c r="AB131" i="7" s="1"/>
  <c r="J126" i="7"/>
  <c r="AO125" i="7" s="1"/>
  <c r="J120" i="7"/>
  <c r="AO12" i="6"/>
  <c r="I44" i="7"/>
  <c r="AA44" i="7" s="1"/>
  <c r="I87" i="7"/>
  <c r="AA87" i="7" s="1"/>
  <c r="I130" i="7"/>
  <c r="AA130" i="7" s="1"/>
  <c r="I61" i="7"/>
  <c r="AA61" i="7" s="1"/>
  <c r="I52" i="7"/>
  <c r="AA52" i="7" s="1"/>
  <c r="I103" i="7"/>
  <c r="AA103" i="7" s="1"/>
  <c r="J48" i="7"/>
  <c r="AB48" i="7" s="1"/>
  <c r="J124" i="7"/>
  <c r="I60" i="7"/>
  <c r="AA60" i="7" s="1"/>
  <c r="I119" i="7"/>
  <c r="AA119" i="7" s="1"/>
  <c r="I122" i="7"/>
  <c r="AA122" i="7" s="1"/>
  <c r="J116" i="7"/>
  <c r="AB116" i="7" s="1"/>
  <c r="I68" i="7"/>
  <c r="AA68" i="7" s="1"/>
  <c r="I135" i="7"/>
  <c r="AA135" i="7" s="1"/>
  <c r="J64" i="7"/>
  <c r="AB64" i="7" s="1"/>
  <c r="J136" i="7"/>
  <c r="AB136" i="7" s="1"/>
  <c r="I37" i="7"/>
  <c r="AA37" i="7" s="1"/>
  <c r="I108" i="7"/>
  <c r="AA108" i="7" s="1"/>
  <c r="J39" i="7"/>
  <c r="AB39" i="7" s="1"/>
  <c r="I73" i="7"/>
  <c r="AA73" i="7" s="1"/>
  <c r="J100" i="7"/>
  <c r="I116" i="7"/>
  <c r="AA116" i="7" s="1"/>
  <c r="J47" i="7"/>
  <c r="I105" i="7"/>
  <c r="AA105" i="7" s="1"/>
  <c r="J36" i="7"/>
  <c r="AO35" i="7" s="1"/>
  <c r="I124" i="7"/>
  <c r="AA124" i="7" s="1"/>
  <c r="J55" i="7"/>
  <c r="AB55" i="7" s="1"/>
  <c r="I137" i="7"/>
  <c r="AA137" i="7" s="1"/>
  <c r="J29" i="7"/>
  <c r="AB29" i="7" s="1"/>
  <c r="I132" i="7"/>
  <c r="AA132" i="7" s="1"/>
  <c r="J63" i="7"/>
  <c r="J88" i="7"/>
  <c r="AB88" i="7" s="1"/>
  <c r="AN13" i="6"/>
  <c r="AP13" i="6" s="1"/>
  <c r="AU13" i="6" s="1"/>
  <c r="BG13" i="6" s="1"/>
  <c r="J62" i="7"/>
  <c r="AB62" i="7" s="1"/>
  <c r="I55" i="7"/>
  <c r="AA55" i="7" s="1"/>
  <c r="J19" i="7"/>
  <c r="AB19" i="7" s="1"/>
  <c r="J22" i="7"/>
  <c r="AB22" i="7" s="1"/>
  <c r="J52" i="7"/>
  <c r="AB52" i="7" s="1"/>
  <c r="I45" i="7"/>
  <c r="AA45" i="7" s="1"/>
  <c r="I26" i="7"/>
  <c r="AA26" i="7" s="1"/>
  <c r="I70" i="7"/>
  <c r="AA70" i="7" s="1"/>
  <c r="J16" i="7"/>
  <c r="AB16" i="7" s="1"/>
  <c r="I72" i="7"/>
  <c r="AA72" i="7" s="1"/>
  <c r="I109" i="7"/>
  <c r="AA109" i="7" s="1"/>
  <c r="J12" i="7"/>
  <c r="AB12" i="7" s="1"/>
  <c r="J25" i="7"/>
  <c r="J21" i="7"/>
  <c r="AB21" i="7" s="1"/>
  <c r="I15" i="7"/>
  <c r="AA15" i="7" s="1"/>
  <c r="J28" i="7"/>
  <c r="I131" i="7"/>
  <c r="AA131" i="7" s="1"/>
  <c r="J89" i="7"/>
  <c r="J77" i="7"/>
  <c r="AB77" i="7" s="1"/>
  <c r="J133" i="7"/>
  <c r="AH35" i="6"/>
  <c r="AH44" i="6"/>
  <c r="AH64" i="6"/>
  <c r="AH46" i="6"/>
  <c r="AH61" i="6"/>
  <c r="AH67" i="6"/>
  <c r="AH47" i="6"/>
  <c r="AH56" i="6"/>
  <c r="AH59" i="6"/>
  <c r="AH49" i="6"/>
  <c r="AH66" i="6"/>
  <c r="AH52" i="6"/>
  <c r="AH68" i="6"/>
  <c r="AH37" i="6"/>
  <c r="AH41" i="6"/>
  <c r="AH38" i="6"/>
  <c r="AH50" i="6"/>
  <c r="AH62" i="6"/>
  <c r="AO15" i="6"/>
  <c r="AN21" i="6"/>
  <c r="AN19" i="6"/>
  <c r="AO19" i="6"/>
  <c r="AN16" i="6"/>
  <c r="J74" i="7"/>
  <c r="AB74" i="7" s="1"/>
  <c r="BB16" i="7"/>
  <c r="BD16" i="7" s="1"/>
  <c r="BH16" i="7" s="1"/>
  <c r="BB20" i="7"/>
  <c r="BD20" i="7" s="1"/>
  <c r="BH20" i="7" s="1"/>
  <c r="BB24" i="7"/>
  <c r="BD24" i="7" s="1"/>
  <c r="BH24" i="7" s="1"/>
  <c r="BB28" i="7"/>
  <c r="BD28" i="7" s="1"/>
  <c r="BH28" i="7" s="1"/>
  <c r="BB32" i="7"/>
  <c r="BD32" i="7" s="1"/>
  <c r="BH32" i="7" s="1"/>
  <c r="BB36" i="7"/>
  <c r="BD36" i="7" s="1"/>
  <c r="BH36" i="7" s="1"/>
  <c r="BB40" i="7"/>
  <c r="BD40" i="7" s="1"/>
  <c r="BH40" i="7" s="1"/>
  <c r="BB44" i="7"/>
  <c r="BD44" i="7" s="1"/>
  <c r="BH44" i="7" s="1"/>
  <c r="BB48" i="7"/>
  <c r="BD48" i="7" s="1"/>
  <c r="BH48" i="7" s="1"/>
  <c r="BB52" i="7"/>
  <c r="BD52" i="7" s="1"/>
  <c r="BH52" i="7" s="1"/>
  <c r="BB56" i="7"/>
  <c r="BD56" i="7" s="1"/>
  <c r="BH56" i="7" s="1"/>
  <c r="BB60" i="7"/>
  <c r="BD60" i="7" s="1"/>
  <c r="BH60" i="7" s="1"/>
  <c r="BB64" i="7"/>
  <c r="BD64" i="7" s="1"/>
  <c r="BH64" i="7" s="1"/>
  <c r="BC16" i="7"/>
  <c r="BE16" i="7" s="1"/>
  <c r="BC20" i="7"/>
  <c r="BE20" i="7" s="1"/>
  <c r="BC24" i="7"/>
  <c r="BE24" i="7" s="1"/>
  <c r="BC28" i="7"/>
  <c r="BE28" i="7" s="1"/>
  <c r="BC32" i="7"/>
  <c r="BE32" i="7" s="1"/>
  <c r="BC36" i="7"/>
  <c r="BE36" i="7" s="1"/>
  <c r="BC40" i="7"/>
  <c r="BE40" i="7" s="1"/>
  <c r="BC44" i="7"/>
  <c r="BE44" i="7" s="1"/>
  <c r="BC48" i="7"/>
  <c r="BE48" i="7" s="1"/>
  <c r="BC52" i="7"/>
  <c r="BE52" i="7" s="1"/>
  <c r="BC56" i="7"/>
  <c r="BE56" i="7" s="1"/>
  <c r="BC60" i="7"/>
  <c r="BE60" i="7" s="1"/>
  <c r="BC64" i="7"/>
  <c r="BE64" i="7" s="1"/>
  <c r="BC68" i="7"/>
  <c r="BE68" i="7" s="1"/>
  <c r="BC72" i="7"/>
  <c r="BE72" i="7" s="1"/>
  <c r="BC76" i="7"/>
  <c r="BE76" i="7" s="1"/>
  <c r="BC80" i="7"/>
  <c r="BE80" i="7" s="1"/>
  <c r="BC84" i="7"/>
  <c r="BE84" i="7" s="1"/>
  <c r="BC88" i="7"/>
  <c r="BE88" i="7" s="1"/>
  <c r="BC92" i="7"/>
  <c r="BE92" i="7" s="1"/>
  <c r="BB13" i="7"/>
  <c r="BD13" i="7" s="1"/>
  <c r="BH13" i="7" s="1"/>
  <c r="BB17" i="7"/>
  <c r="BD17" i="7" s="1"/>
  <c r="BH17" i="7" s="1"/>
  <c r="BB21" i="7"/>
  <c r="BD21" i="7" s="1"/>
  <c r="BH21" i="7" s="1"/>
  <c r="BB25" i="7"/>
  <c r="BD25" i="7" s="1"/>
  <c r="BH25" i="7" s="1"/>
  <c r="BB29" i="7"/>
  <c r="BD29" i="7" s="1"/>
  <c r="BH29" i="7" s="1"/>
  <c r="BB33" i="7"/>
  <c r="BD33" i="7" s="1"/>
  <c r="BH33" i="7" s="1"/>
  <c r="BB37" i="7"/>
  <c r="BD37" i="7" s="1"/>
  <c r="BH37" i="7" s="1"/>
  <c r="BB41" i="7"/>
  <c r="BD41" i="7" s="1"/>
  <c r="BH41" i="7" s="1"/>
  <c r="BB45" i="7"/>
  <c r="BD45" i="7" s="1"/>
  <c r="BH45" i="7" s="1"/>
  <c r="BB49" i="7"/>
  <c r="BD49" i="7" s="1"/>
  <c r="BH49" i="7" s="1"/>
  <c r="BB53" i="7"/>
  <c r="BD53" i="7" s="1"/>
  <c r="BH53" i="7" s="1"/>
  <c r="BX52" i="7" s="1"/>
  <c r="BB57" i="7"/>
  <c r="BD57" i="7" s="1"/>
  <c r="BH57" i="7" s="1"/>
  <c r="BX56" i="7" s="1"/>
  <c r="BB61" i="7"/>
  <c r="BD61" i="7" s="1"/>
  <c r="BH61" i="7" s="1"/>
  <c r="BB65" i="7"/>
  <c r="BD65" i="7" s="1"/>
  <c r="BH65" i="7" s="1"/>
  <c r="BB69" i="7"/>
  <c r="BD69" i="7" s="1"/>
  <c r="BH69" i="7" s="1"/>
  <c r="BB73" i="7"/>
  <c r="BD73" i="7" s="1"/>
  <c r="BH73" i="7" s="1"/>
  <c r="BB77" i="7"/>
  <c r="BD77" i="7" s="1"/>
  <c r="BH77" i="7" s="1"/>
  <c r="BB81" i="7"/>
  <c r="BD81" i="7" s="1"/>
  <c r="BH81" i="7" s="1"/>
  <c r="BB85" i="7"/>
  <c r="BD85" i="7" s="1"/>
  <c r="BH85" i="7" s="1"/>
  <c r="BB89" i="7"/>
  <c r="BD89" i="7" s="1"/>
  <c r="BH89" i="7" s="1"/>
  <c r="BB93" i="7"/>
  <c r="BD93" i="7" s="1"/>
  <c r="BH93" i="7" s="1"/>
  <c r="BB97" i="7"/>
  <c r="BD97" i="7" s="1"/>
  <c r="BH97" i="7" s="1"/>
  <c r="BC13" i="7"/>
  <c r="BE13" i="7" s="1"/>
  <c r="BC17" i="7"/>
  <c r="BE17" i="7" s="1"/>
  <c r="BC21" i="7"/>
  <c r="BE21" i="7" s="1"/>
  <c r="BC25" i="7"/>
  <c r="BE25" i="7" s="1"/>
  <c r="BC29" i="7"/>
  <c r="BE29" i="7" s="1"/>
  <c r="BC33" i="7"/>
  <c r="BE33" i="7" s="1"/>
  <c r="BC37" i="7"/>
  <c r="BE37" i="7" s="1"/>
  <c r="BC41" i="7"/>
  <c r="BE41" i="7" s="1"/>
  <c r="BC45" i="7"/>
  <c r="BE45" i="7" s="1"/>
  <c r="BC49" i="7"/>
  <c r="BE49" i="7" s="1"/>
  <c r="BC53" i="7"/>
  <c r="BE53" i="7" s="1"/>
  <c r="BC57" i="7"/>
  <c r="BE57" i="7" s="1"/>
  <c r="BC61" i="7"/>
  <c r="BE61" i="7" s="1"/>
  <c r="BC65" i="7"/>
  <c r="BE65" i="7" s="1"/>
  <c r="BC69" i="7"/>
  <c r="BE69" i="7" s="1"/>
  <c r="BC73" i="7"/>
  <c r="BE73" i="7" s="1"/>
  <c r="BC77" i="7"/>
  <c r="BE77" i="7" s="1"/>
  <c r="BC81" i="7"/>
  <c r="BE81" i="7" s="1"/>
  <c r="BC85" i="7"/>
  <c r="BE85" i="7" s="1"/>
  <c r="BC89" i="7"/>
  <c r="BE89" i="7" s="1"/>
  <c r="BC93" i="7"/>
  <c r="BE93" i="7" s="1"/>
  <c r="BB14" i="7"/>
  <c r="BD14" i="7" s="1"/>
  <c r="BH14" i="7" s="1"/>
  <c r="BC14" i="7"/>
  <c r="BE14" i="7" s="1"/>
  <c r="BC18" i="7"/>
  <c r="BE18" i="7" s="1"/>
  <c r="BC22" i="7"/>
  <c r="BE22" i="7" s="1"/>
  <c r="BC26" i="7"/>
  <c r="BE26" i="7" s="1"/>
  <c r="BC30" i="7"/>
  <c r="BE30" i="7" s="1"/>
  <c r="BC34" i="7"/>
  <c r="BE34" i="7" s="1"/>
  <c r="BC38" i="7"/>
  <c r="BE38" i="7" s="1"/>
  <c r="BC42" i="7"/>
  <c r="BE42" i="7" s="1"/>
  <c r="BC46" i="7"/>
  <c r="BE46" i="7" s="1"/>
  <c r="BC50" i="7"/>
  <c r="BE50" i="7" s="1"/>
  <c r="BC54" i="7"/>
  <c r="BE54" i="7" s="1"/>
  <c r="BC58" i="7"/>
  <c r="BE58" i="7" s="1"/>
  <c r="BC62" i="7"/>
  <c r="BE62" i="7" s="1"/>
  <c r="BC66" i="7"/>
  <c r="BE66" i="7" s="1"/>
  <c r="BC70" i="7"/>
  <c r="BE70" i="7" s="1"/>
  <c r="BC74" i="7"/>
  <c r="BE74" i="7" s="1"/>
  <c r="BC78" i="7"/>
  <c r="BE78" i="7" s="1"/>
  <c r="BC82" i="7"/>
  <c r="BE82" i="7" s="1"/>
  <c r="BC86" i="7"/>
  <c r="BE86" i="7" s="1"/>
  <c r="BC90" i="7"/>
  <c r="BE90" i="7" s="1"/>
  <c r="BB15" i="7"/>
  <c r="BD15" i="7" s="1"/>
  <c r="BH15" i="7" s="1"/>
  <c r="BB19" i="7"/>
  <c r="BD19" i="7" s="1"/>
  <c r="BH19" i="7" s="1"/>
  <c r="BB23" i="7"/>
  <c r="BD23" i="7" s="1"/>
  <c r="BH23" i="7" s="1"/>
  <c r="BB27" i="7"/>
  <c r="BD27" i="7" s="1"/>
  <c r="BH27" i="7" s="1"/>
  <c r="BB31" i="7"/>
  <c r="BD31" i="7" s="1"/>
  <c r="BH31" i="7" s="1"/>
  <c r="BB35" i="7"/>
  <c r="BD35" i="7" s="1"/>
  <c r="BH35" i="7" s="1"/>
  <c r="BB39" i="7"/>
  <c r="BD39" i="7" s="1"/>
  <c r="BH39" i="7" s="1"/>
  <c r="BB43" i="7"/>
  <c r="BD43" i="7" s="1"/>
  <c r="BH43" i="7" s="1"/>
  <c r="BB47" i="7"/>
  <c r="BD47" i="7" s="1"/>
  <c r="BH47" i="7" s="1"/>
  <c r="BB51" i="7"/>
  <c r="BD51" i="7" s="1"/>
  <c r="BH51" i="7" s="1"/>
  <c r="BB55" i="7"/>
  <c r="BD55" i="7" s="1"/>
  <c r="BH55" i="7" s="1"/>
  <c r="BB59" i="7"/>
  <c r="BD59" i="7" s="1"/>
  <c r="BH59" i="7" s="1"/>
  <c r="BB63" i="7"/>
  <c r="BD63" i="7" s="1"/>
  <c r="BH63" i="7" s="1"/>
  <c r="BX62" i="7" s="1"/>
  <c r="BB67" i="7"/>
  <c r="BD67" i="7" s="1"/>
  <c r="BH67" i="7" s="1"/>
  <c r="BB71" i="7"/>
  <c r="BD71" i="7" s="1"/>
  <c r="BH71" i="7" s="1"/>
  <c r="BX70" i="7" s="1"/>
  <c r="BB75" i="7"/>
  <c r="BD75" i="7" s="1"/>
  <c r="BH75" i="7" s="1"/>
  <c r="BB79" i="7"/>
  <c r="BD79" i="7" s="1"/>
  <c r="BH79" i="7" s="1"/>
  <c r="BB83" i="7"/>
  <c r="BD83" i="7" s="1"/>
  <c r="BH83" i="7" s="1"/>
  <c r="BB87" i="7"/>
  <c r="BD87" i="7" s="1"/>
  <c r="BH87" i="7" s="1"/>
  <c r="BB91" i="7"/>
  <c r="BD91" i="7" s="1"/>
  <c r="BH91" i="7" s="1"/>
  <c r="BB95" i="7"/>
  <c r="BD95" i="7" s="1"/>
  <c r="BH95" i="7" s="1"/>
  <c r="BB99" i="7"/>
  <c r="BD99" i="7" s="1"/>
  <c r="BH99" i="7" s="1"/>
  <c r="BC15" i="7"/>
  <c r="BE15" i="7" s="1"/>
  <c r="BC19" i="7"/>
  <c r="BE19" i="7" s="1"/>
  <c r="BC23" i="7"/>
  <c r="BE23" i="7" s="1"/>
  <c r="BC27" i="7"/>
  <c r="BE27" i="7" s="1"/>
  <c r="BC31" i="7"/>
  <c r="BE31" i="7" s="1"/>
  <c r="BC35" i="7"/>
  <c r="BE35" i="7" s="1"/>
  <c r="BC39" i="7"/>
  <c r="BE39" i="7" s="1"/>
  <c r="BC43" i="7"/>
  <c r="BE43" i="7" s="1"/>
  <c r="BC47" i="7"/>
  <c r="BE47" i="7" s="1"/>
  <c r="BC51" i="7"/>
  <c r="BE51" i="7" s="1"/>
  <c r="BC55" i="7"/>
  <c r="BE55" i="7" s="1"/>
  <c r="BC59" i="7"/>
  <c r="BE59" i="7" s="1"/>
  <c r="BC63" i="7"/>
  <c r="BE63" i="7" s="1"/>
  <c r="BC67" i="7"/>
  <c r="BE67" i="7" s="1"/>
  <c r="BC71" i="7"/>
  <c r="BE71" i="7" s="1"/>
  <c r="BC75" i="7"/>
  <c r="BE75" i="7" s="1"/>
  <c r="BC79" i="7"/>
  <c r="BE79" i="7" s="1"/>
  <c r="BC83" i="7"/>
  <c r="BE83" i="7" s="1"/>
  <c r="BC87" i="7"/>
  <c r="BE87" i="7" s="1"/>
  <c r="BB26" i="7"/>
  <c r="BD26" i="7" s="1"/>
  <c r="BH26" i="7" s="1"/>
  <c r="BB58" i="7"/>
  <c r="BD58" i="7" s="1"/>
  <c r="BH58" i="7" s="1"/>
  <c r="BB78" i="7"/>
  <c r="BD78" i="7" s="1"/>
  <c r="BH78" i="7" s="1"/>
  <c r="BB92" i="7"/>
  <c r="BD92" i="7" s="1"/>
  <c r="BH92" i="7" s="1"/>
  <c r="BC98" i="7"/>
  <c r="BE98" i="7" s="1"/>
  <c r="BB103" i="7"/>
  <c r="BD103" i="7" s="1"/>
  <c r="BH103" i="7" s="1"/>
  <c r="BB107" i="7"/>
  <c r="BD107" i="7" s="1"/>
  <c r="BH107" i="7" s="1"/>
  <c r="BB111" i="7"/>
  <c r="BD111" i="7" s="1"/>
  <c r="BH111" i="7" s="1"/>
  <c r="BB115" i="7"/>
  <c r="BD115" i="7" s="1"/>
  <c r="BH115" i="7" s="1"/>
  <c r="BB119" i="7"/>
  <c r="BD119" i="7" s="1"/>
  <c r="BH119" i="7" s="1"/>
  <c r="BB123" i="7"/>
  <c r="BD123" i="7" s="1"/>
  <c r="BH123" i="7" s="1"/>
  <c r="BB127" i="7"/>
  <c r="BD127" i="7" s="1"/>
  <c r="BH127" i="7" s="1"/>
  <c r="BB131" i="7"/>
  <c r="BD131" i="7" s="1"/>
  <c r="BH131" i="7" s="1"/>
  <c r="BB135" i="7"/>
  <c r="BD135" i="7" s="1"/>
  <c r="BH135" i="7" s="1"/>
  <c r="BB30" i="7"/>
  <c r="BD30" i="7" s="1"/>
  <c r="BH30" i="7" s="1"/>
  <c r="BB62" i="7"/>
  <c r="BD62" i="7" s="1"/>
  <c r="BH62" i="7" s="1"/>
  <c r="BB80" i="7"/>
  <c r="BD80" i="7" s="1"/>
  <c r="BH80" i="7" s="1"/>
  <c r="BB94" i="7"/>
  <c r="BD94" i="7" s="1"/>
  <c r="BH94" i="7" s="1"/>
  <c r="BC99" i="7"/>
  <c r="BE99" i="7" s="1"/>
  <c r="BC103" i="7"/>
  <c r="BE103" i="7" s="1"/>
  <c r="BC107" i="7"/>
  <c r="BE107" i="7" s="1"/>
  <c r="BC111" i="7"/>
  <c r="BE111" i="7" s="1"/>
  <c r="BC115" i="7"/>
  <c r="BE115" i="7" s="1"/>
  <c r="BC119" i="7"/>
  <c r="BE119" i="7" s="1"/>
  <c r="BC123" i="7"/>
  <c r="BE123" i="7" s="1"/>
  <c r="BC127" i="7"/>
  <c r="BE127" i="7" s="1"/>
  <c r="BC131" i="7"/>
  <c r="BE131" i="7" s="1"/>
  <c r="BC135" i="7"/>
  <c r="BE135" i="7" s="1"/>
  <c r="BB34" i="7"/>
  <c r="BD34" i="7" s="1"/>
  <c r="BH34" i="7" s="1"/>
  <c r="BB66" i="7"/>
  <c r="BD66" i="7" s="1"/>
  <c r="BH66" i="7" s="1"/>
  <c r="BB82" i="7"/>
  <c r="BD82" i="7" s="1"/>
  <c r="BH82" i="7" s="1"/>
  <c r="BC94" i="7"/>
  <c r="BE94" i="7" s="1"/>
  <c r="BB100" i="7"/>
  <c r="BD100" i="7" s="1"/>
  <c r="BH100" i="7" s="1"/>
  <c r="BB104" i="7"/>
  <c r="BD104" i="7" s="1"/>
  <c r="BH104" i="7" s="1"/>
  <c r="BB108" i="7"/>
  <c r="BD108" i="7" s="1"/>
  <c r="BH108" i="7" s="1"/>
  <c r="BB112" i="7"/>
  <c r="BD112" i="7" s="1"/>
  <c r="BH112" i="7" s="1"/>
  <c r="BB116" i="7"/>
  <c r="BD116" i="7" s="1"/>
  <c r="BH116" i="7" s="1"/>
  <c r="BB120" i="7"/>
  <c r="BD120" i="7" s="1"/>
  <c r="BH120" i="7" s="1"/>
  <c r="BB124" i="7"/>
  <c r="BD124" i="7" s="1"/>
  <c r="BH124" i="7" s="1"/>
  <c r="BB128" i="7"/>
  <c r="BD128" i="7" s="1"/>
  <c r="BH128" i="7" s="1"/>
  <c r="BB132" i="7"/>
  <c r="BD132" i="7" s="1"/>
  <c r="BH132" i="7" s="1"/>
  <c r="BB136" i="7"/>
  <c r="BD136" i="7" s="1"/>
  <c r="BH136" i="7" s="1"/>
  <c r="BB38" i="7"/>
  <c r="BD38" i="7" s="1"/>
  <c r="BH38" i="7" s="1"/>
  <c r="BB68" i="7"/>
  <c r="BD68" i="7" s="1"/>
  <c r="BH68" i="7" s="1"/>
  <c r="BB84" i="7"/>
  <c r="BD84" i="7" s="1"/>
  <c r="BH84" i="7" s="1"/>
  <c r="BC95" i="7"/>
  <c r="BE95" i="7" s="1"/>
  <c r="BC100" i="7"/>
  <c r="BE100" i="7" s="1"/>
  <c r="BC104" i="7"/>
  <c r="BE104" i="7" s="1"/>
  <c r="BC108" i="7"/>
  <c r="BE108" i="7" s="1"/>
  <c r="BC112" i="7"/>
  <c r="BE112" i="7" s="1"/>
  <c r="BC116" i="7"/>
  <c r="BE116" i="7" s="1"/>
  <c r="BC120" i="7"/>
  <c r="BE120" i="7" s="1"/>
  <c r="BC124" i="7"/>
  <c r="BE124" i="7" s="1"/>
  <c r="BC128" i="7"/>
  <c r="BE128" i="7" s="1"/>
  <c r="BC132" i="7"/>
  <c r="BE132" i="7" s="1"/>
  <c r="BC136" i="7"/>
  <c r="BE136" i="7" s="1"/>
  <c r="BB42" i="7"/>
  <c r="BD42" i="7" s="1"/>
  <c r="BH42" i="7" s="1"/>
  <c r="BB70" i="7"/>
  <c r="BD70" i="7" s="1"/>
  <c r="BH70" i="7" s="1"/>
  <c r="BB86" i="7"/>
  <c r="BD86" i="7" s="1"/>
  <c r="BH86" i="7" s="1"/>
  <c r="BB96" i="7"/>
  <c r="BD96" i="7" s="1"/>
  <c r="BH96" i="7" s="1"/>
  <c r="BB101" i="7"/>
  <c r="BD101" i="7" s="1"/>
  <c r="BH101" i="7" s="1"/>
  <c r="BB105" i="7"/>
  <c r="BD105" i="7" s="1"/>
  <c r="BH105" i="7" s="1"/>
  <c r="BB109" i="7"/>
  <c r="BD109" i="7" s="1"/>
  <c r="BH109" i="7" s="1"/>
  <c r="BB113" i="7"/>
  <c r="BD113" i="7" s="1"/>
  <c r="BH113" i="7" s="1"/>
  <c r="BB117" i="7"/>
  <c r="BD117" i="7" s="1"/>
  <c r="BH117" i="7" s="1"/>
  <c r="BB121" i="7"/>
  <c r="BD121" i="7" s="1"/>
  <c r="BH121" i="7" s="1"/>
  <c r="BB125" i="7"/>
  <c r="BD125" i="7" s="1"/>
  <c r="BH125" i="7" s="1"/>
  <c r="BB129" i="7"/>
  <c r="BD129" i="7" s="1"/>
  <c r="BH129" i="7" s="1"/>
  <c r="BB133" i="7"/>
  <c r="BD133" i="7" s="1"/>
  <c r="BH133" i="7" s="1"/>
  <c r="BB137" i="7"/>
  <c r="BD137" i="7" s="1"/>
  <c r="BH137" i="7" s="1"/>
  <c r="BB46" i="7"/>
  <c r="BD46" i="7" s="1"/>
  <c r="BH46" i="7" s="1"/>
  <c r="BX45" i="7" s="1"/>
  <c r="BB72" i="7"/>
  <c r="BD72" i="7" s="1"/>
  <c r="BH72" i="7" s="1"/>
  <c r="BB88" i="7"/>
  <c r="BD88" i="7" s="1"/>
  <c r="BH88" i="7" s="1"/>
  <c r="BC96" i="7"/>
  <c r="BE96" i="7" s="1"/>
  <c r="BC101" i="7"/>
  <c r="BE101" i="7" s="1"/>
  <c r="BC105" i="7"/>
  <c r="BE105" i="7" s="1"/>
  <c r="BC109" i="7"/>
  <c r="BE109" i="7" s="1"/>
  <c r="BC113" i="7"/>
  <c r="BE113" i="7" s="1"/>
  <c r="BC117" i="7"/>
  <c r="BE117" i="7" s="1"/>
  <c r="BC121" i="7"/>
  <c r="BE121" i="7" s="1"/>
  <c r="BC125" i="7"/>
  <c r="BE125" i="7" s="1"/>
  <c r="BC129" i="7"/>
  <c r="BE129" i="7" s="1"/>
  <c r="BC133" i="7"/>
  <c r="BE133" i="7" s="1"/>
  <c r="BC137" i="7"/>
  <c r="BE137" i="7" s="1"/>
  <c r="BB18" i="7"/>
  <c r="BD18" i="7" s="1"/>
  <c r="BH18" i="7" s="1"/>
  <c r="BB50" i="7"/>
  <c r="BD50" i="7" s="1"/>
  <c r="BH50" i="7" s="1"/>
  <c r="BB74" i="7"/>
  <c r="BD74" i="7" s="1"/>
  <c r="BH74" i="7" s="1"/>
  <c r="BB90" i="7"/>
  <c r="BD90" i="7" s="1"/>
  <c r="BH90" i="7" s="1"/>
  <c r="BC97" i="7"/>
  <c r="BE97" i="7" s="1"/>
  <c r="BB102" i="7"/>
  <c r="BD102" i="7" s="1"/>
  <c r="BH102" i="7" s="1"/>
  <c r="BB106" i="7"/>
  <c r="BD106" i="7" s="1"/>
  <c r="BH106" i="7" s="1"/>
  <c r="BB110" i="7"/>
  <c r="BD110" i="7" s="1"/>
  <c r="BH110" i="7" s="1"/>
  <c r="BB114" i="7"/>
  <c r="BD114" i="7" s="1"/>
  <c r="BH114" i="7" s="1"/>
  <c r="BB118" i="7"/>
  <c r="BD118" i="7" s="1"/>
  <c r="BH118" i="7" s="1"/>
  <c r="BB122" i="7"/>
  <c r="BD122" i="7" s="1"/>
  <c r="BH122" i="7" s="1"/>
  <c r="BB126" i="7"/>
  <c r="BD126" i="7" s="1"/>
  <c r="BH126" i="7" s="1"/>
  <c r="BB130" i="7"/>
  <c r="BD130" i="7" s="1"/>
  <c r="BH130" i="7" s="1"/>
  <c r="BB134" i="7"/>
  <c r="BD134" i="7" s="1"/>
  <c r="BH134" i="7" s="1"/>
  <c r="BB138" i="7"/>
  <c r="BD138" i="7" s="1"/>
  <c r="BH138" i="7" s="1"/>
  <c r="BB22" i="7"/>
  <c r="BD22" i="7" s="1"/>
  <c r="BH22" i="7" s="1"/>
  <c r="BB54" i="7"/>
  <c r="BD54" i="7" s="1"/>
  <c r="BH54" i="7" s="1"/>
  <c r="BX53" i="7" s="1"/>
  <c r="BB76" i="7"/>
  <c r="BD76" i="7" s="1"/>
  <c r="BH76" i="7" s="1"/>
  <c r="BC91" i="7"/>
  <c r="BE91" i="7" s="1"/>
  <c r="BB98" i="7"/>
  <c r="BD98" i="7" s="1"/>
  <c r="BH98" i="7" s="1"/>
  <c r="BC102" i="7"/>
  <c r="BE102" i="7" s="1"/>
  <c r="BC106" i="7"/>
  <c r="BE106" i="7" s="1"/>
  <c r="BC110" i="7"/>
  <c r="BE110" i="7" s="1"/>
  <c r="BC114" i="7"/>
  <c r="BE114" i="7" s="1"/>
  <c r="BC118" i="7"/>
  <c r="BE118" i="7" s="1"/>
  <c r="BC122" i="7"/>
  <c r="BE122" i="7" s="1"/>
  <c r="BC126" i="7"/>
  <c r="BE126" i="7" s="1"/>
  <c r="BC130" i="7"/>
  <c r="BE130" i="7" s="1"/>
  <c r="BC134" i="7"/>
  <c r="BE134" i="7" s="1"/>
  <c r="BC138" i="7"/>
  <c r="BE138" i="7" s="1"/>
  <c r="AN17" i="6"/>
  <c r="J108" i="7"/>
  <c r="I76" i="7"/>
  <c r="AA76" i="7" s="1"/>
  <c r="I53" i="7"/>
  <c r="AA53" i="7" s="1"/>
  <c r="I67" i="7"/>
  <c r="AA67" i="7" s="1"/>
  <c r="J75" i="7"/>
  <c r="I128" i="7"/>
  <c r="AA128" i="7" s="1"/>
  <c r="I29" i="7"/>
  <c r="AA29" i="7" s="1"/>
  <c r="J66" i="7"/>
  <c r="J128" i="7"/>
  <c r="J80" i="7"/>
  <c r="AB80" i="7" s="1"/>
  <c r="I110" i="7"/>
  <c r="AA110" i="7" s="1"/>
  <c r="I12" i="7"/>
  <c r="AA12" i="7" s="1"/>
  <c r="J71" i="7"/>
  <c r="BB12" i="7"/>
  <c r="BD12" i="7" s="1"/>
  <c r="BH12" i="7" s="1"/>
  <c r="I57" i="7"/>
  <c r="AA57" i="7" s="1"/>
  <c r="I81" i="7"/>
  <c r="AA81" i="7" s="1"/>
  <c r="BC12" i="7"/>
  <c r="BE12" i="7" s="1"/>
  <c r="BI12" i="7" s="1"/>
  <c r="AB20" i="7"/>
  <c r="AB97" i="7"/>
  <c r="AB105" i="7"/>
  <c r="AB98" i="7"/>
  <c r="AO97" i="7"/>
  <c r="AB135" i="7"/>
  <c r="AB92" i="7"/>
  <c r="AB15" i="7"/>
  <c r="AB37" i="7"/>
  <c r="AB72" i="7"/>
  <c r="AB24" i="7"/>
  <c r="AB101" i="7"/>
  <c r="AB50" i="7"/>
  <c r="R19" i="6"/>
  <c r="AG19" i="6" s="1"/>
  <c r="AF19" i="6"/>
  <c r="U19" i="6"/>
  <c r="U27" i="6"/>
  <c r="U49" i="6"/>
  <c r="AH32" i="6"/>
  <c r="AH21" i="6"/>
  <c r="AF21" i="6"/>
  <c r="U21" i="6"/>
  <c r="V21" i="6" s="1"/>
  <c r="BD21" i="6" s="1"/>
  <c r="T19" i="6"/>
  <c r="AN68" i="6"/>
  <c r="U68" i="6"/>
  <c r="AH27" i="6"/>
  <c r="AH20" i="6"/>
  <c r="AH23" i="6"/>
  <c r="AH26" i="6"/>
  <c r="AF13" i="6"/>
  <c r="U13" i="6"/>
  <c r="V13" i="6" s="1"/>
  <c r="BD13" i="6" s="1"/>
  <c r="AO21" i="6"/>
  <c r="AO49" i="6"/>
  <c r="AH13" i="6"/>
  <c r="T68" i="6"/>
  <c r="AN49" i="6"/>
  <c r="T49" i="6"/>
  <c r="AF68" i="6"/>
  <c r="AF53" i="6"/>
  <c r="AF49" i="6"/>
  <c r="AO68" i="6"/>
  <c r="AF61" i="6"/>
  <c r="T48" i="6"/>
  <c r="AO61" i="6"/>
  <c r="AN61" i="6"/>
  <c r="U61" i="6"/>
  <c r="V61" i="6" s="1"/>
  <c r="BD61" i="6" s="1"/>
  <c r="AF27" i="6"/>
  <c r="T35" i="6"/>
  <c r="AV35" i="6"/>
  <c r="BH35" i="6" s="1"/>
  <c r="U20" i="6"/>
  <c r="V20" i="6" s="1"/>
  <c r="BD20" i="6" s="1"/>
  <c r="U17" i="6"/>
  <c r="AF20" i="6"/>
  <c r="AV64" i="6"/>
  <c r="BH64" i="6" s="1"/>
  <c r="AV24" i="6"/>
  <c r="BH24" i="6" s="1"/>
  <c r="T23" i="6"/>
  <c r="AV23" i="6"/>
  <c r="BH23" i="6" s="1"/>
  <c r="T60" i="6"/>
  <c r="AV60" i="6"/>
  <c r="BH60" i="6" s="1"/>
  <c r="T22" i="6"/>
  <c r="AV22" i="6"/>
  <c r="BH22" i="6" s="1"/>
  <c r="AV18" i="6"/>
  <c r="BH18" i="6" s="1"/>
  <c r="AO20" i="6"/>
  <c r="AF17" i="6"/>
  <c r="T40" i="6"/>
  <c r="AV40" i="6"/>
  <c r="BH40" i="6" s="1"/>
  <c r="T63" i="6"/>
  <c r="T27" i="6"/>
  <c r="AV27" i="6"/>
  <c r="BH27" i="6" s="1"/>
  <c r="U53" i="6"/>
  <c r="R17" i="6"/>
  <c r="AG17" i="6" s="1"/>
  <c r="T31" i="6"/>
  <c r="AV31" i="6"/>
  <c r="BH31" i="6" s="1"/>
  <c r="T14" i="6"/>
  <c r="AV14" i="6"/>
  <c r="BH14" i="6" s="1"/>
  <c r="T17" i="6"/>
  <c r="AV17" i="6"/>
  <c r="BH17" i="6" s="1"/>
  <c r="T55" i="6"/>
  <c r="V55" i="6" s="1"/>
  <c r="BD55" i="6" s="1"/>
  <c r="AV55" i="6"/>
  <c r="BH55" i="6" s="1"/>
  <c r="AV65" i="6"/>
  <c r="BH65" i="6" s="1"/>
  <c r="AV26" i="6"/>
  <c r="BH26" i="6" s="1"/>
  <c r="T44" i="6"/>
  <c r="AV44" i="6"/>
  <c r="BH44" i="6" s="1"/>
  <c r="AN20" i="6"/>
  <c r="AV13" i="6"/>
  <c r="BH13" i="6" s="1"/>
  <c r="AV12" i="6"/>
  <c r="BH12" i="6" s="1"/>
  <c r="AN63" i="6"/>
  <c r="AO40" i="6"/>
  <c r="AF63" i="6"/>
  <c r="AJ63" i="6" s="1"/>
  <c r="AO65" i="6"/>
  <c r="U63" i="6"/>
  <c r="AO27" i="6"/>
  <c r="AO34" i="6"/>
  <c r="AO57" i="6"/>
  <c r="AO30" i="6"/>
  <c r="AO39" i="6"/>
  <c r="AO55" i="6"/>
  <c r="AP55" i="6" s="1"/>
  <c r="AU55" i="6" s="1"/>
  <c r="AO59" i="6"/>
  <c r="AO31" i="6"/>
  <c r="AO50" i="6"/>
  <c r="AF64" i="6"/>
  <c r="AO28" i="6"/>
  <c r="AO25" i="6"/>
  <c r="AO56" i="6"/>
  <c r="AO14" i="6"/>
  <c r="AO23" i="6"/>
  <c r="AO58" i="6"/>
  <c r="T64" i="6"/>
  <c r="AO16" i="6"/>
  <c r="AO67" i="6"/>
  <c r="AO52" i="6"/>
  <c r="AO45" i="6"/>
  <c r="AO41" i="6"/>
  <c r="AO60" i="6"/>
  <c r="AO46" i="6"/>
  <c r="AO35" i="6"/>
  <c r="AO51" i="6"/>
  <c r="AO54" i="6"/>
  <c r="AO47" i="6"/>
  <c r="AO38" i="6"/>
  <c r="AO53" i="6"/>
  <c r="U64" i="6"/>
  <c r="AO48" i="6"/>
  <c r="AO17" i="6"/>
  <c r="AO36" i="6"/>
  <c r="AO22" i="6"/>
  <c r="AO24" i="6"/>
  <c r="AO42" i="6"/>
  <c r="AN23" i="6"/>
  <c r="AO63" i="6"/>
  <c r="AO18" i="6"/>
  <c r="AO44" i="6"/>
  <c r="AO33" i="6"/>
  <c r="AO29" i="6"/>
  <c r="AO37" i="6"/>
  <c r="AO43" i="6"/>
  <c r="AO66" i="6"/>
  <c r="AN64" i="6"/>
  <c r="AO26" i="6"/>
  <c r="AO62" i="6"/>
  <c r="AO32" i="6"/>
  <c r="AO64" i="6"/>
  <c r="T18" i="6"/>
  <c r="U40" i="6"/>
  <c r="AF55" i="6"/>
  <c r="AJ55" i="6" s="1"/>
  <c r="U23" i="6"/>
  <c r="R57" i="6"/>
  <c r="AG57" i="6" s="1"/>
  <c r="AF23" i="6"/>
  <c r="AN31" i="6"/>
  <c r="AN24" i="6"/>
  <c r="AN30" i="6"/>
  <c r="AN29" i="6"/>
  <c r="AN26" i="6"/>
  <c r="AF57" i="6"/>
  <c r="U14" i="6"/>
  <c r="AF32" i="6"/>
  <c r="U24" i="6"/>
  <c r="AN57" i="6"/>
  <c r="AH14" i="6"/>
  <c r="AH24" i="6"/>
  <c r="AF24" i="6"/>
  <c r="AH18" i="6"/>
  <c r="T12" i="6"/>
  <c r="AF14" i="6"/>
  <c r="L79" i="6"/>
  <c r="T26" i="6"/>
  <c r="AN60" i="6"/>
  <c r="AN44" i="6"/>
  <c r="U60" i="6"/>
  <c r="AF60" i="6"/>
  <c r="T65" i="6"/>
  <c r="AN40" i="6"/>
  <c r="AF44" i="6"/>
  <c r="U44" i="6"/>
  <c r="U35" i="6"/>
  <c r="AF26" i="6"/>
  <c r="AF48" i="6"/>
  <c r="AJ48" i="6" s="1"/>
  <c r="K79" i="6"/>
  <c r="U65" i="6"/>
  <c r="AN48" i="6"/>
  <c r="U48" i="6"/>
  <c r="AN32" i="6"/>
  <c r="AH31" i="6"/>
  <c r="AF31" i="6"/>
  <c r="U31" i="6"/>
  <c r="AN35" i="6"/>
  <c r="AF12" i="6"/>
  <c r="AH43" i="6"/>
  <c r="AH58" i="6"/>
  <c r="AH51" i="6"/>
  <c r="AH34" i="6"/>
  <c r="U26" i="6"/>
  <c r="U18" i="6"/>
  <c r="AF16" i="6"/>
  <c r="AH33" i="6"/>
  <c r="AH39" i="6"/>
  <c r="U32" i="6"/>
  <c r="AH42" i="6"/>
  <c r="AH45" i="6"/>
  <c r="AF40" i="6"/>
  <c r="AN18" i="6"/>
  <c r="AH54" i="6"/>
  <c r="AH36" i="6"/>
  <c r="T57" i="6"/>
  <c r="V57" i="6" s="1"/>
  <c r="BD57" i="6" s="1"/>
  <c r="AF65" i="6"/>
  <c r="T24" i="6"/>
  <c r="AN65" i="6"/>
  <c r="AF52" i="6"/>
  <c r="U25" i="6"/>
  <c r="AF50" i="6"/>
  <c r="U12" i="6"/>
  <c r="AN12" i="6"/>
  <c r="AN67" i="6"/>
  <c r="AF67" i="6"/>
  <c r="AF15" i="6"/>
  <c r="AN51" i="6"/>
  <c r="AF51" i="6"/>
  <c r="AF42" i="6"/>
  <c r="AF25" i="6"/>
  <c r="AF35" i="6"/>
  <c r="AN27" i="6"/>
  <c r="AF28" i="6"/>
  <c r="AN39" i="6"/>
  <c r="AF22" i="6"/>
  <c r="U67" i="6"/>
  <c r="AN46" i="6"/>
  <c r="AN15" i="6"/>
  <c r="AN22" i="6"/>
  <c r="AN34" i="6"/>
  <c r="AH22" i="6"/>
  <c r="AH30" i="6"/>
  <c r="AH15" i="6"/>
  <c r="AH29" i="6"/>
  <c r="AN54" i="6"/>
  <c r="AN52" i="6"/>
  <c r="AN53" i="6"/>
  <c r="AK69" i="6"/>
  <c r="AL69" i="6" s="1"/>
  <c r="AM69" i="6" s="1"/>
  <c r="T16" i="6"/>
  <c r="AN47" i="6"/>
  <c r="AH16" i="6"/>
  <c r="AF66" i="6"/>
  <c r="AF18" i="6"/>
  <c r="T32" i="6"/>
  <c r="AN66" i="6"/>
  <c r="AN50" i="6"/>
  <c r="AN28" i="6"/>
  <c r="T25" i="6"/>
  <c r="U22" i="6"/>
  <c r="AN41" i="6"/>
  <c r="AH28" i="6"/>
  <c r="U16" i="6"/>
  <c r="T53" i="6"/>
  <c r="AN56" i="6"/>
  <c r="T67" i="6"/>
  <c r="O70" i="6"/>
  <c r="AN58" i="6"/>
  <c r="AN37" i="6"/>
  <c r="AN42" i="6"/>
  <c r="AN59" i="6"/>
  <c r="AN38" i="6"/>
  <c r="AN43" i="6"/>
  <c r="AH12" i="6"/>
  <c r="AN36" i="6"/>
  <c r="AH25" i="6"/>
  <c r="AN33" i="6"/>
  <c r="AN62" i="6"/>
  <c r="AN25" i="6"/>
  <c r="AN45" i="6"/>
  <c r="AF37" i="6"/>
  <c r="AF34" i="6"/>
  <c r="AF33" i="6"/>
  <c r="AF54" i="6"/>
  <c r="AF46" i="6"/>
  <c r="AF45" i="6"/>
  <c r="AF38" i="6"/>
  <c r="AF39" i="6"/>
  <c r="AF30" i="6"/>
  <c r="AF59" i="6"/>
  <c r="AF47" i="6"/>
  <c r="AF43" i="6"/>
  <c r="AF62" i="6"/>
  <c r="AF29" i="6"/>
  <c r="AF56" i="6"/>
  <c r="AF58" i="6"/>
  <c r="AF41" i="6"/>
  <c r="AF36" i="6"/>
  <c r="U41" i="6"/>
  <c r="U45" i="6"/>
  <c r="U46" i="6"/>
  <c r="U28" i="6"/>
  <c r="U66" i="6"/>
  <c r="U36" i="6"/>
  <c r="U38" i="6"/>
  <c r="U51" i="6"/>
  <c r="U42" i="6"/>
  <c r="U62" i="6"/>
  <c r="U58" i="6"/>
  <c r="T38" i="6"/>
  <c r="U39" i="6"/>
  <c r="U56" i="6"/>
  <c r="U43" i="6"/>
  <c r="U34" i="6"/>
  <c r="T62" i="6"/>
  <c r="U29" i="6"/>
  <c r="U30" i="6"/>
  <c r="T59" i="6"/>
  <c r="T52" i="6"/>
  <c r="T33" i="6"/>
  <c r="T43" i="6"/>
  <c r="T30" i="6"/>
  <c r="T29" i="6"/>
  <c r="U59" i="6"/>
  <c r="T46" i="6"/>
  <c r="T50" i="6"/>
  <c r="T66" i="6"/>
  <c r="U33" i="6"/>
  <c r="T42" i="6"/>
  <c r="T45" i="6"/>
  <c r="T28" i="6"/>
  <c r="T39" i="6"/>
  <c r="U37" i="6"/>
  <c r="T15" i="6"/>
  <c r="T58" i="6"/>
  <c r="U47" i="6"/>
  <c r="U54" i="6"/>
  <c r="T37" i="6"/>
  <c r="T51" i="6"/>
  <c r="T36" i="6"/>
  <c r="U15" i="6"/>
  <c r="T56" i="6"/>
  <c r="T47" i="6"/>
  <c r="U50" i="6"/>
  <c r="T41" i="6"/>
  <c r="AC69" i="6"/>
  <c r="AD69" i="6" s="1"/>
  <c r="AE69" i="6" s="1"/>
  <c r="T34" i="6"/>
  <c r="U52" i="6"/>
  <c r="T54" i="6"/>
  <c r="J72" i="6"/>
  <c r="N71" i="6"/>
  <c r="Q69" i="6"/>
  <c r="R69" i="6" s="1"/>
  <c r="AG69" i="6" s="1"/>
  <c r="P69" i="6"/>
  <c r="S69" i="6"/>
  <c r="AV69" i="6" s="1"/>
  <c r="BH69" i="6" s="1"/>
  <c r="W69" i="6"/>
  <c r="Z69" i="6"/>
  <c r="AA69" i="6" s="1"/>
  <c r="AB69" i="6" s="1"/>
  <c r="BJ69" i="6" s="1"/>
  <c r="C155" i="2"/>
  <c r="F155" i="2" s="1"/>
  <c r="G108" i="1" s="1"/>
  <c r="C154" i="2"/>
  <c r="F154" i="2" s="1"/>
  <c r="C125" i="2"/>
  <c r="F125" i="2" s="1"/>
  <c r="G80" i="1"/>
  <c r="C126" i="2"/>
  <c r="F126" i="2" s="1"/>
  <c r="G82" i="1" s="1"/>
  <c r="F107" i="2"/>
  <c r="G67" i="1" s="1"/>
  <c r="C109" i="2"/>
  <c r="F109" i="2" s="1"/>
  <c r="BX50" i="7" l="1"/>
  <c r="AO13" i="7"/>
  <c r="AO14" i="7"/>
  <c r="BR13" i="7" s="1"/>
  <c r="AO65" i="7"/>
  <c r="AJ61" i="6"/>
  <c r="AB49" i="7"/>
  <c r="AB14" i="7"/>
  <c r="AN13" i="7" s="1"/>
  <c r="AO32" i="7"/>
  <c r="BX48" i="7"/>
  <c r="AO89" i="7"/>
  <c r="AO31" i="7"/>
  <c r="AO75" i="7"/>
  <c r="BL95" i="7"/>
  <c r="AO26" i="7"/>
  <c r="AO15" i="7"/>
  <c r="AO132" i="7"/>
  <c r="AO67" i="7"/>
  <c r="BL33" i="7"/>
  <c r="BL73" i="7"/>
  <c r="AB36" i="7"/>
  <c r="AN36" i="7" s="1"/>
  <c r="AB102" i="7"/>
  <c r="AM102" i="7" s="1"/>
  <c r="AB26" i="7"/>
  <c r="AN26" i="7" s="1"/>
  <c r="AJ65" i="6"/>
  <c r="BF65" i="6" s="1"/>
  <c r="AO23" i="7"/>
  <c r="AO109" i="7"/>
  <c r="AO43" i="7"/>
  <c r="AO99" i="7"/>
  <c r="AO118" i="7"/>
  <c r="AO36" i="7"/>
  <c r="BR35" i="7" s="1"/>
  <c r="AO42" i="7"/>
  <c r="AO112" i="7"/>
  <c r="AO34" i="7"/>
  <c r="BR34" i="7" s="1"/>
  <c r="AO30" i="7"/>
  <c r="AO78" i="7"/>
  <c r="AO25" i="7"/>
  <c r="AJ40" i="6"/>
  <c r="BF40" i="6" s="1"/>
  <c r="AO50" i="7"/>
  <c r="BR49" i="7" s="1"/>
  <c r="AO117" i="7"/>
  <c r="AO105" i="7"/>
  <c r="AO98" i="7"/>
  <c r="AO95" i="7"/>
  <c r="AO90" i="7"/>
  <c r="AO104" i="7"/>
  <c r="AO69" i="7"/>
  <c r="AO70" i="7"/>
  <c r="BX69" i="7"/>
  <c r="AO37" i="7"/>
  <c r="BX61" i="7"/>
  <c r="AB100" i="7"/>
  <c r="AM100" i="7" s="1"/>
  <c r="AO94" i="7"/>
  <c r="AO29" i="7"/>
  <c r="AO93" i="7"/>
  <c r="AO22" i="7"/>
  <c r="AO17" i="7"/>
  <c r="AB133" i="7"/>
  <c r="AM132" i="7" s="1"/>
  <c r="AO12" i="7"/>
  <c r="AO100" i="7"/>
  <c r="BR100" i="7" s="1"/>
  <c r="AO85" i="7"/>
  <c r="AO131" i="7"/>
  <c r="AB85" i="7"/>
  <c r="AM85" i="7" s="1"/>
  <c r="AO103" i="7"/>
  <c r="AO56" i="7"/>
  <c r="AO57" i="7"/>
  <c r="AO41" i="7"/>
  <c r="AB126" i="7"/>
  <c r="AM126" i="7" s="1"/>
  <c r="AO102" i="7"/>
  <c r="BR101" i="7" s="1"/>
  <c r="AO130" i="7"/>
  <c r="AO16" i="7"/>
  <c r="AO84" i="7"/>
  <c r="AO122" i="7"/>
  <c r="AB91" i="7"/>
  <c r="AM91" i="7" s="1"/>
  <c r="AO86" i="7"/>
  <c r="AO82" i="7"/>
  <c r="BR81" i="7" s="1"/>
  <c r="AO68" i="7"/>
  <c r="AO64" i="7"/>
  <c r="AO121" i="7"/>
  <c r="AO123" i="7"/>
  <c r="AO91" i="7"/>
  <c r="AO83" i="7"/>
  <c r="AO92" i="7"/>
  <c r="AB84" i="7"/>
  <c r="AO46" i="7"/>
  <c r="AO119" i="7"/>
  <c r="AO137" i="7"/>
  <c r="AO33" i="7"/>
  <c r="AO138" i="7"/>
  <c r="BR138" i="7" s="1"/>
  <c r="AB34" i="7"/>
  <c r="AN34" i="7" s="1"/>
  <c r="AB96" i="7"/>
  <c r="AN95" i="7" s="1"/>
  <c r="AB68" i="7"/>
  <c r="AM68" i="7" s="1"/>
  <c r="AO133" i="7"/>
  <c r="AO129" i="7"/>
  <c r="AO61" i="7"/>
  <c r="AP19" i="6"/>
  <c r="AU19" i="6" s="1"/>
  <c r="BG19" i="6" s="1"/>
  <c r="AO116" i="7"/>
  <c r="AO134" i="7"/>
  <c r="AO19" i="7"/>
  <c r="AO77" i="7"/>
  <c r="AO128" i="7"/>
  <c r="AO107" i="7"/>
  <c r="AO115" i="7"/>
  <c r="AO44" i="7"/>
  <c r="AO40" i="7"/>
  <c r="AP14" i="6"/>
  <c r="AU14" i="6" s="1"/>
  <c r="BG14" i="6" s="1"/>
  <c r="AB61" i="7"/>
  <c r="AM61" i="7" s="1"/>
  <c r="AO106" i="7"/>
  <c r="AO45" i="7"/>
  <c r="AB129" i="7"/>
  <c r="AN129" i="7" s="1"/>
  <c r="AO60" i="7"/>
  <c r="AO110" i="7"/>
  <c r="AO111" i="7"/>
  <c r="AO53" i="7"/>
  <c r="AO76" i="7"/>
  <c r="AO18" i="7"/>
  <c r="AO24" i="7"/>
  <c r="AO62" i="7"/>
  <c r="AB137" i="7"/>
  <c r="AM137" i="7" s="1"/>
  <c r="AB47" i="7"/>
  <c r="AM47" i="7" s="1"/>
  <c r="AO47" i="7"/>
  <c r="AB81" i="7"/>
  <c r="AM81" i="7" s="1"/>
  <c r="AB63" i="7"/>
  <c r="AM62" i="7" s="1"/>
  <c r="AO72" i="7"/>
  <c r="AO114" i="7"/>
  <c r="AO113" i="7"/>
  <c r="AO126" i="7"/>
  <c r="BR125" i="7" s="1"/>
  <c r="AO58" i="7"/>
  <c r="AB124" i="7"/>
  <c r="AN123" i="7" s="1"/>
  <c r="AB67" i="7"/>
  <c r="AO59" i="7"/>
  <c r="AO96" i="7"/>
  <c r="AO63" i="7"/>
  <c r="AO124" i="7"/>
  <c r="BR124" i="7" s="1"/>
  <c r="AB25" i="7"/>
  <c r="AO52" i="7"/>
  <c r="AB60" i="7"/>
  <c r="AM59" i="7" s="1"/>
  <c r="AO87" i="7"/>
  <c r="AO51" i="7"/>
  <c r="AO136" i="7"/>
  <c r="AO135" i="7"/>
  <c r="AP12" i="6"/>
  <c r="AU12" i="6" s="1"/>
  <c r="BG12" i="6" s="1"/>
  <c r="AO28" i="7"/>
  <c r="AO120" i="7"/>
  <c r="AO48" i="7"/>
  <c r="BR48" i="7" s="1"/>
  <c r="AB120" i="7"/>
  <c r="AM119" i="7" s="1"/>
  <c r="AO21" i="7"/>
  <c r="AO39" i="7"/>
  <c r="AO55" i="7"/>
  <c r="AO54" i="7"/>
  <c r="AO38" i="7"/>
  <c r="AB56" i="7"/>
  <c r="AM55" i="7" s="1"/>
  <c r="AJ64" i="6"/>
  <c r="BF64" i="6" s="1"/>
  <c r="AJ52" i="6"/>
  <c r="BF52" i="6" s="1"/>
  <c r="AP21" i="6"/>
  <c r="AU21" i="6" s="1"/>
  <c r="BG21" i="6" s="1"/>
  <c r="AO27" i="7"/>
  <c r="AB28" i="7"/>
  <c r="AN27" i="7" s="1"/>
  <c r="AO20" i="7"/>
  <c r="BX68" i="7"/>
  <c r="AB89" i="7"/>
  <c r="AM88" i="7" s="1"/>
  <c r="AO88" i="7"/>
  <c r="BX31" i="7"/>
  <c r="BX66" i="7"/>
  <c r="BX72" i="7"/>
  <c r="BL21" i="7"/>
  <c r="BL17" i="7"/>
  <c r="BL85" i="7"/>
  <c r="BX85" i="7"/>
  <c r="BX67" i="7"/>
  <c r="BL49" i="7"/>
  <c r="BX49" i="7"/>
  <c r="BL53" i="7"/>
  <c r="AJ44" i="6"/>
  <c r="BF44" i="6" s="1"/>
  <c r="AJ68" i="6"/>
  <c r="BF68" i="6" s="1"/>
  <c r="AB66" i="7"/>
  <c r="AM65" i="7" s="1"/>
  <c r="BL81" i="7"/>
  <c r="BL32" i="7"/>
  <c r="BL28" i="7"/>
  <c r="BL57" i="7"/>
  <c r="BL87" i="7"/>
  <c r="BL25" i="7"/>
  <c r="BL89" i="7"/>
  <c r="BL136" i="7"/>
  <c r="BL104" i="7"/>
  <c r="AJ67" i="6"/>
  <c r="BF67" i="6" s="1"/>
  <c r="AJ37" i="6"/>
  <c r="AP16" i="6"/>
  <c r="AU16" i="6" s="1"/>
  <c r="BG16" i="6" s="1"/>
  <c r="BL65" i="7"/>
  <c r="BL119" i="7"/>
  <c r="BL97" i="7"/>
  <c r="AJ41" i="6"/>
  <c r="BF41" i="6" s="1"/>
  <c r="BL40" i="7"/>
  <c r="BL125" i="7"/>
  <c r="BL14" i="7"/>
  <c r="AH69" i="6"/>
  <c r="BL123" i="7"/>
  <c r="BL64" i="7"/>
  <c r="BL91" i="7"/>
  <c r="BL60" i="7"/>
  <c r="AM73" i="7"/>
  <c r="BL71" i="7"/>
  <c r="BL44" i="7"/>
  <c r="AO73" i="7"/>
  <c r="BL37" i="7"/>
  <c r="BL120" i="7"/>
  <c r="BL69" i="7"/>
  <c r="BL135" i="7"/>
  <c r="BL103" i="7"/>
  <c r="BL67" i="7"/>
  <c r="BL99" i="7"/>
  <c r="AP17" i="6"/>
  <c r="AU17" i="6" s="1"/>
  <c r="BG17" i="6" s="1"/>
  <c r="BL121" i="7"/>
  <c r="BL108" i="7"/>
  <c r="BL41" i="7"/>
  <c r="BL75" i="7"/>
  <c r="BL45" i="7"/>
  <c r="BL113" i="7"/>
  <c r="BL128" i="7"/>
  <c r="BL111" i="7"/>
  <c r="BL77" i="7"/>
  <c r="BL13" i="7"/>
  <c r="AO80" i="7"/>
  <c r="AO79" i="7"/>
  <c r="BL133" i="7"/>
  <c r="BL101" i="7"/>
  <c r="BL52" i="7"/>
  <c r="BL20" i="7"/>
  <c r="BL116" i="7"/>
  <c r="BL131" i="7"/>
  <c r="BL79" i="7"/>
  <c r="BL48" i="7"/>
  <c r="BL16" i="7"/>
  <c r="AO74" i="7"/>
  <c r="BL109" i="7"/>
  <c r="BL126" i="7"/>
  <c r="BL94" i="7"/>
  <c r="BL62" i="7"/>
  <c r="BL30" i="7"/>
  <c r="BL35" i="7"/>
  <c r="BL124" i="7"/>
  <c r="BL107" i="7"/>
  <c r="AB71" i="7"/>
  <c r="AO71" i="7"/>
  <c r="AO66" i="7"/>
  <c r="AB75" i="7"/>
  <c r="AN74" i="7" s="1"/>
  <c r="AB108" i="7"/>
  <c r="AN108" i="7" s="1"/>
  <c r="BL117" i="7"/>
  <c r="BL83" i="7"/>
  <c r="BQ119" i="7"/>
  <c r="BP119" i="7"/>
  <c r="BI120" i="7"/>
  <c r="BQ102" i="7"/>
  <c r="BP102" i="7"/>
  <c r="BI103" i="7"/>
  <c r="BQ70" i="7"/>
  <c r="BP70" i="7"/>
  <c r="BI71" i="7"/>
  <c r="BQ38" i="7"/>
  <c r="BP38" i="7"/>
  <c r="BI39" i="7"/>
  <c r="BQ77" i="7"/>
  <c r="BP77" i="7"/>
  <c r="BI78" i="7"/>
  <c r="BQ45" i="7"/>
  <c r="BP45" i="7"/>
  <c r="BI46" i="7"/>
  <c r="BQ13" i="7"/>
  <c r="BP13" i="7"/>
  <c r="BI14" i="7"/>
  <c r="BQ68" i="7"/>
  <c r="BP68" i="7"/>
  <c r="BI69" i="7"/>
  <c r="BQ36" i="7"/>
  <c r="BP36" i="7"/>
  <c r="BI37" i="7"/>
  <c r="BL92" i="7"/>
  <c r="BQ79" i="7"/>
  <c r="BP79" i="7"/>
  <c r="BI80" i="7"/>
  <c r="BQ47" i="7"/>
  <c r="BP47" i="7"/>
  <c r="BI48" i="7"/>
  <c r="BQ15" i="7"/>
  <c r="BP15" i="7"/>
  <c r="BI16" i="7"/>
  <c r="BQ104" i="7"/>
  <c r="BP104" i="7"/>
  <c r="BI105" i="7"/>
  <c r="BQ134" i="7"/>
  <c r="BP134" i="7"/>
  <c r="BI135" i="7"/>
  <c r="AO127" i="7"/>
  <c r="BQ109" i="7"/>
  <c r="BP109" i="7"/>
  <c r="BI110" i="7"/>
  <c r="BL137" i="7"/>
  <c r="BL138" i="7"/>
  <c r="BL105" i="7"/>
  <c r="BQ132" i="7"/>
  <c r="BP132" i="7"/>
  <c r="BI133" i="7"/>
  <c r="BQ100" i="7"/>
  <c r="BP100" i="7"/>
  <c r="BI101" i="7"/>
  <c r="BQ115" i="7"/>
  <c r="BP115" i="7"/>
  <c r="BI116" i="7"/>
  <c r="BQ130" i="7"/>
  <c r="BP130" i="7"/>
  <c r="BI131" i="7"/>
  <c r="BQ98" i="7"/>
  <c r="BP98" i="7"/>
  <c r="BI99" i="7"/>
  <c r="BL122" i="7"/>
  <c r="BQ66" i="7"/>
  <c r="BP66" i="7"/>
  <c r="BI67" i="7"/>
  <c r="BQ34" i="7"/>
  <c r="BP34" i="7"/>
  <c r="BI35" i="7"/>
  <c r="BL90" i="7"/>
  <c r="BL58" i="7"/>
  <c r="BL26" i="7"/>
  <c r="BQ73" i="7"/>
  <c r="BP73" i="7"/>
  <c r="BI74" i="7"/>
  <c r="BQ41" i="7"/>
  <c r="BP41" i="7"/>
  <c r="BI42" i="7"/>
  <c r="BQ64" i="7"/>
  <c r="BP64" i="7"/>
  <c r="BI65" i="7"/>
  <c r="BQ32" i="7"/>
  <c r="BP32" i="7"/>
  <c r="BI33" i="7"/>
  <c r="BL88" i="7"/>
  <c r="BL56" i="7"/>
  <c r="BL24" i="7"/>
  <c r="BQ75" i="7"/>
  <c r="BP75" i="7"/>
  <c r="BI76" i="7"/>
  <c r="BQ43" i="7"/>
  <c r="BP43" i="7"/>
  <c r="BI44" i="7"/>
  <c r="BL63" i="7"/>
  <c r="BL31" i="7"/>
  <c r="BQ136" i="7"/>
  <c r="BP136" i="7"/>
  <c r="BI137" i="7"/>
  <c r="AB128" i="7"/>
  <c r="BQ137" i="7"/>
  <c r="BQ138" i="7"/>
  <c r="BP137" i="7"/>
  <c r="BP138" i="7"/>
  <c r="BI138" i="7"/>
  <c r="BQ105" i="7"/>
  <c r="BP105" i="7"/>
  <c r="BI106" i="7"/>
  <c r="BQ128" i="7"/>
  <c r="BP128" i="7"/>
  <c r="BI129" i="7"/>
  <c r="BQ95" i="7"/>
  <c r="BP95" i="7"/>
  <c r="BI96" i="7"/>
  <c r="BQ111" i="7"/>
  <c r="BP111" i="7"/>
  <c r="BI112" i="7"/>
  <c r="BQ126" i="7"/>
  <c r="BP126" i="7"/>
  <c r="BI127" i="7"/>
  <c r="BL93" i="7"/>
  <c r="BL118" i="7"/>
  <c r="BQ62" i="7"/>
  <c r="BP62" i="7"/>
  <c r="BI63" i="7"/>
  <c r="BQ30" i="7"/>
  <c r="BP30" i="7"/>
  <c r="BI31" i="7"/>
  <c r="BL86" i="7"/>
  <c r="BL54" i="7"/>
  <c r="BL22" i="7"/>
  <c r="BQ69" i="7"/>
  <c r="BP69" i="7"/>
  <c r="BI70" i="7"/>
  <c r="BQ37" i="7"/>
  <c r="BP37" i="7"/>
  <c r="BI38" i="7"/>
  <c r="BQ92" i="7"/>
  <c r="BP92" i="7"/>
  <c r="BI93" i="7"/>
  <c r="BQ60" i="7"/>
  <c r="BP60" i="7"/>
  <c r="BI61" i="7"/>
  <c r="BQ28" i="7"/>
  <c r="BP28" i="7"/>
  <c r="BI29" i="7"/>
  <c r="BL84" i="7"/>
  <c r="BQ71" i="7"/>
  <c r="BP71" i="7"/>
  <c r="BI72" i="7"/>
  <c r="BQ39" i="7"/>
  <c r="BP39" i="7"/>
  <c r="BI40" i="7"/>
  <c r="BL59" i="7"/>
  <c r="BL27" i="7"/>
  <c r="BQ101" i="7"/>
  <c r="BP101" i="7"/>
  <c r="BI102" i="7"/>
  <c r="BL129" i="7"/>
  <c r="BQ96" i="7"/>
  <c r="BP96" i="7"/>
  <c r="BI97" i="7"/>
  <c r="BQ124" i="7"/>
  <c r="BP124" i="7"/>
  <c r="BI125" i="7"/>
  <c r="BQ107" i="7"/>
  <c r="BP107" i="7"/>
  <c r="BI108" i="7"/>
  <c r="BQ122" i="7"/>
  <c r="BP122" i="7"/>
  <c r="BI123" i="7"/>
  <c r="BL114" i="7"/>
  <c r="BQ58" i="7"/>
  <c r="BP58" i="7"/>
  <c r="BI59" i="7"/>
  <c r="BQ26" i="7"/>
  <c r="BP26" i="7"/>
  <c r="BI27" i="7"/>
  <c r="BL82" i="7"/>
  <c r="BL50" i="7"/>
  <c r="BL18" i="7"/>
  <c r="BQ65" i="7"/>
  <c r="BP65" i="7"/>
  <c r="BI66" i="7"/>
  <c r="BQ33" i="7"/>
  <c r="BP33" i="7"/>
  <c r="BI34" i="7"/>
  <c r="BQ88" i="7"/>
  <c r="BP88" i="7"/>
  <c r="BI89" i="7"/>
  <c r="BQ56" i="7"/>
  <c r="BP56" i="7"/>
  <c r="BI57" i="7"/>
  <c r="BQ24" i="7"/>
  <c r="BP24" i="7"/>
  <c r="BI25" i="7"/>
  <c r="BL80" i="7"/>
  <c r="BQ67" i="7"/>
  <c r="BP67" i="7"/>
  <c r="BI68" i="7"/>
  <c r="BQ35" i="7"/>
  <c r="BP35" i="7"/>
  <c r="BI36" i="7"/>
  <c r="BL55" i="7"/>
  <c r="BL23" i="7"/>
  <c r="BQ133" i="7"/>
  <c r="BP133" i="7"/>
  <c r="BI134" i="7"/>
  <c r="BQ129" i="7"/>
  <c r="BP129" i="7"/>
  <c r="BI130" i="7"/>
  <c r="BQ120" i="7"/>
  <c r="BP120" i="7"/>
  <c r="BI121" i="7"/>
  <c r="BL112" i="7"/>
  <c r="BQ135" i="7"/>
  <c r="BP135" i="7"/>
  <c r="BI136" i="7"/>
  <c r="BQ103" i="7"/>
  <c r="BP103" i="7"/>
  <c r="BI104" i="7"/>
  <c r="BL127" i="7"/>
  <c r="BQ93" i="7"/>
  <c r="BP93" i="7"/>
  <c r="BI94" i="7"/>
  <c r="BQ118" i="7"/>
  <c r="BP118" i="7"/>
  <c r="BI119" i="7"/>
  <c r="BL61" i="7"/>
  <c r="BL110" i="7"/>
  <c r="BQ86" i="7"/>
  <c r="BP86" i="7"/>
  <c r="BI87" i="7"/>
  <c r="BQ54" i="7"/>
  <c r="BP54" i="7"/>
  <c r="BI55" i="7"/>
  <c r="BQ22" i="7"/>
  <c r="BP22" i="7"/>
  <c r="BI23" i="7"/>
  <c r="BL78" i="7"/>
  <c r="BL46" i="7"/>
  <c r="BQ61" i="7"/>
  <c r="BP61" i="7"/>
  <c r="BI62" i="7"/>
  <c r="BQ29" i="7"/>
  <c r="BP29" i="7"/>
  <c r="BI30" i="7"/>
  <c r="BQ84" i="7"/>
  <c r="BP84" i="7"/>
  <c r="BI85" i="7"/>
  <c r="BQ52" i="7"/>
  <c r="BP52" i="7"/>
  <c r="BI53" i="7"/>
  <c r="BQ20" i="7"/>
  <c r="BP20" i="7"/>
  <c r="BI21" i="7"/>
  <c r="BL76" i="7"/>
  <c r="BL12" i="7"/>
  <c r="BQ63" i="7"/>
  <c r="BP63" i="7"/>
  <c r="BI64" i="7"/>
  <c r="BQ31" i="7"/>
  <c r="BP31" i="7"/>
  <c r="BI32" i="7"/>
  <c r="BL51" i="7"/>
  <c r="BL19" i="7"/>
  <c r="BR14" i="7"/>
  <c r="AO108" i="7"/>
  <c r="BQ125" i="7"/>
  <c r="BP125" i="7"/>
  <c r="BI126" i="7"/>
  <c r="BQ90" i="7"/>
  <c r="BP90" i="7"/>
  <c r="BI91" i="7"/>
  <c r="BQ116" i="7"/>
  <c r="BP116" i="7"/>
  <c r="BI117" i="7"/>
  <c r="BQ131" i="7"/>
  <c r="BP131" i="7"/>
  <c r="BI132" i="7"/>
  <c r="BQ99" i="7"/>
  <c r="BP99" i="7"/>
  <c r="BI100" i="7"/>
  <c r="BQ114" i="7"/>
  <c r="BP114" i="7"/>
  <c r="BI115" i="7"/>
  <c r="BL29" i="7"/>
  <c r="BL106" i="7"/>
  <c r="BQ82" i="7"/>
  <c r="BP82" i="7"/>
  <c r="BI83" i="7"/>
  <c r="BQ50" i="7"/>
  <c r="BP50" i="7"/>
  <c r="BI51" i="7"/>
  <c r="BQ18" i="7"/>
  <c r="BP18" i="7"/>
  <c r="BI19" i="7"/>
  <c r="BL74" i="7"/>
  <c r="BL42" i="7"/>
  <c r="BQ89" i="7"/>
  <c r="BP89" i="7"/>
  <c r="BI90" i="7"/>
  <c r="BQ57" i="7"/>
  <c r="BP57" i="7"/>
  <c r="BI58" i="7"/>
  <c r="BQ25" i="7"/>
  <c r="BP25" i="7"/>
  <c r="BI26" i="7"/>
  <c r="BQ80" i="7"/>
  <c r="BP80" i="7"/>
  <c r="BI81" i="7"/>
  <c r="BQ48" i="7"/>
  <c r="BP48" i="7"/>
  <c r="BI49" i="7"/>
  <c r="BQ16" i="7"/>
  <c r="BP16" i="7"/>
  <c r="BI17" i="7"/>
  <c r="BL72" i="7"/>
  <c r="BQ91" i="7"/>
  <c r="BP91" i="7"/>
  <c r="BI92" i="7"/>
  <c r="BQ59" i="7"/>
  <c r="BP59" i="7"/>
  <c r="BI60" i="7"/>
  <c r="BQ27" i="7"/>
  <c r="BP27" i="7"/>
  <c r="BI28" i="7"/>
  <c r="BL47" i="7"/>
  <c r="BL15" i="7"/>
  <c r="BQ112" i="7"/>
  <c r="BP112" i="7"/>
  <c r="BI113" i="7"/>
  <c r="BQ127" i="7"/>
  <c r="BP127" i="7"/>
  <c r="BI128" i="7"/>
  <c r="BQ94" i="7"/>
  <c r="BP94" i="7"/>
  <c r="BI95" i="7"/>
  <c r="BQ110" i="7"/>
  <c r="BP110" i="7"/>
  <c r="BI111" i="7"/>
  <c r="BL134" i="7"/>
  <c r="BL102" i="7"/>
  <c r="BQ78" i="7"/>
  <c r="BP78" i="7"/>
  <c r="BI79" i="7"/>
  <c r="BQ46" i="7"/>
  <c r="BP46" i="7"/>
  <c r="BI47" i="7"/>
  <c r="BQ14" i="7"/>
  <c r="BP14" i="7"/>
  <c r="BI15" i="7"/>
  <c r="BL70" i="7"/>
  <c r="BL38" i="7"/>
  <c r="BQ85" i="7"/>
  <c r="BP85" i="7"/>
  <c r="BI86" i="7"/>
  <c r="BQ53" i="7"/>
  <c r="BP53" i="7"/>
  <c r="BI54" i="7"/>
  <c r="BQ21" i="7"/>
  <c r="BP21" i="7"/>
  <c r="BI22" i="7"/>
  <c r="BQ76" i="7"/>
  <c r="BP76" i="7"/>
  <c r="BI77" i="7"/>
  <c r="BQ44" i="7"/>
  <c r="BP44" i="7"/>
  <c r="BI45" i="7"/>
  <c r="BQ12" i="7"/>
  <c r="BP12" i="7"/>
  <c r="BI13" i="7"/>
  <c r="BN12" i="7" s="1"/>
  <c r="BL68" i="7"/>
  <c r="BL36" i="7"/>
  <c r="BQ87" i="7"/>
  <c r="BP87" i="7"/>
  <c r="BI88" i="7"/>
  <c r="BQ55" i="7"/>
  <c r="BP55" i="7"/>
  <c r="BI56" i="7"/>
  <c r="BQ23" i="7"/>
  <c r="BP23" i="7"/>
  <c r="BI24" i="7"/>
  <c r="BL43" i="7"/>
  <c r="BQ113" i="7"/>
  <c r="BP113" i="7"/>
  <c r="BI114" i="7"/>
  <c r="BQ121" i="7"/>
  <c r="BP121" i="7"/>
  <c r="BI122" i="7"/>
  <c r="BQ117" i="7"/>
  <c r="BP117" i="7"/>
  <c r="BI118" i="7"/>
  <c r="BQ108" i="7"/>
  <c r="BP108" i="7"/>
  <c r="BI109" i="7"/>
  <c r="BL132" i="7"/>
  <c r="BL100" i="7"/>
  <c r="BQ123" i="7"/>
  <c r="BP123" i="7"/>
  <c r="BI124" i="7"/>
  <c r="BL115" i="7"/>
  <c r="BQ106" i="7"/>
  <c r="BP106" i="7"/>
  <c r="BI107" i="7"/>
  <c r="BL130" i="7"/>
  <c r="BQ97" i="7"/>
  <c r="BP97" i="7"/>
  <c r="BI98" i="7"/>
  <c r="BQ74" i="7"/>
  <c r="BP74" i="7"/>
  <c r="BI75" i="7"/>
  <c r="BQ42" i="7"/>
  <c r="BP42" i="7"/>
  <c r="BI43" i="7"/>
  <c r="BL98" i="7"/>
  <c r="BL66" i="7"/>
  <c r="BL34" i="7"/>
  <c r="BQ81" i="7"/>
  <c r="BP81" i="7"/>
  <c r="BI82" i="7"/>
  <c r="BQ49" i="7"/>
  <c r="BP49" i="7"/>
  <c r="BI50" i="7"/>
  <c r="BQ17" i="7"/>
  <c r="BP17" i="7"/>
  <c r="BI18" i="7"/>
  <c r="BQ72" i="7"/>
  <c r="BP72" i="7"/>
  <c r="BI73" i="7"/>
  <c r="BQ40" i="7"/>
  <c r="BP40" i="7"/>
  <c r="BI41" i="7"/>
  <c r="BL96" i="7"/>
  <c r="BQ83" i="7"/>
  <c r="BP83" i="7"/>
  <c r="BI84" i="7"/>
  <c r="BQ51" i="7"/>
  <c r="BP51" i="7"/>
  <c r="BI52" i="7"/>
  <c r="BQ19" i="7"/>
  <c r="BP19" i="7"/>
  <c r="BI20" i="7"/>
  <c r="BL39" i="7"/>
  <c r="AN29" i="7"/>
  <c r="AM29" i="7"/>
  <c r="AM15" i="7"/>
  <c r="AN15" i="7"/>
  <c r="AM118" i="7"/>
  <c r="AN118" i="7"/>
  <c r="AM30" i="7"/>
  <c r="AN30" i="7"/>
  <c r="AM134" i="7"/>
  <c r="AN134" i="7"/>
  <c r="AM53" i="7"/>
  <c r="AM42" i="7"/>
  <c r="AN42" i="7"/>
  <c r="AM113" i="7"/>
  <c r="AN113" i="7"/>
  <c r="AM48" i="7"/>
  <c r="AN48" i="7"/>
  <c r="AM31" i="7"/>
  <c r="AN31" i="7"/>
  <c r="AM72" i="7"/>
  <c r="AM32" i="7"/>
  <c r="AN32" i="7"/>
  <c r="AM39" i="7"/>
  <c r="AN39" i="7"/>
  <c r="AN116" i="7"/>
  <c r="AM116" i="7"/>
  <c r="AM41" i="7"/>
  <c r="AN41" i="7"/>
  <c r="AN20" i="7"/>
  <c r="AM20" i="7"/>
  <c r="AN21" i="7"/>
  <c r="AM21" i="7"/>
  <c r="AN109" i="7"/>
  <c r="AM109" i="7"/>
  <c r="AM114" i="7"/>
  <c r="AN114" i="7"/>
  <c r="AM98" i="7"/>
  <c r="AN98" i="7"/>
  <c r="AM37" i="7"/>
  <c r="AN37" i="7"/>
  <c r="AM50" i="7"/>
  <c r="AM112" i="7"/>
  <c r="AN112" i="7"/>
  <c r="AM12" i="7"/>
  <c r="AN12" i="7"/>
  <c r="AN43" i="7"/>
  <c r="AM43" i="7"/>
  <c r="AM17" i="7"/>
  <c r="AN17" i="7"/>
  <c r="AN93" i="7"/>
  <c r="AM93" i="7"/>
  <c r="AM103" i="7"/>
  <c r="AN103" i="7"/>
  <c r="AM86" i="7"/>
  <c r="AM78" i="7"/>
  <c r="AM64" i="7"/>
  <c r="AN64" i="7"/>
  <c r="AN117" i="7"/>
  <c r="AM117" i="7"/>
  <c r="AM77" i="7"/>
  <c r="AN18" i="7"/>
  <c r="AM18" i="7"/>
  <c r="AM111" i="7"/>
  <c r="AN111" i="7"/>
  <c r="AN92" i="7"/>
  <c r="AM92" i="7"/>
  <c r="AN44" i="7"/>
  <c r="AM44" i="7"/>
  <c r="AM49" i="7"/>
  <c r="AN49" i="7"/>
  <c r="AM54" i="7"/>
  <c r="AM38" i="7"/>
  <c r="AN38" i="7"/>
  <c r="AM22" i="7"/>
  <c r="AN22" i="7"/>
  <c r="AM79" i="7"/>
  <c r="AM115" i="7"/>
  <c r="AN115" i="7"/>
  <c r="AM130" i="7"/>
  <c r="AN130" i="7"/>
  <c r="AM122" i="7"/>
  <c r="AN122" i="7"/>
  <c r="AM69" i="7"/>
  <c r="AM82" i="7"/>
  <c r="AN82" i="7"/>
  <c r="AN58" i="7"/>
  <c r="AM58" i="7"/>
  <c r="AN19" i="7"/>
  <c r="AM19" i="7"/>
  <c r="AM94" i="7"/>
  <c r="AN94" i="7"/>
  <c r="AM23" i="7"/>
  <c r="AN23" i="7"/>
  <c r="AM40" i="7"/>
  <c r="AN40" i="7"/>
  <c r="AM121" i="7"/>
  <c r="AN121" i="7"/>
  <c r="AM16" i="7"/>
  <c r="AN16" i="7"/>
  <c r="AM57" i="7"/>
  <c r="AN57" i="7"/>
  <c r="AM110" i="7"/>
  <c r="AN110" i="7"/>
  <c r="AM87" i="7"/>
  <c r="AN87" i="7"/>
  <c r="AM135" i="7"/>
  <c r="AN135" i="7"/>
  <c r="AM105" i="7"/>
  <c r="AN105" i="7"/>
  <c r="AM51" i="7"/>
  <c r="AM52" i="7"/>
  <c r="AM106" i="7"/>
  <c r="AN106" i="7"/>
  <c r="AN45" i="7"/>
  <c r="AM45" i="7"/>
  <c r="AM97" i="7"/>
  <c r="AN97" i="7"/>
  <c r="AM131" i="7"/>
  <c r="AN131" i="7"/>
  <c r="AM104" i="7"/>
  <c r="AN104" i="7"/>
  <c r="AM76" i="7"/>
  <c r="AM138" i="7"/>
  <c r="AN138" i="7"/>
  <c r="AJ19" i="6"/>
  <c r="BF19" i="6" s="1"/>
  <c r="V19" i="6"/>
  <c r="BD19" i="6" s="1"/>
  <c r="AJ16" i="6"/>
  <c r="AJ15" i="6"/>
  <c r="AJ17" i="6"/>
  <c r="BF17" i="6" s="1"/>
  <c r="AJ25" i="6"/>
  <c r="AJ12" i="6"/>
  <c r="BF12" i="6" s="1"/>
  <c r="AJ39" i="6"/>
  <c r="BF39" i="6" s="1"/>
  <c r="AJ43" i="6"/>
  <c r="BF43" i="6" s="1"/>
  <c r="AJ21" i="6"/>
  <c r="BF21" i="6" s="1"/>
  <c r="AJ57" i="6"/>
  <c r="AJ13" i="6"/>
  <c r="BF13" i="6" s="1"/>
  <c r="BE13" i="6" s="1"/>
  <c r="AJ24" i="6"/>
  <c r="BF24" i="6" s="1"/>
  <c r="AJ22" i="6"/>
  <c r="AJ42" i="6"/>
  <c r="AJ51" i="6"/>
  <c r="AJ23" i="6"/>
  <c r="BF23" i="6" s="1"/>
  <c r="AJ28" i="6"/>
  <c r="BF28" i="6" s="1"/>
  <c r="AJ36" i="6"/>
  <c r="BF36" i="6" s="1"/>
  <c r="AJ33" i="6"/>
  <c r="BF33" i="6" s="1"/>
  <c r="AJ20" i="6"/>
  <c r="BF20" i="6" s="1"/>
  <c r="AJ54" i="6"/>
  <c r="BF54" i="6" s="1"/>
  <c r="AJ18" i="6"/>
  <c r="BF61" i="6"/>
  <c r="AJ27" i="6"/>
  <c r="BF27" i="6" s="1"/>
  <c r="AJ32" i="6"/>
  <c r="BF32" i="6" s="1"/>
  <c r="AJ46" i="6"/>
  <c r="BF46" i="6" s="1"/>
  <c r="AJ50" i="6"/>
  <c r="BF50" i="6" s="1"/>
  <c r="AJ29" i="6"/>
  <c r="BF29" i="6" s="1"/>
  <c r="BF48" i="6"/>
  <c r="BF55" i="6"/>
  <c r="AJ60" i="6"/>
  <c r="BF60" i="6" s="1"/>
  <c r="AJ49" i="6"/>
  <c r="BF49" i="6" s="1"/>
  <c r="AJ66" i="6"/>
  <c r="BF66" i="6" s="1"/>
  <c r="AJ62" i="6"/>
  <c r="BF62" i="6" s="1"/>
  <c r="AJ30" i="6"/>
  <c r="AJ45" i="6"/>
  <c r="AJ34" i="6"/>
  <c r="AJ31" i="6"/>
  <c r="AJ14" i="6"/>
  <c r="BF14" i="6" s="1"/>
  <c r="AJ38" i="6"/>
  <c r="BF38" i="6" s="1"/>
  <c r="AJ47" i="6"/>
  <c r="BF47" i="6" s="1"/>
  <c r="AJ53" i="6"/>
  <c r="BF53" i="6" s="1"/>
  <c r="AJ58" i="6"/>
  <c r="BF58" i="6" s="1"/>
  <c r="V49" i="6"/>
  <c r="BD49" i="6" s="1"/>
  <c r="AJ26" i="6"/>
  <c r="BF26" i="6" s="1"/>
  <c r="AJ56" i="6"/>
  <c r="BF56" i="6" s="1"/>
  <c r="AJ35" i="6"/>
  <c r="BF35" i="6" s="1"/>
  <c r="AJ59" i="6"/>
  <c r="BF59" i="6" s="1"/>
  <c r="V27" i="6"/>
  <c r="BD27" i="6" s="1"/>
  <c r="AP68" i="6"/>
  <c r="V68" i="6"/>
  <c r="BD68" i="6" s="1"/>
  <c r="AP52" i="6"/>
  <c r="AU52" i="6" s="1"/>
  <c r="AP49" i="6"/>
  <c r="V48" i="6"/>
  <c r="BD48" i="6" s="1"/>
  <c r="AP22" i="6"/>
  <c r="AU22" i="6" s="1"/>
  <c r="AP33" i="6"/>
  <c r="AU33" i="6" s="1"/>
  <c r="AP27" i="6"/>
  <c r="AU27" i="6" s="1"/>
  <c r="V17" i="6"/>
  <c r="BD17" i="6" s="1"/>
  <c r="AP41" i="6"/>
  <c r="AU41" i="6" s="1"/>
  <c r="AP61" i="6"/>
  <c r="V18" i="6"/>
  <c r="BD18" i="6" s="1"/>
  <c r="AP50" i="6"/>
  <c r="AU50" i="6" s="1"/>
  <c r="AP60" i="6"/>
  <c r="AP28" i="6"/>
  <c r="AU28" i="6" s="1"/>
  <c r="AP39" i="6"/>
  <c r="AU39" i="6" s="1"/>
  <c r="AP43" i="6"/>
  <c r="AU43" i="6" s="1"/>
  <c r="AP29" i="6"/>
  <c r="AU29" i="6" s="1"/>
  <c r="V40" i="6"/>
  <c r="BD40" i="6" s="1"/>
  <c r="AP25" i="6"/>
  <c r="AU25" i="6" s="1"/>
  <c r="AP63" i="6"/>
  <c r="V60" i="6"/>
  <c r="BD60" i="6" s="1"/>
  <c r="AP38" i="6"/>
  <c r="AU38" i="6" s="1"/>
  <c r="AP66" i="6"/>
  <c r="AU66" i="6" s="1"/>
  <c r="V44" i="6"/>
  <c r="BD44" i="6" s="1"/>
  <c r="V35" i="6"/>
  <c r="BD35" i="6" s="1"/>
  <c r="V23" i="6"/>
  <c r="BD23" i="6" s="1"/>
  <c r="AP62" i="6"/>
  <c r="AU62" i="6" s="1"/>
  <c r="AP48" i="6"/>
  <c r="AU48" i="6" s="1"/>
  <c r="V31" i="6"/>
  <c r="BD31" i="6" s="1"/>
  <c r="AP42" i="6"/>
  <c r="AU42" i="6" s="1"/>
  <c r="AP35" i="6"/>
  <c r="AU35" i="6" s="1"/>
  <c r="V64" i="6"/>
  <c r="BD64" i="6" s="1"/>
  <c r="V53" i="6"/>
  <c r="BD53" i="6" s="1"/>
  <c r="AP34" i="6"/>
  <c r="V63" i="6"/>
  <c r="BD63" i="6" s="1"/>
  <c r="BF63" i="6"/>
  <c r="BG55" i="6"/>
  <c r="AP20" i="6"/>
  <c r="AU20" i="6" s="1"/>
  <c r="AP58" i="6"/>
  <c r="AU58" i="6" s="1"/>
  <c r="AP40" i="6"/>
  <c r="AU40" i="6" s="1"/>
  <c r="AP57" i="6"/>
  <c r="AZ55" i="6"/>
  <c r="BB55" i="6" s="1"/>
  <c r="BC55" i="6" s="1"/>
  <c r="V22" i="6"/>
  <c r="BD22" i="6" s="1"/>
  <c r="AP18" i="6"/>
  <c r="AU18" i="6" s="1"/>
  <c r="AP24" i="6"/>
  <c r="AU24" i="6" s="1"/>
  <c r="V14" i="6"/>
  <c r="BD14" i="6" s="1"/>
  <c r="AP46" i="6"/>
  <c r="AU46" i="6" s="1"/>
  <c r="AP59" i="6"/>
  <c r="AU59" i="6" s="1"/>
  <c r="AP37" i="6"/>
  <c r="AP26" i="6"/>
  <c r="AU26" i="6" s="1"/>
  <c r="AP23" i="6"/>
  <c r="AP47" i="6"/>
  <c r="AU47" i="6" s="1"/>
  <c r="V12" i="6"/>
  <c r="AP31" i="6"/>
  <c r="AU31" i="6" s="1"/>
  <c r="AP54" i="6"/>
  <c r="AP36" i="6"/>
  <c r="AU36" i="6" s="1"/>
  <c r="AK70" i="6"/>
  <c r="AL70" i="6" s="1"/>
  <c r="AM70" i="6" s="1"/>
  <c r="AP32" i="6"/>
  <c r="AU32" i="6" s="1"/>
  <c r="AP44" i="6"/>
  <c r="AU44" i="6" s="1"/>
  <c r="AP15" i="6"/>
  <c r="AU15" i="6" s="1"/>
  <c r="AP51" i="6"/>
  <c r="AU51" i="6" s="1"/>
  <c r="AP64" i="6"/>
  <c r="AO69" i="6"/>
  <c r="AP67" i="6"/>
  <c r="AP45" i="6"/>
  <c r="AU45" i="6" s="1"/>
  <c r="AP65" i="6"/>
  <c r="AP56" i="6"/>
  <c r="AU56" i="6" s="1"/>
  <c r="AP53" i="6"/>
  <c r="AU53" i="6" s="1"/>
  <c r="AP30" i="6"/>
  <c r="AU30" i="6" s="1"/>
  <c r="V24" i="6"/>
  <c r="BD24" i="6" s="1"/>
  <c r="V65" i="6"/>
  <c r="BD65" i="6" s="1"/>
  <c r="V26" i="6"/>
  <c r="BD26" i="6" s="1"/>
  <c r="L80" i="6"/>
  <c r="V32" i="6"/>
  <c r="K80" i="6"/>
  <c r="W70" i="6"/>
  <c r="X70" i="6" s="1"/>
  <c r="Y70" i="6" s="1"/>
  <c r="BK70" i="6" s="1"/>
  <c r="Q70" i="6"/>
  <c r="R70" i="6" s="1"/>
  <c r="AG70" i="6" s="1"/>
  <c r="V67" i="6"/>
  <c r="BD67" i="6" s="1"/>
  <c r="AC70" i="6"/>
  <c r="AD70" i="6" s="1"/>
  <c r="AE70" i="6" s="1"/>
  <c r="P70" i="6"/>
  <c r="V36" i="6"/>
  <c r="Z70" i="6"/>
  <c r="AA70" i="6" s="1"/>
  <c r="AB70" i="6" s="1"/>
  <c r="BJ70" i="6" s="1"/>
  <c r="S70" i="6"/>
  <c r="V39" i="6"/>
  <c r="BD39" i="6" s="1"/>
  <c r="V25" i="6"/>
  <c r="BD25" i="6" s="1"/>
  <c r="V16" i="6"/>
  <c r="BD16" i="6" s="1"/>
  <c r="V51" i="6"/>
  <c r="V42" i="6"/>
  <c r="BD42" i="6" s="1"/>
  <c r="O71" i="6"/>
  <c r="V56" i="6"/>
  <c r="BD56" i="6" s="1"/>
  <c r="V15" i="6"/>
  <c r="BD15" i="6" s="1"/>
  <c r="V66" i="6"/>
  <c r="V58" i="6"/>
  <c r="BD58" i="6" s="1"/>
  <c r="V41" i="6"/>
  <c r="V45" i="6"/>
  <c r="BD45" i="6" s="1"/>
  <c r="AN69" i="6"/>
  <c r="AF69" i="6"/>
  <c r="V46" i="6"/>
  <c r="BD46" i="6" s="1"/>
  <c r="V33" i="6"/>
  <c r="BD33" i="6" s="1"/>
  <c r="V43" i="6"/>
  <c r="BD43" i="6" s="1"/>
  <c r="V28" i="6"/>
  <c r="V62" i="6"/>
  <c r="BD62" i="6" s="1"/>
  <c r="V38" i="6"/>
  <c r="V30" i="6"/>
  <c r="V52" i="6"/>
  <c r="V29" i="6"/>
  <c r="BD29" i="6" s="1"/>
  <c r="V50" i="6"/>
  <c r="V54" i="6"/>
  <c r="BD54" i="6" s="1"/>
  <c r="V47" i="6"/>
  <c r="V37" i="6"/>
  <c r="V59" i="6"/>
  <c r="V34" i="6"/>
  <c r="X69" i="6"/>
  <c r="Y69" i="6" s="1"/>
  <c r="BK69" i="6" s="1"/>
  <c r="T69" i="6"/>
  <c r="N72" i="6"/>
  <c r="O72" i="6" s="1"/>
  <c r="U69" i="6"/>
  <c r="J73" i="6"/>
  <c r="G81" i="1"/>
  <c r="C127" i="2"/>
  <c r="F127" i="2" s="1"/>
  <c r="G83" i="1" s="1"/>
  <c r="G107" i="1"/>
  <c r="C156" i="2"/>
  <c r="F156" i="2" s="1"/>
  <c r="G109" i="1" s="1"/>
  <c r="C128" i="2"/>
  <c r="F128" i="2" s="1"/>
  <c r="G84" i="1" s="1"/>
  <c r="BR31" i="7" l="1"/>
  <c r="AN132" i="7"/>
  <c r="AN14" i="7"/>
  <c r="AM14" i="7"/>
  <c r="AM13" i="7"/>
  <c r="BR26" i="7"/>
  <c r="BR12" i="7"/>
  <c r="BR64" i="7"/>
  <c r="BR30" i="7"/>
  <c r="BR15" i="7"/>
  <c r="BR89" i="7"/>
  <c r="BR88" i="7"/>
  <c r="BR75" i="7"/>
  <c r="BR74" i="7"/>
  <c r="BR66" i="7"/>
  <c r="BR25" i="7"/>
  <c r="AM35" i="7"/>
  <c r="AN35" i="7"/>
  <c r="AM101" i="7"/>
  <c r="AN102" i="7"/>
  <c r="AN101" i="7"/>
  <c r="AM36" i="7"/>
  <c r="AM26" i="7"/>
  <c r="AN90" i="7"/>
  <c r="AM25" i="7"/>
  <c r="BR131" i="7"/>
  <c r="BR132" i="7"/>
  <c r="BR29" i="7"/>
  <c r="BR67" i="7"/>
  <c r="BR22" i="7"/>
  <c r="BR23" i="7"/>
  <c r="BR117" i="7"/>
  <c r="BR118" i="7"/>
  <c r="BR116" i="7"/>
  <c r="BR95" i="7"/>
  <c r="BR42" i="7"/>
  <c r="BR78" i="7"/>
  <c r="BR109" i="7"/>
  <c r="BR77" i="7"/>
  <c r="BR50" i="7"/>
  <c r="AH70" i="6"/>
  <c r="BR36" i="7"/>
  <c r="BR104" i="7"/>
  <c r="AN91" i="7"/>
  <c r="AM90" i="7"/>
  <c r="BR37" i="7"/>
  <c r="BR111" i="7"/>
  <c r="BR112" i="7"/>
  <c r="AN133" i="7"/>
  <c r="AM133" i="7"/>
  <c r="BR41" i="7"/>
  <c r="BR98" i="7"/>
  <c r="BR33" i="7"/>
  <c r="BR129" i="7"/>
  <c r="BR130" i="7"/>
  <c r="BR68" i="7"/>
  <c r="AN100" i="7"/>
  <c r="AN99" i="7"/>
  <c r="BR99" i="7"/>
  <c r="BR24" i="7"/>
  <c r="BR103" i="7"/>
  <c r="BR94" i="7"/>
  <c r="AM99" i="7"/>
  <c r="BR97" i="7"/>
  <c r="AN125" i="7"/>
  <c r="BN96" i="7"/>
  <c r="BR69" i="7"/>
  <c r="BR90" i="7"/>
  <c r="BR63" i="7"/>
  <c r="BR56" i="7"/>
  <c r="AM129" i="7"/>
  <c r="BR84" i="7"/>
  <c r="BR28" i="7"/>
  <c r="BR93" i="7"/>
  <c r="BR121" i="7"/>
  <c r="BR21" i="7"/>
  <c r="BR47" i="7"/>
  <c r="BR92" i="7"/>
  <c r="BR85" i="7"/>
  <c r="BR55" i="7"/>
  <c r="AN61" i="7"/>
  <c r="BR83" i="7"/>
  <c r="AM84" i="7"/>
  <c r="AM125" i="7"/>
  <c r="BR102" i="7"/>
  <c r="BR45" i="7"/>
  <c r="AM95" i="7"/>
  <c r="BR86" i="7"/>
  <c r="BR40" i="7"/>
  <c r="AN63" i="7"/>
  <c r="AN62" i="7"/>
  <c r="BR57" i="7"/>
  <c r="AM96" i="7"/>
  <c r="AM63" i="7"/>
  <c r="AM83" i="7"/>
  <c r="BR82" i="7"/>
  <c r="AN126" i="7"/>
  <c r="BR122" i="7"/>
  <c r="BR114" i="7"/>
  <c r="BR60" i="7"/>
  <c r="BR62" i="7"/>
  <c r="AN137" i="7"/>
  <c r="BR126" i="7"/>
  <c r="AN136" i="7"/>
  <c r="AM136" i="7"/>
  <c r="BR16" i="7"/>
  <c r="AN46" i="7"/>
  <c r="BR32" i="7"/>
  <c r="AM123" i="7"/>
  <c r="BR123" i="7"/>
  <c r="BR137" i="7"/>
  <c r="BR91" i="7"/>
  <c r="AM67" i="7"/>
  <c r="BR61" i="7"/>
  <c r="BR46" i="7"/>
  <c r="BR44" i="7"/>
  <c r="BR53" i="7"/>
  <c r="BR113" i="7"/>
  <c r="AN60" i="7"/>
  <c r="BR134" i="7"/>
  <c r="AM80" i="7"/>
  <c r="AM124" i="7"/>
  <c r="AM60" i="7"/>
  <c r="AN33" i="7"/>
  <c r="BR107" i="7"/>
  <c r="BR115" i="7"/>
  <c r="BR119" i="7"/>
  <c r="AN124" i="7"/>
  <c r="AM33" i="7"/>
  <c r="BR128" i="7"/>
  <c r="AN80" i="7"/>
  <c r="AN120" i="7"/>
  <c r="AM34" i="7"/>
  <c r="AM128" i="7"/>
  <c r="BR133" i="7"/>
  <c r="AM120" i="7"/>
  <c r="AN81" i="7"/>
  <c r="AN119" i="7"/>
  <c r="BR39" i="7"/>
  <c r="BR18" i="7"/>
  <c r="BR106" i="7"/>
  <c r="BR87" i="7"/>
  <c r="BR96" i="7"/>
  <c r="BR72" i="7"/>
  <c r="BR105" i="7"/>
  <c r="BR76" i="7"/>
  <c r="BR52" i="7"/>
  <c r="BR17" i="7"/>
  <c r="BR19" i="7"/>
  <c r="AM46" i="7"/>
  <c r="BR43" i="7"/>
  <c r="AN47" i="7"/>
  <c r="BR135" i="7"/>
  <c r="BR110" i="7"/>
  <c r="BR59" i="7"/>
  <c r="BR71" i="7"/>
  <c r="AN89" i="7"/>
  <c r="AN24" i="7"/>
  <c r="BR120" i="7"/>
  <c r="AM24" i="7"/>
  <c r="AM56" i="7"/>
  <c r="AN25" i="7"/>
  <c r="BR58" i="7"/>
  <c r="BR136" i="7"/>
  <c r="BR20" i="7"/>
  <c r="AM89" i="7"/>
  <c r="AN88" i="7"/>
  <c r="BN17" i="7"/>
  <c r="BR51" i="7"/>
  <c r="BR27" i="7"/>
  <c r="AM66" i="7"/>
  <c r="AM127" i="7"/>
  <c r="AM28" i="7"/>
  <c r="AN28" i="7"/>
  <c r="AM27" i="7"/>
  <c r="BR38" i="7"/>
  <c r="BR54" i="7"/>
  <c r="AN65" i="7"/>
  <c r="BN48" i="7"/>
  <c r="BR70" i="7"/>
  <c r="BX8" i="7"/>
  <c r="BN76" i="7"/>
  <c r="BN39" i="7"/>
  <c r="BN135" i="7"/>
  <c r="BN40" i="7"/>
  <c r="BN44" i="7"/>
  <c r="BN80" i="7"/>
  <c r="BN71" i="7"/>
  <c r="BN94" i="7"/>
  <c r="BR73" i="7"/>
  <c r="BN83" i="7"/>
  <c r="AM71" i="7"/>
  <c r="BN103" i="7"/>
  <c r="BN117" i="7"/>
  <c r="AN127" i="7"/>
  <c r="BN57" i="7"/>
  <c r="BN65" i="7"/>
  <c r="AM70" i="7"/>
  <c r="BN106" i="7"/>
  <c r="BN74" i="7"/>
  <c r="AM74" i="7"/>
  <c r="BN67" i="7"/>
  <c r="BR65" i="7"/>
  <c r="AM75" i="7"/>
  <c r="BN97" i="7"/>
  <c r="BR79" i="7"/>
  <c r="BN42" i="7"/>
  <c r="BN72" i="7"/>
  <c r="BN89" i="7"/>
  <c r="BN21" i="7"/>
  <c r="BN99" i="7"/>
  <c r="AO8" i="7"/>
  <c r="G78" i="1" s="1"/>
  <c r="BR80" i="7"/>
  <c r="BN101" i="7"/>
  <c r="BN69" i="7"/>
  <c r="BN105" i="7"/>
  <c r="BN23" i="7"/>
  <c r="BN125" i="7"/>
  <c r="BN35" i="7"/>
  <c r="BN19" i="7"/>
  <c r="BN112" i="7"/>
  <c r="BN85" i="7"/>
  <c r="BN16" i="7"/>
  <c r="BN116" i="7"/>
  <c r="BN37" i="7"/>
  <c r="BN51" i="7"/>
  <c r="BN113" i="7"/>
  <c r="BN31" i="7"/>
  <c r="BN133" i="7"/>
  <c r="BN29" i="7"/>
  <c r="BN55" i="7"/>
  <c r="BN14" i="7"/>
  <c r="BN120" i="7"/>
  <c r="BN108" i="7"/>
  <c r="BN127" i="7"/>
  <c r="BN27" i="7"/>
  <c r="BN123" i="7"/>
  <c r="BN53" i="7"/>
  <c r="BN131" i="7"/>
  <c r="BN87" i="7"/>
  <c r="BN91" i="7"/>
  <c r="AM107" i="7"/>
  <c r="AN107" i="7"/>
  <c r="AM108" i="7"/>
  <c r="BN46" i="7"/>
  <c r="BN61" i="7"/>
  <c r="BN59" i="7"/>
  <c r="BR108" i="7"/>
  <c r="BN129" i="7"/>
  <c r="BN49" i="7"/>
  <c r="BN22" i="7"/>
  <c r="BN62" i="7"/>
  <c r="BN92" i="7"/>
  <c r="BN32" i="7"/>
  <c r="BN79" i="7"/>
  <c r="BN77" i="7"/>
  <c r="BN24" i="7"/>
  <c r="BN109" i="7"/>
  <c r="BN121" i="7"/>
  <c r="BN50" i="7"/>
  <c r="BN114" i="7"/>
  <c r="BN63" i="7"/>
  <c r="BN52" i="7"/>
  <c r="BN33" i="7"/>
  <c r="BN122" i="7"/>
  <c r="BN73" i="7"/>
  <c r="BN130" i="7"/>
  <c r="BN102" i="7"/>
  <c r="AN128" i="7"/>
  <c r="BP8" i="7"/>
  <c r="BN110" i="7"/>
  <c r="BN54" i="7"/>
  <c r="BN118" i="7"/>
  <c r="BN26" i="7"/>
  <c r="BN28" i="7"/>
  <c r="BN95" i="7"/>
  <c r="BN136" i="7"/>
  <c r="BN75" i="7"/>
  <c r="BN66" i="7"/>
  <c r="BN132" i="7"/>
  <c r="BN15" i="7"/>
  <c r="BN13" i="7"/>
  <c r="BN25" i="7"/>
  <c r="BN56" i="7"/>
  <c r="BN137" i="7"/>
  <c r="BN138" i="7"/>
  <c r="BN64" i="7"/>
  <c r="BN38" i="7"/>
  <c r="BN82" i="7"/>
  <c r="BN84" i="7"/>
  <c r="BN107" i="7"/>
  <c r="BN30" i="7"/>
  <c r="BN126" i="7"/>
  <c r="BN115" i="7"/>
  <c r="BN134" i="7"/>
  <c r="BN36" i="7"/>
  <c r="BN119" i="7"/>
  <c r="BQ8" i="7"/>
  <c r="BN78" i="7"/>
  <c r="BN90" i="7"/>
  <c r="BN86" i="7"/>
  <c r="BN93" i="7"/>
  <c r="BN58" i="7"/>
  <c r="BN60" i="7"/>
  <c r="BN128" i="7"/>
  <c r="BN47" i="7"/>
  <c r="BN45" i="7"/>
  <c r="BN18" i="7"/>
  <c r="BN20" i="7"/>
  <c r="BN88" i="7"/>
  <c r="BN41" i="7"/>
  <c r="BN98" i="7"/>
  <c r="BN70" i="7"/>
  <c r="BN81" i="7"/>
  <c r="BL8" i="7"/>
  <c r="BM7" i="7" s="1"/>
  <c r="BN124" i="7"/>
  <c r="BN111" i="7"/>
  <c r="BN43" i="7"/>
  <c r="BN34" i="7"/>
  <c r="BN100" i="7"/>
  <c r="BN104" i="7"/>
  <c r="BN68" i="7"/>
  <c r="BR127" i="7"/>
  <c r="AZ19" i="6"/>
  <c r="BB19" i="6" s="1"/>
  <c r="BC19" i="6" s="1"/>
  <c r="BE12" i="6"/>
  <c r="AZ21" i="6"/>
  <c r="BB21" i="6" s="1"/>
  <c r="BC21" i="6" s="1"/>
  <c r="AU23" i="6"/>
  <c r="BG23" i="6" s="1"/>
  <c r="AU65" i="6"/>
  <c r="BG65" i="6" s="1"/>
  <c r="BE55" i="6"/>
  <c r="AU60" i="6"/>
  <c r="AZ60" i="6" s="1"/>
  <c r="BB60" i="6" s="1"/>
  <c r="BC60" i="6" s="1"/>
  <c r="AU34" i="6"/>
  <c r="BG34" i="6" s="1"/>
  <c r="AU63" i="6"/>
  <c r="BG63" i="6" s="1"/>
  <c r="AU68" i="6"/>
  <c r="AZ68" i="6" s="1"/>
  <c r="BB68" i="6" s="1"/>
  <c r="BC68" i="6" s="1"/>
  <c r="AU67" i="6"/>
  <c r="BG67" i="6" s="1"/>
  <c r="BE67" i="6" s="1"/>
  <c r="AU37" i="6"/>
  <c r="BG37" i="6" s="1"/>
  <c r="AU49" i="6"/>
  <c r="BG49" i="6" s="1"/>
  <c r="AU54" i="6"/>
  <c r="BG54" i="6" s="1"/>
  <c r="AU57" i="6"/>
  <c r="BG57" i="6" s="1"/>
  <c r="AU61" i="6"/>
  <c r="AZ61" i="6" s="1"/>
  <c r="BB61" i="6" s="1"/>
  <c r="BC61" i="6" s="1"/>
  <c r="AU64" i="6"/>
  <c r="AZ64" i="6" s="1"/>
  <c r="BB64" i="6" s="1"/>
  <c r="BC64" i="6" s="1"/>
  <c r="AJ69" i="6"/>
  <c r="BF69" i="6" s="1"/>
  <c r="AZ20" i="6"/>
  <c r="BB20" i="6" s="1"/>
  <c r="BC20" i="6" s="1"/>
  <c r="BL13" i="6"/>
  <c r="BG20" i="6"/>
  <c r="BL20" i="6" s="1"/>
  <c r="AZ13" i="6"/>
  <c r="BB13" i="6" s="1"/>
  <c r="BC13" i="6" s="1"/>
  <c r="BL17" i="6"/>
  <c r="AZ44" i="6"/>
  <c r="BB44" i="6" s="1"/>
  <c r="BC44" i="6" s="1"/>
  <c r="AZ17" i="6"/>
  <c r="BB17" i="6" s="1"/>
  <c r="BC17" i="6" s="1"/>
  <c r="BE17" i="6"/>
  <c r="BL19" i="6"/>
  <c r="BL21" i="6"/>
  <c r="BL55" i="6"/>
  <c r="BL14" i="6"/>
  <c r="BE14" i="6"/>
  <c r="AZ41" i="6"/>
  <c r="BB41" i="6" s="1"/>
  <c r="BC41" i="6" s="1"/>
  <c r="BD41" i="6"/>
  <c r="BD34" i="6"/>
  <c r="AZ52" i="6"/>
  <c r="BB52" i="6" s="1"/>
  <c r="BC52" i="6" s="1"/>
  <c r="BD52" i="6"/>
  <c r="BF31" i="6"/>
  <c r="BF42" i="6"/>
  <c r="BG62" i="6"/>
  <c r="BE62" i="6" s="1"/>
  <c r="BG46" i="6"/>
  <c r="BE46" i="6" s="1"/>
  <c r="BG58" i="6"/>
  <c r="BE58" i="6" s="1"/>
  <c r="BG33" i="6"/>
  <c r="BE33" i="6" s="1"/>
  <c r="AZ27" i="6"/>
  <c r="BB27" i="6" s="1"/>
  <c r="BC27" i="6" s="1"/>
  <c r="BG27" i="6"/>
  <c r="BL27" i="6" s="1"/>
  <c r="BG15" i="6"/>
  <c r="BE21" i="6"/>
  <c r="BG66" i="6"/>
  <c r="BE66" i="6" s="1"/>
  <c r="BF25" i="6"/>
  <c r="AZ30" i="6"/>
  <c r="BB30" i="6" s="1"/>
  <c r="BC30" i="6" s="1"/>
  <c r="BD30" i="6"/>
  <c r="AZ66" i="6"/>
  <c r="BB66" i="6" s="1"/>
  <c r="BC66" i="6" s="1"/>
  <c r="BD66" i="6"/>
  <c r="BF18" i="6"/>
  <c r="BG22" i="6"/>
  <c r="BG29" i="6"/>
  <c r="BE29" i="6" s="1"/>
  <c r="BG24" i="6"/>
  <c r="BG38" i="6"/>
  <c r="BE38" i="6" s="1"/>
  <c r="BG42" i="6"/>
  <c r="BG30" i="6"/>
  <c r="BG31" i="6"/>
  <c r="AZ40" i="6"/>
  <c r="BB40" i="6" s="1"/>
  <c r="BC40" i="6" s="1"/>
  <c r="AZ59" i="6"/>
  <c r="BB59" i="6" s="1"/>
  <c r="BC59" i="6" s="1"/>
  <c r="BD59" i="6"/>
  <c r="AZ38" i="6"/>
  <c r="BB38" i="6" s="1"/>
  <c r="BC38" i="6" s="1"/>
  <c r="BD38" i="6"/>
  <c r="BF45" i="6"/>
  <c r="BG45" i="6"/>
  <c r="BG39" i="6"/>
  <c r="BL39" i="6" s="1"/>
  <c r="BG43" i="6"/>
  <c r="BE43" i="6" s="1"/>
  <c r="BG59" i="6"/>
  <c r="BE59" i="6" s="1"/>
  <c r="AZ50" i="6"/>
  <c r="BB50" i="6" s="1"/>
  <c r="BC50" i="6" s="1"/>
  <c r="BD50" i="6"/>
  <c r="BF22" i="6"/>
  <c r="BF37" i="6"/>
  <c r="BG28" i="6"/>
  <c r="BE28" i="6" s="1"/>
  <c r="BG41" i="6"/>
  <c r="BE41" i="6" s="1"/>
  <c r="BG25" i="6"/>
  <c r="AZ53" i="6"/>
  <c r="BB53" i="6" s="1"/>
  <c r="BC53" i="6" s="1"/>
  <c r="BG53" i="6"/>
  <c r="BE53" i="6" s="1"/>
  <c r="BF34" i="6"/>
  <c r="BG40" i="6"/>
  <c r="AZ51" i="6"/>
  <c r="BB51" i="6" s="1"/>
  <c r="BC51" i="6" s="1"/>
  <c r="BD51" i="6"/>
  <c r="AZ36" i="6"/>
  <c r="BB36" i="6" s="1"/>
  <c r="BC36" i="6" s="1"/>
  <c r="BD36" i="6"/>
  <c r="BF15" i="6"/>
  <c r="BG26" i="6"/>
  <c r="BE26" i="6" s="1"/>
  <c r="BG18" i="6"/>
  <c r="BG44" i="6"/>
  <c r="BL44" i="6" s="1"/>
  <c r="BG32" i="6"/>
  <c r="BE32" i="6" s="1"/>
  <c r="BE19" i="6"/>
  <c r="BF51" i="6"/>
  <c r="BF16" i="6"/>
  <c r="BE16" i="6" s="1"/>
  <c r="BG50" i="6"/>
  <c r="BE50" i="6" s="1"/>
  <c r="BG48" i="6"/>
  <c r="BL48" i="6" s="1"/>
  <c r="BG56" i="6"/>
  <c r="BE56" i="6" s="1"/>
  <c r="BG36" i="6"/>
  <c r="BD37" i="6"/>
  <c r="AZ47" i="6"/>
  <c r="BB47" i="6" s="1"/>
  <c r="BC47" i="6" s="1"/>
  <c r="BD47" i="6"/>
  <c r="AZ28" i="6"/>
  <c r="BB28" i="6" s="1"/>
  <c r="BC28" i="6" s="1"/>
  <c r="BD28" i="6"/>
  <c r="AZ32" i="6"/>
  <c r="BB32" i="6" s="1"/>
  <c r="BC32" i="6" s="1"/>
  <c r="BD32" i="6"/>
  <c r="BF30" i="6"/>
  <c r="BG51" i="6"/>
  <c r="BG47" i="6"/>
  <c r="BE47" i="6" s="1"/>
  <c r="BG52" i="6"/>
  <c r="BE52" i="6" s="1"/>
  <c r="BG35" i="6"/>
  <c r="BF57" i="6"/>
  <c r="AZ46" i="6"/>
  <c r="BB46" i="6" s="1"/>
  <c r="BC46" i="6" s="1"/>
  <c r="AZ45" i="6"/>
  <c r="BB45" i="6" s="1"/>
  <c r="BC45" i="6" s="1"/>
  <c r="AZ16" i="6"/>
  <c r="BB16" i="6" s="1"/>
  <c r="BC16" i="6" s="1"/>
  <c r="AZ25" i="6"/>
  <c r="BB25" i="6" s="1"/>
  <c r="BC25" i="6" s="1"/>
  <c r="AZ22" i="6"/>
  <c r="BB22" i="6" s="1"/>
  <c r="BC22" i="6" s="1"/>
  <c r="AZ62" i="6"/>
  <c r="BB62" i="6" s="1"/>
  <c r="AZ58" i="6"/>
  <c r="BB58" i="6" s="1"/>
  <c r="BC58" i="6" s="1"/>
  <c r="AZ42" i="6"/>
  <c r="BB42" i="6" s="1"/>
  <c r="BC42" i="6" s="1"/>
  <c r="AZ39" i="6"/>
  <c r="BB39" i="6" s="1"/>
  <c r="BC39" i="6" s="1"/>
  <c r="AZ14" i="6"/>
  <c r="BB14" i="6" s="1"/>
  <c r="BC14" i="6" s="1"/>
  <c r="AZ31" i="6"/>
  <c r="BB31" i="6" s="1"/>
  <c r="BC31" i="6" s="1"/>
  <c r="AZ48" i="6"/>
  <c r="BB48" i="6" s="1"/>
  <c r="BC48" i="6" s="1"/>
  <c r="AZ26" i="6"/>
  <c r="BB26" i="6" s="1"/>
  <c r="BC26" i="6" s="1"/>
  <c r="AZ24" i="6"/>
  <c r="BB24" i="6" s="1"/>
  <c r="BC24" i="6" s="1"/>
  <c r="AZ18" i="6"/>
  <c r="BB18" i="6" s="1"/>
  <c r="BC18" i="6" s="1"/>
  <c r="AZ29" i="6"/>
  <c r="BB29" i="6" s="1"/>
  <c r="BC29" i="6" s="1"/>
  <c r="AZ43" i="6"/>
  <c r="BB43" i="6" s="1"/>
  <c r="BC43" i="6" s="1"/>
  <c r="AZ15" i="6"/>
  <c r="BB15" i="6" s="1"/>
  <c r="BC15" i="6" s="1"/>
  <c r="AZ33" i="6"/>
  <c r="BB33" i="6" s="1"/>
  <c r="BC33" i="6" s="1"/>
  <c r="AZ56" i="6"/>
  <c r="BB56" i="6" s="1"/>
  <c r="BC56" i="6" s="1"/>
  <c r="T70" i="6"/>
  <c r="AV70" i="6"/>
  <c r="BH70" i="6" s="1"/>
  <c r="AZ35" i="6"/>
  <c r="BB35" i="6" s="1"/>
  <c r="BC35" i="6" s="1"/>
  <c r="BD12" i="6"/>
  <c r="BL12" i="6" s="1"/>
  <c r="AZ12" i="6"/>
  <c r="BB12" i="6" s="1"/>
  <c r="BC12" i="6" s="1"/>
  <c r="AO70" i="6"/>
  <c r="AP69" i="6"/>
  <c r="AU69" i="6" s="1"/>
  <c r="AK71" i="6"/>
  <c r="AL71" i="6" s="1"/>
  <c r="AM71" i="6" s="1"/>
  <c r="U70" i="6"/>
  <c r="Q71" i="6"/>
  <c r="R71" i="6" s="1"/>
  <c r="AG71" i="6" s="1"/>
  <c r="L81" i="6"/>
  <c r="Z71" i="6"/>
  <c r="AA71" i="6" s="1"/>
  <c r="AB71" i="6" s="1"/>
  <c r="BJ71" i="6" s="1"/>
  <c r="S71" i="6"/>
  <c r="AC71" i="6"/>
  <c r="AD71" i="6" s="1"/>
  <c r="AE71" i="6" s="1"/>
  <c r="K81" i="6"/>
  <c r="W71" i="6"/>
  <c r="X71" i="6" s="1"/>
  <c r="Y71" i="6" s="1"/>
  <c r="BK71" i="6" s="1"/>
  <c r="AF70" i="6"/>
  <c r="AN70" i="6"/>
  <c r="P71" i="6"/>
  <c r="AK72" i="6"/>
  <c r="AL72" i="6" s="1"/>
  <c r="AM72" i="6" s="1"/>
  <c r="N73" i="6"/>
  <c r="O73" i="6" s="1"/>
  <c r="AC72" i="6"/>
  <c r="AD72" i="6" s="1"/>
  <c r="AE72" i="6" s="1"/>
  <c r="Z72" i="6"/>
  <c r="AA72" i="6" s="1"/>
  <c r="AB72" i="6" s="1"/>
  <c r="BJ72" i="6" s="1"/>
  <c r="Q72" i="6"/>
  <c r="R72" i="6" s="1"/>
  <c r="AG72" i="6" s="1"/>
  <c r="S72" i="6"/>
  <c r="AV72" i="6" s="1"/>
  <c r="BH72" i="6" s="1"/>
  <c r="P72" i="6"/>
  <c r="W72" i="6"/>
  <c r="J74" i="6"/>
  <c r="V69" i="6"/>
  <c r="F117" i="2"/>
  <c r="AJ70" i="6" l="1"/>
  <c r="AH71" i="6"/>
  <c r="AZ37" i="6"/>
  <c r="BB37" i="6" s="1"/>
  <c r="BC37" i="6" s="1"/>
  <c r="AH72" i="6"/>
  <c r="AM8" i="7"/>
  <c r="G77" i="1" s="1"/>
  <c r="BR8" i="7"/>
  <c r="BN8" i="7"/>
  <c r="BO7" i="7" s="1"/>
  <c r="BO14" i="7" s="1"/>
  <c r="BM16" i="7"/>
  <c r="BM24" i="7"/>
  <c r="BM32" i="7"/>
  <c r="BM40" i="7"/>
  <c r="BM48" i="7"/>
  <c r="BM56" i="7"/>
  <c r="BM64" i="7"/>
  <c r="BM72" i="7"/>
  <c r="BM80" i="7"/>
  <c r="BM88" i="7"/>
  <c r="BM96" i="7"/>
  <c r="BM104" i="7"/>
  <c r="BM112" i="7"/>
  <c r="BM120" i="7"/>
  <c r="BM128" i="7"/>
  <c r="BM136" i="7"/>
  <c r="BM17" i="7"/>
  <c r="BM25" i="7"/>
  <c r="BM33" i="7"/>
  <c r="BM41" i="7"/>
  <c r="BM49" i="7"/>
  <c r="BM57" i="7"/>
  <c r="BM65" i="7"/>
  <c r="BM73" i="7"/>
  <c r="BM81" i="7"/>
  <c r="BM89" i="7"/>
  <c r="BM97" i="7"/>
  <c r="BM105" i="7"/>
  <c r="BM113" i="7"/>
  <c r="BM121" i="7"/>
  <c r="BM129" i="7"/>
  <c r="BM137" i="7"/>
  <c r="BM18" i="7"/>
  <c r="BM26" i="7"/>
  <c r="BM34" i="7"/>
  <c r="BM42" i="7"/>
  <c r="BM50" i="7"/>
  <c r="BM58" i="7"/>
  <c r="BM66" i="7"/>
  <c r="BM74" i="7"/>
  <c r="BM82" i="7"/>
  <c r="BM90" i="7"/>
  <c r="BM98" i="7"/>
  <c r="BM106" i="7"/>
  <c r="BM114" i="7"/>
  <c r="BM122" i="7"/>
  <c r="BM130" i="7"/>
  <c r="BM138" i="7"/>
  <c r="BM19" i="7"/>
  <c r="BM27" i="7"/>
  <c r="BM35" i="7"/>
  <c r="BM43" i="7"/>
  <c r="BM51" i="7"/>
  <c r="BM59" i="7"/>
  <c r="BM67" i="7"/>
  <c r="BM75" i="7"/>
  <c r="BM83" i="7"/>
  <c r="BM91" i="7"/>
  <c r="BM99" i="7"/>
  <c r="BM107" i="7"/>
  <c r="BM115" i="7"/>
  <c r="BM123" i="7"/>
  <c r="BM131" i="7"/>
  <c r="BM12" i="7"/>
  <c r="BM20" i="7"/>
  <c r="BM28" i="7"/>
  <c r="BM36" i="7"/>
  <c r="BM44" i="7"/>
  <c r="BM52" i="7"/>
  <c r="BM60" i="7"/>
  <c r="BM68" i="7"/>
  <c r="BM76" i="7"/>
  <c r="BM84" i="7"/>
  <c r="BM92" i="7"/>
  <c r="BM100" i="7"/>
  <c r="BM108" i="7"/>
  <c r="BM116" i="7"/>
  <c r="BM124" i="7"/>
  <c r="BM132" i="7"/>
  <c r="BM13" i="7"/>
  <c r="BM21" i="7"/>
  <c r="BM29" i="7"/>
  <c r="BM37" i="7"/>
  <c r="BM45" i="7"/>
  <c r="BM53" i="7"/>
  <c r="BM61" i="7"/>
  <c r="BM69" i="7"/>
  <c r="BM77" i="7"/>
  <c r="BM85" i="7"/>
  <c r="BM93" i="7"/>
  <c r="BM101" i="7"/>
  <c r="BM109" i="7"/>
  <c r="BM117" i="7"/>
  <c r="BM125" i="7"/>
  <c r="BM133" i="7"/>
  <c r="BM14" i="7"/>
  <c r="BM22" i="7"/>
  <c r="BM30" i="7"/>
  <c r="BM38" i="7"/>
  <c r="BM46" i="7"/>
  <c r="BM54" i="7"/>
  <c r="BM62" i="7"/>
  <c r="BM70" i="7"/>
  <c r="BM78" i="7"/>
  <c r="BM86" i="7"/>
  <c r="BM94" i="7"/>
  <c r="BM102" i="7"/>
  <c r="BM110" i="7"/>
  <c r="BM118" i="7"/>
  <c r="BM126" i="7"/>
  <c r="BM134" i="7"/>
  <c r="BM31" i="7"/>
  <c r="BM95" i="7"/>
  <c r="BM39" i="7"/>
  <c r="BM111" i="7"/>
  <c r="BM127" i="7"/>
  <c r="BM79" i="7"/>
  <c r="BM87" i="7"/>
  <c r="BM103" i="7"/>
  <c r="BM55" i="7"/>
  <c r="BM63" i="7"/>
  <c r="BM71" i="7"/>
  <c r="BM23" i="7"/>
  <c r="BM47" i="7"/>
  <c r="BM119" i="7"/>
  <c r="BM135" i="7"/>
  <c r="BM15" i="7"/>
  <c r="AZ54" i="6"/>
  <c r="BB54" i="6" s="1"/>
  <c r="BC54" i="6" s="1"/>
  <c r="AZ65" i="6"/>
  <c r="BB65" i="6" s="1"/>
  <c r="BC65" i="6" s="1"/>
  <c r="AZ57" i="6"/>
  <c r="BB57" i="6" s="1"/>
  <c r="BC57" i="6" s="1"/>
  <c r="AZ23" i="6"/>
  <c r="BB23" i="6" s="1"/>
  <c r="BC23" i="6" s="1"/>
  <c r="G73" i="1"/>
  <c r="K13" i="7"/>
  <c r="K21" i="7"/>
  <c r="K29" i="7"/>
  <c r="K37" i="7"/>
  <c r="K45" i="7"/>
  <c r="K53" i="7"/>
  <c r="K61" i="7"/>
  <c r="K69" i="7"/>
  <c r="K77" i="7"/>
  <c r="K85" i="7"/>
  <c r="K93" i="7"/>
  <c r="K101" i="7"/>
  <c r="K109" i="7"/>
  <c r="K117" i="7"/>
  <c r="K125" i="7"/>
  <c r="K133" i="7"/>
  <c r="K52" i="7"/>
  <c r="K92" i="7"/>
  <c r="K14" i="7"/>
  <c r="K22" i="7"/>
  <c r="K30" i="7"/>
  <c r="K38" i="7"/>
  <c r="K46" i="7"/>
  <c r="K54" i="7"/>
  <c r="K62" i="7"/>
  <c r="K70" i="7"/>
  <c r="K78" i="7"/>
  <c r="K86" i="7"/>
  <c r="K94" i="7"/>
  <c r="K102" i="7"/>
  <c r="K110" i="7"/>
  <c r="K118" i="7"/>
  <c r="K126" i="7"/>
  <c r="K134" i="7"/>
  <c r="K20" i="7"/>
  <c r="K100" i="7"/>
  <c r="K15" i="7"/>
  <c r="K23" i="7"/>
  <c r="K31" i="7"/>
  <c r="K39" i="7"/>
  <c r="K47" i="7"/>
  <c r="K55" i="7"/>
  <c r="K63" i="7"/>
  <c r="K71" i="7"/>
  <c r="K79" i="7"/>
  <c r="K87" i="7"/>
  <c r="K95" i="7"/>
  <c r="K103" i="7"/>
  <c r="K111" i="7"/>
  <c r="K119" i="7"/>
  <c r="K127" i="7"/>
  <c r="K135" i="7"/>
  <c r="K44" i="7"/>
  <c r="K84" i="7"/>
  <c r="K16" i="7"/>
  <c r="K24" i="7"/>
  <c r="K32" i="7"/>
  <c r="K40" i="7"/>
  <c r="K48" i="7"/>
  <c r="K56" i="7"/>
  <c r="K64" i="7"/>
  <c r="K72" i="7"/>
  <c r="K80" i="7"/>
  <c r="K88" i="7"/>
  <c r="K96" i="7"/>
  <c r="K104" i="7"/>
  <c r="K112" i="7"/>
  <c r="K120" i="7"/>
  <c r="K128" i="7"/>
  <c r="K136" i="7"/>
  <c r="K28" i="7"/>
  <c r="K108" i="7"/>
  <c r="K17" i="7"/>
  <c r="K25" i="7"/>
  <c r="K33" i="7"/>
  <c r="K41" i="7"/>
  <c r="K49" i="7"/>
  <c r="K57" i="7"/>
  <c r="K65" i="7"/>
  <c r="K73" i="7"/>
  <c r="K81" i="7"/>
  <c r="K89" i="7"/>
  <c r="K97" i="7"/>
  <c r="K105" i="7"/>
  <c r="K113" i="7"/>
  <c r="K121" i="7"/>
  <c r="K129" i="7"/>
  <c r="K137" i="7"/>
  <c r="K68" i="7"/>
  <c r="K124" i="7"/>
  <c r="K18" i="7"/>
  <c r="K26" i="7"/>
  <c r="K34" i="7"/>
  <c r="K42" i="7"/>
  <c r="K50" i="7"/>
  <c r="K58" i="7"/>
  <c r="K66" i="7"/>
  <c r="K74" i="7"/>
  <c r="K82" i="7"/>
  <c r="K90" i="7"/>
  <c r="K98" i="7"/>
  <c r="K106" i="7"/>
  <c r="K114" i="7"/>
  <c r="K122" i="7"/>
  <c r="K130" i="7"/>
  <c r="K138" i="7"/>
  <c r="K60" i="7"/>
  <c r="K116" i="7"/>
  <c r="K19" i="7"/>
  <c r="K27" i="7"/>
  <c r="K35" i="7"/>
  <c r="K43" i="7"/>
  <c r="K51" i="7"/>
  <c r="K59" i="7"/>
  <c r="K67" i="7"/>
  <c r="K75" i="7"/>
  <c r="K83" i="7"/>
  <c r="K91" i="7"/>
  <c r="K99" i="7"/>
  <c r="K107" i="7"/>
  <c r="K115" i="7"/>
  <c r="K123" i="7"/>
  <c r="K131" i="7"/>
  <c r="K12" i="7"/>
  <c r="K36" i="7"/>
  <c r="K76" i="7"/>
  <c r="K132" i="7"/>
  <c r="AZ34" i="6"/>
  <c r="BB34" i="6" s="1"/>
  <c r="BC34" i="6" s="1"/>
  <c r="AZ63" i="6"/>
  <c r="BB63" i="6" s="1"/>
  <c r="BC63" i="6" s="1"/>
  <c r="AZ67" i="6"/>
  <c r="BB67" i="6" s="1"/>
  <c r="BC67" i="6" s="1"/>
  <c r="BG61" i="6"/>
  <c r="BL61" i="6" s="1"/>
  <c r="BE54" i="6"/>
  <c r="BL54" i="6"/>
  <c r="BG68" i="6"/>
  <c r="AZ49" i="6"/>
  <c r="BB49" i="6" s="1"/>
  <c r="BC49" i="6" s="1"/>
  <c r="BL63" i="6"/>
  <c r="BE63" i="6"/>
  <c r="BE49" i="6"/>
  <c r="BL49" i="6"/>
  <c r="BE65" i="6"/>
  <c r="BL65" i="6"/>
  <c r="BL23" i="6"/>
  <c r="BE23" i="6"/>
  <c r="BG60" i="6"/>
  <c r="BL67" i="6"/>
  <c r="BG64" i="6"/>
  <c r="BE37" i="6"/>
  <c r="BL57" i="6"/>
  <c r="BE34" i="6"/>
  <c r="BE20" i="6"/>
  <c r="BL32" i="6"/>
  <c r="BL38" i="6"/>
  <c r="BL15" i="6"/>
  <c r="BE27" i="6"/>
  <c r="BL41" i="6"/>
  <c r="BL25" i="6"/>
  <c r="BL18" i="6"/>
  <c r="BL36" i="6"/>
  <c r="BL24" i="6"/>
  <c r="BL46" i="6"/>
  <c r="BL50" i="6"/>
  <c r="BL37" i="6"/>
  <c r="BE39" i="6"/>
  <c r="BL66" i="6"/>
  <c r="BL42" i="6"/>
  <c r="BE40" i="6"/>
  <c r="BE24" i="6"/>
  <c r="BL22" i="6"/>
  <c r="BL45" i="6"/>
  <c r="BL31" i="6"/>
  <c r="BL16" i="6"/>
  <c r="BL51" i="6"/>
  <c r="BL30" i="6"/>
  <c r="BL52" i="6"/>
  <c r="BL62" i="6"/>
  <c r="BL26" i="6"/>
  <c r="BL58" i="6"/>
  <c r="BL59" i="6"/>
  <c r="BL33" i="6"/>
  <c r="BL35" i="6"/>
  <c r="BL28" i="6"/>
  <c r="BL34" i="6"/>
  <c r="BL53" i="6"/>
  <c r="BL56" i="6"/>
  <c r="BL43" i="6"/>
  <c r="BL47" i="6"/>
  <c r="BL29" i="6"/>
  <c r="BL40" i="6"/>
  <c r="BE57" i="6"/>
  <c r="BE35" i="6"/>
  <c r="BE36" i="6"/>
  <c r="BE48" i="6"/>
  <c r="BE44" i="6"/>
  <c r="AP70" i="6"/>
  <c r="AU70" i="6" s="1"/>
  <c r="BC62" i="6"/>
  <c r="BE30" i="6"/>
  <c r="BE51" i="6"/>
  <c r="BE25" i="6"/>
  <c r="BE45" i="6"/>
  <c r="BE18" i="6"/>
  <c r="BE22" i="6"/>
  <c r="BE42" i="6"/>
  <c r="AZ69" i="6"/>
  <c r="BB69" i="6" s="1"/>
  <c r="BC69" i="6" s="1"/>
  <c r="BD69" i="6"/>
  <c r="V70" i="6"/>
  <c r="BD70" i="6" s="1"/>
  <c r="BE15" i="6"/>
  <c r="BG69" i="6"/>
  <c r="BE69" i="6" s="1"/>
  <c r="BE31" i="6"/>
  <c r="T71" i="6"/>
  <c r="AV71" i="6"/>
  <c r="BH71" i="6" s="1"/>
  <c r="AO71" i="6"/>
  <c r="AO72" i="6"/>
  <c r="AF71" i="6"/>
  <c r="U71" i="6"/>
  <c r="AN71" i="6"/>
  <c r="L82" i="6"/>
  <c r="K82" i="6"/>
  <c r="AF72" i="6"/>
  <c r="AJ72" i="6" s="1"/>
  <c r="AK73" i="6"/>
  <c r="AL73" i="6" s="1"/>
  <c r="AM73" i="6" s="1"/>
  <c r="AN72" i="6"/>
  <c r="U72" i="6"/>
  <c r="X72" i="6"/>
  <c r="Y72" i="6" s="1"/>
  <c r="BK72" i="6" s="1"/>
  <c r="S73" i="6"/>
  <c r="AV73" i="6" s="1"/>
  <c r="BH73" i="6" s="1"/>
  <c r="P73" i="6"/>
  <c r="Q73" i="6"/>
  <c r="R73" i="6" s="1"/>
  <c r="AG73" i="6" s="1"/>
  <c r="W73" i="6"/>
  <c r="N74" i="6"/>
  <c r="T72" i="6"/>
  <c r="J75" i="6"/>
  <c r="Z73" i="6"/>
  <c r="AA73" i="6" s="1"/>
  <c r="AB73" i="6" s="1"/>
  <c r="BJ73" i="6" s="1"/>
  <c r="AC73" i="6"/>
  <c r="AD73" i="6" s="1"/>
  <c r="AE73" i="6" s="1"/>
  <c r="BO124" i="7" l="1"/>
  <c r="BO116" i="7"/>
  <c r="BO52" i="7"/>
  <c r="BO58" i="7"/>
  <c r="BO101" i="7"/>
  <c r="BO59" i="7"/>
  <c r="BO125" i="7"/>
  <c r="BO130" i="7"/>
  <c r="BO34" i="7"/>
  <c r="BO92" i="7"/>
  <c r="BO91" i="7"/>
  <c r="BO51" i="7"/>
  <c r="BO105" i="7"/>
  <c r="BO77" i="7"/>
  <c r="BO60" i="7"/>
  <c r="BO27" i="7"/>
  <c r="BO81" i="7"/>
  <c r="BO117" i="7"/>
  <c r="BO28" i="7"/>
  <c r="BO122" i="7"/>
  <c r="BO123" i="7"/>
  <c r="BO98" i="7"/>
  <c r="BO133" i="7"/>
  <c r="BO115" i="7"/>
  <c r="BO66" i="7"/>
  <c r="BO69" i="7"/>
  <c r="BO37" i="7"/>
  <c r="BO108" i="7"/>
  <c r="BO44" i="7"/>
  <c r="BO107" i="7"/>
  <c r="BO43" i="7"/>
  <c r="BO114" i="7"/>
  <c r="BO50" i="7"/>
  <c r="BO136" i="7"/>
  <c r="BO53" i="7"/>
  <c r="BO85" i="7"/>
  <c r="BO100" i="7"/>
  <c r="BO36" i="7"/>
  <c r="BO99" i="7"/>
  <c r="BO35" i="7"/>
  <c r="BO106" i="7"/>
  <c r="BO42" i="7"/>
  <c r="BO56" i="7"/>
  <c r="BO109" i="7"/>
  <c r="BO93" i="7"/>
  <c r="BO84" i="7"/>
  <c r="BO20" i="7"/>
  <c r="BO83" i="7"/>
  <c r="BO19" i="7"/>
  <c r="BO90" i="7"/>
  <c r="BO26" i="7"/>
  <c r="BO45" i="7"/>
  <c r="BO13" i="7"/>
  <c r="BO76" i="7"/>
  <c r="BO12" i="7"/>
  <c r="BO75" i="7"/>
  <c r="BO29" i="7"/>
  <c r="BO82" i="7"/>
  <c r="BO18" i="7"/>
  <c r="BO61" i="7"/>
  <c r="BO132" i="7"/>
  <c r="BO68" i="7"/>
  <c r="BO131" i="7"/>
  <c r="BO67" i="7"/>
  <c r="BO138" i="7"/>
  <c r="BO74" i="7"/>
  <c r="BO137" i="7"/>
  <c r="BO128" i="7"/>
  <c r="BO129" i="7"/>
  <c r="BO121" i="7"/>
  <c r="BO21" i="7"/>
  <c r="BO97" i="7"/>
  <c r="BO89" i="7"/>
  <c r="BO103" i="7"/>
  <c r="BO25" i="7"/>
  <c r="BO17" i="7"/>
  <c r="BO71" i="7"/>
  <c r="BO23" i="7"/>
  <c r="BO88" i="7"/>
  <c r="BO15" i="7"/>
  <c r="BO73" i="7"/>
  <c r="BO32" i="7"/>
  <c r="BO57" i="7"/>
  <c r="BO16" i="7"/>
  <c r="BO126" i="7"/>
  <c r="BO65" i="7"/>
  <c r="BO96" i="7"/>
  <c r="BO127" i="7"/>
  <c r="BO102" i="7"/>
  <c r="BO113" i="7"/>
  <c r="BO49" i="7"/>
  <c r="BO72" i="7"/>
  <c r="BO95" i="7"/>
  <c r="BO41" i="7"/>
  <c r="BO64" i="7"/>
  <c r="BO87" i="7"/>
  <c r="BO120" i="7"/>
  <c r="BO24" i="7"/>
  <c r="BO79" i="7"/>
  <c r="BO94" i="7"/>
  <c r="AH73" i="6"/>
  <c r="BO63" i="7"/>
  <c r="BO33" i="7"/>
  <c r="BO80" i="7"/>
  <c r="BO135" i="7"/>
  <c r="BO39" i="7"/>
  <c r="BO86" i="7"/>
  <c r="BO31" i="7"/>
  <c r="BO78" i="7"/>
  <c r="BO70" i="7"/>
  <c r="BO134" i="7"/>
  <c r="BO62" i="7"/>
  <c r="BO112" i="7"/>
  <c r="BO48" i="7"/>
  <c r="BO119" i="7"/>
  <c r="BO55" i="7"/>
  <c r="BO118" i="7"/>
  <c r="BO54" i="7"/>
  <c r="BO104" i="7"/>
  <c r="BO40" i="7"/>
  <c r="BO111" i="7"/>
  <c r="BO47" i="7"/>
  <c r="BO110" i="7"/>
  <c r="BO46" i="7"/>
  <c r="BO38" i="7"/>
  <c r="BO30" i="7"/>
  <c r="BO22" i="7"/>
  <c r="BM8" i="7"/>
  <c r="BM3" i="7" s="1"/>
  <c r="N82" i="7"/>
  <c r="AC82" i="7" s="1"/>
  <c r="AE82" i="7" s="1"/>
  <c r="O82" i="7"/>
  <c r="AD82" i="7" s="1"/>
  <c r="O127" i="7"/>
  <c r="AD127" i="7" s="1"/>
  <c r="N127" i="7"/>
  <c r="AC127" i="7" s="1"/>
  <c r="AE127" i="7" s="1"/>
  <c r="N51" i="7"/>
  <c r="AC51" i="7" s="1"/>
  <c r="AE51" i="7" s="1"/>
  <c r="O51" i="7"/>
  <c r="AD51" i="7" s="1"/>
  <c r="BE61" i="6"/>
  <c r="N132" i="7"/>
  <c r="AC132" i="7" s="1"/>
  <c r="AE132" i="7" s="1"/>
  <c r="O132" i="7"/>
  <c r="AD132" i="7" s="1"/>
  <c r="O99" i="7"/>
  <c r="AD99" i="7" s="1"/>
  <c r="N99" i="7"/>
  <c r="AC99" i="7" s="1"/>
  <c r="AE99" i="7" s="1"/>
  <c r="O35" i="7"/>
  <c r="AD35" i="7" s="1"/>
  <c r="N35" i="7"/>
  <c r="AC35" i="7" s="1"/>
  <c r="AE35" i="7" s="1"/>
  <c r="N114" i="7"/>
  <c r="AC114" i="7" s="1"/>
  <c r="AE114" i="7" s="1"/>
  <c r="O114" i="7"/>
  <c r="AD114" i="7" s="1"/>
  <c r="N50" i="7"/>
  <c r="AC50" i="7" s="1"/>
  <c r="AE50" i="7" s="1"/>
  <c r="O50" i="7"/>
  <c r="AD50" i="7" s="1"/>
  <c r="O129" i="7"/>
  <c r="AD129" i="7" s="1"/>
  <c r="N129" i="7"/>
  <c r="AC129" i="7" s="1"/>
  <c r="AE129" i="7" s="1"/>
  <c r="N65" i="7"/>
  <c r="AC65" i="7" s="1"/>
  <c r="AE65" i="7" s="1"/>
  <c r="O65" i="7"/>
  <c r="AD65" i="7" s="1"/>
  <c r="O28" i="7"/>
  <c r="AD28" i="7" s="1"/>
  <c r="N28" i="7"/>
  <c r="AC28" i="7" s="1"/>
  <c r="AE28" i="7" s="1"/>
  <c r="N80" i="7"/>
  <c r="AC80" i="7" s="1"/>
  <c r="AE80" i="7" s="1"/>
  <c r="AN79" i="7" s="1"/>
  <c r="O80" i="7"/>
  <c r="AD80" i="7" s="1"/>
  <c r="O16" i="7"/>
  <c r="AD16" i="7" s="1"/>
  <c r="N16" i="7"/>
  <c r="AC16" i="7" s="1"/>
  <c r="AE16" i="7" s="1"/>
  <c r="O95" i="7"/>
  <c r="AD95" i="7" s="1"/>
  <c r="N95" i="7"/>
  <c r="AC95" i="7" s="1"/>
  <c r="AE95" i="7" s="1"/>
  <c r="N31" i="7"/>
  <c r="AC31" i="7" s="1"/>
  <c r="AE31" i="7" s="1"/>
  <c r="AQ30" i="7" s="1"/>
  <c r="O31" i="7"/>
  <c r="AD31" i="7" s="1"/>
  <c r="N110" i="7"/>
  <c r="AC110" i="7" s="1"/>
  <c r="AE110" i="7" s="1"/>
  <c r="O110" i="7"/>
  <c r="AD110" i="7" s="1"/>
  <c r="N46" i="7"/>
  <c r="AC46" i="7" s="1"/>
  <c r="AE46" i="7" s="1"/>
  <c r="O46" i="7"/>
  <c r="AD46" i="7" s="1"/>
  <c r="O125" i="7"/>
  <c r="AD125" i="7" s="1"/>
  <c r="N125" i="7"/>
  <c r="AC125" i="7" s="1"/>
  <c r="AE125" i="7" s="1"/>
  <c r="O61" i="7"/>
  <c r="AD61" i="7" s="1"/>
  <c r="N61" i="7"/>
  <c r="AC61" i="7" s="1"/>
  <c r="AE61" i="7" s="1"/>
  <c r="AQ60" i="7" s="1"/>
  <c r="N75" i="7"/>
  <c r="AC75" i="7" s="1"/>
  <c r="AE75" i="7" s="1"/>
  <c r="O75" i="7"/>
  <c r="AD75" i="7" s="1"/>
  <c r="O67" i="7"/>
  <c r="AD67" i="7" s="1"/>
  <c r="N67" i="7"/>
  <c r="AC67" i="7" s="1"/>
  <c r="AE67" i="7" s="1"/>
  <c r="O112" i="7"/>
  <c r="AD112" i="7" s="1"/>
  <c r="N112" i="7"/>
  <c r="AC112" i="7" s="1"/>
  <c r="AE112" i="7" s="1"/>
  <c r="O130" i="7"/>
  <c r="AD130" i="7" s="1"/>
  <c r="N130" i="7"/>
  <c r="AC130" i="7" s="1"/>
  <c r="AE130" i="7" s="1"/>
  <c r="O76" i="7"/>
  <c r="AD76" i="7" s="1"/>
  <c r="N76" i="7"/>
  <c r="AC76" i="7" s="1"/>
  <c r="AE76" i="7" s="1"/>
  <c r="O91" i="7"/>
  <c r="AD91" i="7" s="1"/>
  <c r="N91" i="7"/>
  <c r="AC91" i="7" s="1"/>
  <c r="AE91" i="7" s="1"/>
  <c r="N27" i="7"/>
  <c r="AC27" i="7" s="1"/>
  <c r="AE27" i="7" s="1"/>
  <c r="O27" i="7"/>
  <c r="AD27" i="7" s="1"/>
  <c r="O106" i="7"/>
  <c r="AD106" i="7" s="1"/>
  <c r="N106" i="7"/>
  <c r="AC106" i="7" s="1"/>
  <c r="AE106" i="7" s="1"/>
  <c r="O42" i="7"/>
  <c r="AD42" i="7" s="1"/>
  <c r="N42" i="7"/>
  <c r="AC42" i="7" s="1"/>
  <c r="AE42" i="7" s="1"/>
  <c r="O121" i="7"/>
  <c r="AD121" i="7" s="1"/>
  <c r="N121" i="7"/>
  <c r="AC121" i="7" s="1"/>
  <c r="AE121" i="7" s="1"/>
  <c r="O57" i="7"/>
  <c r="AD57" i="7" s="1"/>
  <c r="N57" i="7"/>
  <c r="AC57" i="7" s="1"/>
  <c r="AE57" i="7" s="1"/>
  <c r="N136" i="7"/>
  <c r="AC136" i="7" s="1"/>
  <c r="AE136" i="7" s="1"/>
  <c r="O136" i="7"/>
  <c r="AD136" i="7" s="1"/>
  <c r="O72" i="7"/>
  <c r="AD72" i="7" s="1"/>
  <c r="N72" i="7"/>
  <c r="AC72" i="7" s="1"/>
  <c r="AE72" i="7" s="1"/>
  <c r="N84" i="7"/>
  <c r="AC84" i="7" s="1"/>
  <c r="AE84" i="7" s="1"/>
  <c r="AN83" i="7" s="1"/>
  <c r="O84" i="7"/>
  <c r="AD84" i="7" s="1"/>
  <c r="N87" i="7"/>
  <c r="AC87" i="7" s="1"/>
  <c r="AE87" i="7" s="1"/>
  <c r="O87" i="7"/>
  <c r="AD87" i="7" s="1"/>
  <c r="N23" i="7"/>
  <c r="AC23" i="7" s="1"/>
  <c r="AE23" i="7" s="1"/>
  <c r="O23" i="7"/>
  <c r="AD23" i="7" s="1"/>
  <c r="O102" i="7"/>
  <c r="AD102" i="7" s="1"/>
  <c r="N102" i="7"/>
  <c r="AC102" i="7" s="1"/>
  <c r="AE102" i="7" s="1"/>
  <c r="N38" i="7"/>
  <c r="AC38" i="7" s="1"/>
  <c r="AE38" i="7" s="1"/>
  <c r="O38" i="7"/>
  <c r="AD38" i="7" s="1"/>
  <c r="O117" i="7"/>
  <c r="AD117" i="7" s="1"/>
  <c r="N117" i="7"/>
  <c r="AC117" i="7" s="1"/>
  <c r="AE117" i="7" s="1"/>
  <c r="N53" i="7"/>
  <c r="AC53" i="7" s="1"/>
  <c r="AE53" i="7" s="1"/>
  <c r="O53" i="7"/>
  <c r="AD53" i="7" s="1"/>
  <c r="N116" i="7"/>
  <c r="AC116" i="7" s="1"/>
  <c r="AE116" i="7" s="1"/>
  <c r="O116" i="7"/>
  <c r="AD116" i="7" s="1"/>
  <c r="N18" i="7"/>
  <c r="AC18" i="7" s="1"/>
  <c r="AE18" i="7" s="1"/>
  <c r="O18" i="7"/>
  <c r="AD18" i="7" s="1"/>
  <c r="O63" i="7"/>
  <c r="AD63" i="7" s="1"/>
  <c r="N63" i="7"/>
  <c r="AC63" i="7" s="1"/>
  <c r="AE63" i="7" s="1"/>
  <c r="O36" i="7"/>
  <c r="AD36" i="7" s="1"/>
  <c r="N36" i="7"/>
  <c r="AC36" i="7" s="1"/>
  <c r="AE36" i="7" s="1"/>
  <c r="O83" i="7"/>
  <c r="AD83" i="7" s="1"/>
  <c r="N83" i="7"/>
  <c r="AC83" i="7" s="1"/>
  <c r="AE83" i="7" s="1"/>
  <c r="O19" i="7"/>
  <c r="AD19" i="7" s="1"/>
  <c r="N19" i="7"/>
  <c r="AC19" i="7" s="1"/>
  <c r="AE19" i="7" s="1"/>
  <c r="N98" i="7"/>
  <c r="AC98" i="7" s="1"/>
  <c r="AE98" i="7" s="1"/>
  <c r="O98" i="7"/>
  <c r="AD98" i="7" s="1"/>
  <c r="N34" i="7"/>
  <c r="AC34" i="7" s="1"/>
  <c r="AE34" i="7" s="1"/>
  <c r="O34" i="7"/>
  <c r="AD34" i="7" s="1"/>
  <c r="N113" i="7"/>
  <c r="AC113" i="7" s="1"/>
  <c r="AE113" i="7" s="1"/>
  <c r="O113" i="7"/>
  <c r="AD113" i="7" s="1"/>
  <c r="O49" i="7"/>
  <c r="AD49" i="7" s="1"/>
  <c r="N49" i="7"/>
  <c r="AC49" i="7" s="1"/>
  <c r="AE49" i="7" s="1"/>
  <c r="O128" i="7"/>
  <c r="AD128" i="7" s="1"/>
  <c r="N128" i="7"/>
  <c r="AC128" i="7" s="1"/>
  <c r="AE128" i="7" s="1"/>
  <c r="N64" i="7"/>
  <c r="AC64" i="7" s="1"/>
  <c r="AE64" i="7" s="1"/>
  <c r="O64" i="7"/>
  <c r="AD64" i="7" s="1"/>
  <c r="N44" i="7"/>
  <c r="AC44" i="7" s="1"/>
  <c r="AE44" i="7" s="1"/>
  <c r="O44" i="7"/>
  <c r="AD44" i="7" s="1"/>
  <c r="O79" i="7"/>
  <c r="AD79" i="7" s="1"/>
  <c r="N79" i="7"/>
  <c r="AC79" i="7" s="1"/>
  <c r="AE79" i="7" s="1"/>
  <c r="AQ78" i="7" s="1"/>
  <c r="N15" i="7"/>
  <c r="AC15" i="7" s="1"/>
  <c r="AE15" i="7" s="1"/>
  <c r="O15" i="7"/>
  <c r="AD15" i="7" s="1"/>
  <c r="O94" i="7"/>
  <c r="AD94" i="7" s="1"/>
  <c r="N94" i="7"/>
  <c r="AC94" i="7" s="1"/>
  <c r="AE94" i="7" s="1"/>
  <c r="O30" i="7"/>
  <c r="AD30" i="7" s="1"/>
  <c r="N30" i="7"/>
  <c r="AC30" i="7" s="1"/>
  <c r="AE30" i="7" s="1"/>
  <c r="N109" i="7"/>
  <c r="AC109" i="7" s="1"/>
  <c r="AE109" i="7" s="1"/>
  <c r="O109" i="7"/>
  <c r="AD109" i="7" s="1"/>
  <c r="N45" i="7"/>
  <c r="AC45" i="7" s="1"/>
  <c r="AE45" i="7" s="1"/>
  <c r="O45" i="7"/>
  <c r="AD45" i="7" s="1"/>
  <c r="O26" i="7"/>
  <c r="AD26" i="7" s="1"/>
  <c r="N26" i="7"/>
  <c r="AC26" i="7" s="1"/>
  <c r="AE26" i="7" s="1"/>
  <c r="N105" i="7"/>
  <c r="AC105" i="7" s="1"/>
  <c r="AE105" i="7" s="1"/>
  <c r="O105" i="7"/>
  <c r="AD105" i="7" s="1"/>
  <c r="O41" i="7"/>
  <c r="AD41" i="7" s="1"/>
  <c r="N41" i="7"/>
  <c r="AC41" i="7" s="1"/>
  <c r="AE41" i="7" s="1"/>
  <c r="O120" i="7"/>
  <c r="AD120" i="7" s="1"/>
  <c r="N120" i="7"/>
  <c r="AC120" i="7" s="1"/>
  <c r="AE120" i="7" s="1"/>
  <c r="O56" i="7"/>
  <c r="AD56" i="7" s="1"/>
  <c r="N56" i="7"/>
  <c r="AC56" i="7" s="1"/>
  <c r="AE56" i="7" s="1"/>
  <c r="O135" i="7"/>
  <c r="AD135" i="7" s="1"/>
  <c r="N135" i="7"/>
  <c r="AC135" i="7" s="1"/>
  <c r="AE135" i="7" s="1"/>
  <c r="O71" i="7"/>
  <c r="AD71" i="7" s="1"/>
  <c r="N71" i="7"/>
  <c r="AC71" i="7" s="1"/>
  <c r="AE71" i="7" s="1"/>
  <c r="O100" i="7"/>
  <c r="AD100" i="7" s="1"/>
  <c r="N100" i="7"/>
  <c r="AC100" i="7" s="1"/>
  <c r="AE100" i="7" s="1"/>
  <c r="N86" i="7"/>
  <c r="AC86" i="7" s="1"/>
  <c r="AE86" i="7" s="1"/>
  <c r="O86" i="7"/>
  <c r="AD86" i="7" s="1"/>
  <c r="O22" i="7"/>
  <c r="AD22" i="7" s="1"/>
  <c r="N22" i="7"/>
  <c r="AC22" i="7" s="1"/>
  <c r="AE22" i="7" s="1"/>
  <c r="O101" i="7"/>
  <c r="AD101" i="7" s="1"/>
  <c r="N101" i="7"/>
  <c r="AC101" i="7" s="1"/>
  <c r="AE101" i="7" s="1"/>
  <c r="O37" i="7"/>
  <c r="AD37" i="7" s="1"/>
  <c r="N37" i="7"/>
  <c r="AC37" i="7" s="1"/>
  <c r="AE37" i="7" s="1"/>
  <c r="O93" i="7"/>
  <c r="AD93" i="7" s="1"/>
  <c r="N93" i="7"/>
  <c r="AC93" i="7" s="1"/>
  <c r="AE93" i="7" s="1"/>
  <c r="O29" i="7"/>
  <c r="AD29" i="7" s="1"/>
  <c r="N29" i="7"/>
  <c r="AC29" i="7" s="1"/>
  <c r="AE29" i="7" s="1"/>
  <c r="N131" i="7"/>
  <c r="AC131" i="7" s="1"/>
  <c r="AE131" i="7" s="1"/>
  <c r="O131" i="7"/>
  <c r="AD131" i="7" s="1"/>
  <c r="N33" i="7"/>
  <c r="AC33" i="7" s="1"/>
  <c r="AE33" i="7" s="1"/>
  <c r="O33" i="7"/>
  <c r="AD33" i="7" s="1"/>
  <c r="N78" i="7"/>
  <c r="AC78" i="7" s="1"/>
  <c r="AE78" i="7" s="1"/>
  <c r="O78" i="7"/>
  <c r="AD78" i="7" s="1"/>
  <c r="N14" i="7"/>
  <c r="AC14" i="7" s="1"/>
  <c r="AE14" i="7" s="1"/>
  <c r="O14" i="7"/>
  <c r="AD14" i="7" s="1"/>
  <c r="O123" i="7"/>
  <c r="AD123" i="7" s="1"/>
  <c r="N123" i="7"/>
  <c r="AC123" i="7" s="1"/>
  <c r="AE123" i="7" s="1"/>
  <c r="O59" i="7"/>
  <c r="AD59" i="7" s="1"/>
  <c r="N59" i="7"/>
  <c r="AC59" i="7" s="1"/>
  <c r="AE59" i="7" s="1"/>
  <c r="O138" i="7"/>
  <c r="AD138" i="7" s="1"/>
  <c r="N138" i="7"/>
  <c r="AC138" i="7" s="1"/>
  <c r="AE138" i="7" s="1"/>
  <c r="N74" i="7"/>
  <c r="AC74" i="7" s="1"/>
  <c r="AE74" i="7" s="1"/>
  <c r="O74" i="7"/>
  <c r="AD74" i="7" s="1"/>
  <c r="O124" i="7"/>
  <c r="AD124" i="7" s="1"/>
  <c r="N124" i="7"/>
  <c r="AC124" i="7" s="1"/>
  <c r="AE124" i="7" s="1"/>
  <c r="O89" i="7"/>
  <c r="AD89" i="7" s="1"/>
  <c r="N89" i="7"/>
  <c r="AC89" i="7" s="1"/>
  <c r="AE89" i="7" s="1"/>
  <c r="O25" i="7"/>
  <c r="AD25" i="7" s="1"/>
  <c r="N25" i="7"/>
  <c r="AC25" i="7" s="1"/>
  <c r="AE25" i="7" s="1"/>
  <c r="N104" i="7"/>
  <c r="AC104" i="7" s="1"/>
  <c r="AE104" i="7" s="1"/>
  <c r="O104" i="7"/>
  <c r="AD104" i="7" s="1"/>
  <c r="O40" i="7"/>
  <c r="AD40" i="7" s="1"/>
  <c r="N40" i="7"/>
  <c r="AC40" i="7" s="1"/>
  <c r="AE40" i="7" s="1"/>
  <c r="O119" i="7"/>
  <c r="AD119" i="7" s="1"/>
  <c r="N119" i="7"/>
  <c r="AC119" i="7" s="1"/>
  <c r="AE119" i="7" s="1"/>
  <c r="O55" i="7"/>
  <c r="AD55" i="7" s="1"/>
  <c r="N55" i="7"/>
  <c r="AC55" i="7" s="1"/>
  <c r="AE55" i="7" s="1"/>
  <c r="O134" i="7"/>
  <c r="AD134" i="7" s="1"/>
  <c r="N134" i="7"/>
  <c r="AC134" i="7" s="1"/>
  <c r="AE134" i="7" s="1"/>
  <c r="N70" i="7"/>
  <c r="AC70" i="7" s="1"/>
  <c r="AE70" i="7" s="1"/>
  <c r="O70" i="7"/>
  <c r="AD70" i="7" s="1"/>
  <c r="N92" i="7"/>
  <c r="AC92" i="7" s="1"/>
  <c r="AE92" i="7" s="1"/>
  <c r="O92" i="7"/>
  <c r="AD92" i="7" s="1"/>
  <c r="O85" i="7"/>
  <c r="AD85" i="7" s="1"/>
  <c r="N85" i="7"/>
  <c r="AC85" i="7" s="1"/>
  <c r="AE85" i="7" s="1"/>
  <c r="O21" i="7"/>
  <c r="AD21" i="7" s="1"/>
  <c r="N21" i="7"/>
  <c r="AC21" i="7" s="1"/>
  <c r="AE21" i="7" s="1"/>
  <c r="O90" i="7"/>
  <c r="AD90" i="7" s="1"/>
  <c r="N90" i="7"/>
  <c r="AC90" i="7" s="1"/>
  <c r="AE90" i="7" s="1"/>
  <c r="N97" i="7"/>
  <c r="AC97" i="7" s="1"/>
  <c r="AE97" i="7" s="1"/>
  <c r="O97" i="7"/>
  <c r="AD97" i="7" s="1"/>
  <c r="O20" i="7"/>
  <c r="AD20" i="7" s="1"/>
  <c r="N20" i="7"/>
  <c r="AC20" i="7" s="1"/>
  <c r="AE20" i="7" s="1"/>
  <c r="O66" i="7"/>
  <c r="AD66" i="7" s="1"/>
  <c r="N66" i="7"/>
  <c r="AC66" i="7" s="1"/>
  <c r="AE66" i="7" s="1"/>
  <c r="N68" i="7"/>
  <c r="AC68" i="7" s="1"/>
  <c r="AE68" i="7" s="1"/>
  <c r="O68" i="7"/>
  <c r="AD68" i="7" s="1"/>
  <c r="O81" i="7"/>
  <c r="AD81" i="7" s="1"/>
  <c r="N81" i="7"/>
  <c r="AC81" i="7" s="1"/>
  <c r="AE81" i="7" s="1"/>
  <c r="N17" i="7"/>
  <c r="AC17" i="7" s="1"/>
  <c r="AE17" i="7" s="1"/>
  <c r="O17" i="7"/>
  <c r="AD17" i="7" s="1"/>
  <c r="N96" i="7"/>
  <c r="AC96" i="7" s="1"/>
  <c r="AE96" i="7" s="1"/>
  <c r="O96" i="7"/>
  <c r="AD96" i="7" s="1"/>
  <c r="O32" i="7"/>
  <c r="AD32" i="7" s="1"/>
  <c r="N32" i="7"/>
  <c r="AC32" i="7" s="1"/>
  <c r="AE32" i="7" s="1"/>
  <c r="N111" i="7"/>
  <c r="AC111" i="7" s="1"/>
  <c r="AE111" i="7" s="1"/>
  <c r="O111" i="7"/>
  <c r="AD111" i="7" s="1"/>
  <c r="N47" i="7"/>
  <c r="AC47" i="7" s="1"/>
  <c r="AE47" i="7" s="1"/>
  <c r="O47" i="7"/>
  <c r="AD47" i="7" s="1"/>
  <c r="O126" i="7"/>
  <c r="AD126" i="7" s="1"/>
  <c r="N126" i="7"/>
  <c r="AC126" i="7" s="1"/>
  <c r="AE126" i="7" s="1"/>
  <c r="N62" i="7"/>
  <c r="AC62" i="7" s="1"/>
  <c r="AE62" i="7" s="1"/>
  <c r="O62" i="7"/>
  <c r="AD62" i="7" s="1"/>
  <c r="O52" i="7"/>
  <c r="AD52" i="7" s="1"/>
  <c r="N52" i="7"/>
  <c r="AC52" i="7" s="1"/>
  <c r="AE52" i="7" s="1"/>
  <c r="AN51" i="7" s="1"/>
  <c r="O77" i="7"/>
  <c r="AD77" i="7" s="1"/>
  <c r="N77" i="7"/>
  <c r="AC77" i="7" s="1"/>
  <c r="AE77" i="7" s="1"/>
  <c r="AN76" i="7" s="1"/>
  <c r="O13" i="7"/>
  <c r="AD13" i="7" s="1"/>
  <c r="N13" i="7"/>
  <c r="AC13" i="7" s="1"/>
  <c r="AE13" i="7" s="1"/>
  <c r="O12" i="7"/>
  <c r="AD12" i="7" s="1"/>
  <c r="N12" i="7"/>
  <c r="AC12" i="7" s="1"/>
  <c r="AE12" i="7" s="1"/>
  <c r="N60" i="7"/>
  <c r="AC60" i="7" s="1"/>
  <c r="AE60" i="7" s="1"/>
  <c r="O60" i="7"/>
  <c r="AD60" i="7" s="1"/>
  <c r="O48" i="7"/>
  <c r="AD48" i="7" s="1"/>
  <c r="N48" i="7"/>
  <c r="AC48" i="7" s="1"/>
  <c r="AE48" i="7" s="1"/>
  <c r="O115" i="7"/>
  <c r="AD115" i="7" s="1"/>
  <c r="N115" i="7"/>
  <c r="AC115" i="7" s="1"/>
  <c r="AE115" i="7" s="1"/>
  <c r="O107" i="7"/>
  <c r="AD107" i="7" s="1"/>
  <c r="N107" i="7"/>
  <c r="AC107" i="7" s="1"/>
  <c r="AE107" i="7" s="1"/>
  <c r="N43" i="7"/>
  <c r="AC43" i="7" s="1"/>
  <c r="AE43" i="7" s="1"/>
  <c r="O43" i="7"/>
  <c r="AD43" i="7" s="1"/>
  <c r="O122" i="7"/>
  <c r="AD122" i="7" s="1"/>
  <c r="N122" i="7"/>
  <c r="AC122" i="7" s="1"/>
  <c r="AE122" i="7" s="1"/>
  <c r="N58" i="7"/>
  <c r="AC58" i="7" s="1"/>
  <c r="AE58" i="7" s="1"/>
  <c r="O58" i="7"/>
  <c r="AD58" i="7" s="1"/>
  <c r="N137" i="7"/>
  <c r="AC137" i="7" s="1"/>
  <c r="AE137" i="7" s="1"/>
  <c r="O137" i="7"/>
  <c r="AD137" i="7" s="1"/>
  <c r="O73" i="7"/>
  <c r="AD73" i="7" s="1"/>
  <c r="N73" i="7"/>
  <c r="AC73" i="7" s="1"/>
  <c r="AE73" i="7" s="1"/>
  <c r="N108" i="7"/>
  <c r="AC108" i="7" s="1"/>
  <c r="AE108" i="7" s="1"/>
  <c r="O108" i="7"/>
  <c r="AD108" i="7" s="1"/>
  <c r="O88" i="7"/>
  <c r="AD88" i="7" s="1"/>
  <c r="N88" i="7"/>
  <c r="AC88" i="7" s="1"/>
  <c r="AE88" i="7" s="1"/>
  <c r="AQ87" i="7" s="1"/>
  <c r="O24" i="7"/>
  <c r="AD24" i="7" s="1"/>
  <c r="N24" i="7"/>
  <c r="AC24" i="7" s="1"/>
  <c r="AE24" i="7" s="1"/>
  <c r="N103" i="7"/>
  <c r="AC103" i="7" s="1"/>
  <c r="AE103" i="7" s="1"/>
  <c r="O103" i="7"/>
  <c r="AD103" i="7" s="1"/>
  <c r="O39" i="7"/>
  <c r="AD39" i="7" s="1"/>
  <c r="N39" i="7"/>
  <c r="AC39" i="7" s="1"/>
  <c r="AE39" i="7" s="1"/>
  <c r="O118" i="7"/>
  <c r="AD118" i="7" s="1"/>
  <c r="N118" i="7"/>
  <c r="AC118" i="7" s="1"/>
  <c r="AE118" i="7" s="1"/>
  <c r="O54" i="7"/>
  <c r="AD54" i="7" s="1"/>
  <c r="N54" i="7"/>
  <c r="AC54" i="7" s="1"/>
  <c r="AE54" i="7" s="1"/>
  <c r="O133" i="7"/>
  <c r="AD133" i="7" s="1"/>
  <c r="N133" i="7"/>
  <c r="AC133" i="7" s="1"/>
  <c r="AE133" i="7" s="1"/>
  <c r="O69" i="7"/>
  <c r="AD69" i="7" s="1"/>
  <c r="N69" i="7"/>
  <c r="AC69" i="7" s="1"/>
  <c r="AE69" i="7" s="1"/>
  <c r="BE68" i="6"/>
  <c r="BL68" i="6"/>
  <c r="BL60" i="6"/>
  <c r="BE60" i="6"/>
  <c r="BL64" i="6"/>
  <c r="BE64" i="6"/>
  <c r="AJ71" i="6"/>
  <c r="BF71" i="6" s="1"/>
  <c r="BL69" i="6"/>
  <c r="V71" i="6"/>
  <c r="BD71" i="6" s="1"/>
  <c r="BF70" i="6"/>
  <c r="BG70" i="6"/>
  <c r="AP71" i="6"/>
  <c r="AU71" i="6" s="1"/>
  <c r="AZ70" i="6"/>
  <c r="BB70" i="6" s="1"/>
  <c r="BC70" i="6" s="1"/>
  <c r="AP72" i="6"/>
  <c r="AU72" i="6" s="1"/>
  <c r="AO73" i="6"/>
  <c r="L83" i="6"/>
  <c r="K83" i="6"/>
  <c r="AF73" i="6"/>
  <c r="AN73" i="6"/>
  <c r="V72" i="6"/>
  <c r="X73" i="6"/>
  <c r="Y73" i="6" s="1"/>
  <c r="BK73" i="6" s="1"/>
  <c r="N75" i="6"/>
  <c r="T73" i="6"/>
  <c r="O74" i="6"/>
  <c r="J76" i="6"/>
  <c r="U73" i="6"/>
  <c r="AQ70" i="7" l="1"/>
  <c r="AN73" i="7"/>
  <c r="AQ73" i="7"/>
  <c r="AQ63" i="7"/>
  <c r="AQ71" i="7"/>
  <c r="AN52" i="7"/>
  <c r="AQ64" i="7"/>
  <c r="AN50" i="7"/>
  <c r="AN54" i="7"/>
  <c r="AN53" i="7"/>
  <c r="AQ69" i="7"/>
  <c r="AQ68" i="7"/>
  <c r="AQ72" i="7"/>
  <c r="AN72" i="7"/>
  <c r="AI123" i="7"/>
  <c r="AI82" i="7"/>
  <c r="AN71" i="7"/>
  <c r="AQ74" i="7"/>
  <c r="AQ80" i="7"/>
  <c r="AQ77" i="7"/>
  <c r="AN96" i="7"/>
  <c r="AN86" i="7"/>
  <c r="AQ48" i="7"/>
  <c r="AQ120" i="7"/>
  <c r="AQ28" i="7"/>
  <c r="AI51" i="7"/>
  <c r="AQ51" i="7"/>
  <c r="AQ65" i="7"/>
  <c r="AQ81" i="7"/>
  <c r="AN67" i="7"/>
  <c r="AQ67" i="7"/>
  <c r="AQ52" i="7"/>
  <c r="AQ85" i="7"/>
  <c r="AN84" i="7"/>
  <c r="AQ84" i="7"/>
  <c r="AQ66" i="7"/>
  <c r="BU12" i="7"/>
  <c r="AN78" i="7"/>
  <c r="AN77" i="7"/>
  <c r="AJ73" i="6"/>
  <c r="AN75" i="7"/>
  <c r="AQ50" i="7"/>
  <c r="BU65" i="7"/>
  <c r="BV65" i="7" s="1"/>
  <c r="BU134" i="7"/>
  <c r="BV134" i="7" s="1"/>
  <c r="BU87" i="7"/>
  <c r="BV87" i="7" s="1"/>
  <c r="BU133" i="7"/>
  <c r="BV133" i="7" s="1"/>
  <c r="BU82" i="7"/>
  <c r="BV82" i="7" s="1"/>
  <c r="BU77" i="7"/>
  <c r="BV77" i="7" s="1"/>
  <c r="BU85" i="7"/>
  <c r="BV85" i="7" s="1"/>
  <c r="BU63" i="7"/>
  <c r="BV63" i="7" s="1"/>
  <c r="BU33" i="7"/>
  <c r="BV33" i="7" s="1"/>
  <c r="BU52" i="7"/>
  <c r="BV52" i="7" s="1"/>
  <c r="BU22" i="7"/>
  <c r="BV22" i="7" s="1"/>
  <c r="BU135" i="7"/>
  <c r="BV135" i="7" s="1"/>
  <c r="BU30" i="7"/>
  <c r="BV30" i="7" s="1"/>
  <c r="BU113" i="7"/>
  <c r="BV113" i="7" s="1"/>
  <c r="BU117" i="7"/>
  <c r="BV117" i="7" s="1"/>
  <c r="BU20" i="7"/>
  <c r="BV20" i="7" s="1"/>
  <c r="BU41" i="7"/>
  <c r="BV41" i="7" s="1"/>
  <c r="BU107" i="7"/>
  <c r="BV107" i="7" s="1"/>
  <c r="BU121" i="7"/>
  <c r="BV121" i="7" s="1"/>
  <c r="BU47" i="7"/>
  <c r="BV47" i="7" s="1"/>
  <c r="BU76" i="7"/>
  <c r="BV76" i="7" s="1"/>
  <c r="BU19" i="7"/>
  <c r="BV19" i="7" s="1"/>
  <c r="BU84" i="7"/>
  <c r="BV84" i="7" s="1"/>
  <c r="BU54" i="7"/>
  <c r="BV54" i="7" s="1"/>
  <c r="BU24" i="7"/>
  <c r="BV24" i="7" s="1"/>
  <c r="BU137" i="7"/>
  <c r="BV137" i="7" s="1"/>
  <c r="BU92" i="7"/>
  <c r="BV92" i="7" s="1"/>
  <c r="BU55" i="7"/>
  <c r="BV55" i="7" s="1"/>
  <c r="BU25" i="7"/>
  <c r="BV25" i="7" s="1"/>
  <c r="BU93" i="7"/>
  <c r="BV93" i="7" s="1"/>
  <c r="BU35" i="7"/>
  <c r="BV35" i="7" s="1"/>
  <c r="BU105" i="7"/>
  <c r="BV105" i="7" s="1"/>
  <c r="BU129" i="7"/>
  <c r="BV129" i="7" s="1"/>
  <c r="BU60" i="7"/>
  <c r="BV60" i="7" s="1"/>
  <c r="BU27" i="7"/>
  <c r="BV27" i="7" s="1"/>
  <c r="BU50" i="7"/>
  <c r="BV50" i="7" s="1"/>
  <c r="BU21" i="7"/>
  <c r="BV21" i="7" s="1"/>
  <c r="BU110" i="7"/>
  <c r="BV110" i="7" s="1"/>
  <c r="BU96" i="7"/>
  <c r="BV96" i="7" s="1"/>
  <c r="BU91" i="7"/>
  <c r="BV91" i="7" s="1"/>
  <c r="BU32" i="7"/>
  <c r="BV32" i="7" s="1"/>
  <c r="BU44" i="7"/>
  <c r="BV44" i="7" s="1"/>
  <c r="BU14" i="7"/>
  <c r="BV14" i="7" s="1"/>
  <c r="BU97" i="7"/>
  <c r="BV97" i="7" s="1"/>
  <c r="BU86" i="7"/>
  <c r="BV86" i="7" s="1"/>
  <c r="BU26" i="7"/>
  <c r="BV26" i="7" s="1"/>
  <c r="BU64" i="7"/>
  <c r="BV64" i="7" s="1"/>
  <c r="BU114" i="7"/>
  <c r="BV114" i="7" s="1"/>
  <c r="BU71" i="7"/>
  <c r="BV71" i="7" s="1"/>
  <c r="BU68" i="7"/>
  <c r="BV68" i="7" s="1"/>
  <c r="BU59" i="7"/>
  <c r="BV59" i="7" s="1"/>
  <c r="BU132" i="7"/>
  <c r="BV132" i="7" s="1"/>
  <c r="BU72" i="7"/>
  <c r="BV72" i="7" s="1"/>
  <c r="BU51" i="7"/>
  <c r="BV51" i="7" s="1"/>
  <c r="BU80" i="7"/>
  <c r="BV80" i="7" s="1"/>
  <c r="BU118" i="7"/>
  <c r="BV118" i="7" s="1"/>
  <c r="BU88" i="7"/>
  <c r="BV88" i="7" s="1"/>
  <c r="BU58" i="7"/>
  <c r="BV58" i="7" s="1"/>
  <c r="BU36" i="7"/>
  <c r="BV36" i="7" s="1"/>
  <c r="BU99" i="7"/>
  <c r="BV99" i="7" s="1"/>
  <c r="BU119" i="7"/>
  <c r="BV119" i="7" s="1"/>
  <c r="BU127" i="7"/>
  <c r="BV127" i="7" s="1"/>
  <c r="BU62" i="7"/>
  <c r="BV62" i="7" s="1"/>
  <c r="BU116" i="7"/>
  <c r="BV116" i="7" s="1"/>
  <c r="BU56" i="7"/>
  <c r="BV56" i="7" s="1"/>
  <c r="BU111" i="7"/>
  <c r="BV111" i="7" s="1"/>
  <c r="BU124" i="7"/>
  <c r="BV124" i="7" s="1"/>
  <c r="BU94" i="7"/>
  <c r="BV94" i="7" s="1"/>
  <c r="BU34" i="7"/>
  <c r="BV34" i="7" s="1"/>
  <c r="BU29" i="7"/>
  <c r="BV29" i="7" s="1"/>
  <c r="BU75" i="7"/>
  <c r="BV75" i="7" s="1"/>
  <c r="BU16" i="7"/>
  <c r="BV16" i="7" s="1"/>
  <c r="BU136" i="7"/>
  <c r="BV136" i="7" s="1"/>
  <c r="BU61" i="7"/>
  <c r="BV61" i="7" s="1"/>
  <c r="BU67" i="7"/>
  <c r="BV67" i="7" s="1"/>
  <c r="BU69" i="7"/>
  <c r="BV69" i="7" s="1"/>
  <c r="BU130" i="7"/>
  <c r="BV130" i="7" s="1"/>
  <c r="BU108" i="7"/>
  <c r="BV108" i="7" s="1"/>
  <c r="BU17" i="7"/>
  <c r="BV17" i="7" s="1"/>
  <c r="BU37" i="7"/>
  <c r="BV37" i="7" s="1"/>
  <c r="BU83" i="7"/>
  <c r="BV83" i="7" s="1"/>
  <c r="BU45" i="7"/>
  <c r="BV45" i="7" s="1"/>
  <c r="BU126" i="7"/>
  <c r="BV126" i="7" s="1"/>
  <c r="BU101" i="7"/>
  <c r="BV101" i="7" s="1"/>
  <c r="BU46" i="7"/>
  <c r="BV46" i="7" s="1"/>
  <c r="BU42" i="7"/>
  <c r="BV42" i="7" s="1"/>
  <c r="BU53" i="7"/>
  <c r="BV53" i="7" s="1"/>
  <c r="BU23" i="7"/>
  <c r="BV23" i="7" s="1"/>
  <c r="BU106" i="7"/>
  <c r="BV106" i="7" s="1"/>
  <c r="BU31" i="7"/>
  <c r="BV31" i="7" s="1"/>
  <c r="BU89" i="7"/>
  <c r="BV89" i="7" s="1"/>
  <c r="BU39" i="7"/>
  <c r="BV39" i="7" s="1"/>
  <c r="BU123" i="7"/>
  <c r="BV123" i="7" s="1"/>
  <c r="BU122" i="7"/>
  <c r="BV122" i="7" s="1"/>
  <c r="BU100" i="7"/>
  <c r="BV100" i="7" s="1"/>
  <c r="BU70" i="7"/>
  <c r="BV70" i="7" s="1"/>
  <c r="BU40" i="7"/>
  <c r="BV40" i="7" s="1"/>
  <c r="BU78" i="7"/>
  <c r="BV78" i="7" s="1"/>
  <c r="BU48" i="7"/>
  <c r="BV48" i="7" s="1"/>
  <c r="BU18" i="7"/>
  <c r="BV18" i="7" s="1"/>
  <c r="BU120" i="7"/>
  <c r="BV120" i="7" s="1"/>
  <c r="BU90" i="7"/>
  <c r="BV90" i="7" s="1"/>
  <c r="BU66" i="7"/>
  <c r="BV66" i="7" s="1"/>
  <c r="BU15" i="7"/>
  <c r="BV15" i="7" s="1"/>
  <c r="BU128" i="7"/>
  <c r="BV128" i="7" s="1"/>
  <c r="BU98" i="7"/>
  <c r="BV98" i="7" s="1"/>
  <c r="BU81" i="7"/>
  <c r="BV81" i="7" s="1"/>
  <c r="BU125" i="7"/>
  <c r="BV125" i="7" s="1"/>
  <c r="BU28" i="7"/>
  <c r="BV28" i="7" s="1"/>
  <c r="BU38" i="7"/>
  <c r="BV38" i="7" s="1"/>
  <c r="BU102" i="7"/>
  <c r="BV102" i="7" s="1"/>
  <c r="BU57" i="7"/>
  <c r="BV57" i="7" s="1"/>
  <c r="BU95" i="7"/>
  <c r="BV95" i="7" s="1"/>
  <c r="BU103" i="7"/>
  <c r="BV103" i="7" s="1"/>
  <c r="BU73" i="7"/>
  <c r="BV73" i="7" s="1"/>
  <c r="BU13" i="7"/>
  <c r="BV13" i="7" s="1"/>
  <c r="BU104" i="7"/>
  <c r="BV104" i="7" s="1"/>
  <c r="BU43" i="7"/>
  <c r="BV43" i="7" s="1"/>
  <c r="BU112" i="7"/>
  <c r="BV112" i="7" s="1"/>
  <c r="BU115" i="7"/>
  <c r="BV115" i="7" s="1"/>
  <c r="BU74" i="7"/>
  <c r="BV74" i="7" s="1"/>
  <c r="BU109" i="7"/>
  <c r="BV109" i="7" s="1"/>
  <c r="BU79" i="7"/>
  <c r="BV79" i="7" s="1"/>
  <c r="BU49" i="7"/>
  <c r="BV49" i="7" s="1"/>
  <c r="BU131" i="7"/>
  <c r="BV131" i="7" s="1"/>
  <c r="AN66" i="7"/>
  <c r="AN59" i="7"/>
  <c r="AN56" i="7"/>
  <c r="AN55" i="7"/>
  <c r="AI87" i="7"/>
  <c r="AI65" i="7"/>
  <c r="AN70" i="7"/>
  <c r="BO8" i="7"/>
  <c r="BR3" i="7" s="1"/>
  <c r="AN85" i="7"/>
  <c r="AI127" i="7"/>
  <c r="AI117" i="7"/>
  <c r="AI125" i="7"/>
  <c r="AI57" i="7"/>
  <c r="AI95" i="7"/>
  <c r="AI112" i="7"/>
  <c r="AI35" i="7"/>
  <c r="AI59" i="7"/>
  <c r="AN69" i="7"/>
  <c r="AI47" i="7"/>
  <c r="AI53" i="7"/>
  <c r="AI23" i="7"/>
  <c r="AI31" i="7"/>
  <c r="AI136" i="7"/>
  <c r="AI114" i="7"/>
  <c r="AI89" i="7"/>
  <c r="AI61" i="7"/>
  <c r="AI130" i="7"/>
  <c r="AI106" i="7"/>
  <c r="AI28" i="7"/>
  <c r="AI100" i="7"/>
  <c r="AI78" i="7"/>
  <c r="AI38" i="7"/>
  <c r="AI46" i="7"/>
  <c r="AI63" i="7"/>
  <c r="AI39" i="7"/>
  <c r="AI20" i="7"/>
  <c r="AI132" i="7"/>
  <c r="AI80" i="7"/>
  <c r="AI36" i="7"/>
  <c r="AI110" i="7"/>
  <c r="AI133" i="7"/>
  <c r="AI75" i="7"/>
  <c r="AI81" i="7"/>
  <c r="AI84" i="7"/>
  <c r="AI116" i="7"/>
  <c r="AI44" i="7"/>
  <c r="AI122" i="7"/>
  <c r="AI70" i="7"/>
  <c r="AI48" i="7"/>
  <c r="AI18" i="7"/>
  <c r="AI120" i="7"/>
  <c r="AI66" i="7"/>
  <c r="AI15" i="7"/>
  <c r="AI128" i="7"/>
  <c r="AI98" i="7"/>
  <c r="AR53" i="7"/>
  <c r="AS53" i="7"/>
  <c r="AF54" i="7"/>
  <c r="AS23" i="7"/>
  <c r="AR23" i="7"/>
  <c r="AF24" i="7"/>
  <c r="AR106" i="7"/>
  <c r="AS106" i="7"/>
  <c r="AF107" i="7"/>
  <c r="AR12" i="7"/>
  <c r="AF12" i="7"/>
  <c r="AS31" i="7"/>
  <c r="AR31" i="7"/>
  <c r="AF32" i="7"/>
  <c r="AI67" i="7"/>
  <c r="AR89" i="7"/>
  <c r="AS89" i="7"/>
  <c r="AF90" i="7"/>
  <c r="AI69" i="7"/>
  <c r="AS39" i="7"/>
  <c r="AR39" i="7"/>
  <c r="AF40" i="7"/>
  <c r="AS123" i="7"/>
  <c r="AR123" i="7"/>
  <c r="AF124" i="7"/>
  <c r="AS122" i="7"/>
  <c r="AR122" i="7"/>
  <c r="AF123" i="7"/>
  <c r="AR100" i="7"/>
  <c r="AS100" i="7"/>
  <c r="AF101" i="7"/>
  <c r="AR70" i="7"/>
  <c r="AS70" i="7"/>
  <c r="AF71" i="7"/>
  <c r="AR40" i="7"/>
  <c r="AS40" i="7"/>
  <c r="AF41" i="7"/>
  <c r="AI108" i="7"/>
  <c r="AR78" i="7"/>
  <c r="AS78" i="7"/>
  <c r="AF79" i="7"/>
  <c r="AR48" i="7"/>
  <c r="AS48" i="7"/>
  <c r="AF49" i="7"/>
  <c r="AS18" i="7"/>
  <c r="AR18" i="7"/>
  <c r="AF19" i="7"/>
  <c r="AI17" i="7"/>
  <c r="AI37" i="7"/>
  <c r="AI83" i="7"/>
  <c r="AS120" i="7"/>
  <c r="AR120" i="7"/>
  <c r="AF121" i="7"/>
  <c r="AR90" i="7"/>
  <c r="AS90" i="7"/>
  <c r="AF91" i="7"/>
  <c r="AR66" i="7"/>
  <c r="AS66" i="7"/>
  <c r="AF67" i="7"/>
  <c r="AI45" i="7"/>
  <c r="AS15" i="7"/>
  <c r="AF16" i="7"/>
  <c r="AR128" i="7"/>
  <c r="AS128" i="7"/>
  <c r="AF129" i="7"/>
  <c r="AR98" i="7"/>
  <c r="AS98" i="7"/>
  <c r="AF99" i="7"/>
  <c r="AS81" i="7"/>
  <c r="AR81" i="7"/>
  <c r="AF82" i="7"/>
  <c r="AS67" i="7"/>
  <c r="AR67" i="7"/>
  <c r="AF68" i="7"/>
  <c r="AR130" i="7"/>
  <c r="AS130" i="7"/>
  <c r="AF131" i="7"/>
  <c r="AI90" i="7"/>
  <c r="AR126" i="7"/>
  <c r="AS126" i="7"/>
  <c r="AF127" i="7"/>
  <c r="AI12" i="7"/>
  <c r="AR13" i="7"/>
  <c r="AF14" i="7"/>
  <c r="AR43" i="7"/>
  <c r="AS43" i="7"/>
  <c r="AF44" i="7"/>
  <c r="AI101" i="7"/>
  <c r="AR79" i="7"/>
  <c r="AS79" i="7"/>
  <c r="AF80" i="7"/>
  <c r="AR117" i="7"/>
  <c r="AS117" i="7"/>
  <c r="AF118" i="7"/>
  <c r="AS87" i="7"/>
  <c r="AR87" i="7"/>
  <c r="AF88" i="7"/>
  <c r="AS114" i="7"/>
  <c r="AF115" i="7"/>
  <c r="AS12" i="7"/>
  <c r="AF13" i="7"/>
  <c r="AS125" i="7"/>
  <c r="AR125" i="7"/>
  <c r="AF126" i="7"/>
  <c r="AR65" i="7"/>
  <c r="AS65" i="7"/>
  <c r="AF66" i="7"/>
  <c r="AR20" i="7"/>
  <c r="AS20" i="7"/>
  <c r="AF21" i="7"/>
  <c r="AS133" i="7"/>
  <c r="AR133" i="7"/>
  <c r="AF134" i="7"/>
  <c r="AI103" i="7"/>
  <c r="AI73" i="7"/>
  <c r="AS13" i="7"/>
  <c r="AI13" i="7"/>
  <c r="AR28" i="7"/>
  <c r="AS28" i="7"/>
  <c r="AF29" i="7"/>
  <c r="AR21" i="7"/>
  <c r="AS21" i="7"/>
  <c r="AF22" i="7"/>
  <c r="AS134" i="7"/>
  <c r="AR134" i="7"/>
  <c r="AF135" i="7"/>
  <c r="AI104" i="7"/>
  <c r="AS29" i="7"/>
  <c r="AR29" i="7"/>
  <c r="AF30" i="7"/>
  <c r="AI43" i="7"/>
  <c r="AR82" i="7"/>
  <c r="AS82" i="7"/>
  <c r="AF83" i="7"/>
  <c r="AI115" i="7"/>
  <c r="AS101" i="7"/>
  <c r="AR101" i="7"/>
  <c r="AF102" i="7"/>
  <c r="AS71" i="7"/>
  <c r="AR71" i="7"/>
  <c r="AF72" i="7"/>
  <c r="AR41" i="7"/>
  <c r="AS41" i="7"/>
  <c r="AF42" i="7"/>
  <c r="AS75" i="7"/>
  <c r="AR75" i="7"/>
  <c r="AF76" i="7"/>
  <c r="AI74" i="7"/>
  <c r="AI109" i="7"/>
  <c r="AI79" i="7"/>
  <c r="AI49" i="7"/>
  <c r="AI131" i="7"/>
  <c r="AS108" i="7"/>
  <c r="AR108" i="7"/>
  <c r="AF109" i="7"/>
  <c r="AS83" i="7"/>
  <c r="AR83" i="7"/>
  <c r="AF84" i="7"/>
  <c r="AR57" i="7"/>
  <c r="AF58" i="7"/>
  <c r="AS95" i="7"/>
  <c r="AR95" i="7"/>
  <c r="AF96" i="7"/>
  <c r="AR73" i="7"/>
  <c r="AS73" i="7"/>
  <c r="AF74" i="7"/>
  <c r="AS104" i="7"/>
  <c r="AR104" i="7"/>
  <c r="AF105" i="7"/>
  <c r="AS115" i="7"/>
  <c r="AR115" i="7"/>
  <c r="AF116" i="7"/>
  <c r="AS74" i="7"/>
  <c r="AR74" i="7"/>
  <c r="AF75" i="7"/>
  <c r="AR131" i="7"/>
  <c r="AS131" i="7"/>
  <c r="AF132" i="7"/>
  <c r="AI68" i="7"/>
  <c r="AN68" i="7"/>
  <c r="AR107" i="7"/>
  <c r="AS107" i="7"/>
  <c r="AF108" i="7"/>
  <c r="AI121" i="7"/>
  <c r="AI76" i="7"/>
  <c r="AS46" i="7"/>
  <c r="AR46" i="7"/>
  <c r="AF47" i="7"/>
  <c r="AS16" i="7"/>
  <c r="AR16" i="7"/>
  <c r="AF17" i="7"/>
  <c r="AI19" i="7"/>
  <c r="AI54" i="7"/>
  <c r="AI24" i="7"/>
  <c r="AI138" i="7"/>
  <c r="AI137" i="7"/>
  <c r="AS77" i="7"/>
  <c r="AR77" i="7"/>
  <c r="AF78" i="7"/>
  <c r="AI92" i="7"/>
  <c r="AS85" i="7"/>
  <c r="AR85" i="7"/>
  <c r="AF86" i="7"/>
  <c r="AI55" i="7"/>
  <c r="AI25" i="7"/>
  <c r="AI93" i="7"/>
  <c r="AS63" i="7"/>
  <c r="AR63" i="7"/>
  <c r="AF64" i="7"/>
  <c r="AR33" i="7"/>
  <c r="AS33" i="7"/>
  <c r="AF34" i="7"/>
  <c r="AR52" i="7"/>
  <c r="AS52" i="7"/>
  <c r="AF53" i="7"/>
  <c r="AR22" i="7"/>
  <c r="AS22" i="7"/>
  <c r="AF23" i="7"/>
  <c r="AS135" i="7"/>
  <c r="AR135" i="7"/>
  <c r="AF136" i="7"/>
  <c r="AI105" i="7"/>
  <c r="AI129" i="7"/>
  <c r="AI60" i="7"/>
  <c r="AR30" i="7"/>
  <c r="AS30" i="7"/>
  <c r="AF31" i="7"/>
  <c r="AI27" i="7"/>
  <c r="AR114" i="7"/>
  <c r="AR113" i="7"/>
  <c r="AS113" i="7"/>
  <c r="AF114" i="7"/>
  <c r="AS61" i="7"/>
  <c r="AR61" i="7"/>
  <c r="AF62" i="7"/>
  <c r="AI40" i="7"/>
  <c r="AS37" i="7"/>
  <c r="AR37" i="7"/>
  <c r="AF38" i="7"/>
  <c r="AS103" i="7"/>
  <c r="AR103" i="7"/>
  <c r="AF104" i="7"/>
  <c r="AI134" i="7"/>
  <c r="AR68" i="7"/>
  <c r="AS68" i="7"/>
  <c r="AF69" i="7"/>
  <c r="AR38" i="7"/>
  <c r="AS38" i="7"/>
  <c r="AF39" i="7"/>
  <c r="AI107" i="7"/>
  <c r="AS121" i="7"/>
  <c r="AR121" i="7"/>
  <c r="AF122" i="7"/>
  <c r="AS47" i="7"/>
  <c r="AR47" i="7"/>
  <c r="AF48" i="7"/>
  <c r="AR76" i="7"/>
  <c r="AS76" i="7"/>
  <c r="AF77" i="7"/>
  <c r="AI16" i="7"/>
  <c r="AS19" i="7"/>
  <c r="AR19" i="7"/>
  <c r="AF20" i="7"/>
  <c r="AS84" i="7"/>
  <c r="AR84" i="7"/>
  <c r="AF85" i="7"/>
  <c r="AR54" i="7"/>
  <c r="AS54" i="7"/>
  <c r="AF55" i="7"/>
  <c r="AS24" i="7"/>
  <c r="AR24" i="7"/>
  <c r="AF25" i="7"/>
  <c r="AR137" i="7"/>
  <c r="AS137" i="7"/>
  <c r="AF138" i="7"/>
  <c r="AI77" i="7"/>
  <c r="AR92" i="7"/>
  <c r="AS92" i="7"/>
  <c r="AF93" i="7"/>
  <c r="AI85" i="7"/>
  <c r="AR55" i="7"/>
  <c r="AS55" i="7"/>
  <c r="AF56" i="7"/>
  <c r="AS25" i="7"/>
  <c r="AR25" i="7"/>
  <c r="AF26" i="7"/>
  <c r="AS93" i="7"/>
  <c r="AR93" i="7"/>
  <c r="AF94" i="7"/>
  <c r="AI33" i="7"/>
  <c r="AS35" i="7"/>
  <c r="AF36" i="7"/>
  <c r="AI52" i="7"/>
  <c r="AI22" i="7"/>
  <c r="AI135" i="7"/>
  <c r="AR105" i="7"/>
  <c r="AS105" i="7"/>
  <c r="AF106" i="7"/>
  <c r="AR129" i="7"/>
  <c r="AS129" i="7"/>
  <c r="AF130" i="7"/>
  <c r="AR60" i="7"/>
  <c r="AS60" i="7"/>
  <c r="AF61" i="7"/>
  <c r="AI30" i="7"/>
  <c r="AS27" i="7"/>
  <c r="AR27" i="7"/>
  <c r="AF28" i="7"/>
  <c r="AI113" i="7"/>
  <c r="AS50" i="7"/>
  <c r="AF51" i="7"/>
  <c r="AS136" i="7"/>
  <c r="AR136" i="7"/>
  <c r="AF137" i="7"/>
  <c r="AR69" i="7"/>
  <c r="AS69" i="7"/>
  <c r="AF70" i="7"/>
  <c r="AI29" i="7"/>
  <c r="AI71" i="7"/>
  <c r="AS109" i="7"/>
  <c r="AR109" i="7"/>
  <c r="AF110" i="7"/>
  <c r="AR102" i="7"/>
  <c r="AS102" i="7"/>
  <c r="AF103" i="7"/>
  <c r="AI72" i="7"/>
  <c r="AR42" i="7"/>
  <c r="AS42" i="7"/>
  <c r="AF43" i="7"/>
  <c r="AR59" i="7"/>
  <c r="AS59" i="7"/>
  <c r="AF60" i="7"/>
  <c r="AR110" i="7"/>
  <c r="AS110" i="7"/>
  <c r="AF111" i="7"/>
  <c r="AS96" i="7"/>
  <c r="AR96" i="7"/>
  <c r="AF97" i="7"/>
  <c r="AS91" i="7"/>
  <c r="AR91" i="7"/>
  <c r="AF92" i="7"/>
  <c r="AI118" i="7"/>
  <c r="AI88" i="7"/>
  <c r="AI58" i="7"/>
  <c r="AS32" i="7"/>
  <c r="AR32" i="7"/>
  <c r="AF33" i="7"/>
  <c r="AI99" i="7"/>
  <c r="AI119" i="7"/>
  <c r="AR44" i="7"/>
  <c r="AS44" i="7"/>
  <c r="AF45" i="7"/>
  <c r="AR15" i="7"/>
  <c r="AS14" i="7"/>
  <c r="AR14" i="7"/>
  <c r="AF15" i="7"/>
  <c r="AR97" i="7"/>
  <c r="AS97" i="7"/>
  <c r="AF98" i="7"/>
  <c r="AI62" i="7"/>
  <c r="AR86" i="7"/>
  <c r="AS86" i="7"/>
  <c r="AF87" i="7"/>
  <c r="AI56" i="7"/>
  <c r="AR26" i="7"/>
  <c r="AS26" i="7"/>
  <c r="AF27" i="7"/>
  <c r="AI111" i="7"/>
  <c r="AI124" i="7"/>
  <c r="AI94" i="7"/>
  <c r="AS64" i="7"/>
  <c r="AR64" i="7"/>
  <c r="AF65" i="7"/>
  <c r="AI34" i="7"/>
  <c r="AI50" i="7"/>
  <c r="AR17" i="7"/>
  <c r="AS17" i="7"/>
  <c r="AF18" i="7"/>
  <c r="AS45" i="7"/>
  <c r="AR45" i="7"/>
  <c r="AF46" i="7"/>
  <c r="AI21" i="7"/>
  <c r="AS112" i="7"/>
  <c r="AR112" i="7"/>
  <c r="AF113" i="7"/>
  <c r="AI41" i="7"/>
  <c r="AR50" i="7"/>
  <c r="AS49" i="7"/>
  <c r="AR49" i="7"/>
  <c r="AF50" i="7"/>
  <c r="AS132" i="7"/>
  <c r="AR132" i="7"/>
  <c r="AF133" i="7"/>
  <c r="AI102" i="7"/>
  <c r="AS72" i="7"/>
  <c r="AR72" i="7"/>
  <c r="AF73" i="7"/>
  <c r="AI42" i="7"/>
  <c r="AR51" i="7"/>
  <c r="AS51" i="7"/>
  <c r="AF52" i="7"/>
  <c r="AS80" i="7"/>
  <c r="AR80" i="7"/>
  <c r="AF81" i="7"/>
  <c r="AI96" i="7"/>
  <c r="AI91" i="7"/>
  <c r="AR118" i="7"/>
  <c r="AS118" i="7"/>
  <c r="AF119" i="7"/>
  <c r="AS88" i="7"/>
  <c r="AR88" i="7"/>
  <c r="AF89" i="7"/>
  <c r="AR58" i="7"/>
  <c r="AS58" i="7"/>
  <c r="AF59" i="7"/>
  <c r="AI32" i="7"/>
  <c r="AS36" i="7"/>
  <c r="AR36" i="7"/>
  <c r="AF37" i="7"/>
  <c r="AR99" i="7"/>
  <c r="AS99" i="7"/>
  <c r="AF100" i="7"/>
  <c r="AS119" i="7"/>
  <c r="AR119" i="7"/>
  <c r="AF120" i="7"/>
  <c r="AI14" i="7"/>
  <c r="AS127" i="7"/>
  <c r="AR127" i="7"/>
  <c r="AF128" i="7"/>
  <c r="AI97" i="7"/>
  <c r="AR62" i="7"/>
  <c r="AS62" i="7"/>
  <c r="AF63" i="7"/>
  <c r="AS116" i="7"/>
  <c r="AR116" i="7"/>
  <c r="AF117" i="7"/>
  <c r="AI86" i="7"/>
  <c r="AS57" i="7"/>
  <c r="AR56" i="7"/>
  <c r="AS56" i="7"/>
  <c r="AF57" i="7"/>
  <c r="AI26" i="7"/>
  <c r="AR111" i="7"/>
  <c r="AS111" i="7"/>
  <c r="AF112" i="7"/>
  <c r="AR124" i="7"/>
  <c r="AS124" i="7"/>
  <c r="AF125" i="7"/>
  <c r="AS94" i="7"/>
  <c r="AR94" i="7"/>
  <c r="AF95" i="7"/>
  <c r="AI64" i="7"/>
  <c r="AR35" i="7"/>
  <c r="AR34" i="7"/>
  <c r="AS34" i="7"/>
  <c r="AF35" i="7"/>
  <c r="AI126" i="7"/>
  <c r="BL70" i="6"/>
  <c r="BG72" i="6"/>
  <c r="BF72" i="6"/>
  <c r="BE70" i="6"/>
  <c r="AZ72" i="6"/>
  <c r="BB72" i="6" s="1"/>
  <c r="BC72" i="6" s="1"/>
  <c r="BD72" i="6"/>
  <c r="BG71" i="6"/>
  <c r="BE71" i="6" s="1"/>
  <c r="AZ71" i="6"/>
  <c r="BB71" i="6" s="1"/>
  <c r="BC71" i="6" s="1"/>
  <c r="AP73" i="6"/>
  <c r="AU73" i="6" s="1"/>
  <c r="V73" i="6"/>
  <c r="BD73" i="6" s="1"/>
  <c r="L84" i="6"/>
  <c r="K84" i="6"/>
  <c r="O75" i="6"/>
  <c r="AC74" i="6"/>
  <c r="AD74" i="6" s="1"/>
  <c r="AE74" i="6" s="1"/>
  <c r="AK74" i="6"/>
  <c r="AL74" i="6" s="1"/>
  <c r="AM74" i="6" s="1"/>
  <c r="Z74" i="6"/>
  <c r="AA74" i="6" s="1"/>
  <c r="AB74" i="6" s="1"/>
  <c r="BJ74" i="6" s="1"/>
  <c r="N76" i="6"/>
  <c r="J77" i="6"/>
  <c r="Q74" i="6"/>
  <c r="R74" i="6" s="1"/>
  <c r="AG74" i="6" s="1"/>
  <c r="S74" i="6"/>
  <c r="AV74" i="6" s="1"/>
  <c r="BH74" i="6" s="1"/>
  <c r="P74" i="6"/>
  <c r="W74" i="6"/>
  <c r="AK86" i="7" l="1"/>
  <c r="AK132" i="7"/>
  <c r="AK102" i="7"/>
  <c r="AK93" i="7"/>
  <c r="AK94" i="7"/>
  <c r="AK124" i="7"/>
  <c r="AK96" i="7"/>
  <c r="AK22" i="7"/>
  <c r="AK29" i="7"/>
  <c r="AK36" i="7"/>
  <c r="AK54" i="7"/>
  <c r="AK32" i="7"/>
  <c r="AK80" i="7"/>
  <c r="AK24" i="7"/>
  <c r="BV12" i="7"/>
  <c r="BV8" i="7" s="1"/>
  <c r="BU8" i="7"/>
  <c r="AK62" i="7"/>
  <c r="AK115" i="7"/>
  <c r="AK99" i="7"/>
  <c r="AH74" i="6"/>
  <c r="AK19" i="7"/>
  <c r="AK118" i="7"/>
  <c r="AK42" i="7"/>
  <c r="AK121" i="7"/>
  <c r="AK107" i="7"/>
  <c r="AK49" i="7"/>
  <c r="AK30" i="7"/>
  <c r="AK64" i="7"/>
  <c r="AK17" i="7"/>
  <c r="AK83" i="7"/>
  <c r="AK71" i="7"/>
  <c r="AN8" i="7"/>
  <c r="AK136" i="7"/>
  <c r="AK34" i="7"/>
  <c r="AK56" i="7"/>
  <c r="AK105" i="7"/>
  <c r="AK111" i="7"/>
  <c r="AK88" i="7"/>
  <c r="AK109" i="7"/>
  <c r="AK123" i="7"/>
  <c r="AK91" i="7"/>
  <c r="AK16" i="7"/>
  <c r="AK82" i="7"/>
  <c r="AK90" i="7"/>
  <c r="AK41" i="7"/>
  <c r="AK72" i="7"/>
  <c r="AK45" i="7"/>
  <c r="AK47" i="7"/>
  <c r="AK68" i="7"/>
  <c r="AK14" i="7"/>
  <c r="AK51" i="7"/>
  <c r="AK44" i="7"/>
  <c r="AK69" i="7"/>
  <c r="AK76" i="7"/>
  <c r="AK135" i="7"/>
  <c r="AK67" i="7"/>
  <c r="AK21" i="7"/>
  <c r="AK129" i="7"/>
  <c r="AK134" i="7"/>
  <c r="AK58" i="7"/>
  <c r="AK127" i="7"/>
  <c r="AK101" i="7"/>
  <c r="AK12" i="7"/>
  <c r="AK38" i="7"/>
  <c r="AK27" i="7"/>
  <c r="AK35" i="7"/>
  <c r="AK103" i="7"/>
  <c r="AK13" i="7"/>
  <c r="AK130" i="7"/>
  <c r="AK78" i="7"/>
  <c r="AK33" i="7"/>
  <c r="AK25" i="7"/>
  <c r="AK84" i="7"/>
  <c r="AK73" i="7"/>
  <c r="AK87" i="7"/>
  <c r="AK39" i="7"/>
  <c r="AK23" i="7"/>
  <c r="AS8" i="7"/>
  <c r="AK97" i="7"/>
  <c r="AK50" i="7"/>
  <c r="AK138" i="7"/>
  <c r="AK137" i="7"/>
  <c r="AK61" i="7"/>
  <c r="AK74" i="7"/>
  <c r="AK57" i="7"/>
  <c r="AK126" i="7"/>
  <c r="AK128" i="7"/>
  <c r="AK100" i="7"/>
  <c r="AK112" i="7"/>
  <c r="AK59" i="7"/>
  <c r="AK113" i="7"/>
  <c r="AK46" i="7"/>
  <c r="AK75" i="7"/>
  <c r="AK20" i="7"/>
  <c r="AK43" i="7"/>
  <c r="AK48" i="7"/>
  <c r="AR8" i="7"/>
  <c r="AK116" i="7"/>
  <c r="AK92" i="7"/>
  <c r="AK37" i="7"/>
  <c r="AK52" i="7"/>
  <c r="AK77" i="7"/>
  <c r="AK104" i="7"/>
  <c r="AK125" i="7"/>
  <c r="AQ8" i="7"/>
  <c r="BT8" i="7" s="1"/>
  <c r="AI8" i="7"/>
  <c r="AK98" i="7"/>
  <c r="AK66" i="7"/>
  <c r="AK106" i="7"/>
  <c r="AK60" i="7"/>
  <c r="AK131" i="7"/>
  <c r="AK108" i="7"/>
  <c r="AK28" i="7"/>
  <c r="AK114" i="7"/>
  <c r="AK70" i="7"/>
  <c r="AK31" i="7"/>
  <c r="AK119" i="7"/>
  <c r="AK26" i="7"/>
  <c r="AK110" i="7"/>
  <c r="AK55" i="7"/>
  <c r="AK63" i="7"/>
  <c r="AK85" i="7"/>
  <c r="AK95" i="7"/>
  <c r="AK133" i="7"/>
  <c r="AK117" i="7"/>
  <c r="AK79" i="7"/>
  <c r="AK120" i="7"/>
  <c r="AK18" i="7"/>
  <c r="AK53" i="7"/>
  <c r="AK65" i="7"/>
  <c r="AK81" i="7"/>
  <c r="AK15" i="7"/>
  <c r="AK40" i="7"/>
  <c r="AK122" i="7"/>
  <c r="AK89" i="7"/>
  <c r="BE72" i="6"/>
  <c r="BL72" i="6"/>
  <c r="BL71" i="6"/>
  <c r="BF73" i="6"/>
  <c r="BG73" i="6"/>
  <c r="AZ73" i="6"/>
  <c r="BB73" i="6" s="1"/>
  <c r="BC73" i="6" s="1"/>
  <c r="AK75" i="6"/>
  <c r="AL75" i="6" s="1"/>
  <c r="AM75" i="6" s="1"/>
  <c r="AO74" i="6"/>
  <c r="L85" i="6"/>
  <c r="K85" i="6"/>
  <c r="AN74" i="6"/>
  <c r="AF74" i="6"/>
  <c r="Z75" i="6"/>
  <c r="AA75" i="6" s="1"/>
  <c r="AB75" i="6" s="1"/>
  <c r="BJ75" i="6" s="1"/>
  <c r="AC75" i="6"/>
  <c r="AD75" i="6" s="1"/>
  <c r="AE75" i="6" s="1"/>
  <c r="P75" i="6"/>
  <c r="W75" i="6"/>
  <c r="X75" i="6" s="1"/>
  <c r="Y75" i="6" s="1"/>
  <c r="BK75" i="6" s="1"/>
  <c r="S75" i="6"/>
  <c r="Q75" i="6"/>
  <c r="R75" i="6" s="1"/>
  <c r="AG75" i="6" s="1"/>
  <c r="O76" i="6"/>
  <c r="N77" i="6"/>
  <c r="J78" i="6"/>
  <c r="U74" i="6"/>
  <c r="X74" i="6"/>
  <c r="Y74" i="6" s="1"/>
  <c r="BK74" i="6" s="1"/>
  <c r="T74" i="6"/>
  <c r="AJ74" i="6" l="1"/>
  <c r="BF74" i="6" s="1"/>
  <c r="AJ7" i="7"/>
  <c r="AJ79" i="7" s="1"/>
  <c r="C110" i="2"/>
  <c r="F110" i="2" s="1"/>
  <c r="G68" i="1" s="1"/>
  <c r="AH75" i="6"/>
  <c r="AK8" i="7"/>
  <c r="AL7" i="7" s="1"/>
  <c r="AL109" i="7" s="1"/>
  <c r="BL73" i="6"/>
  <c r="BE73" i="6"/>
  <c r="AV75" i="6"/>
  <c r="BH75" i="6" s="1"/>
  <c r="AP74" i="6"/>
  <c r="AU74" i="6" s="1"/>
  <c r="AO75" i="6"/>
  <c r="Z76" i="6"/>
  <c r="AA76" i="6" s="1"/>
  <c r="AB76" i="6" s="1"/>
  <c r="BJ76" i="6" s="1"/>
  <c r="AF75" i="6"/>
  <c r="L86" i="6"/>
  <c r="K86" i="6"/>
  <c r="Q76" i="6"/>
  <c r="R76" i="6" s="1"/>
  <c r="AG76" i="6" s="1"/>
  <c r="S76" i="6"/>
  <c r="AH76" i="6"/>
  <c r="O77" i="6"/>
  <c r="T75" i="6"/>
  <c r="AK76" i="6"/>
  <c r="AL76" i="6" s="1"/>
  <c r="AM76" i="6" s="1"/>
  <c r="P76" i="6"/>
  <c r="U75" i="6"/>
  <c r="W76" i="6"/>
  <c r="X76" i="6" s="1"/>
  <c r="Y76" i="6" s="1"/>
  <c r="BK76" i="6" s="1"/>
  <c r="N78" i="6"/>
  <c r="O78" i="6" s="1"/>
  <c r="AN75" i="6"/>
  <c r="AC76" i="6"/>
  <c r="AD76" i="6" s="1"/>
  <c r="AE76" i="6" s="1"/>
  <c r="V74" i="6"/>
  <c r="J79" i="6"/>
  <c r="AJ50" i="7" l="1"/>
  <c r="AJ28" i="7"/>
  <c r="AJ86" i="7"/>
  <c r="AJ90" i="7"/>
  <c r="AJ136" i="7"/>
  <c r="AJ49" i="7"/>
  <c r="AJ45" i="7"/>
  <c r="AJ68" i="7"/>
  <c r="AJ104" i="7"/>
  <c r="AJ100" i="7"/>
  <c r="AJ127" i="7"/>
  <c r="AJ75" i="6"/>
  <c r="BF75" i="6" s="1"/>
  <c r="AJ119" i="7"/>
  <c r="AJ32" i="7"/>
  <c r="AJ108" i="7"/>
  <c r="AJ36" i="7"/>
  <c r="AJ85" i="7"/>
  <c r="AJ103" i="7"/>
  <c r="AJ74" i="7"/>
  <c r="AJ42" i="7"/>
  <c r="AJ54" i="7"/>
  <c r="AJ58" i="7"/>
  <c r="AJ111" i="7"/>
  <c r="AJ98" i="7"/>
  <c r="AJ114" i="7"/>
  <c r="AJ39" i="7"/>
  <c r="AJ137" i="7"/>
  <c r="AJ43" i="7"/>
  <c r="AJ94" i="7"/>
  <c r="AJ65" i="7"/>
  <c r="AJ89" i="7"/>
  <c r="AJ20" i="7"/>
  <c r="AJ13" i="7"/>
  <c r="AJ138" i="7"/>
  <c r="AJ55" i="7"/>
  <c r="AJ27" i="7"/>
  <c r="AJ126" i="7"/>
  <c r="AJ26" i="7"/>
  <c r="AJ82" i="7"/>
  <c r="AJ19" i="7"/>
  <c r="AJ67" i="7"/>
  <c r="AJ128" i="7"/>
  <c r="AJ121" i="7"/>
  <c r="AJ117" i="7"/>
  <c r="AJ91" i="7"/>
  <c r="AJ47" i="7"/>
  <c r="AJ106" i="7"/>
  <c r="AJ75" i="7"/>
  <c r="AJ102" i="7"/>
  <c r="AJ135" i="7"/>
  <c r="AJ99" i="7"/>
  <c r="AJ30" i="7"/>
  <c r="AJ64" i="7"/>
  <c r="AJ88" i="7"/>
  <c r="AJ51" i="7"/>
  <c r="AJ76" i="7"/>
  <c r="AJ34" i="7"/>
  <c r="AJ123" i="7"/>
  <c r="AJ95" i="7"/>
  <c r="AJ35" i="7"/>
  <c r="AJ118" i="7"/>
  <c r="AJ44" i="7"/>
  <c r="AJ66" i="7"/>
  <c r="AJ31" i="7"/>
  <c r="AJ21" i="7"/>
  <c r="AJ63" i="7"/>
  <c r="AJ57" i="7"/>
  <c r="AJ53" i="7"/>
  <c r="AJ107" i="7"/>
  <c r="AJ110" i="7"/>
  <c r="AJ72" i="7"/>
  <c r="AJ131" i="7"/>
  <c r="AJ38" i="7"/>
  <c r="AJ70" i="7"/>
  <c r="AJ97" i="7"/>
  <c r="AJ93" i="7"/>
  <c r="AJ61" i="7"/>
  <c r="AJ24" i="7"/>
  <c r="AJ73" i="7"/>
  <c r="AJ129" i="7"/>
  <c r="AJ130" i="7"/>
  <c r="AJ48" i="7"/>
  <c r="AJ125" i="7"/>
  <c r="AJ120" i="7"/>
  <c r="AJ116" i="7"/>
  <c r="AJ59" i="7"/>
  <c r="AJ46" i="7"/>
  <c r="AJ134" i="7"/>
  <c r="AJ105" i="7"/>
  <c r="AJ101" i="7"/>
  <c r="AJ69" i="7"/>
  <c r="AJ33" i="7"/>
  <c r="AJ29" i="7"/>
  <c r="AJ60" i="7"/>
  <c r="AJ87" i="7"/>
  <c r="AJ122" i="7"/>
  <c r="AJ112" i="7"/>
  <c r="AJ40" i="7"/>
  <c r="AJ71" i="7"/>
  <c r="AJ12" i="7"/>
  <c r="AJ77" i="7"/>
  <c r="AJ124" i="7"/>
  <c r="AJ56" i="7"/>
  <c r="AJ52" i="7"/>
  <c r="AJ113" i="7"/>
  <c r="AJ109" i="7"/>
  <c r="AJ133" i="7"/>
  <c r="AJ41" i="7"/>
  <c r="AJ37" i="7"/>
  <c r="AJ132" i="7"/>
  <c r="AJ96" i="7"/>
  <c r="AJ92" i="7"/>
  <c r="AJ115" i="7"/>
  <c r="AJ23" i="7"/>
  <c r="AJ18" i="7"/>
  <c r="AJ62" i="7"/>
  <c r="AJ25" i="7"/>
  <c r="AJ84" i="7"/>
  <c r="AJ81" i="7"/>
  <c r="AJ17" i="7"/>
  <c r="AJ80" i="7"/>
  <c r="AJ15" i="7"/>
  <c r="AJ22" i="7"/>
  <c r="AJ83" i="7"/>
  <c r="AJ78" i="7"/>
  <c r="AJ14" i="7"/>
  <c r="AJ16" i="7"/>
  <c r="AL21" i="7"/>
  <c r="AL81" i="7"/>
  <c r="AL133" i="7"/>
  <c r="AL130" i="7"/>
  <c r="AL39" i="7"/>
  <c r="AL132" i="7"/>
  <c r="AL123" i="7"/>
  <c r="AL54" i="7"/>
  <c r="AL66" i="7"/>
  <c r="AL73" i="7"/>
  <c r="AL75" i="7"/>
  <c r="AL29" i="7"/>
  <c r="AL103" i="7"/>
  <c r="AL50" i="7"/>
  <c r="AL47" i="7"/>
  <c r="AL72" i="7"/>
  <c r="AL44" i="7"/>
  <c r="AL41" i="7"/>
  <c r="AL82" i="7"/>
  <c r="AL116" i="7"/>
  <c r="AL38" i="7"/>
  <c r="AL14" i="7"/>
  <c r="AL119" i="7"/>
  <c r="AL127" i="7"/>
  <c r="AL105" i="7"/>
  <c r="AL52" i="7"/>
  <c r="AL33" i="7"/>
  <c r="AL78" i="7"/>
  <c r="AL24" i="7"/>
  <c r="AL15" i="7"/>
  <c r="AL90" i="7"/>
  <c r="AL77" i="7"/>
  <c r="AL110" i="7"/>
  <c r="AL17" i="7"/>
  <c r="AL108" i="7"/>
  <c r="AL79" i="7"/>
  <c r="AL22" i="7"/>
  <c r="AL35" i="7"/>
  <c r="AL37" i="7"/>
  <c r="AL91" i="7"/>
  <c r="AL107" i="7"/>
  <c r="AL92" i="7"/>
  <c r="AL20" i="7"/>
  <c r="AL136" i="7"/>
  <c r="AL70" i="7"/>
  <c r="AL121" i="7"/>
  <c r="AL104" i="7"/>
  <c r="AL60" i="7"/>
  <c r="AL113" i="7"/>
  <c r="AL56" i="7"/>
  <c r="AL16" i="7"/>
  <c r="AL122" i="7"/>
  <c r="AL68" i="7"/>
  <c r="AL93" i="7"/>
  <c r="AL111" i="7"/>
  <c r="AL112" i="7"/>
  <c r="AL31" i="7"/>
  <c r="AL53" i="7"/>
  <c r="AL137" i="7"/>
  <c r="AL89" i="7"/>
  <c r="AL59" i="7"/>
  <c r="AL129" i="7"/>
  <c r="AL40" i="7"/>
  <c r="AL117" i="7"/>
  <c r="AL96" i="7"/>
  <c r="AL99" i="7"/>
  <c r="AL98" i="7"/>
  <c r="AL12" i="7"/>
  <c r="AL23" i="7"/>
  <c r="AL125" i="7"/>
  <c r="AL43" i="7"/>
  <c r="AL138" i="7"/>
  <c r="AL27" i="7"/>
  <c r="AL74" i="7"/>
  <c r="AL126" i="7"/>
  <c r="AL48" i="7"/>
  <c r="AL83" i="7"/>
  <c r="AL106" i="7"/>
  <c r="AL45" i="7"/>
  <c r="AL49" i="7"/>
  <c r="AL131" i="7"/>
  <c r="AL34" i="7"/>
  <c r="AL94" i="7"/>
  <c r="AL102" i="7"/>
  <c r="AL18" i="7"/>
  <c r="AL30" i="7"/>
  <c r="AL97" i="7"/>
  <c r="AL32" i="7"/>
  <c r="AL100" i="7"/>
  <c r="AL114" i="7"/>
  <c r="AL46" i="7"/>
  <c r="AL88" i="7"/>
  <c r="AL62" i="7"/>
  <c r="AL76" i="7"/>
  <c r="AL85" i="7"/>
  <c r="AL61" i="7"/>
  <c r="AL57" i="7"/>
  <c r="AL19" i="7"/>
  <c r="AL71" i="7"/>
  <c r="AL115" i="7"/>
  <c r="AL58" i="7"/>
  <c r="AL42" i="7"/>
  <c r="AL28" i="7"/>
  <c r="AL80" i="7"/>
  <c r="AL26" i="7"/>
  <c r="AL51" i="7"/>
  <c r="AL55" i="7"/>
  <c r="AL120" i="7"/>
  <c r="AL63" i="7"/>
  <c r="AL64" i="7"/>
  <c r="AL69" i="7"/>
  <c r="AL95" i="7"/>
  <c r="AL25" i="7"/>
  <c r="AL87" i="7"/>
  <c r="AL65" i="7"/>
  <c r="AL118" i="7"/>
  <c r="AL128" i="7"/>
  <c r="AL101" i="7"/>
  <c r="AL124" i="7"/>
  <c r="AL36" i="7"/>
  <c r="AL84" i="7"/>
  <c r="AL134" i="7"/>
  <c r="AL135" i="7"/>
  <c r="AL67" i="7"/>
  <c r="AL86" i="7"/>
  <c r="AL13" i="7"/>
  <c r="AP75" i="6"/>
  <c r="AU75" i="6" s="1"/>
  <c r="AZ74" i="6"/>
  <c r="BB74" i="6" s="1"/>
  <c r="BC74" i="6" s="1"/>
  <c r="BD74" i="6"/>
  <c r="BG74" i="6"/>
  <c r="BE74" i="6" s="1"/>
  <c r="T76" i="6"/>
  <c r="AV76" i="6"/>
  <c r="BH76" i="6" s="1"/>
  <c r="AK77" i="6"/>
  <c r="AL77" i="6" s="1"/>
  <c r="AM77" i="6" s="1"/>
  <c r="AO76" i="6"/>
  <c r="U76" i="6"/>
  <c r="L87" i="6"/>
  <c r="AN76" i="6"/>
  <c r="K87" i="6"/>
  <c r="Q77" i="6"/>
  <c r="R77" i="6" s="1"/>
  <c r="AG77" i="6" s="1"/>
  <c r="S77" i="6"/>
  <c r="P77" i="6"/>
  <c r="AF76" i="6"/>
  <c r="AC78" i="6"/>
  <c r="AD78" i="6" s="1"/>
  <c r="AE78" i="6" s="1"/>
  <c r="Z77" i="6"/>
  <c r="AA77" i="6" s="1"/>
  <c r="AB77" i="6" s="1"/>
  <c r="BJ77" i="6" s="1"/>
  <c r="V75" i="6"/>
  <c r="BD75" i="6" s="1"/>
  <c r="AK78" i="6"/>
  <c r="AL78" i="6" s="1"/>
  <c r="AM78" i="6" s="1"/>
  <c r="W77" i="6"/>
  <c r="X77" i="6" s="1"/>
  <c r="Y77" i="6" s="1"/>
  <c r="BK77" i="6" s="1"/>
  <c r="AC77" i="6"/>
  <c r="AD77" i="6" s="1"/>
  <c r="AE77" i="6" s="1"/>
  <c r="Z78" i="6"/>
  <c r="AA78" i="6" s="1"/>
  <c r="AB78" i="6" s="1"/>
  <c r="BJ78" i="6" s="1"/>
  <c r="N79" i="6"/>
  <c r="Q78" i="6"/>
  <c r="R78" i="6" s="1"/>
  <c r="AG78" i="6" s="1"/>
  <c r="S78" i="6"/>
  <c r="AV78" i="6" s="1"/>
  <c r="BH78" i="6" s="1"/>
  <c r="P78" i="6"/>
  <c r="W78" i="6"/>
  <c r="J80" i="6"/>
  <c r="AJ8" i="7" l="1"/>
  <c r="AJ3" i="7" s="1"/>
  <c r="AH77" i="6"/>
  <c r="AH78" i="6"/>
  <c r="AL8" i="7"/>
  <c r="AO3" i="7" s="1"/>
  <c r="AJ76" i="6"/>
  <c r="BF76" i="6" s="1"/>
  <c r="BL74" i="6"/>
  <c r="AP76" i="6"/>
  <c r="AU76" i="6" s="1"/>
  <c r="V76" i="6"/>
  <c r="BD76" i="6" s="1"/>
  <c r="BG75" i="6"/>
  <c r="AV77" i="6"/>
  <c r="BH77" i="6" s="1"/>
  <c r="AZ75" i="6"/>
  <c r="BB75" i="6" s="1"/>
  <c r="BC75" i="6" s="1"/>
  <c r="AO78" i="6"/>
  <c r="AO77" i="6"/>
  <c r="AN77" i="6"/>
  <c r="L88" i="6"/>
  <c r="T77" i="6"/>
  <c r="AF77" i="6"/>
  <c r="K88" i="6"/>
  <c r="U77" i="6"/>
  <c r="AN78" i="6"/>
  <c r="AF78" i="6"/>
  <c r="AJ78" i="6" s="1"/>
  <c r="O79" i="6"/>
  <c r="U78" i="6"/>
  <c r="J81" i="6"/>
  <c r="X78" i="6"/>
  <c r="Y78" i="6" s="1"/>
  <c r="BK78" i="6" s="1"/>
  <c r="N80" i="6"/>
  <c r="T78" i="6"/>
  <c r="AJ77" i="6" l="1"/>
  <c r="BE75" i="6"/>
  <c r="BL75" i="6"/>
  <c r="AZ76" i="6"/>
  <c r="BB76" i="6" s="1"/>
  <c r="BC76" i="6" s="1"/>
  <c r="BG76" i="6"/>
  <c r="BE76" i="6" s="1"/>
  <c r="AP77" i="6"/>
  <c r="AU77" i="6" s="1"/>
  <c r="AP78" i="6"/>
  <c r="AU78" i="6" s="1"/>
  <c r="S79" i="6"/>
  <c r="AV79" i="6" s="1"/>
  <c r="BH79" i="6" s="1"/>
  <c r="V77" i="6"/>
  <c r="BD77" i="6" s="1"/>
  <c r="L89" i="6"/>
  <c r="K89" i="6"/>
  <c r="AC79" i="6"/>
  <c r="AD79" i="6" s="1"/>
  <c r="AE79" i="6" s="1"/>
  <c r="W79" i="6"/>
  <c r="X79" i="6" s="1"/>
  <c r="Y79" i="6" s="1"/>
  <c r="BK79" i="6" s="1"/>
  <c r="Q79" i="6"/>
  <c r="R79" i="6" s="1"/>
  <c r="AG79" i="6" s="1"/>
  <c r="AK79" i="6"/>
  <c r="AL79" i="6" s="1"/>
  <c r="AM79" i="6" s="1"/>
  <c r="Z79" i="6"/>
  <c r="AA79" i="6" s="1"/>
  <c r="AB79" i="6" s="1"/>
  <c r="BJ79" i="6" s="1"/>
  <c r="P79" i="6"/>
  <c r="V78" i="6"/>
  <c r="BD78" i="6" s="1"/>
  <c r="N81" i="6"/>
  <c r="O81" i="6" s="1"/>
  <c r="J82" i="6"/>
  <c r="O80" i="6"/>
  <c r="AH79" i="6" l="1"/>
  <c r="T79" i="6"/>
  <c r="BL76" i="6"/>
  <c r="BG77" i="6"/>
  <c r="BF78" i="6"/>
  <c r="BG78" i="6"/>
  <c r="BF77" i="6"/>
  <c r="AZ78" i="6"/>
  <c r="BB78" i="6" s="1"/>
  <c r="BC78" i="6" s="1"/>
  <c r="AZ77" i="6"/>
  <c r="BB77" i="6" s="1"/>
  <c r="BC77" i="6" s="1"/>
  <c r="AO79" i="6"/>
  <c r="U79" i="6"/>
  <c r="L90" i="6"/>
  <c r="AN79" i="6"/>
  <c r="K90" i="6"/>
  <c r="AF79" i="6"/>
  <c r="AC80" i="6"/>
  <c r="AD80" i="6" s="1"/>
  <c r="AE80" i="6" s="1"/>
  <c r="AK80" i="6"/>
  <c r="AL80" i="6" s="1"/>
  <c r="AM80" i="6" s="1"/>
  <c r="AK81" i="6"/>
  <c r="AL81" i="6" s="1"/>
  <c r="AM81" i="6" s="1"/>
  <c r="N82" i="6"/>
  <c r="O82" i="6" s="1"/>
  <c r="Z80" i="6"/>
  <c r="AA80" i="6" s="1"/>
  <c r="AB80" i="6" s="1"/>
  <c r="BJ80" i="6" s="1"/>
  <c r="P81" i="6"/>
  <c r="Q81" i="6"/>
  <c r="R81" i="6" s="1"/>
  <c r="AG81" i="6" s="1"/>
  <c r="S81" i="6"/>
  <c r="AV81" i="6" s="1"/>
  <c r="BH81" i="6" s="1"/>
  <c r="W81" i="6"/>
  <c r="J83" i="6"/>
  <c r="AC81" i="6"/>
  <c r="AD81" i="6" s="1"/>
  <c r="AE81" i="6" s="1"/>
  <c r="S80" i="6"/>
  <c r="AV80" i="6" s="1"/>
  <c r="BH80" i="6" s="1"/>
  <c r="P80" i="6"/>
  <c r="Q80" i="6"/>
  <c r="R80" i="6" s="1"/>
  <c r="AG80" i="6" s="1"/>
  <c r="W80" i="6"/>
  <c r="Z81" i="6"/>
  <c r="AA81" i="6" s="1"/>
  <c r="AB81" i="6" s="1"/>
  <c r="BJ81" i="6" s="1"/>
  <c r="AH80" i="6" l="1"/>
  <c r="AH81" i="6"/>
  <c r="V79" i="6"/>
  <c r="BD79" i="6" s="1"/>
  <c r="AJ79" i="6"/>
  <c r="BF79" i="6" s="1"/>
  <c r="BE77" i="6"/>
  <c r="BL78" i="6"/>
  <c r="BL77" i="6"/>
  <c r="BE78" i="6"/>
  <c r="AP79" i="6"/>
  <c r="AU79" i="6" s="1"/>
  <c r="AO81" i="6"/>
  <c r="AO80" i="6"/>
  <c r="AF80" i="6"/>
  <c r="L91" i="6"/>
  <c r="AN81" i="6"/>
  <c r="K91" i="6"/>
  <c r="AF81" i="6"/>
  <c r="AN80" i="6"/>
  <c r="AK82" i="6"/>
  <c r="AL82" i="6" s="1"/>
  <c r="AM82" i="6" s="1"/>
  <c r="N83" i="6"/>
  <c r="O83" i="6" s="1"/>
  <c r="P82" i="6"/>
  <c r="Q82" i="6"/>
  <c r="R82" i="6" s="1"/>
  <c r="AG82" i="6" s="1"/>
  <c r="S82" i="6"/>
  <c r="AV82" i="6" s="1"/>
  <c r="BH82" i="6" s="1"/>
  <c r="W82" i="6"/>
  <c r="U80" i="6"/>
  <c r="J84" i="6"/>
  <c r="X81" i="6"/>
  <c r="Y81" i="6" s="1"/>
  <c r="BK81" i="6" s="1"/>
  <c r="T80" i="6"/>
  <c r="T81" i="6"/>
  <c r="X80" i="6"/>
  <c r="Y80" i="6" s="1"/>
  <c r="BK80" i="6" s="1"/>
  <c r="Z82" i="6"/>
  <c r="AA82" i="6" s="1"/>
  <c r="AB82" i="6" s="1"/>
  <c r="BJ82" i="6" s="1"/>
  <c r="AC82" i="6"/>
  <c r="AD82" i="6" s="1"/>
  <c r="AE82" i="6" s="1"/>
  <c r="U81" i="6"/>
  <c r="AH82" i="6" l="1"/>
  <c r="AJ80" i="6"/>
  <c r="BF80" i="6" s="1"/>
  <c r="AJ81" i="6"/>
  <c r="BF81" i="6" s="1"/>
  <c r="AP80" i="6"/>
  <c r="AU80" i="6" s="1"/>
  <c r="AZ79" i="6"/>
  <c r="BB79" i="6" s="1"/>
  <c r="BC79" i="6" s="1"/>
  <c r="BG79" i="6"/>
  <c r="BL79" i="6" s="1"/>
  <c r="AO82" i="6"/>
  <c r="AP81" i="6"/>
  <c r="L92" i="6"/>
  <c r="K92" i="6"/>
  <c r="AN82" i="6"/>
  <c r="AF82" i="6"/>
  <c r="AK83" i="6"/>
  <c r="AL83" i="6" s="1"/>
  <c r="AM83" i="6" s="1"/>
  <c r="Z83" i="6"/>
  <c r="AA83" i="6" s="1"/>
  <c r="AB83" i="6" s="1"/>
  <c r="BJ83" i="6" s="1"/>
  <c r="V80" i="6"/>
  <c r="BD80" i="6" s="1"/>
  <c r="AC83" i="6"/>
  <c r="AD83" i="6" s="1"/>
  <c r="AE83" i="6" s="1"/>
  <c r="N84" i="6"/>
  <c r="O84" i="6" s="1"/>
  <c r="X82" i="6"/>
  <c r="Y82" i="6" s="1"/>
  <c r="BK82" i="6" s="1"/>
  <c r="J85" i="6"/>
  <c r="T82" i="6"/>
  <c r="V81" i="6"/>
  <c r="S83" i="6"/>
  <c r="AV83" i="6" s="1"/>
  <c r="BH83" i="6" s="1"/>
  <c r="Q83" i="6"/>
  <c r="R83" i="6" s="1"/>
  <c r="AG83" i="6" s="1"/>
  <c r="P83" i="6"/>
  <c r="W83" i="6"/>
  <c r="U82" i="6"/>
  <c r="AJ82" i="6" l="1"/>
  <c r="BF82" i="6" s="1"/>
  <c r="AH83" i="6"/>
  <c r="AU81" i="6"/>
  <c r="BG81" i="6" s="1"/>
  <c r="BE81" i="6" s="1"/>
  <c r="BE79" i="6"/>
  <c r="BD81" i="6"/>
  <c r="BG80" i="6"/>
  <c r="BE80" i="6" s="1"/>
  <c r="AZ80" i="6"/>
  <c r="BB80" i="6" s="1"/>
  <c r="BC80" i="6" s="1"/>
  <c r="AP82" i="6"/>
  <c r="AU82" i="6" s="1"/>
  <c r="AO83" i="6"/>
  <c r="AF83" i="6"/>
  <c r="L93" i="6"/>
  <c r="K93" i="6"/>
  <c r="AK84" i="6"/>
  <c r="AL84" i="6" s="1"/>
  <c r="AM84" i="6" s="1"/>
  <c r="N85" i="6"/>
  <c r="V82" i="6"/>
  <c r="BD82" i="6" s="1"/>
  <c r="AN83" i="6"/>
  <c r="U83" i="6"/>
  <c r="S84" i="6"/>
  <c r="AV84" i="6" s="1"/>
  <c r="BH84" i="6" s="1"/>
  <c r="Q84" i="6"/>
  <c r="R84" i="6" s="1"/>
  <c r="AG84" i="6" s="1"/>
  <c r="P84" i="6"/>
  <c r="W84" i="6"/>
  <c r="T83" i="6"/>
  <c r="X83" i="6"/>
  <c r="Y83" i="6" s="1"/>
  <c r="BK83" i="6" s="1"/>
  <c r="J86" i="6"/>
  <c r="Z84" i="6"/>
  <c r="AA84" i="6" s="1"/>
  <c r="AB84" i="6" s="1"/>
  <c r="BJ84" i="6" s="1"/>
  <c r="AC84" i="6"/>
  <c r="AD84" i="6" s="1"/>
  <c r="AE84" i="6" s="1"/>
  <c r="AJ83" i="6" l="1"/>
  <c r="BF83" i="6" s="1"/>
  <c r="AH84" i="6"/>
  <c r="AZ81" i="6"/>
  <c r="BB81" i="6" s="1"/>
  <c r="BC81" i="6" s="1"/>
  <c r="BL81" i="6"/>
  <c r="BL80" i="6"/>
  <c r="BG82" i="6"/>
  <c r="BE82" i="6" s="1"/>
  <c r="AZ82" i="6"/>
  <c r="BB82" i="6" s="1"/>
  <c r="BC82" i="6" s="1"/>
  <c r="AP83" i="6"/>
  <c r="AF84" i="6"/>
  <c r="AO84" i="6"/>
  <c r="L94" i="6"/>
  <c r="K94" i="6"/>
  <c r="O85" i="6"/>
  <c r="AN84" i="6"/>
  <c r="V83" i="6"/>
  <c r="BD83" i="6" s="1"/>
  <c r="U84" i="6"/>
  <c r="J87" i="6"/>
  <c r="X84" i="6"/>
  <c r="Y84" i="6" s="1"/>
  <c r="BK84" i="6" s="1"/>
  <c r="N86" i="6"/>
  <c r="T84" i="6"/>
  <c r="AJ84" i="6" l="1"/>
  <c r="BF84" i="6" s="1"/>
  <c r="AU83" i="6"/>
  <c r="BG83" i="6" s="1"/>
  <c r="BL82" i="6"/>
  <c r="AP84" i="6"/>
  <c r="AU84" i="6" s="1"/>
  <c r="P85" i="6"/>
  <c r="L95" i="6"/>
  <c r="W85" i="6"/>
  <c r="X85" i="6" s="1"/>
  <c r="Y85" i="6" s="1"/>
  <c r="BK85" i="6" s="1"/>
  <c r="AC85" i="6"/>
  <c r="AD85" i="6" s="1"/>
  <c r="AE85" i="6" s="1"/>
  <c r="K95" i="6"/>
  <c r="Z85" i="6"/>
  <c r="AA85" i="6" s="1"/>
  <c r="AB85" i="6" s="1"/>
  <c r="BJ85" i="6" s="1"/>
  <c r="Q85" i="6"/>
  <c r="R85" i="6" s="1"/>
  <c r="AG85" i="6" s="1"/>
  <c r="S85" i="6"/>
  <c r="AK85" i="6"/>
  <c r="AL85" i="6" s="1"/>
  <c r="AM85" i="6" s="1"/>
  <c r="N87" i="6"/>
  <c r="O87" i="6" s="1"/>
  <c r="V84" i="6"/>
  <c r="BD84" i="6" s="1"/>
  <c r="J88" i="6"/>
  <c r="O86" i="6"/>
  <c r="AH85" i="6" l="1"/>
  <c r="AZ83" i="6"/>
  <c r="BB83" i="6" s="1"/>
  <c r="BC83" i="6" s="1"/>
  <c r="BL83" i="6"/>
  <c r="BE83" i="6"/>
  <c r="BG84" i="6"/>
  <c r="BE84" i="6" s="1"/>
  <c r="AZ84" i="6"/>
  <c r="BB84" i="6" s="1"/>
  <c r="BC84" i="6" s="1"/>
  <c r="T85" i="6"/>
  <c r="AV85" i="6"/>
  <c r="BH85" i="6" s="1"/>
  <c r="AO85" i="6"/>
  <c r="AK86" i="6"/>
  <c r="AL86" i="6" s="1"/>
  <c r="AM86" i="6" s="1"/>
  <c r="L96" i="6"/>
  <c r="U85" i="6"/>
  <c r="K96" i="6"/>
  <c r="AF85" i="6"/>
  <c r="AN85" i="6"/>
  <c r="AK87" i="6"/>
  <c r="AL87" i="6" s="1"/>
  <c r="AM87" i="6" s="1"/>
  <c r="Z87" i="6"/>
  <c r="AA87" i="6" s="1"/>
  <c r="AB87" i="6" s="1"/>
  <c r="BJ87" i="6" s="1"/>
  <c r="Z86" i="6"/>
  <c r="AA86" i="6" s="1"/>
  <c r="AB86" i="6" s="1"/>
  <c r="BJ86" i="6" s="1"/>
  <c r="S86" i="6"/>
  <c r="AV86" i="6" s="1"/>
  <c r="BH86" i="6" s="1"/>
  <c r="P86" i="6"/>
  <c r="Q86" i="6"/>
  <c r="R86" i="6" s="1"/>
  <c r="AG86" i="6" s="1"/>
  <c r="W86" i="6"/>
  <c r="AC86" i="6"/>
  <c r="AD86" i="6" s="1"/>
  <c r="AE86" i="6" s="1"/>
  <c r="N88" i="6"/>
  <c r="J89" i="6"/>
  <c r="P87" i="6"/>
  <c r="Q87" i="6"/>
  <c r="R87" i="6" s="1"/>
  <c r="AG87" i="6" s="1"/>
  <c r="S87" i="6"/>
  <c r="AV87" i="6" s="1"/>
  <c r="BH87" i="6" s="1"/>
  <c r="W87" i="6"/>
  <c r="AC87" i="6"/>
  <c r="AD87" i="6" s="1"/>
  <c r="AE87" i="6" s="1"/>
  <c r="AJ85" i="6" l="1"/>
  <c r="AH86" i="6"/>
  <c r="AH87" i="6"/>
  <c r="BL84" i="6"/>
  <c r="V85" i="6"/>
  <c r="BD85" i="6" s="1"/>
  <c r="AP85" i="6"/>
  <c r="AU85" i="6" s="1"/>
  <c r="AO86" i="6"/>
  <c r="AO87" i="6"/>
  <c r="L97" i="6"/>
  <c r="K97" i="6"/>
  <c r="AF86" i="6"/>
  <c r="AN86" i="6"/>
  <c r="O88" i="6"/>
  <c r="AN87" i="6"/>
  <c r="AF87" i="6"/>
  <c r="X86" i="6"/>
  <c r="Y86" i="6" s="1"/>
  <c r="BK86" i="6" s="1"/>
  <c r="T87" i="6"/>
  <c r="U87" i="6"/>
  <c r="T86" i="6"/>
  <c r="J90" i="6"/>
  <c r="U86" i="6"/>
  <c r="X87" i="6"/>
  <c r="Y87" i="6" s="1"/>
  <c r="BK87" i="6" s="1"/>
  <c r="N89" i="6"/>
  <c r="AJ87" i="6" l="1"/>
  <c r="BF87" i="6" s="1"/>
  <c r="AJ86" i="6"/>
  <c r="BF86" i="6" s="1"/>
  <c r="AP87" i="6"/>
  <c r="AU87" i="6" s="1"/>
  <c r="AP86" i="6"/>
  <c r="AU86" i="6" s="1"/>
  <c r="BF85" i="6"/>
  <c r="BG85" i="6"/>
  <c r="AZ85" i="6"/>
  <c r="BB85" i="6" s="1"/>
  <c r="BC85" i="6" s="1"/>
  <c r="AK88" i="6"/>
  <c r="AL88" i="6" s="1"/>
  <c r="AM88" i="6" s="1"/>
  <c r="L98" i="6"/>
  <c r="K98" i="6"/>
  <c r="AC88" i="6"/>
  <c r="AD88" i="6" s="1"/>
  <c r="AE88" i="6" s="1"/>
  <c r="V86" i="6"/>
  <c r="BD86" i="6" s="1"/>
  <c r="W88" i="6"/>
  <c r="X88" i="6" s="1"/>
  <c r="Y88" i="6" s="1"/>
  <c r="BK88" i="6" s="1"/>
  <c r="P88" i="6"/>
  <c r="S88" i="6"/>
  <c r="Q88" i="6"/>
  <c r="R88" i="6" s="1"/>
  <c r="AG88" i="6" s="1"/>
  <c r="Z88" i="6"/>
  <c r="AA88" i="6" s="1"/>
  <c r="AB88" i="6" s="1"/>
  <c r="BJ88" i="6" s="1"/>
  <c r="V87" i="6"/>
  <c r="BD87" i="6" s="1"/>
  <c r="N90" i="6"/>
  <c r="O90" i="6" s="1"/>
  <c r="J91" i="6"/>
  <c r="O89" i="6"/>
  <c r="AH88" i="6" l="1"/>
  <c r="BL85" i="6"/>
  <c r="BG87" i="6"/>
  <c r="BE87" i="6" s="1"/>
  <c r="BG86" i="6"/>
  <c r="BE86" i="6" s="1"/>
  <c r="BE85" i="6"/>
  <c r="AZ87" i="6"/>
  <c r="BB87" i="6" s="1"/>
  <c r="BC87" i="6" s="1"/>
  <c r="AZ86" i="6"/>
  <c r="BB86" i="6" s="1"/>
  <c r="BC86" i="6" s="1"/>
  <c r="T88" i="6"/>
  <c r="AV88" i="6"/>
  <c r="BH88" i="6" s="1"/>
  <c r="AO88" i="6"/>
  <c r="L99" i="6"/>
  <c r="K99" i="6"/>
  <c r="AF88" i="6"/>
  <c r="U88" i="6"/>
  <c r="AN88" i="6"/>
  <c r="Z90" i="6"/>
  <c r="AA90" i="6" s="1"/>
  <c r="AB90" i="6" s="1"/>
  <c r="BJ90" i="6" s="1"/>
  <c r="AK90" i="6"/>
  <c r="AL90" i="6" s="1"/>
  <c r="AM90" i="6" s="1"/>
  <c r="AK89" i="6"/>
  <c r="AL89" i="6" s="1"/>
  <c r="AM89" i="6" s="1"/>
  <c r="Z89" i="6"/>
  <c r="AA89" i="6" s="1"/>
  <c r="AB89" i="6" s="1"/>
  <c r="BJ89" i="6" s="1"/>
  <c r="AC89" i="6"/>
  <c r="AD89" i="6" s="1"/>
  <c r="AE89" i="6" s="1"/>
  <c r="N91" i="6"/>
  <c r="J92" i="6"/>
  <c r="P90" i="6"/>
  <c r="S90" i="6"/>
  <c r="AV90" i="6" s="1"/>
  <c r="BH90" i="6" s="1"/>
  <c r="Q90" i="6"/>
  <c r="R90" i="6" s="1"/>
  <c r="AG90" i="6" s="1"/>
  <c r="W90" i="6"/>
  <c r="AC90" i="6"/>
  <c r="AD90" i="6" s="1"/>
  <c r="AE90" i="6" s="1"/>
  <c r="S89" i="6"/>
  <c r="AV89" i="6" s="1"/>
  <c r="BH89" i="6" s="1"/>
  <c r="P89" i="6"/>
  <c r="Q89" i="6"/>
  <c r="R89" i="6" s="1"/>
  <c r="AG89" i="6" s="1"/>
  <c r="W89" i="6"/>
  <c r="AJ88" i="6" l="1"/>
  <c r="AH89" i="6"/>
  <c r="AH90" i="6"/>
  <c r="BL87" i="6"/>
  <c r="BL86" i="6"/>
  <c r="V88" i="6"/>
  <c r="BD88" i="6" s="1"/>
  <c r="AP88" i="6"/>
  <c r="AU88" i="6" s="1"/>
  <c r="AO90" i="6"/>
  <c r="AO89" i="6"/>
  <c r="L100" i="6"/>
  <c r="K100" i="6"/>
  <c r="AF89" i="6"/>
  <c r="AN89" i="6"/>
  <c r="AN90" i="6"/>
  <c r="AF90" i="6"/>
  <c r="N92" i="6"/>
  <c r="O92" i="6" s="1"/>
  <c r="O91" i="6"/>
  <c r="U89" i="6"/>
  <c r="T90" i="6"/>
  <c r="X90" i="6"/>
  <c r="Y90" i="6" s="1"/>
  <c r="BK90" i="6" s="1"/>
  <c r="T89" i="6"/>
  <c r="X89" i="6"/>
  <c r="Y89" i="6" s="1"/>
  <c r="BK89" i="6" s="1"/>
  <c r="U90" i="6"/>
  <c r="J93" i="6"/>
  <c r="AJ90" i="6" l="1"/>
  <c r="BF90" i="6" s="1"/>
  <c r="AJ89" i="6"/>
  <c r="BF89" i="6" s="1"/>
  <c r="BF88" i="6"/>
  <c r="BG88" i="6"/>
  <c r="AZ88" i="6"/>
  <c r="BB88" i="6" s="1"/>
  <c r="BC88" i="6" s="1"/>
  <c r="Q91" i="6"/>
  <c r="R91" i="6" s="1"/>
  <c r="AG91" i="6" s="1"/>
  <c r="AP89" i="6"/>
  <c r="AP90" i="6"/>
  <c r="L101" i="6"/>
  <c r="V90" i="6"/>
  <c r="BD90" i="6" s="1"/>
  <c r="K101" i="6"/>
  <c r="AC91" i="6"/>
  <c r="AD91" i="6" s="1"/>
  <c r="AE91" i="6" s="1"/>
  <c r="P91" i="6"/>
  <c r="N93" i="6"/>
  <c r="O93" i="6" s="1"/>
  <c r="Z92" i="6"/>
  <c r="AA92" i="6" s="1"/>
  <c r="AB92" i="6" s="1"/>
  <c r="BJ92" i="6" s="1"/>
  <c r="AK92" i="6"/>
  <c r="AL92" i="6" s="1"/>
  <c r="AM92" i="6" s="1"/>
  <c r="AK91" i="6"/>
  <c r="AL91" i="6" s="1"/>
  <c r="AM91" i="6" s="1"/>
  <c r="W91" i="6"/>
  <c r="X91" i="6" s="1"/>
  <c r="Y91" i="6" s="1"/>
  <c r="BK91" i="6" s="1"/>
  <c r="S91" i="6"/>
  <c r="Z91" i="6"/>
  <c r="AA91" i="6" s="1"/>
  <c r="AB91" i="6" s="1"/>
  <c r="BJ91" i="6" s="1"/>
  <c r="AC92" i="6"/>
  <c r="AD92" i="6" s="1"/>
  <c r="AE92" i="6" s="1"/>
  <c r="P92" i="6"/>
  <c r="Q92" i="6"/>
  <c r="R92" i="6" s="1"/>
  <c r="AG92" i="6" s="1"/>
  <c r="S92" i="6"/>
  <c r="AV92" i="6" s="1"/>
  <c r="BH92" i="6" s="1"/>
  <c r="W92" i="6"/>
  <c r="V89" i="6"/>
  <c r="J94" i="6"/>
  <c r="AH91" i="6" l="1"/>
  <c r="AH92" i="6"/>
  <c r="AU90" i="6"/>
  <c r="AZ90" i="6" s="1"/>
  <c r="BB90" i="6" s="1"/>
  <c r="BC90" i="6" s="1"/>
  <c r="AU89" i="6"/>
  <c r="BG89" i="6" s="1"/>
  <c r="BE89" i="6" s="1"/>
  <c r="BL88" i="6"/>
  <c r="AF91" i="6"/>
  <c r="BE88" i="6"/>
  <c r="U91" i="6"/>
  <c r="BD89" i="6"/>
  <c r="T91" i="6"/>
  <c r="AV91" i="6"/>
  <c r="BH91" i="6" s="1"/>
  <c r="AO92" i="6"/>
  <c r="AO91" i="6"/>
  <c r="L102" i="6"/>
  <c r="K102" i="6"/>
  <c r="AK93" i="6"/>
  <c r="AL93" i="6" s="1"/>
  <c r="AM93" i="6" s="1"/>
  <c r="AN91" i="6"/>
  <c r="AF92" i="6"/>
  <c r="AJ92" i="6" s="1"/>
  <c r="AN92" i="6"/>
  <c r="U92" i="6"/>
  <c r="Q93" i="6"/>
  <c r="R93" i="6" s="1"/>
  <c r="AG93" i="6" s="1"/>
  <c r="P93" i="6"/>
  <c r="S93" i="6"/>
  <c r="AV93" i="6" s="1"/>
  <c r="BH93" i="6" s="1"/>
  <c r="W93" i="6"/>
  <c r="X92" i="6"/>
  <c r="Y92" i="6" s="1"/>
  <c r="BK92" i="6" s="1"/>
  <c r="N94" i="6"/>
  <c r="AC93" i="6"/>
  <c r="AD93" i="6" s="1"/>
  <c r="AE93" i="6" s="1"/>
  <c r="J95" i="6"/>
  <c r="T92" i="6"/>
  <c r="Z93" i="6"/>
  <c r="AA93" i="6" s="1"/>
  <c r="AB93" i="6" s="1"/>
  <c r="BJ93" i="6" s="1"/>
  <c r="AJ91" i="6" l="1"/>
  <c r="AH93" i="6"/>
  <c r="AZ89" i="6"/>
  <c r="BB89" i="6" s="1"/>
  <c r="BC89" i="6" s="1"/>
  <c r="BL89" i="6"/>
  <c r="BG90" i="6"/>
  <c r="BF92" i="6"/>
  <c r="AP92" i="6"/>
  <c r="AU92" i="6" s="1"/>
  <c r="V91" i="6"/>
  <c r="BD91" i="6" s="1"/>
  <c r="BF91" i="6"/>
  <c r="AP91" i="6"/>
  <c r="AU91" i="6" s="1"/>
  <c r="AO93" i="6"/>
  <c r="AF93" i="6"/>
  <c r="AJ93" i="6" s="1"/>
  <c r="L103" i="6"/>
  <c r="K103" i="6"/>
  <c r="AN93" i="6"/>
  <c r="N95" i="6"/>
  <c r="T93" i="6"/>
  <c r="J96" i="6"/>
  <c r="U93" i="6"/>
  <c r="X93" i="6"/>
  <c r="Y93" i="6" s="1"/>
  <c r="BK93" i="6" s="1"/>
  <c r="O94" i="6"/>
  <c r="V92" i="6"/>
  <c r="BF93" i="6" l="1"/>
  <c r="BL90" i="6"/>
  <c r="BE90" i="6"/>
  <c r="BG91" i="6"/>
  <c r="BE91" i="6" s="1"/>
  <c r="BG92" i="6"/>
  <c r="BE92" i="6" s="1"/>
  <c r="AZ92" i="6"/>
  <c r="BB92" i="6" s="1"/>
  <c r="BC92" i="6" s="1"/>
  <c r="BD92" i="6"/>
  <c r="AP93" i="6"/>
  <c r="AU93" i="6" s="1"/>
  <c r="AZ91" i="6"/>
  <c r="BB91" i="6" s="1"/>
  <c r="BC91" i="6" s="1"/>
  <c r="AK94" i="6"/>
  <c r="AL94" i="6" s="1"/>
  <c r="AM94" i="6" s="1"/>
  <c r="L104" i="6"/>
  <c r="K104" i="6"/>
  <c r="V93" i="6"/>
  <c r="BD93" i="6" s="1"/>
  <c r="O95" i="6"/>
  <c r="AC94" i="6"/>
  <c r="AD94" i="6" s="1"/>
  <c r="AE94" i="6" s="1"/>
  <c r="AH94" i="6"/>
  <c r="N96" i="6"/>
  <c r="O96" i="6" s="1"/>
  <c r="Q94" i="6"/>
  <c r="R94" i="6" s="1"/>
  <c r="AG94" i="6" s="1"/>
  <c r="P94" i="6"/>
  <c r="S94" i="6"/>
  <c r="AV94" i="6" s="1"/>
  <c r="BH94" i="6" s="1"/>
  <c r="W94" i="6"/>
  <c r="Z94" i="6"/>
  <c r="AA94" i="6" s="1"/>
  <c r="AB94" i="6" s="1"/>
  <c r="BJ94" i="6" s="1"/>
  <c r="J97" i="6"/>
  <c r="BL92" i="6" l="1"/>
  <c r="AF94" i="6"/>
  <c r="BL91" i="6"/>
  <c r="BG93" i="6"/>
  <c r="BE93" i="6" s="1"/>
  <c r="AZ93" i="6"/>
  <c r="BB93" i="6" s="1"/>
  <c r="BC93" i="6" s="1"/>
  <c r="P95" i="6"/>
  <c r="AO94" i="6"/>
  <c r="L105" i="6"/>
  <c r="S95" i="6"/>
  <c r="K105" i="6"/>
  <c r="W95" i="6"/>
  <c r="X95" i="6" s="1"/>
  <c r="Y95" i="6" s="1"/>
  <c r="BK95" i="6" s="1"/>
  <c r="Q95" i="6"/>
  <c r="R95" i="6" s="1"/>
  <c r="AG95" i="6" s="1"/>
  <c r="AN94" i="6"/>
  <c r="AK96" i="6"/>
  <c r="AL96" i="6" s="1"/>
  <c r="AM96" i="6" s="1"/>
  <c r="AH95" i="6"/>
  <c r="Z95" i="6"/>
  <c r="AA95" i="6" s="1"/>
  <c r="AB95" i="6" s="1"/>
  <c r="BJ95" i="6" s="1"/>
  <c r="AK95" i="6"/>
  <c r="AL95" i="6" s="1"/>
  <c r="AM95" i="6" s="1"/>
  <c r="AC95" i="6"/>
  <c r="AD95" i="6" s="1"/>
  <c r="AE95" i="6" s="1"/>
  <c r="N97" i="6"/>
  <c r="O97" i="6" s="1"/>
  <c r="U94" i="6"/>
  <c r="S96" i="6"/>
  <c r="AV96" i="6" s="1"/>
  <c r="BH96" i="6" s="1"/>
  <c r="P96" i="6"/>
  <c r="Q96" i="6"/>
  <c r="R96" i="6" s="1"/>
  <c r="AG96" i="6" s="1"/>
  <c r="W96" i="6"/>
  <c r="X94" i="6"/>
  <c r="Y94" i="6" s="1"/>
  <c r="BK94" i="6" s="1"/>
  <c r="Z96" i="6"/>
  <c r="AA96" i="6" s="1"/>
  <c r="AB96" i="6" s="1"/>
  <c r="BJ96" i="6" s="1"/>
  <c r="J98" i="6"/>
  <c r="T94" i="6"/>
  <c r="AC96" i="6"/>
  <c r="AD96" i="6" s="1"/>
  <c r="AE96" i="6" s="1"/>
  <c r="AJ94" i="6" l="1"/>
  <c r="BF94" i="6" s="1"/>
  <c r="BL93" i="6"/>
  <c r="AP94" i="6"/>
  <c r="AU94" i="6" s="1"/>
  <c r="T95" i="6"/>
  <c r="AV95" i="6"/>
  <c r="BH95" i="6" s="1"/>
  <c r="AO96" i="6"/>
  <c r="AO95" i="6"/>
  <c r="L106" i="6"/>
  <c r="AF95" i="6"/>
  <c r="AN95" i="6"/>
  <c r="K106" i="6"/>
  <c r="U95" i="6"/>
  <c r="AH96" i="6"/>
  <c r="AN96" i="6"/>
  <c r="AK97" i="6"/>
  <c r="AL97" i="6" s="1"/>
  <c r="AM97" i="6" s="1"/>
  <c r="AH97" i="6"/>
  <c r="V94" i="6"/>
  <c r="AF96" i="6"/>
  <c r="N98" i="6"/>
  <c r="O98" i="6" s="1"/>
  <c r="T96" i="6"/>
  <c r="U96" i="6"/>
  <c r="P97" i="6"/>
  <c r="Q97" i="6"/>
  <c r="R97" i="6" s="1"/>
  <c r="AG97" i="6" s="1"/>
  <c r="S97" i="6"/>
  <c r="AV97" i="6" s="1"/>
  <c r="BH97" i="6" s="1"/>
  <c r="W97" i="6"/>
  <c r="X96" i="6"/>
  <c r="Y96" i="6" s="1"/>
  <c r="BK96" i="6" s="1"/>
  <c r="J99" i="6"/>
  <c r="Z97" i="6"/>
  <c r="AA97" i="6" s="1"/>
  <c r="AB97" i="6" s="1"/>
  <c r="BJ97" i="6" s="1"/>
  <c r="AC97" i="6"/>
  <c r="AD97" i="6" s="1"/>
  <c r="AE97" i="6" s="1"/>
  <c r="AJ95" i="6" l="1"/>
  <c r="BF95" i="6" s="1"/>
  <c r="AJ96" i="6"/>
  <c r="AP96" i="6"/>
  <c r="AU96" i="6" s="1"/>
  <c r="V95" i="6"/>
  <c r="BD95" i="6" s="1"/>
  <c r="BG94" i="6"/>
  <c r="BE94" i="6" s="1"/>
  <c r="AZ94" i="6"/>
  <c r="BB94" i="6" s="1"/>
  <c r="BC94" i="6" s="1"/>
  <c r="BD94" i="6"/>
  <c r="AP95" i="6"/>
  <c r="AU95" i="6" s="1"/>
  <c r="AO97" i="6"/>
  <c r="L107" i="6"/>
  <c r="K107" i="6"/>
  <c r="V96" i="6"/>
  <c r="BD96" i="6" s="1"/>
  <c r="AN97" i="6"/>
  <c r="AK98" i="6"/>
  <c r="AL98" i="6" s="1"/>
  <c r="AM98" i="6" s="1"/>
  <c r="AC98" i="6"/>
  <c r="AD98" i="6" s="1"/>
  <c r="AE98" i="6" s="1"/>
  <c r="AH98" i="6"/>
  <c r="AF97" i="6"/>
  <c r="Z98" i="6"/>
  <c r="AA98" i="6" s="1"/>
  <c r="AB98" i="6" s="1"/>
  <c r="BJ98" i="6" s="1"/>
  <c r="X97" i="6"/>
  <c r="Y97" i="6" s="1"/>
  <c r="BK97" i="6" s="1"/>
  <c r="J100" i="6"/>
  <c r="T97" i="6"/>
  <c r="Q98" i="6"/>
  <c r="R98" i="6" s="1"/>
  <c r="AG98" i="6" s="1"/>
  <c r="S98" i="6"/>
  <c r="AV98" i="6" s="1"/>
  <c r="BH98" i="6" s="1"/>
  <c r="P98" i="6"/>
  <c r="W98" i="6"/>
  <c r="U97" i="6"/>
  <c r="N99" i="6"/>
  <c r="AJ97" i="6" l="1"/>
  <c r="BF97" i="6" s="1"/>
  <c r="AP97" i="6"/>
  <c r="AU97" i="6" s="1"/>
  <c r="BL94" i="6"/>
  <c r="BF96" i="6"/>
  <c r="BG95" i="6"/>
  <c r="BL95" i="6" s="1"/>
  <c r="BG96" i="6"/>
  <c r="AZ96" i="6"/>
  <c r="BB96" i="6" s="1"/>
  <c r="BC96" i="6" s="1"/>
  <c r="AZ95" i="6"/>
  <c r="BB95" i="6" s="1"/>
  <c r="BC95" i="6" s="1"/>
  <c r="AO98" i="6"/>
  <c r="L108" i="6"/>
  <c r="K108" i="6"/>
  <c r="AN98" i="6"/>
  <c r="AF98" i="6"/>
  <c r="AJ98" i="6" s="1"/>
  <c r="O99" i="6"/>
  <c r="V97" i="6"/>
  <c r="BD97" i="6" s="1"/>
  <c r="X98" i="6"/>
  <c r="Y98" i="6" s="1"/>
  <c r="BK98" i="6" s="1"/>
  <c r="T98" i="6"/>
  <c r="U98" i="6"/>
  <c r="N100" i="6"/>
  <c r="J101" i="6"/>
  <c r="BF98" i="6" l="1"/>
  <c r="BL96" i="6"/>
  <c r="BE95" i="6"/>
  <c r="AP98" i="6"/>
  <c r="AU98" i="6" s="1"/>
  <c r="BG97" i="6"/>
  <c r="BE97" i="6" s="1"/>
  <c r="BE96" i="6"/>
  <c r="AZ97" i="6"/>
  <c r="BB97" i="6" s="1"/>
  <c r="BC97" i="6" s="1"/>
  <c r="AK99" i="6"/>
  <c r="AL99" i="6" s="1"/>
  <c r="AM99" i="6" s="1"/>
  <c r="L109" i="6"/>
  <c r="K109" i="6"/>
  <c r="Q99" i="6"/>
  <c r="R99" i="6" s="1"/>
  <c r="AG99" i="6" s="1"/>
  <c r="S99" i="6"/>
  <c r="W99" i="6"/>
  <c r="X99" i="6" s="1"/>
  <c r="Y99" i="6" s="1"/>
  <c r="BK99" i="6" s="1"/>
  <c r="Z99" i="6"/>
  <c r="AA99" i="6" s="1"/>
  <c r="AB99" i="6" s="1"/>
  <c r="BJ99" i="6" s="1"/>
  <c r="AC99" i="6"/>
  <c r="AD99" i="6" s="1"/>
  <c r="AE99" i="6" s="1"/>
  <c r="V98" i="6"/>
  <c r="P99" i="6"/>
  <c r="J102" i="6"/>
  <c r="N101" i="6"/>
  <c r="O101" i="6" s="1"/>
  <c r="O100" i="6"/>
  <c r="AH99" i="6" l="1"/>
  <c r="AF99" i="6"/>
  <c r="BL97" i="6"/>
  <c r="AZ98" i="6"/>
  <c r="BB98" i="6" s="1"/>
  <c r="BC98" i="6" s="1"/>
  <c r="BD98" i="6"/>
  <c r="BG98" i="6"/>
  <c r="BE98" i="6" s="1"/>
  <c r="AV99" i="6"/>
  <c r="BH99" i="6" s="1"/>
  <c r="AO99" i="6"/>
  <c r="U99" i="6"/>
  <c r="L110" i="6"/>
  <c r="T99" i="6"/>
  <c r="K110" i="6"/>
  <c r="AN99" i="6"/>
  <c r="N102" i="6"/>
  <c r="O102" i="6" s="1"/>
  <c r="AK100" i="6"/>
  <c r="AL100" i="6" s="1"/>
  <c r="AM100" i="6" s="1"/>
  <c r="AK101" i="6"/>
  <c r="AL101" i="6" s="1"/>
  <c r="AM101" i="6" s="1"/>
  <c r="S100" i="6"/>
  <c r="AV100" i="6" s="1"/>
  <c r="BH100" i="6" s="1"/>
  <c r="Q100" i="6"/>
  <c r="R100" i="6" s="1"/>
  <c r="AG100" i="6" s="1"/>
  <c r="P100" i="6"/>
  <c r="W100" i="6"/>
  <c r="AC100" i="6"/>
  <c r="AD100" i="6" s="1"/>
  <c r="AE100" i="6" s="1"/>
  <c r="P101" i="6"/>
  <c r="Q101" i="6"/>
  <c r="R101" i="6" s="1"/>
  <c r="AG101" i="6" s="1"/>
  <c r="S101" i="6"/>
  <c r="AV101" i="6" s="1"/>
  <c r="BH101" i="6" s="1"/>
  <c r="W101" i="6"/>
  <c r="Z100" i="6"/>
  <c r="AA100" i="6" s="1"/>
  <c r="AB100" i="6" s="1"/>
  <c r="BJ100" i="6" s="1"/>
  <c r="Z101" i="6"/>
  <c r="AA101" i="6" s="1"/>
  <c r="AB101" i="6" s="1"/>
  <c r="BJ101" i="6" s="1"/>
  <c r="AC101" i="6"/>
  <c r="AD101" i="6" s="1"/>
  <c r="AE101" i="6" s="1"/>
  <c r="J103" i="6"/>
  <c r="AH101" i="6" l="1"/>
  <c r="AH100" i="6"/>
  <c r="AJ99" i="6"/>
  <c r="BF99" i="6" s="1"/>
  <c r="AP99" i="6"/>
  <c r="AU99" i="6" s="1"/>
  <c r="BL98" i="6"/>
  <c r="AO101" i="6"/>
  <c r="AO100" i="6"/>
  <c r="V99" i="6"/>
  <c r="BD99" i="6" s="1"/>
  <c r="L112" i="6"/>
  <c r="L111" i="6"/>
  <c r="AF100" i="6"/>
  <c r="AJ100" i="6" s="1"/>
  <c r="AF101" i="6"/>
  <c r="K112" i="6"/>
  <c r="K111" i="6"/>
  <c r="AN100" i="6"/>
  <c r="AK102" i="6"/>
  <c r="AL102" i="6" s="1"/>
  <c r="AM102" i="6" s="1"/>
  <c r="AN101" i="6"/>
  <c r="N103" i="6"/>
  <c r="U100" i="6"/>
  <c r="U101" i="6"/>
  <c r="S102" i="6"/>
  <c r="AV102" i="6" s="1"/>
  <c r="BH102" i="6" s="1"/>
  <c r="P102" i="6"/>
  <c r="Q102" i="6"/>
  <c r="R102" i="6" s="1"/>
  <c r="AG102" i="6" s="1"/>
  <c r="W102" i="6"/>
  <c r="X100" i="6"/>
  <c r="Y100" i="6" s="1"/>
  <c r="BK100" i="6" s="1"/>
  <c r="X101" i="6"/>
  <c r="Y101" i="6" s="1"/>
  <c r="BK101" i="6" s="1"/>
  <c r="J104" i="6"/>
  <c r="AC102" i="6"/>
  <c r="AD102" i="6" s="1"/>
  <c r="AE102" i="6" s="1"/>
  <c r="T101" i="6"/>
  <c r="Z102" i="6"/>
  <c r="AA102" i="6" s="1"/>
  <c r="AB102" i="6" s="1"/>
  <c r="BJ102" i="6" s="1"/>
  <c r="T100" i="6"/>
  <c r="AH102" i="6" l="1"/>
  <c r="AJ101" i="6"/>
  <c r="BF101" i="6" s="1"/>
  <c r="AP101" i="6"/>
  <c r="AU101" i="6" s="1"/>
  <c r="AP100" i="6"/>
  <c r="AU100" i="6" s="1"/>
  <c r="BG99" i="6"/>
  <c r="BE99" i="6" s="1"/>
  <c r="AZ99" i="6"/>
  <c r="BB99" i="6" s="1"/>
  <c r="BC99" i="6" s="1"/>
  <c r="AO102" i="6"/>
  <c r="AN102" i="6"/>
  <c r="O103" i="6"/>
  <c r="V100" i="6"/>
  <c r="BD100" i="6" s="1"/>
  <c r="V101" i="6"/>
  <c r="BD101" i="6" s="1"/>
  <c r="AF102" i="6"/>
  <c r="X102" i="6"/>
  <c r="Y102" i="6" s="1"/>
  <c r="BK102" i="6" s="1"/>
  <c r="J105" i="6"/>
  <c r="T102" i="6"/>
  <c r="U102" i="6"/>
  <c r="N104" i="6"/>
  <c r="AJ102" i="6" l="1"/>
  <c r="BF102" i="6" s="1"/>
  <c r="BL99" i="6"/>
  <c r="BF100" i="6"/>
  <c r="BG100" i="6"/>
  <c r="BG101" i="6"/>
  <c r="BE101" i="6" s="1"/>
  <c r="AP102" i="6"/>
  <c r="AU102" i="6" s="1"/>
  <c r="AZ100" i="6"/>
  <c r="BB100" i="6" s="1"/>
  <c r="BC100" i="6" s="1"/>
  <c r="AZ101" i="6"/>
  <c r="BB101" i="6" s="1"/>
  <c r="BC101" i="6" s="1"/>
  <c r="W103" i="6"/>
  <c r="X103" i="6" s="1"/>
  <c r="Y103" i="6" s="1"/>
  <c r="BK103" i="6" s="1"/>
  <c r="AC103" i="6"/>
  <c r="AD103" i="6" s="1"/>
  <c r="AE103" i="6" s="1"/>
  <c r="P103" i="6"/>
  <c r="N105" i="6"/>
  <c r="O105" i="6" s="1"/>
  <c r="Z103" i="6"/>
  <c r="AA103" i="6" s="1"/>
  <c r="AB103" i="6" s="1"/>
  <c r="BJ103" i="6" s="1"/>
  <c r="S103" i="6"/>
  <c r="O104" i="6"/>
  <c r="Q103" i="6"/>
  <c r="R103" i="6" s="1"/>
  <c r="AG103" i="6" s="1"/>
  <c r="AK103" i="6"/>
  <c r="AL103" i="6" s="1"/>
  <c r="AM103" i="6" s="1"/>
  <c r="V102" i="6"/>
  <c r="BD102" i="6" s="1"/>
  <c r="J106" i="6"/>
  <c r="AH103" i="6" l="1"/>
  <c r="BL100" i="6"/>
  <c r="BL101" i="6"/>
  <c r="BE100" i="6"/>
  <c r="BG102" i="6"/>
  <c r="BE102" i="6" s="1"/>
  <c r="T103" i="6"/>
  <c r="AV103" i="6"/>
  <c r="BH103" i="6" s="1"/>
  <c r="AZ102" i="6"/>
  <c r="BB102" i="6" s="1"/>
  <c r="BC102" i="6" s="1"/>
  <c r="AK104" i="6"/>
  <c r="AL104" i="6" s="1"/>
  <c r="AM104" i="6" s="1"/>
  <c r="AO103" i="6"/>
  <c r="Z104" i="6"/>
  <c r="AA104" i="6" s="1"/>
  <c r="AB104" i="6" s="1"/>
  <c r="BJ104" i="6" s="1"/>
  <c r="AN103" i="6"/>
  <c r="P104" i="6"/>
  <c r="S104" i="6"/>
  <c r="U103" i="6"/>
  <c r="W104" i="6"/>
  <c r="X104" i="6" s="1"/>
  <c r="Y104" i="6" s="1"/>
  <c r="BK104" i="6" s="1"/>
  <c r="AC104" i="6"/>
  <c r="AD104" i="6" s="1"/>
  <c r="AE104" i="6" s="1"/>
  <c r="Q104" i="6"/>
  <c r="R104" i="6" s="1"/>
  <c r="AG104" i="6" s="1"/>
  <c r="AC105" i="6"/>
  <c r="AD105" i="6" s="1"/>
  <c r="AE105" i="6" s="1"/>
  <c r="AH104" i="6"/>
  <c r="AF103" i="6"/>
  <c r="AK105" i="6"/>
  <c r="AL105" i="6" s="1"/>
  <c r="AM105" i="6" s="1"/>
  <c r="Z105" i="6"/>
  <c r="AA105" i="6" s="1"/>
  <c r="AB105" i="6" s="1"/>
  <c r="BJ105" i="6" s="1"/>
  <c r="J107" i="6"/>
  <c r="N106" i="6"/>
  <c r="S105" i="6"/>
  <c r="AV105" i="6" s="1"/>
  <c r="BH105" i="6" s="1"/>
  <c r="P105" i="6"/>
  <c r="Q105" i="6"/>
  <c r="R105" i="6" s="1"/>
  <c r="AG105" i="6" s="1"/>
  <c r="W105" i="6"/>
  <c r="V103" i="6" l="1"/>
  <c r="BD103" i="6" s="1"/>
  <c r="AH105" i="6"/>
  <c r="AJ103" i="6"/>
  <c r="BF103" i="6" s="1"/>
  <c r="BL102" i="6"/>
  <c r="T104" i="6"/>
  <c r="AV104" i="6"/>
  <c r="BH104" i="6" s="1"/>
  <c r="AP103" i="6"/>
  <c r="AU103" i="6" s="1"/>
  <c r="AO104" i="6"/>
  <c r="AO105" i="6"/>
  <c r="AF104" i="6"/>
  <c r="AJ104" i="6" s="1"/>
  <c r="AN104" i="6"/>
  <c r="U104" i="6"/>
  <c r="AF105" i="6"/>
  <c r="AN105" i="6"/>
  <c r="U105" i="6"/>
  <c r="N107" i="6"/>
  <c r="O107" i="6" s="1"/>
  <c r="J108" i="6"/>
  <c r="X105" i="6"/>
  <c r="Y105" i="6" s="1"/>
  <c r="BK105" i="6" s="1"/>
  <c r="T105" i="6"/>
  <c r="O106" i="6"/>
  <c r="AJ105" i="6" l="1"/>
  <c r="BF105" i="6" s="1"/>
  <c r="V104" i="6"/>
  <c r="BD104" i="6" s="1"/>
  <c r="BG103" i="6"/>
  <c r="BL103" i="6" s="1"/>
  <c r="BF104" i="6"/>
  <c r="AZ103" i="6"/>
  <c r="BB103" i="6" s="1"/>
  <c r="BC103" i="6" s="1"/>
  <c r="AP105" i="6"/>
  <c r="AU105" i="6" s="1"/>
  <c r="AP104" i="6"/>
  <c r="AU104" i="6" s="1"/>
  <c r="AK106" i="6"/>
  <c r="AL106" i="6" s="1"/>
  <c r="AM106" i="6" s="1"/>
  <c r="V105" i="6"/>
  <c r="BD105" i="6" s="1"/>
  <c r="AK107" i="6"/>
  <c r="AL107" i="6" s="1"/>
  <c r="AM107" i="6" s="1"/>
  <c r="P107" i="6"/>
  <c r="Q107" i="6"/>
  <c r="R107" i="6" s="1"/>
  <c r="AG107" i="6" s="1"/>
  <c r="S107" i="6"/>
  <c r="AV107" i="6" s="1"/>
  <c r="BH107" i="6" s="1"/>
  <c r="W107" i="6"/>
  <c r="Z106" i="6"/>
  <c r="AA106" i="6" s="1"/>
  <c r="AB106" i="6" s="1"/>
  <c r="BJ106" i="6" s="1"/>
  <c r="AC106" i="6"/>
  <c r="AD106" i="6" s="1"/>
  <c r="AE106" i="6" s="1"/>
  <c r="J109" i="6"/>
  <c r="N108" i="6"/>
  <c r="Z107" i="6"/>
  <c r="AA107" i="6" s="1"/>
  <c r="AB107" i="6" s="1"/>
  <c r="BJ107" i="6" s="1"/>
  <c r="S106" i="6"/>
  <c r="AV106" i="6" s="1"/>
  <c r="BH106" i="6" s="1"/>
  <c r="Q106" i="6"/>
  <c r="R106" i="6" s="1"/>
  <c r="AG106" i="6" s="1"/>
  <c r="P106" i="6"/>
  <c r="W106" i="6"/>
  <c r="AC107" i="6"/>
  <c r="AD107" i="6" s="1"/>
  <c r="AE107" i="6" s="1"/>
  <c r="AH106" i="6" l="1"/>
  <c r="AH107" i="6"/>
  <c r="AO106" i="6"/>
  <c r="BE103" i="6"/>
  <c r="BG104" i="6"/>
  <c r="BE104" i="6" s="1"/>
  <c r="BG105" i="6"/>
  <c r="BE105" i="6" s="1"/>
  <c r="AZ105" i="6"/>
  <c r="BB105" i="6" s="1"/>
  <c r="BC105" i="6" s="1"/>
  <c r="AZ104" i="6"/>
  <c r="BB104" i="6" s="1"/>
  <c r="BC104" i="6" s="1"/>
  <c r="AO107" i="6"/>
  <c r="AN107" i="6"/>
  <c r="AN106" i="6"/>
  <c r="AF106" i="6"/>
  <c r="O108" i="6"/>
  <c r="AF107" i="6"/>
  <c r="AJ107" i="6" s="1"/>
  <c r="U106" i="6"/>
  <c r="N109" i="6"/>
  <c r="T106" i="6"/>
  <c r="X107" i="6"/>
  <c r="Y107" i="6" s="1"/>
  <c r="BK107" i="6" s="1"/>
  <c r="J110" i="6"/>
  <c r="T107" i="6"/>
  <c r="X106" i="6"/>
  <c r="Y106" i="6" s="1"/>
  <c r="BK106" i="6" s="1"/>
  <c r="U107" i="6"/>
  <c r="AP106" i="6" l="1"/>
  <c r="AU106" i="6" s="1"/>
  <c r="AJ106" i="6"/>
  <c r="BF106" i="6" s="1"/>
  <c r="BF107" i="6"/>
  <c r="AP107" i="6"/>
  <c r="BL105" i="6"/>
  <c r="BL104" i="6"/>
  <c r="AK108" i="6"/>
  <c r="AL108" i="6" s="1"/>
  <c r="AM108" i="6" s="1"/>
  <c r="AC108" i="6"/>
  <c r="AD108" i="6" s="1"/>
  <c r="AE108" i="6" s="1"/>
  <c r="S108" i="6"/>
  <c r="W108" i="6"/>
  <c r="X108" i="6" s="1"/>
  <c r="Y108" i="6" s="1"/>
  <c r="BK108" i="6" s="1"/>
  <c r="Q108" i="6"/>
  <c r="R108" i="6" s="1"/>
  <c r="AG108" i="6" s="1"/>
  <c r="P108" i="6"/>
  <c r="V106" i="6"/>
  <c r="BD106" i="6" s="1"/>
  <c r="AH108" i="6"/>
  <c r="O109" i="6"/>
  <c r="Z108" i="6"/>
  <c r="AA108" i="6" s="1"/>
  <c r="AB108" i="6" s="1"/>
  <c r="BJ108" i="6" s="1"/>
  <c r="V107" i="6"/>
  <c r="BD107" i="6" s="1"/>
  <c r="N110" i="6"/>
  <c r="O110" i="6" s="1"/>
  <c r="J111" i="6"/>
  <c r="AU107" i="6" l="1"/>
  <c r="BG107" i="6" s="1"/>
  <c r="BG106" i="6"/>
  <c r="BE106" i="6" s="1"/>
  <c r="T108" i="6"/>
  <c r="AV108" i="6"/>
  <c r="BH108" i="6" s="1"/>
  <c r="AZ106" i="6"/>
  <c r="BB106" i="6" s="1"/>
  <c r="BC106" i="6" s="1"/>
  <c r="U108" i="6"/>
  <c r="AO108" i="6"/>
  <c r="AN108" i="6"/>
  <c r="AF108" i="6"/>
  <c r="AC110" i="6"/>
  <c r="AD110" i="6" s="1"/>
  <c r="AE110" i="6" s="1"/>
  <c r="W109" i="6"/>
  <c r="X109" i="6" s="1"/>
  <c r="Y109" i="6" s="1"/>
  <c r="BK109" i="6" s="1"/>
  <c r="AK110" i="6"/>
  <c r="AL110" i="6" s="1"/>
  <c r="AM110" i="6" s="1"/>
  <c r="AK109" i="6"/>
  <c r="AL109" i="6" s="1"/>
  <c r="AM109" i="6" s="1"/>
  <c r="P109" i="6"/>
  <c r="Z109" i="6"/>
  <c r="AA109" i="6" s="1"/>
  <c r="AB109" i="6" s="1"/>
  <c r="BJ109" i="6" s="1"/>
  <c r="N111" i="6"/>
  <c r="O111" i="6" s="1"/>
  <c r="AC109" i="6"/>
  <c r="AD109" i="6" s="1"/>
  <c r="AE109" i="6" s="1"/>
  <c r="Q109" i="6"/>
  <c r="R109" i="6" s="1"/>
  <c r="AG109" i="6" s="1"/>
  <c r="S109" i="6"/>
  <c r="J112" i="6"/>
  <c r="Q110" i="6"/>
  <c r="R110" i="6" s="1"/>
  <c r="AG110" i="6" s="1"/>
  <c r="P110" i="6"/>
  <c r="S110" i="6"/>
  <c r="AV110" i="6" s="1"/>
  <c r="BH110" i="6" s="1"/>
  <c r="W110" i="6"/>
  <c r="Z110" i="6"/>
  <c r="AA110" i="6" s="1"/>
  <c r="AB110" i="6" s="1"/>
  <c r="BJ110" i="6" s="1"/>
  <c r="AH109" i="6" l="1"/>
  <c r="AH110" i="6"/>
  <c r="AZ107" i="6"/>
  <c r="BB107" i="6" s="1"/>
  <c r="BC107" i="6" s="1"/>
  <c r="BE107" i="6"/>
  <c r="BL107" i="6"/>
  <c r="AJ108" i="6"/>
  <c r="BF108" i="6" s="1"/>
  <c r="V108" i="6"/>
  <c r="BD108" i="6" s="1"/>
  <c r="BL106" i="6"/>
  <c r="AV109" i="6"/>
  <c r="BH109" i="6" s="1"/>
  <c r="AP108" i="6"/>
  <c r="AU108" i="6" s="1"/>
  <c r="AO109" i="6"/>
  <c r="AF110" i="6"/>
  <c r="AO110" i="6"/>
  <c r="U109" i="6"/>
  <c r="AC111" i="6"/>
  <c r="AD111" i="6" s="1"/>
  <c r="AE111" i="6" s="1"/>
  <c r="AH111" i="6"/>
  <c r="T109" i="6"/>
  <c r="AN110" i="6"/>
  <c r="AK111" i="6"/>
  <c r="AL111" i="6" s="1"/>
  <c r="AM111" i="6" s="1"/>
  <c r="N112" i="6"/>
  <c r="O112" i="6" s="1"/>
  <c r="AN109" i="6"/>
  <c r="AF109" i="6"/>
  <c r="AJ109" i="6" s="1"/>
  <c r="U110" i="6"/>
  <c r="Z111" i="6"/>
  <c r="AA111" i="6" s="1"/>
  <c r="AB111" i="6" s="1"/>
  <c r="BJ111" i="6" s="1"/>
  <c r="X110" i="6"/>
  <c r="Y110" i="6" s="1"/>
  <c r="BK110" i="6" s="1"/>
  <c r="S111" i="6"/>
  <c r="AV111" i="6" s="1"/>
  <c r="BH111" i="6" s="1"/>
  <c r="P111" i="6"/>
  <c r="Q111" i="6"/>
  <c r="R111" i="6" s="1"/>
  <c r="AG111" i="6" s="1"/>
  <c r="W111" i="6"/>
  <c r="T110" i="6"/>
  <c r="AJ110" i="6" l="1"/>
  <c r="BF110" i="6" s="1"/>
  <c r="BF109" i="6"/>
  <c r="BG108" i="6"/>
  <c r="BL108" i="6" s="1"/>
  <c r="AP109" i="6"/>
  <c r="AZ108" i="6"/>
  <c r="BB108" i="6" s="1"/>
  <c r="BC108" i="6" s="1"/>
  <c r="AP110" i="6"/>
  <c r="AU110" i="6" s="1"/>
  <c r="AO111" i="6"/>
  <c r="V109" i="6"/>
  <c r="BD109" i="6" s="1"/>
  <c r="AN111" i="6"/>
  <c r="AF111" i="6"/>
  <c r="AJ111" i="6" s="1"/>
  <c r="AK112" i="6"/>
  <c r="AL112" i="6" s="1"/>
  <c r="AM112" i="6" s="1"/>
  <c r="V110" i="6"/>
  <c r="BD110" i="6" s="1"/>
  <c r="AC112" i="6"/>
  <c r="AD112" i="6" s="1"/>
  <c r="AE112" i="6" s="1"/>
  <c r="U111" i="6"/>
  <c r="Z112" i="6"/>
  <c r="AA112" i="6" s="1"/>
  <c r="AB112" i="6" s="1"/>
  <c r="BJ112" i="6" s="1"/>
  <c r="X111" i="6"/>
  <c r="Y111" i="6" s="1"/>
  <c r="BK111" i="6" s="1"/>
  <c r="S112" i="6"/>
  <c r="AV112" i="6" s="1"/>
  <c r="BH112" i="6" s="1"/>
  <c r="P112" i="6"/>
  <c r="Q112" i="6"/>
  <c r="R112" i="6" s="1"/>
  <c r="AG112" i="6" s="1"/>
  <c r="W112" i="6"/>
  <c r="T111" i="6"/>
  <c r="AH112" i="6" l="1"/>
  <c r="AU109" i="6"/>
  <c r="BG109" i="6" s="1"/>
  <c r="BE108" i="6"/>
  <c r="BG110" i="6"/>
  <c r="AZ110" i="6"/>
  <c r="BB110" i="6" s="1"/>
  <c r="BC110" i="6" s="1"/>
  <c r="AP111" i="6"/>
  <c r="AU111" i="6" s="1"/>
  <c r="AO112" i="6"/>
  <c r="AN112" i="6"/>
  <c r="V111" i="6"/>
  <c r="AF112" i="6"/>
  <c r="U112" i="6"/>
  <c r="T112" i="6"/>
  <c r="X112" i="6"/>
  <c r="Y112" i="6" s="1"/>
  <c r="BK112" i="6" s="1"/>
  <c r="BE109" i="6" l="1"/>
  <c r="BL109" i="6"/>
  <c r="AJ112" i="6"/>
  <c r="BF112" i="6" s="1"/>
  <c r="AZ109" i="6"/>
  <c r="BB109" i="6" s="1"/>
  <c r="BC109" i="6" s="1"/>
  <c r="BL110" i="6"/>
  <c r="BE110" i="6"/>
  <c r="BG111" i="6"/>
  <c r="AZ111" i="6"/>
  <c r="BB111" i="6" s="1"/>
  <c r="BC111" i="6" s="1"/>
  <c r="BD111" i="6"/>
  <c r="BF111" i="6"/>
  <c r="AP112" i="6"/>
  <c r="AU112" i="6" s="1"/>
  <c r="V112" i="6"/>
  <c r="BE111" i="6" l="1"/>
  <c r="BL111" i="6"/>
  <c r="AZ112" i="6"/>
  <c r="BB112" i="6" s="1"/>
  <c r="D6" i="6" s="1"/>
  <c r="BD112" i="6"/>
  <c r="BG112" i="6"/>
  <c r="BE112" i="6" s="1"/>
  <c r="BC112" i="6" l="1"/>
  <c r="BL112" i="6"/>
</calcChain>
</file>

<file path=xl/comments1.xml><?xml version="1.0" encoding="utf-8"?>
<comments xmlns="http://schemas.openxmlformats.org/spreadsheetml/2006/main">
  <authors>
    <author>Timothy Hegarty</author>
    <author>Lee, Eric</author>
    <author>BDATSC</author>
    <author>Hegarty, Timothy</author>
  </authors>
  <commentList>
    <comment ref="A3" authorId="0" shapeId="0">
      <text>
        <r>
          <rPr>
            <b/>
            <sz val="12"/>
            <color indexed="10"/>
            <rFont val="Arial"/>
            <family val="2"/>
          </rPr>
          <t>LM(2)5190(-Q1) 
Quickstart Design Tool</t>
        </r>
        <r>
          <rPr>
            <sz val="9"/>
            <color indexed="81"/>
            <rFont val="Arial"/>
            <family val="2"/>
          </rPr>
          <t xml:space="preserve">
This stand-alone tool facilitates and assists the power supply engineer with design of a DC/DC buck regulator based on the </t>
        </r>
        <r>
          <rPr>
            <b/>
            <sz val="9"/>
            <color indexed="81"/>
            <rFont val="Arial"/>
            <family val="2"/>
          </rPr>
          <t>LM(2)5190(-Q1) synchronous buck DC/DC converter</t>
        </r>
        <r>
          <rPr>
            <sz val="9"/>
            <color indexed="81"/>
            <rFont val="Arial"/>
            <family val="2"/>
          </rPr>
          <t xml:space="preserve">. As such, the user can expeditiously arrive at an optimized design by virtue of the following:
- Determine inductor and input / output capacitances for stable performance and low ripple
- Select components to set switching frequency, output voltage setpoint, and input volltage UVLO
- Optimize the design based on the MOSFET selections 
- Inspect converter efficiency and power dissipations vs. line and load
- Review auto-generated schematic and BOM list
</t>
        </r>
        <r>
          <rPr>
            <b/>
            <sz val="9"/>
            <color indexed="81"/>
            <rFont val="Arial"/>
            <family val="2"/>
          </rPr>
          <t>IMPORTANT:</t>
        </r>
        <r>
          <rPr>
            <sz val="9"/>
            <color indexed="81"/>
            <rFont val="Arial"/>
            <family val="2"/>
          </rPr>
          <t xml:space="preserve"> You must enable macros if Microsoft EXCEL asks as the file is being opened.
U.S. English notationsense resistance,  is used throughout.
</t>
        </r>
        <r>
          <rPr>
            <b/>
            <sz val="9"/>
            <color indexed="81"/>
            <rFont val="Arial"/>
            <family val="2"/>
          </rPr>
          <t xml:space="preserve">
Texas Instruments, Inc.</t>
        </r>
      </text>
    </comment>
    <comment ref="K3" authorId="0" shapeId="0">
      <text>
        <r>
          <rPr>
            <b/>
            <u/>
            <sz val="11"/>
            <color indexed="10"/>
            <rFont val="Arial"/>
            <family val="2"/>
          </rPr>
          <t>Texas Instruments</t>
        </r>
        <r>
          <rPr>
            <sz val="11"/>
            <color indexed="10"/>
            <rFont val="Arial"/>
            <family val="2"/>
          </rPr>
          <t>:</t>
        </r>
        <r>
          <rPr>
            <sz val="9"/>
            <color indexed="81"/>
            <rFont val="Arial"/>
            <family val="2"/>
          </rPr>
          <t xml:space="preserve">
</t>
        </r>
        <r>
          <rPr>
            <b/>
            <sz val="9"/>
            <color indexed="81"/>
            <rFont val="Arial"/>
            <family val="2"/>
          </rPr>
          <t>Limited Use Policy</t>
        </r>
        <r>
          <rPr>
            <sz val="9"/>
            <color indexed="81"/>
            <rFont val="Arial"/>
            <family val="2"/>
          </rPr>
          <t xml:space="preserve">
You must treat this software and documentation like any other copyrighted material.
</t>
        </r>
        <r>
          <rPr>
            <b/>
            <sz val="9"/>
            <color indexed="81"/>
            <rFont val="Arial"/>
            <family val="2"/>
          </rPr>
          <t>You may not:</t>
        </r>
        <r>
          <rPr>
            <sz val="9"/>
            <color indexed="81"/>
            <rFont val="Arial"/>
            <family val="2"/>
          </rPr>
          <t xml:space="preserve">
- Copy documentation of the software
- Copy this software except to make archival or backup copies
- Reverse engineer, disassemble, decompile or make any attempt to discover the source code of the Software 
- Place the software onto a server so that it is accessible via a public network such as the internet 
- Sublicense, rent, lease or lend any portion of the software or documentation.
Texas Instruments is not responsible for the validity of any design created with this software and urges all designs to be fully tested and carefully verified. Refer to the product datasheets and EVM user's guide for more detail.
</t>
        </r>
        <r>
          <rPr>
            <b/>
            <sz val="9"/>
            <color indexed="81"/>
            <rFont val="Arial"/>
            <family val="2"/>
          </rPr>
          <t>Texas Instruments, Inc.</t>
        </r>
      </text>
    </comment>
    <comment ref="H7" authorId="1" shapeId="0">
      <text>
        <r>
          <rPr>
            <b/>
            <u/>
            <sz val="9"/>
            <color indexed="81"/>
            <rFont val="Arial"/>
            <family val="2"/>
          </rPr>
          <t>Minimum Input Voltage</t>
        </r>
        <r>
          <rPr>
            <b/>
            <sz val="9"/>
            <color indexed="81"/>
            <rFont val="Arial"/>
            <family val="2"/>
          </rPr>
          <t xml:space="preserve">
</t>
        </r>
        <r>
          <rPr>
            <sz val="9"/>
            <color indexed="81"/>
            <rFont val="Arial"/>
            <family val="2"/>
          </rPr>
          <t xml:space="preserve">The input voltage operating range is from 5 V to 80 V if LM5190 /  5 V to 42 V if LM25190. The minimum input supply voltage should be greater than the plateau voltage of the MOSFET.  If BIAS is externally supplied the minimum input supply voltage should be always greater than the BIAS voltage. </t>
        </r>
      </text>
    </comment>
    <comment ref="H8" authorId="1" shapeId="0">
      <text>
        <r>
          <rPr>
            <b/>
            <u/>
            <sz val="9"/>
            <color indexed="81"/>
            <rFont val="Arial"/>
            <family val="2"/>
          </rPr>
          <t>Typical Input Voltage</t>
        </r>
        <r>
          <rPr>
            <b/>
            <sz val="9"/>
            <color indexed="81"/>
            <rFont val="Arial"/>
            <family val="2"/>
          </rPr>
          <t xml:space="preserve">
</t>
        </r>
        <r>
          <rPr>
            <sz val="9"/>
            <color indexed="81"/>
            <rFont val="Arial"/>
            <family val="2"/>
          </rPr>
          <t xml:space="preserve">The input voltage operating range is from 5 V to 80 V if LM5190 /  5 V to 42 V if LM25190.  Enter the typical operating input  supply voltage.The typical input voltage should be greater than the minimum input supply voltage and less than the maximum input supply voltage. Loop responses and Efficiency are estimated at the typical input voltage. </t>
        </r>
      </text>
    </comment>
    <comment ref="H9" authorId="1" shapeId="0">
      <text>
        <r>
          <rPr>
            <b/>
            <u/>
            <sz val="9"/>
            <color indexed="81"/>
            <rFont val="Arial"/>
            <family val="2"/>
          </rPr>
          <t>Maximum Input Voltage</t>
        </r>
        <r>
          <rPr>
            <b/>
            <sz val="9"/>
            <color indexed="81"/>
            <rFont val="Arial"/>
            <family val="2"/>
          </rPr>
          <t xml:space="preserve">
</t>
        </r>
        <r>
          <rPr>
            <sz val="9"/>
            <color indexed="81"/>
            <rFont val="Arial"/>
            <family val="2"/>
          </rPr>
          <t xml:space="preserve">The input voltage operating range is from 5 V to 80 V if LM5190 /  5 V to 42 V if LM25190. Enter the maxumum operating input supply voltage.The maximum input voltage should be greater than the typical input voltage. The SW pin voltage should be less than its Abs Max when switching at the maximum input supply voltage. </t>
        </r>
      </text>
    </comment>
    <comment ref="H10" authorId="1" shapeId="0">
      <text>
        <r>
          <rPr>
            <b/>
            <u/>
            <sz val="9"/>
            <color indexed="81"/>
            <rFont val="Arial"/>
            <family val="2"/>
          </rPr>
          <t>Target Output Voltage</t>
        </r>
        <r>
          <rPr>
            <b/>
            <sz val="9"/>
            <color indexed="81"/>
            <rFont val="Arial"/>
            <family val="2"/>
          </rPr>
          <t xml:space="preserve">
</t>
        </r>
        <r>
          <rPr>
            <sz val="9"/>
            <color indexed="81"/>
            <rFont val="Arial"/>
            <family val="2"/>
          </rPr>
          <t xml:space="preserve">The output operating range is from 0.8V to 80 V if LM5190 /  0.8 V to 42 V if LM25190. The device also provides fixed output of 5V or 12V using internal feedback. Practical maximum output voltage is limited by the maximum duty cycle limit of the converter, especially at the minimum input supply  voltage. Dummy load is required when the output regulation target is 0.8V. Please refer the datasheet for more details. </t>
        </r>
      </text>
    </comment>
    <comment ref="H11" authorId="1" shapeId="0">
      <text>
        <r>
          <rPr>
            <b/>
            <u/>
            <sz val="9"/>
            <color indexed="81"/>
            <rFont val="Arial"/>
            <family val="2"/>
          </rPr>
          <t>Target Average Inductor Current in CC mode</t>
        </r>
        <r>
          <rPr>
            <b/>
            <sz val="9"/>
            <color indexed="81"/>
            <rFont val="Arial"/>
            <family val="2"/>
          </rPr>
          <t xml:space="preserve">
</t>
        </r>
        <r>
          <rPr>
            <sz val="9"/>
            <color indexed="81"/>
            <rFont val="Arial"/>
            <family val="2"/>
          </rPr>
          <t>The maximum controllable average inductor current is not limited by the IC, but limited by the noise-to-signal ratio of your current sensing and the temperature limits of the external componenets. Practically, it is hard to have a good current control if the current sense resistor value is less than about 2mΩ.
Input the maximum load current if CC mode is not used</t>
        </r>
      </text>
    </comment>
    <comment ref="H12" authorId="1" shapeId="0">
      <text>
        <r>
          <rPr>
            <b/>
            <u/>
            <sz val="9"/>
            <color indexed="81"/>
            <rFont val="Arial"/>
            <family val="2"/>
          </rPr>
          <t>Switching Frequency</t>
        </r>
        <r>
          <rPr>
            <b/>
            <sz val="9"/>
            <color indexed="81"/>
            <rFont val="Arial"/>
            <family val="2"/>
          </rPr>
          <t xml:space="preserve">
</t>
        </r>
        <r>
          <rPr>
            <sz val="9"/>
            <color indexed="81"/>
            <rFont val="Arial"/>
            <family val="2"/>
          </rPr>
          <t>The oscillator frequency is user-programmable between 100
kHz to 2.2 MHz, and the frequency can be synchronized as high as 2.5 MHz by applying an external clock to the
FPWM/SYNC pin</t>
        </r>
      </text>
    </comment>
    <comment ref="H13" authorId="1" shapeId="0">
      <text>
        <r>
          <rPr>
            <b/>
            <u/>
            <sz val="9"/>
            <color indexed="81"/>
            <rFont val="Arial"/>
            <family val="2"/>
          </rPr>
          <t>Light Load Switching Mode</t>
        </r>
        <r>
          <rPr>
            <b/>
            <sz val="9"/>
            <color indexed="81"/>
            <rFont val="Arial"/>
            <family val="2"/>
          </rPr>
          <t xml:space="preserve">
</t>
        </r>
        <r>
          <rPr>
            <sz val="9"/>
            <color indexed="81"/>
            <rFont val="Arial"/>
            <family val="2"/>
          </rPr>
          <t>Connect FPWM/SYNC to VCC to enable forced PWM (FPWM) mode with continuous conduction at light loads. Connect FPWM/SYNC to AGND to operate the device in diode emulation mode / PFM. The device skips pulses in this PFM mode if the required on-time is less than the minimum on-time of the device. FPWM/SYNC can also be used as a synchronization input to synchronize the internal oscillator to an external clock signal. Clock synchronization is not allowed if DRSS is enabled</t>
        </r>
      </text>
    </comment>
    <comment ref="H14" authorId="1" shapeId="0">
      <text>
        <r>
          <rPr>
            <b/>
            <u/>
            <sz val="9"/>
            <color indexed="81"/>
            <rFont val="Arial"/>
            <family val="2"/>
          </rPr>
          <t>LM5190 VS LM25190</t>
        </r>
        <r>
          <rPr>
            <b/>
            <sz val="9"/>
            <color indexed="81"/>
            <rFont val="Arial"/>
            <family val="2"/>
          </rPr>
          <t xml:space="preserve">
</t>
        </r>
        <r>
          <rPr>
            <sz val="9"/>
            <color indexed="81"/>
            <rFont val="Arial"/>
            <family val="2"/>
          </rPr>
          <t xml:space="preserve">The input voltage operating range is from 5 V to 80 V if LM5190.
The input voltage operating range is from 5 V to 42 V if LM25190. </t>
        </r>
      </text>
    </comment>
    <comment ref="H15" authorId="1" shapeId="0">
      <text>
        <r>
          <rPr>
            <b/>
            <u/>
            <sz val="9"/>
            <color indexed="81"/>
            <rFont val="Arial"/>
            <family val="2"/>
          </rPr>
          <t xml:space="preserve">Frequency Set Resistor </t>
        </r>
        <r>
          <rPr>
            <b/>
            <sz val="9"/>
            <color indexed="81"/>
            <rFont val="Arial"/>
            <family val="2"/>
          </rPr>
          <t xml:space="preserve">
</t>
        </r>
        <r>
          <rPr>
            <sz val="9"/>
            <color indexed="81"/>
            <rFont val="Arial"/>
            <family val="2"/>
          </rPr>
          <t>Use the resistor with 1% or better tolerance. 
To enable DRSS, connect the RT resistor between RT and VCC during initial power-on.
To disable DRSS, connect the RT resistor between RT and AGND during initial power-on.
Clock synchronization is not allowed if DRSS is enabled</t>
        </r>
      </text>
    </comment>
    <comment ref="H19" authorId="1" shapeId="0">
      <text>
        <r>
          <rPr>
            <b/>
            <u/>
            <sz val="9"/>
            <color indexed="81"/>
            <rFont val="Arial"/>
            <family val="2"/>
          </rPr>
          <t xml:space="preserve">Peak Inductot Current Limit Setpoint:
</t>
        </r>
        <r>
          <rPr>
            <sz val="9"/>
            <color indexed="81"/>
            <rFont val="Arial"/>
            <family val="2"/>
          </rPr>
          <t>The text in the cell is flagged ORLANGE if the margin at VSUPPLY(MAX) is less than 15%. 
The text in the cell is flagged RED if no margin at VSUPPLY(MAX)</t>
        </r>
      </text>
    </comment>
    <comment ref="H20" authorId="1" shapeId="0">
      <text>
        <r>
          <rPr>
            <b/>
            <u/>
            <sz val="9"/>
            <color indexed="81"/>
            <rFont val="Arial"/>
            <family val="2"/>
          </rPr>
          <t>Maximum Sense Resistor Value</t>
        </r>
        <r>
          <rPr>
            <b/>
            <sz val="9"/>
            <color indexed="81"/>
            <rFont val="Arial"/>
            <family val="2"/>
          </rPr>
          <t xml:space="preserve">
</t>
        </r>
        <r>
          <rPr>
            <sz val="9"/>
            <color indexed="81"/>
            <rFont val="Arial"/>
            <family val="2"/>
          </rPr>
          <t xml:space="preserve">Sense resitor value should be less than or equal to this value. </t>
        </r>
      </text>
    </comment>
    <comment ref="H21" authorId="1" shapeId="0">
      <text>
        <r>
          <rPr>
            <b/>
            <u/>
            <sz val="9"/>
            <color indexed="81"/>
            <rFont val="Arial"/>
            <family val="2"/>
          </rPr>
          <t>Sense Resistor Value</t>
        </r>
        <r>
          <rPr>
            <b/>
            <sz val="9"/>
            <color indexed="81"/>
            <rFont val="Arial"/>
            <family val="2"/>
          </rPr>
          <t xml:space="preserve">
</t>
        </r>
        <r>
          <rPr>
            <sz val="9"/>
            <color indexed="81"/>
            <rFont val="Arial"/>
            <family val="2"/>
          </rPr>
          <t>Use the resistor with 1% or better tolerance. Use low ESL resistor. Practically, it is hard to have a good current control if the current sense resistor value is less than about 2mΩ.</t>
        </r>
      </text>
    </comment>
    <comment ref="H22" authorId="1" shapeId="0">
      <text>
        <r>
          <rPr>
            <b/>
            <u/>
            <sz val="9"/>
            <color indexed="81"/>
            <rFont val="Arial"/>
            <family val="2"/>
          </rPr>
          <t>Sense Resitor Power Loss at Current Limit</t>
        </r>
        <r>
          <rPr>
            <b/>
            <sz val="9"/>
            <color indexed="81"/>
            <rFont val="Arial"/>
            <family val="2"/>
          </rPr>
          <t xml:space="preserve">
</t>
        </r>
        <r>
          <rPr>
            <sz val="9"/>
            <color indexed="81"/>
            <rFont val="Arial"/>
            <family val="2"/>
          </rPr>
          <t>Select the sense resistor which can handle the power loss greater than this value.</t>
        </r>
      </text>
    </comment>
    <comment ref="H26" authorId="1" shapeId="0">
      <text>
        <r>
          <rPr>
            <b/>
            <u/>
            <sz val="9"/>
            <color indexed="81"/>
            <rFont val="Arial"/>
            <family val="2"/>
          </rPr>
          <t xml:space="preserve">Recommended Inductance Value
</t>
        </r>
        <r>
          <rPr>
            <sz val="9"/>
            <color indexed="81"/>
            <rFont val="Arial"/>
            <family val="2"/>
          </rPr>
          <t xml:space="preserve">The higher inductance decreases the output voltage ripple and reduces the core loss.
The lower inductance reduces the copper loss of the inductor and the required output capacitance. 
</t>
        </r>
      </text>
    </comment>
    <comment ref="H27" authorId="1" shapeId="0">
      <text>
        <r>
          <rPr>
            <b/>
            <u/>
            <sz val="9"/>
            <color indexed="81"/>
            <rFont val="Arial"/>
            <family val="2"/>
          </rPr>
          <t xml:space="preserve">Minimum Inductance
</t>
        </r>
        <r>
          <rPr>
            <sz val="9"/>
            <color indexed="81"/>
            <rFont val="Arial"/>
            <family val="2"/>
          </rPr>
          <t xml:space="preserve">If the inductance is too small, a sub-harmonic oscillation can happen when the duty cycle is greater than ~ 50% .Please consider +/- 15 - 20% inductance tolerance.  </t>
        </r>
      </text>
    </comment>
    <comment ref="H28" authorId="1" shapeId="0">
      <text>
        <r>
          <rPr>
            <b/>
            <u/>
            <sz val="9"/>
            <color indexed="81"/>
            <rFont val="Arial"/>
            <family val="2"/>
          </rPr>
          <t xml:space="preserve">Buck Inductance
</t>
        </r>
        <r>
          <rPr>
            <sz val="9"/>
            <color indexed="81"/>
            <rFont val="Arial"/>
            <family val="2"/>
          </rPr>
          <t xml:space="preserve">Enter the selected buck inductance. </t>
        </r>
      </text>
    </comment>
    <comment ref="H29" authorId="1" shapeId="0">
      <text>
        <r>
          <rPr>
            <b/>
            <u/>
            <sz val="9"/>
            <color indexed="81"/>
            <rFont val="Arial"/>
            <family val="2"/>
          </rPr>
          <t xml:space="preserve">Minimum Inductor Saturation Current (Soft-saturation)
</t>
        </r>
        <r>
          <rPr>
            <sz val="9"/>
            <color indexed="81"/>
            <rFont val="Arial"/>
            <family val="2"/>
          </rPr>
          <t xml:space="preserve">If a soft-saturation core, the saturation current level should be greater than this value.  </t>
        </r>
      </text>
    </comment>
    <comment ref="H30" authorId="1" shapeId="0">
      <text>
        <r>
          <rPr>
            <b/>
            <u/>
            <sz val="9"/>
            <color indexed="81"/>
            <rFont val="Arial"/>
            <family val="2"/>
          </rPr>
          <t xml:space="preserve">Minimum Inductor Saturation Current (Hard-saturation)
</t>
        </r>
        <r>
          <rPr>
            <sz val="9"/>
            <color indexed="81"/>
            <rFont val="Arial"/>
            <family val="2"/>
          </rPr>
          <t>If a hard-saturation core, it is recommended to set the inductor saturation current level greater than this value.  The practical peak inductor current (during current limiting) might be greater than this value due to the propagation delay inside the IC and the MOSFET turn-off delay. Typical delay time is around 100ns</t>
        </r>
      </text>
    </comment>
    <comment ref="H31" authorId="1" shapeId="0">
      <text>
        <r>
          <rPr>
            <b/>
            <u/>
            <sz val="9"/>
            <color indexed="81"/>
            <rFont val="Arial"/>
            <family val="2"/>
          </rPr>
          <t xml:space="preserve">Switching Skip at high VIN
</t>
        </r>
        <r>
          <rPr>
            <sz val="9"/>
            <color indexed="81"/>
            <rFont val="Arial"/>
            <family val="2"/>
          </rPr>
          <t xml:space="preserve">The device skips pulses if the required on-time is less than the minimum on-time of the device.    </t>
        </r>
      </text>
    </comment>
    <comment ref="H32" authorId="1" shapeId="0">
      <text>
        <r>
          <rPr>
            <b/>
            <u/>
            <sz val="9"/>
            <color indexed="81"/>
            <rFont val="Arial"/>
            <family val="2"/>
          </rPr>
          <t xml:space="preserve">Dropout Mode
</t>
        </r>
        <r>
          <rPr>
            <u/>
            <sz val="9"/>
            <color indexed="81"/>
            <rFont val="Arial"/>
            <family val="2"/>
          </rPr>
          <t>A</t>
        </r>
        <r>
          <rPr>
            <sz val="9"/>
            <color indexed="81"/>
            <rFont val="Arial"/>
            <family val="2"/>
          </rPr>
          <t>t low input supply voltage, the device extends on-time and skips forced off-time (up to 15 cycles) when the required off-time is less than the minimum off-time of the device.</t>
        </r>
      </text>
    </comment>
    <comment ref="H36" authorId="1" shapeId="0">
      <text>
        <r>
          <rPr>
            <b/>
            <u/>
            <sz val="9"/>
            <color indexed="81"/>
            <rFont val="Arial"/>
            <family val="2"/>
          </rPr>
          <t xml:space="preserve">VCC Capacitor
</t>
        </r>
        <r>
          <rPr>
            <sz val="9"/>
            <color indexed="81"/>
            <rFont val="Arial"/>
            <family val="2"/>
          </rPr>
          <t>Select the capacitance close to this value. Default value is 2.2uF. The text in the cell is flagged ORANGE if greater than the typical value 2.2uF.</t>
        </r>
      </text>
    </comment>
    <comment ref="H37" authorId="1" shapeId="0">
      <text>
        <r>
          <rPr>
            <b/>
            <u/>
            <sz val="9"/>
            <color indexed="81"/>
            <rFont val="Arial"/>
            <family val="2"/>
          </rPr>
          <t>Boot Capacitor</t>
        </r>
        <r>
          <rPr>
            <b/>
            <sz val="9"/>
            <color indexed="81"/>
            <rFont val="Arial"/>
            <family val="2"/>
          </rPr>
          <t xml:space="preserve">
</t>
        </r>
        <r>
          <rPr>
            <sz val="9"/>
            <color indexed="81"/>
            <rFont val="Arial"/>
            <family val="2"/>
          </rPr>
          <t>Select the capacitance close to this value. Default value is 100nF. The text in the cell is flagged ORANGE if greater than 100nF</t>
        </r>
      </text>
    </comment>
    <comment ref="H38" authorId="1" shapeId="0">
      <text>
        <r>
          <rPr>
            <b/>
            <u/>
            <sz val="9"/>
            <color indexed="81"/>
            <rFont val="Arial"/>
            <family val="2"/>
          </rPr>
          <t xml:space="preserve">VIN pin capacitor </t>
        </r>
        <r>
          <rPr>
            <b/>
            <sz val="9"/>
            <color indexed="81"/>
            <rFont val="Arial"/>
            <family val="2"/>
          </rPr>
          <t xml:space="preserve">
</t>
        </r>
        <r>
          <rPr>
            <sz val="9"/>
            <color indexed="81"/>
            <rFont val="Arial"/>
            <family val="2"/>
          </rPr>
          <t>Use 220nF as a default</t>
        </r>
      </text>
    </comment>
    <comment ref="H39" authorId="1" shapeId="0">
      <text>
        <r>
          <rPr>
            <b/>
            <u/>
            <sz val="9"/>
            <color indexed="81"/>
            <rFont val="Arial"/>
            <family val="2"/>
          </rPr>
          <t xml:space="preserve">PGOOD Pull-up Resistor 
</t>
        </r>
        <r>
          <rPr>
            <sz val="9"/>
            <color indexed="81"/>
            <rFont val="Arial"/>
            <family val="2"/>
          </rPr>
          <t>Connect the pull-up resistor to the VCC pin or the VDD power suppply of MCU.</t>
        </r>
      </text>
    </comment>
    <comment ref="H40" authorId="1" shapeId="0">
      <text>
        <r>
          <rPr>
            <b/>
            <u/>
            <sz val="9"/>
            <color indexed="81"/>
            <rFont val="Arial"/>
            <family val="2"/>
          </rPr>
          <t>Internal Soft-start</t>
        </r>
        <r>
          <rPr>
            <b/>
            <sz val="9"/>
            <color indexed="81"/>
            <rFont val="Arial"/>
            <family val="2"/>
          </rPr>
          <t xml:space="preserve">
</t>
        </r>
        <r>
          <rPr>
            <sz val="9"/>
            <color indexed="81"/>
            <rFont val="Arial"/>
            <family val="2"/>
          </rPr>
          <t>The device provides an internal 2.75-ms (typ) soft-start timer. The soft-start feature allows the regulator to gradually reach the steady-state operating point.</t>
        </r>
      </text>
    </comment>
    <comment ref="H44" authorId="1" shapeId="0">
      <text>
        <r>
          <rPr>
            <b/>
            <u/>
            <sz val="9"/>
            <color indexed="81"/>
            <rFont val="Arial"/>
            <family val="2"/>
          </rPr>
          <t xml:space="preserve">Start-up Voltage </t>
        </r>
        <r>
          <rPr>
            <sz val="9"/>
            <color indexed="81"/>
            <rFont val="Arial"/>
            <family val="2"/>
          </rPr>
          <t xml:space="preserve">
During power-on, the device starts up when the input power supply voltage is greater than the desired start-up threshold.  The start-up voltage should be less than, but close to the minimum input supply voltage and should be greater than the plateau voltage of the MOSFET +1V.   If BIAS is externally supplied the minimum input voltage should be greater than the VCC voltage in order to prevent a reverse current flow. </t>
        </r>
      </text>
    </comment>
    <comment ref="H45" authorId="1" shapeId="0">
      <text>
        <r>
          <rPr>
            <b/>
            <u/>
            <sz val="9"/>
            <color indexed="81"/>
            <rFont val="Arial"/>
            <family val="2"/>
          </rPr>
          <t xml:space="preserve">Upper UVLO Resistor
</t>
        </r>
        <r>
          <rPr>
            <sz val="9"/>
            <color indexed="81"/>
            <rFont val="Arial"/>
            <family val="2"/>
          </rPr>
          <t xml:space="preserve">Use resistors with a tolerance of 1% or less. </t>
        </r>
      </text>
    </comment>
    <comment ref="H46" authorId="1" shapeId="0">
      <text>
        <r>
          <rPr>
            <b/>
            <u/>
            <sz val="9"/>
            <color indexed="81"/>
            <rFont val="Arial"/>
            <family val="2"/>
          </rPr>
          <t xml:space="preserve">Lower UVLO Resistor
</t>
        </r>
        <r>
          <rPr>
            <sz val="9"/>
            <color indexed="81"/>
            <rFont val="Arial"/>
            <family val="2"/>
          </rPr>
          <t xml:space="preserve">Use resistors with a tolerance of 1% or less. </t>
        </r>
      </text>
    </comment>
    <comment ref="H47" authorId="1" shapeId="0">
      <text>
        <r>
          <rPr>
            <b/>
            <u/>
            <sz val="9"/>
            <color indexed="81"/>
            <rFont val="Arial"/>
            <family val="2"/>
          </rPr>
          <t xml:space="preserve">Shutdown Voltage </t>
        </r>
        <r>
          <rPr>
            <sz val="9"/>
            <color indexed="81"/>
            <rFont val="Arial"/>
            <family val="2"/>
          </rPr>
          <t xml:space="preserve">
During power-off, the device shuts down when the input  power supply voltage is less than the shutdown voltage  The shutdown voltage should be greater than the plateau voltage of the MOSFET +1V.   If BIAS is externally supplied the minimum input voltage should be greater than the VCC voltage in order to prevent a reverse current flow. </t>
        </r>
      </text>
    </comment>
    <comment ref="H51" authorId="1" shapeId="0">
      <text>
        <r>
          <rPr>
            <b/>
            <u/>
            <sz val="9"/>
            <color indexed="81"/>
            <rFont val="Arial"/>
            <family val="2"/>
          </rPr>
          <t>Desired Undershoot during 50% Load Transient (FPWM):</t>
        </r>
        <r>
          <rPr>
            <b/>
            <sz val="9"/>
            <color indexed="81"/>
            <rFont val="Arial"/>
            <family val="2"/>
          </rPr>
          <t xml:space="preserve">
</t>
        </r>
        <r>
          <rPr>
            <sz val="9"/>
            <color indexed="81"/>
            <rFont val="Arial"/>
            <family val="2"/>
          </rPr>
          <t xml:space="preserve">If greater than 6%, PGOOD might be grounded during 50% half-load to 100% full-load transition. A 25-μs deglitch filter helps preventing a false tripping of the power-good signal during transients.. </t>
        </r>
      </text>
    </comment>
    <comment ref="H52" authorId="1" shapeId="0">
      <text>
        <r>
          <rPr>
            <b/>
            <u/>
            <sz val="9"/>
            <color indexed="81"/>
            <rFont val="Arial"/>
            <family val="2"/>
          </rPr>
          <t>Crossover Frequency</t>
        </r>
        <r>
          <rPr>
            <sz val="9"/>
            <color indexed="81"/>
            <rFont val="Arial"/>
            <family val="2"/>
          </rPr>
          <t xml:space="preserve">
Enter the desired crossover frequency (usually between 10% and 25% of switching frequency, typically up to a max of ~100kHz). Please consider adding a zero using a feedforward capacitor if the desired crossover frequency is close to 100kHz</t>
        </r>
      </text>
    </comment>
    <comment ref="H53" authorId="1" shapeId="0">
      <text>
        <r>
          <rPr>
            <b/>
            <u/>
            <sz val="9"/>
            <color indexed="81"/>
            <rFont val="Arial"/>
            <family val="2"/>
          </rPr>
          <t>Minimum Derated Output Capacitance</t>
        </r>
        <r>
          <rPr>
            <sz val="9"/>
            <color indexed="81"/>
            <rFont val="Arial"/>
            <family val="2"/>
          </rPr>
          <t xml:space="preserve">
The text in the cell is flagged red if the minimum derated output capacitane is greater than the sum of the derated output capacitances. </t>
        </r>
      </text>
    </comment>
    <comment ref="H55" authorId="1" shapeId="0">
      <text>
        <r>
          <rPr>
            <b/>
            <u/>
            <sz val="9"/>
            <color indexed="81"/>
            <rFont val="Arial"/>
            <family val="2"/>
          </rPr>
          <t>Rated Output Capacitance</t>
        </r>
        <r>
          <rPr>
            <sz val="9"/>
            <color indexed="81"/>
            <rFont val="Arial"/>
            <family val="2"/>
          </rPr>
          <t xml:space="preserve">
Enter the rated bulk capacitance of the output capacitors if Type 1 or 2. 
Enter the super-cap capacitance if Type 3)
</t>
        </r>
      </text>
    </comment>
    <comment ref="H56" authorId="1" shapeId="0">
      <text>
        <r>
          <rPr>
            <b/>
            <u/>
            <sz val="9"/>
            <color indexed="81"/>
            <rFont val="Arial"/>
            <family val="2"/>
          </rPr>
          <t xml:space="preserve">Derating Factor
</t>
        </r>
        <r>
          <rPr>
            <sz val="9"/>
            <color indexed="81"/>
            <rFont val="Arial"/>
            <family val="2"/>
          </rPr>
          <t xml:space="preserve">Enter the capacitance derating factor when DC bias is applied, particularly  with ceamic capacitors. Default value is 0.7 assumming ceramic capacitor. Small derating factor value results in a conserative design. </t>
        </r>
      </text>
    </comment>
    <comment ref="H58" authorId="1" shapeId="0">
      <text>
        <r>
          <rPr>
            <b/>
            <u/>
            <sz val="9"/>
            <color indexed="81"/>
            <rFont val="Arial"/>
            <family val="2"/>
          </rPr>
          <t>Effective Output Capacitor ESR</t>
        </r>
        <r>
          <rPr>
            <sz val="9"/>
            <color indexed="81"/>
            <rFont val="Arial"/>
            <family val="2"/>
          </rPr>
          <t xml:space="preserve">
It is strongly recommended to review the bode plot for both minimum and maximum effective ESR values. </t>
        </r>
      </text>
    </comment>
    <comment ref="H60" authorId="1" shapeId="0">
      <text>
        <r>
          <rPr>
            <b/>
            <u/>
            <sz val="9"/>
            <color indexed="81"/>
            <rFont val="Arial"/>
            <family val="2"/>
          </rPr>
          <t>Rated Output Capacitance</t>
        </r>
        <r>
          <rPr>
            <sz val="9"/>
            <color indexed="81"/>
            <rFont val="Arial"/>
            <family val="2"/>
          </rPr>
          <t xml:space="preserve">
Enter the rated capacitance of the ceramic output capacitors if Type1 or 2. 
Enter the rated capacitance of the local output capacitor if Type 3. 
</t>
        </r>
      </text>
    </comment>
    <comment ref="H61" authorId="1" shapeId="0">
      <text>
        <r>
          <rPr>
            <b/>
            <u/>
            <sz val="9"/>
            <color indexed="81"/>
            <rFont val="Arial"/>
            <family val="2"/>
          </rPr>
          <t xml:space="preserve">Derating Factor
</t>
        </r>
        <r>
          <rPr>
            <sz val="9"/>
            <color indexed="81"/>
            <rFont val="Arial"/>
            <family val="2"/>
          </rPr>
          <t xml:space="preserve">Enter the capacitance derating factor when DC bias is applied, particularly  with ceamic capacitors. Default value is 0.7 assumming ceramic capacitor. Small derating factor value results in a conserative design. </t>
        </r>
      </text>
    </comment>
    <comment ref="H63" authorId="1" shapeId="0">
      <text>
        <r>
          <rPr>
            <b/>
            <u/>
            <sz val="9"/>
            <color indexed="81"/>
            <rFont val="Arial"/>
            <family val="2"/>
          </rPr>
          <t>Effective Output Capacitor ESR</t>
        </r>
        <r>
          <rPr>
            <sz val="9"/>
            <color indexed="81"/>
            <rFont val="Arial"/>
            <family val="2"/>
          </rPr>
          <t xml:space="preserve">
It is strongly recommended to review the bode plot for both minimum and maximum effective ESR values. </t>
        </r>
      </text>
    </comment>
    <comment ref="H67" authorId="1" shapeId="0">
      <text>
        <r>
          <rPr>
            <b/>
            <u/>
            <sz val="9"/>
            <color indexed="81"/>
            <rFont val="Arial"/>
            <family val="2"/>
          </rPr>
          <t>Estimated Overshoot (when switching stops at full-load to no-load)</t>
        </r>
        <r>
          <rPr>
            <b/>
            <sz val="9"/>
            <color indexed="81"/>
            <rFont val="Arial"/>
            <family val="2"/>
          </rPr>
          <t xml:space="preserve">
</t>
        </r>
        <r>
          <rPr>
            <sz val="9"/>
            <color indexed="81"/>
            <rFont val="Arial"/>
            <family val="2"/>
          </rPr>
          <t>PGOOD might be grounded during the full-load to no-load transition if the over shoot is greater than 8%.   
The actual overshoot can be smaller if the full-load to no-load transition is slow. 
The actual overshoot can be bigger if switching continues.</t>
        </r>
      </text>
    </comment>
    <comment ref="H68" authorId="1" shapeId="0">
      <text>
        <r>
          <rPr>
            <b/>
            <u/>
            <sz val="9"/>
            <color indexed="81"/>
            <rFont val="Arial"/>
            <family val="2"/>
          </rPr>
          <t>Estimated Undershoot (during no-load to full-load transition in FPWM)</t>
        </r>
        <r>
          <rPr>
            <b/>
            <sz val="9"/>
            <color indexed="81"/>
            <rFont val="Arial"/>
            <family val="2"/>
          </rPr>
          <t xml:space="preserve">
</t>
        </r>
        <r>
          <rPr>
            <sz val="9"/>
            <color indexed="81"/>
            <rFont val="Arial"/>
            <family val="2"/>
          </rPr>
          <t xml:space="preserve">PGOOD might be grounded during the no-load to full-load transition if the undershoot is greater than 6%.
The actual undershoot can be smaller if the no-load to full-load transition is slow. </t>
        </r>
      </text>
    </comment>
    <comment ref="H72" authorId="1" shapeId="0">
      <text>
        <r>
          <rPr>
            <b/>
            <u/>
            <sz val="9"/>
            <color indexed="81"/>
            <rFont val="Arial"/>
            <family val="2"/>
          </rPr>
          <t xml:space="preserve">Upper FB Resistor
</t>
        </r>
        <r>
          <rPr>
            <sz val="9"/>
            <color indexed="81"/>
            <rFont val="Arial"/>
            <family val="2"/>
          </rPr>
          <t xml:space="preserve">Use resistors with a tolerance of 1% or less. Parallel impedance of RFT//RFBB should be greater than 5kΩ. If 0.8V output, add 1kohm dummy load and connect FB to VOUT through 10kohm resistor(=RFBT) without RFBB. . </t>
        </r>
      </text>
    </comment>
    <comment ref="H73" authorId="1" shapeId="0">
      <text>
        <r>
          <rPr>
            <b/>
            <u/>
            <sz val="9"/>
            <color indexed="81"/>
            <rFont val="Arial"/>
            <family val="2"/>
          </rPr>
          <t xml:space="preserve">Lower FB Resistor
</t>
        </r>
        <r>
          <rPr>
            <sz val="9"/>
            <color indexed="81"/>
            <rFont val="Arial"/>
            <family val="2"/>
          </rPr>
          <t xml:space="preserve">Use resistors with a tolerance of 1% or less. </t>
        </r>
      </text>
    </comment>
    <comment ref="H80" authorId="1" shapeId="0">
      <text>
        <r>
          <rPr>
            <b/>
            <u/>
            <sz val="9"/>
            <color indexed="81"/>
            <rFont val="Arial"/>
            <family val="2"/>
          </rPr>
          <t>Maximum RCOMP</t>
        </r>
        <r>
          <rPr>
            <sz val="9"/>
            <color indexed="81"/>
            <rFont val="Arial"/>
            <family val="2"/>
          </rPr>
          <t xml:space="preserve">
Select RCOMP less than the desired maximum RCOMP value.</t>
        </r>
      </text>
    </comment>
    <comment ref="H81" authorId="1" shapeId="0">
      <text>
        <r>
          <rPr>
            <b/>
            <u/>
            <sz val="9"/>
            <color indexed="81"/>
            <rFont val="Arial"/>
            <family val="2"/>
          </rPr>
          <t>Minimum CCOMP</t>
        </r>
        <r>
          <rPr>
            <sz val="9"/>
            <color indexed="81"/>
            <rFont val="Arial"/>
            <family val="2"/>
          </rPr>
          <t xml:space="preserve">
Select CCOMP greater than the desired minimum CCOMP value.</t>
        </r>
      </text>
    </comment>
    <comment ref="H82" authorId="1" shapeId="0">
      <text>
        <r>
          <rPr>
            <b/>
            <u/>
            <sz val="9"/>
            <color indexed="81"/>
            <rFont val="Arial"/>
            <family val="2"/>
          </rPr>
          <t>Desired CHF</t>
        </r>
        <r>
          <rPr>
            <sz val="9"/>
            <color indexed="81"/>
            <rFont val="Arial"/>
            <family val="2"/>
          </rPr>
          <t xml:space="preserve">
Select CHF close to the desired CHF value.</t>
        </r>
      </text>
    </comment>
    <comment ref="H86" authorId="1" shapeId="0">
      <text>
        <r>
          <rPr>
            <b/>
            <u/>
            <sz val="9"/>
            <color indexed="81"/>
            <rFont val="Arial"/>
            <family val="2"/>
          </rPr>
          <t xml:space="preserve">RCOMP Resistor
</t>
        </r>
        <r>
          <rPr>
            <sz val="9"/>
            <color indexed="81"/>
            <rFont val="Arial"/>
            <family val="2"/>
          </rPr>
          <t xml:space="preserve">Use resistors with a tolerance of 1% or less. </t>
        </r>
      </text>
    </comment>
    <comment ref="H87" authorId="1" shapeId="0">
      <text>
        <r>
          <rPr>
            <b/>
            <u/>
            <sz val="9"/>
            <color indexed="81"/>
            <rFont val="Arial"/>
            <family val="2"/>
          </rPr>
          <t xml:space="preserve">CCOMP Capacitor
</t>
        </r>
        <r>
          <rPr>
            <sz val="9"/>
            <color indexed="81"/>
            <rFont val="Arial"/>
            <family val="2"/>
          </rPr>
          <t xml:space="preserve">Use COG type capacitor or an equivalent. </t>
        </r>
      </text>
    </comment>
    <comment ref="H88" authorId="1" shapeId="0">
      <text>
        <r>
          <rPr>
            <b/>
            <u/>
            <sz val="9"/>
            <color indexed="81"/>
            <rFont val="Arial"/>
            <family val="2"/>
          </rPr>
          <t xml:space="preserve">CHF Capacitor
</t>
        </r>
        <r>
          <rPr>
            <sz val="9"/>
            <color indexed="81"/>
            <rFont val="Arial"/>
            <family val="2"/>
          </rPr>
          <t xml:space="preserve">Use COG type capacitor or an equivalent. 
If no CHF, enter a parasitic capacitance value which is typically in the range of 1p - 3pF. </t>
        </r>
      </text>
    </comment>
    <comment ref="H89" authorId="1" shapeId="0">
      <text>
        <r>
          <rPr>
            <b/>
            <u/>
            <sz val="9"/>
            <color indexed="81"/>
            <rFont val="Arial"/>
            <family val="2"/>
          </rPr>
          <t xml:space="preserve">Compensation Zero </t>
        </r>
        <r>
          <rPr>
            <sz val="9"/>
            <color indexed="81"/>
            <rFont val="Arial"/>
            <family val="2"/>
          </rPr>
          <t xml:space="preserve">
Adjust RCOMP, CCOMP, CHF and check the loop response curve until you reach the best result.  
In addition with the pole and zero caused by the RCOMP, CCOMP, and CHF componenets, The device has an internal pole at around 500kHz.  
</t>
        </r>
      </text>
    </comment>
    <comment ref="H90" authorId="1" shapeId="0">
      <text>
        <r>
          <rPr>
            <b/>
            <u/>
            <sz val="9"/>
            <color indexed="81"/>
            <rFont val="Arial"/>
            <family val="2"/>
          </rPr>
          <t>Compensation Pole</t>
        </r>
        <r>
          <rPr>
            <sz val="9"/>
            <color indexed="81"/>
            <rFont val="Arial"/>
            <family val="2"/>
          </rPr>
          <t xml:space="preserve">
Adjust RCOMP, CCOMP, CHF and check the loop response curve until you reach the best result.  
In addition with the pole and zero caused by the RCOMP, CCOMP, and CHF componenets, The device has an internal pole at around 500kHz.  
</t>
        </r>
      </text>
    </comment>
    <comment ref="H92" authorId="1" shapeId="0">
      <text>
        <r>
          <rPr>
            <b/>
            <u/>
            <sz val="9"/>
            <color indexed="81"/>
            <rFont val="Arial"/>
            <family val="2"/>
          </rPr>
          <t>Feed-forward Capacitor</t>
        </r>
        <r>
          <rPr>
            <sz val="9"/>
            <color indexed="81"/>
            <rFont val="Arial"/>
            <family val="2"/>
          </rPr>
          <t xml:space="preserve">
Feed-forward capactior introduces a zero and a pole pair. Adjust CFF  and check both phase and gain margins until you reach the best result. 10p-33pF is a good starting point.  The ESR zero of the output capacitor also adds a zero. </t>
        </r>
      </text>
    </comment>
    <comment ref="H93" authorId="1" shapeId="0">
      <text>
        <r>
          <rPr>
            <b/>
            <u/>
            <sz val="9"/>
            <color indexed="81"/>
            <rFont val="Arial"/>
            <family val="2"/>
          </rPr>
          <t xml:space="preserve">Feed-forward Resistor
</t>
        </r>
        <r>
          <rPr>
            <sz val="9"/>
            <color indexed="81"/>
            <rFont val="Arial"/>
            <family val="2"/>
          </rPr>
          <t>Feed-forward resistor is placed in series with CFF, which reduces the noise coupling from the output to FB. Place 1k-5kΩ if any noise coupling issue.</t>
        </r>
      </text>
    </comment>
    <comment ref="H98" authorId="1" shapeId="0">
      <text>
        <r>
          <rPr>
            <b/>
            <u/>
            <sz val="9"/>
            <color indexed="81"/>
            <rFont val="Arial"/>
            <family val="2"/>
          </rPr>
          <t>ISET Voltage</t>
        </r>
        <r>
          <rPr>
            <b/>
            <sz val="9"/>
            <color indexed="81"/>
            <rFont val="Arial"/>
            <family val="2"/>
          </rPr>
          <t xml:space="preserve">
</t>
        </r>
        <r>
          <rPr>
            <sz val="9"/>
            <color indexed="81"/>
            <rFont val="Arial"/>
            <family val="2"/>
          </rPr>
          <t>For the applications which need to adjust the ISET voltage dynamically, the ISET pin voltage should be greater than the IMON offset voltage and less than or equal to 0.8V. 
If no need to adjust ISET dynamically, unpopulate RISET and use internally fixed 1V reference by connecting ≥120kΩ</t>
        </r>
      </text>
    </comment>
    <comment ref="H99" authorId="1" shapeId="0">
      <text>
        <r>
          <rPr>
            <b/>
            <u/>
            <sz val="9"/>
            <color indexed="81"/>
            <rFont val="Arial"/>
            <family val="2"/>
          </rPr>
          <t xml:space="preserve">ISET resistor </t>
        </r>
        <r>
          <rPr>
            <b/>
            <sz val="9"/>
            <color indexed="81"/>
            <rFont val="Arial"/>
            <family val="2"/>
          </rPr>
          <t xml:space="preserve">
</t>
        </r>
        <r>
          <rPr>
            <sz val="9"/>
            <color indexed="81"/>
            <rFont val="Arial"/>
            <family val="2"/>
          </rPr>
          <t>Use resistors with a tolerance of 1% or less. OPEN means the required ISET resistor value is greater than or equal to 120kΩ.</t>
        </r>
      </text>
    </comment>
    <comment ref="H100" authorId="1" shapeId="0">
      <text>
        <r>
          <rPr>
            <b/>
            <u/>
            <sz val="9"/>
            <color indexed="81"/>
            <rFont val="Arial"/>
            <family val="2"/>
          </rPr>
          <t>ISET Capacitor</t>
        </r>
        <r>
          <rPr>
            <b/>
            <sz val="9"/>
            <color indexed="81"/>
            <rFont val="Arial"/>
            <family val="2"/>
          </rPr>
          <t xml:space="preserve">
</t>
        </r>
        <r>
          <rPr>
            <sz val="9"/>
            <color indexed="81"/>
            <rFont val="Arial"/>
            <family val="2"/>
          </rPr>
          <t xml:space="preserve">ISET Capacitor allows the regulator to gradually reach the steady-state CC operating point. The capacitor should be fully discharged by an external switch at every restart. </t>
        </r>
      </text>
    </comment>
    <comment ref="H101" authorId="1" shapeId="0">
      <text>
        <r>
          <rPr>
            <b/>
            <u/>
            <sz val="9"/>
            <color indexed="81"/>
            <rFont val="Arial"/>
            <family val="2"/>
          </rPr>
          <t>Current Regulation Soft-start Time</t>
        </r>
        <r>
          <rPr>
            <b/>
            <sz val="9"/>
            <color indexed="81"/>
            <rFont val="Arial"/>
            <family val="2"/>
          </rPr>
          <t xml:space="preserve">
</t>
        </r>
        <r>
          <rPr>
            <sz val="9"/>
            <color indexed="81"/>
            <rFont val="Arial"/>
            <family val="2"/>
          </rPr>
          <t>It is recommended to select TSSCC greater than 10/Fcross</t>
        </r>
      </text>
    </comment>
    <comment ref="H105" authorId="1" shapeId="0">
      <text>
        <r>
          <rPr>
            <b/>
            <u/>
            <sz val="9"/>
            <color indexed="81"/>
            <rFont val="Arial"/>
            <family val="2"/>
          </rPr>
          <t>Desired IMON Resistor</t>
        </r>
        <r>
          <rPr>
            <b/>
            <sz val="9"/>
            <color indexed="81"/>
            <rFont val="Arial"/>
            <family val="2"/>
          </rPr>
          <t xml:space="preserve">
</t>
        </r>
        <r>
          <rPr>
            <sz val="9"/>
            <color indexed="81"/>
            <rFont val="Arial"/>
            <family val="2"/>
          </rPr>
          <t>The RIMON is used to programmed the CC regulation target. The CC regulation target should be smaller than the maximum current defined by the cycle-by-cycle peak current limit</t>
        </r>
      </text>
    </comment>
    <comment ref="H106" authorId="1" shapeId="0">
      <text>
        <r>
          <rPr>
            <b/>
            <u/>
            <sz val="9"/>
            <color indexed="81"/>
            <rFont val="Arial"/>
            <family val="2"/>
          </rPr>
          <t>Desired IMON Capacitor</t>
        </r>
        <r>
          <rPr>
            <b/>
            <sz val="9"/>
            <color indexed="81"/>
            <rFont val="Arial"/>
            <family val="2"/>
          </rPr>
          <t xml:space="preserve">
</t>
        </r>
        <r>
          <rPr>
            <sz val="9"/>
            <color indexed="81"/>
            <rFont val="Arial"/>
            <family val="2"/>
          </rPr>
          <t xml:space="preserve">The CIMON is used to form the RC filter with RIMON and filter out the sensed inductor current ripple to the
achieve average current regulation. It also sets the response of the current loop. </t>
        </r>
      </text>
    </comment>
    <comment ref="H107" authorId="1" shapeId="0">
      <text>
        <r>
          <rPr>
            <b/>
            <u/>
            <sz val="9"/>
            <color indexed="81"/>
            <rFont val="Arial"/>
            <family val="2"/>
          </rPr>
          <t>Desired IMON Resistor for High Frequency</t>
        </r>
        <r>
          <rPr>
            <b/>
            <sz val="9"/>
            <color indexed="81"/>
            <rFont val="Arial"/>
            <family val="2"/>
          </rPr>
          <t xml:space="preserve">
</t>
        </r>
        <r>
          <rPr>
            <sz val="9"/>
            <color indexed="81"/>
            <rFont val="Arial"/>
            <family val="2"/>
          </rPr>
          <t xml:space="preserve">The RIMONHF can be used to emulate the ESR zero of the output capacitor or to add a high-frequency zero in CC loop. </t>
        </r>
      </text>
    </comment>
    <comment ref="H111" authorId="1" shapeId="0">
      <text>
        <r>
          <rPr>
            <b/>
            <u/>
            <sz val="9"/>
            <color indexed="81"/>
            <rFont val="Arial"/>
            <family val="2"/>
          </rPr>
          <t xml:space="preserve">IMON Resistor
</t>
        </r>
        <r>
          <rPr>
            <sz val="9"/>
            <color indexed="81"/>
            <rFont val="Arial"/>
            <family val="2"/>
          </rPr>
          <t xml:space="preserve">Select the standard resistor value close to the desired RIMON. Use resistors with a tolerance of 1% or less. </t>
        </r>
      </text>
    </comment>
    <comment ref="H112" authorId="1" shapeId="0">
      <text>
        <r>
          <rPr>
            <b/>
            <u/>
            <sz val="9"/>
            <color indexed="81"/>
            <rFont val="Arial"/>
            <family val="2"/>
          </rPr>
          <t xml:space="preserve">IMON Capacitor
</t>
        </r>
        <r>
          <rPr>
            <sz val="9"/>
            <color indexed="81"/>
            <rFont val="Arial"/>
            <family val="2"/>
          </rPr>
          <t xml:space="preserve">Select the standard capacitor value close to the desired CIMON. Use COG type capacitor or an equivalent. </t>
        </r>
      </text>
    </comment>
    <comment ref="H113" authorId="1" shapeId="0">
      <text>
        <r>
          <rPr>
            <b/>
            <u/>
            <sz val="9"/>
            <color indexed="81"/>
            <rFont val="Arial"/>
            <family val="2"/>
          </rPr>
          <t xml:space="preserve">High-frequency IMON Resistor
</t>
        </r>
        <r>
          <rPr>
            <sz val="9"/>
            <color indexed="81"/>
            <rFont val="Arial"/>
            <family val="2"/>
          </rPr>
          <t xml:space="preserve">Select the standard resistor value close to the desired RIMONHF in order to emulate the ESR zero of the output capacitor. 0 Ω can be used if the CC loop phase and gain margins are enough. Use resistors with a tolerance of 1% or less.  </t>
        </r>
      </text>
    </comment>
    <comment ref="D119" authorId="1" shapeId="0">
      <text>
        <r>
          <rPr>
            <b/>
            <u/>
            <sz val="9"/>
            <color indexed="81"/>
            <rFont val="Arial"/>
            <family val="2"/>
          </rPr>
          <t>Efficiency</t>
        </r>
        <r>
          <rPr>
            <b/>
            <sz val="9"/>
            <color indexed="81"/>
            <rFont val="Arial"/>
            <family val="2"/>
          </rPr>
          <t xml:space="preserve">
</t>
        </r>
        <r>
          <rPr>
            <sz val="9"/>
            <color indexed="81"/>
            <rFont val="Arial"/>
            <family val="2"/>
          </rPr>
          <t>Efficiency estimation is not valid when the load current is light.</t>
        </r>
      </text>
    </comment>
    <comment ref="G121" authorId="1" shapeId="0">
      <text>
        <r>
          <rPr>
            <b/>
            <u/>
            <sz val="9"/>
            <color indexed="81"/>
            <rFont val="Arial"/>
            <family val="2"/>
          </rPr>
          <t>Inductor DCR</t>
        </r>
        <r>
          <rPr>
            <sz val="9"/>
            <color indexed="81"/>
            <rFont val="Arial"/>
            <family val="2"/>
          </rPr>
          <t xml:space="preserve">
Enter the DCR of the selected inductor.</t>
        </r>
      </text>
    </comment>
    <comment ref="G122" authorId="1" shapeId="0">
      <text>
        <r>
          <rPr>
            <b/>
            <u/>
            <sz val="9"/>
            <color indexed="81"/>
            <rFont val="Arial"/>
            <family val="2"/>
          </rPr>
          <t>Core Loss at typical VIN</t>
        </r>
        <r>
          <rPr>
            <b/>
            <sz val="9"/>
            <color indexed="81"/>
            <rFont val="Arial"/>
            <family val="2"/>
          </rPr>
          <t xml:space="preserve">
</t>
        </r>
        <r>
          <rPr>
            <sz val="9"/>
            <color indexed="81"/>
            <rFont val="Arial"/>
            <family val="2"/>
          </rPr>
          <t xml:space="preserve">The core loss increases/decreases by increasing/decreasing the input supply voltage because the inductor current ripple becomes bigger.smaller by increasing/decreasing the input supply voltage. </t>
        </r>
      </text>
    </comment>
    <comment ref="F124" authorId="2" shapeId="0">
      <text>
        <r>
          <rPr>
            <b/>
            <sz val="9"/>
            <color indexed="81"/>
            <rFont val="Arial"/>
            <family val="2"/>
          </rPr>
          <t>On-State Resistance (R</t>
        </r>
        <r>
          <rPr>
            <b/>
            <vertAlign val="subscript"/>
            <sz val="9"/>
            <color indexed="81"/>
            <rFont val="Arial"/>
            <family val="2"/>
          </rPr>
          <t>DS(on)</t>
        </r>
        <r>
          <rPr>
            <b/>
            <sz val="9"/>
            <color indexed="81"/>
            <rFont val="Arial"/>
            <family val="2"/>
          </rPr>
          <t xml:space="preserve">):
</t>
        </r>
        <r>
          <rPr>
            <sz val="9"/>
            <color indexed="81"/>
            <rFont val="Arial"/>
            <family val="2"/>
          </rPr>
          <t xml:space="preserve">Enter the </t>
        </r>
        <r>
          <rPr>
            <b/>
            <sz val="9"/>
            <color indexed="81"/>
            <rFont val="Arial"/>
            <family val="2"/>
          </rPr>
          <t>R</t>
        </r>
        <r>
          <rPr>
            <b/>
            <vertAlign val="subscript"/>
            <sz val="9"/>
            <color indexed="81"/>
            <rFont val="Arial"/>
            <family val="2"/>
          </rPr>
          <t>DS(on)</t>
        </r>
        <r>
          <rPr>
            <sz val="9"/>
            <color indexed="81"/>
            <rFont val="Arial"/>
            <family val="2"/>
          </rPr>
          <t xml:space="preserve"> of the high-side MOSFET here (at the appropriate gate drive level, typically 7.5V). High current designs (&gt;5A) can incur large conduction losses and, as such, demand MOSFETs with low </t>
        </r>
        <r>
          <rPr>
            <b/>
            <sz val="9"/>
            <color indexed="81"/>
            <rFont val="Arial"/>
            <family val="2"/>
          </rPr>
          <t>R</t>
        </r>
        <r>
          <rPr>
            <b/>
            <vertAlign val="subscript"/>
            <sz val="9"/>
            <color indexed="81"/>
            <rFont val="Arial"/>
            <family val="2"/>
          </rPr>
          <t>DS(on)</t>
        </r>
        <r>
          <rPr>
            <sz val="9"/>
            <color indexed="81"/>
            <rFont val="Arial"/>
            <family val="2"/>
          </rPr>
          <t xml:space="preserve"> usually at the expense of larger Q</t>
        </r>
        <r>
          <rPr>
            <vertAlign val="subscript"/>
            <sz val="9"/>
            <color indexed="81"/>
            <rFont val="Arial"/>
            <family val="2"/>
          </rPr>
          <t>G</t>
        </r>
        <r>
          <rPr>
            <sz val="9"/>
            <color indexed="81"/>
            <rFont val="Arial"/>
            <family val="2"/>
          </rPr>
          <t>.</t>
        </r>
      </text>
    </comment>
    <comment ref="G124" authorId="2" shapeId="0">
      <text>
        <r>
          <rPr>
            <b/>
            <sz val="9"/>
            <color indexed="81"/>
            <rFont val="Arial"/>
            <family val="2"/>
          </rPr>
          <t>On-State Resistance (R</t>
        </r>
        <r>
          <rPr>
            <b/>
            <vertAlign val="subscript"/>
            <sz val="9"/>
            <color indexed="81"/>
            <rFont val="Arial"/>
            <family val="2"/>
          </rPr>
          <t>DS(on)</t>
        </r>
        <r>
          <rPr>
            <b/>
            <sz val="9"/>
            <color indexed="81"/>
            <rFont val="Arial"/>
            <family val="2"/>
          </rPr>
          <t xml:space="preserve">):
</t>
        </r>
        <r>
          <rPr>
            <sz val="9"/>
            <color indexed="81"/>
            <rFont val="Arial"/>
            <family val="2"/>
          </rPr>
          <t xml:space="preserve">Enter the </t>
        </r>
        <r>
          <rPr>
            <b/>
            <sz val="9"/>
            <color indexed="81"/>
            <rFont val="Arial"/>
            <family val="2"/>
          </rPr>
          <t>R</t>
        </r>
        <r>
          <rPr>
            <b/>
            <vertAlign val="subscript"/>
            <sz val="9"/>
            <color indexed="81"/>
            <rFont val="Arial"/>
            <family val="2"/>
          </rPr>
          <t>DS(on)</t>
        </r>
        <r>
          <rPr>
            <sz val="9"/>
            <color indexed="81"/>
            <rFont val="Arial"/>
            <family val="2"/>
          </rPr>
          <t xml:space="preserve"> of the low-side MOSFET here  (at the appropriate gate drive level, typically 7.5V). High current designs (&gt;5A) can incur large conduction losses and, as such, demand MOSFETs with low </t>
        </r>
        <r>
          <rPr>
            <b/>
            <sz val="9"/>
            <color indexed="81"/>
            <rFont val="Arial"/>
            <family val="2"/>
          </rPr>
          <t>R</t>
        </r>
        <r>
          <rPr>
            <b/>
            <vertAlign val="subscript"/>
            <sz val="9"/>
            <color indexed="81"/>
            <rFont val="Arial"/>
            <family val="2"/>
          </rPr>
          <t>DS(on)</t>
        </r>
        <r>
          <rPr>
            <sz val="9"/>
            <color indexed="81"/>
            <rFont val="Arial"/>
            <family val="2"/>
          </rPr>
          <t xml:space="preserve"> usually at the expense of larger Q</t>
        </r>
        <r>
          <rPr>
            <vertAlign val="subscript"/>
            <sz val="9"/>
            <color indexed="81"/>
            <rFont val="Arial"/>
            <family val="2"/>
          </rPr>
          <t>G</t>
        </r>
        <r>
          <rPr>
            <sz val="9"/>
            <color indexed="81"/>
            <rFont val="Arial"/>
            <family val="2"/>
          </rPr>
          <t xml:space="preserve">.
</t>
        </r>
      </text>
    </comment>
    <comment ref="F125" authorId="2" shapeId="0">
      <text>
        <r>
          <rPr>
            <b/>
            <sz val="9"/>
            <color indexed="81"/>
            <rFont val="Arial"/>
            <family val="2"/>
          </rPr>
          <t>Total Gate Charge (Q</t>
        </r>
        <r>
          <rPr>
            <b/>
            <vertAlign val="subscript"/>
            <sz val="9"/>
            <color indexed="81"/>
            <rFont val="Arial"/>
            <family val="2"/>
          </rPr>
          <t>g</t>
        </r>
        <r>
          <rPr>
            <b/>
            <sz val="9"/>
            <color indexed="81"/>
            <rFont val="Arial"/>
            <family val="2"/>
          </rPr>
          <t>):</t>
        </r>
        <r>
          <rPr>
            <sz val="9"/>
            <color indexed="81"/>
            <rFont val="Arial"/>
            <family val="2"/>
          </rPr>
          <t xml:space="preserve">
Enter the total gate charge of the high-side MOSFET here (at the appropriate gate drive voltage level, typically 7.5V).</t>
        </r>
      </text>
    </comment>
    <comment ref="G125" authorId="2" shapeId="0">
      <text>
        <r>
          <rPr>
            <b/>
            <sz val="9"/>
            <color indexed="81"/>
            <rFont val="Arial"/>
            <family val="2"/>
          </rPr>
          <t>Total Gate Charge (Q</t>
        </r>
        <r>
          <rPr>
            <b/>
            <vertAlign val="subscript"/>
            <sz val="9"/>
            <color indexed="81"/>
            <rFont val="Arial"/>
            <family val="2"/>
          </rPr>
          <t>g</t>
        </r>
        <r>
          <rPr>
            <b/>
            <sz val="9"/>
            <color indexed="81"/>
            <rFont val="Arial"/>
            <family val="2"/>
          </rPr>
          <t>):</t>
        </r>
        <r>
          <rPr>
            <sz val="9"/>
            <color indexed="81"/>
            <rFont val="Arial"/>
            <family val="2"/>
          </rPr>
          <t xml:space="preserve">
Enter the total gate charge of the low-side MOSFET here (at the appropriate gate drive level, typically 7.5V)</t>
        </r>
      </text>
    </comment>
    <comment ref="F126" authorId="2" shapeId="0">
      <text>
        <r>
          <rPr>
            <b/>
            <sz val="9"/>
            <color indexed="81"/>
            <rFont val="Arial"/>
            <family val="2"/>
          </rPr>
          <t>Gate-Drain Charge (Q</t>
        </r>
        <r>
          <rPr>
            <b/>
            <vertAlign val="subscript"/>
            <sz val="9"/>
            <color indexed="81"/>
            <rFont val="Arial"/>
            <family val="2"/>
          </rPr>
          <t>GD</t>
        </r>
        <r>
          <rPr>
            <b/>
            <sz val="9"/>
            <color indexed="81"/>
            <rFont val="Arial"/>
            <family val="2"/>
          </rPr>
          <t xml:space="preserve">):
</t>
        </r>
        <r>
          <rPr>
            <sz val="9"/>
            <color indexed="81"/>
            <rFont val="Arial"/>
            <family val="2"/>
          </rPr>
          <t>Enter the Q</t>
        </r>
        <r>
          <rPr>
            <vertAlign val="subscript"/>
            <sz val="9"/>
            <color indexed="81"/>
            <rFont val="Arial"/>
            <family val="2"/>
          </rPr>
          <t>GD</t>
        </r>
        <r>
          <rPr>
            <sz val="9"/>
            <color indexed="81"/>
            <rFont val="Arial"/>
            <family val="2"/>
          </rPr>
          <t xml:space="preserve"> of the high-side MOSFET here.
MOSFET Q</t>
        </r>
        <r>
          <rPr>
            <vertAlign val="subscript"/>
            <sz val="9"/>
            <color indexed="81"/>
            <rFont val="Arial"/>
            <family val="2"/>
          </rPr>
          <t>GD</t>
        </r>
        <r>
          <rPr>
            <sz val="9"/>
            <color indexed="81"/>
            <rFont val="Arial"/>
            <family val="2"/>
          </rPr>
          <t xml:space="preserve"> affects the turn-on and-off transition times. Slow transition times result in a decrease in efficiency, especially at higher input voltages.</t>
        </r>
      </text>
    </comment>
    <comment ref="G126" authorId="2" shapeId="0">
      <text>
        <r>
          <rPr>
            <b/>
            <sz val="9"/>
            <color indexed="81"/>
            <rFont val="Arial"/>
            <family val="2"/>
          </rPr>
          <t>Gate-Drain Charge (Q</t>
        </r>
        <r>
          <rPr>
            <b/>
            <vertAlign val="subscript"/>
            <sz val="9"/>
            <color indexed="81"/>
            <rFont val="Arial"/>
            <family val="2"/>
          </rPr>
          <t>GD</t>
        </r>
        <r>
          <rPr>
            <b/>
            <sz val="9"/>
            <color indexed="81"/>
            <rFont val="Arial"/>
            <family val="2"/>
          </rPr>
          <t xml:space="preserve">):
</t>
        </r>
        <r>
          <rPr>
            <sz val="9"/>
            <color indexed="81"/>
            <rFont val="Arial"/>
            <family val="2"/>
          </rPr>
          <t>Enter the Q</t>
        </r>
        <r>
          <rPr>
            <vertAlign val="subscript"/>
            <sz val="9"/>
            <color indexed="81"/>
            <rFont val="Arial"/>
            <family val="2"/>
          </rPr>
          <t>GD</t>
        </r>
        <r>
          <rPr>
            <sz val="9"/>
            <color indexed="81"/>
            <rFont val="Arial"/>
            <family val="2"/>
          </rPr>
          <t xml:space="preserve"> of the low-side MOSFET here.</t>
        </r>
      </text>
    </comment>
    <comment ref="F127" authorId="2" shapeId="0">
      <text>
        <r>
          <rPr>
            <b/>
            <sz val="9"/>
            <color indexed="81"/>
            <rFont val="Arial"/>
            <family val="2"/>
          </rPr>
          <t>Gate-Source Charge (Q</t>
        </r>
        <r>
          <rPr>
            <b/>
            <vertAlign val="subscript"/>
            <sz val="9"/>
            <color indexed="81"/>
            <rFont val="Arial"/>
            <family val="2"/>
          </rPr>
          <t>GS</t>
        </r>
        <r>
          <rPr>
            <b/>
            <sz val="9"/>
            <color indexed="81"/>
            <rFont val="Arial"/>
            <family val="2"/>
          </rPr>
          <t xml:space="preserve">):
</t>
        </r>
        <r>
          <rPr>
            <sz val="9"/>
            <color indexed="81"/>
            <rFont val="Arial"/>
            <family val="2"/>
          </rPr>
          <t xml:space="preserve">Enter the high-side MOSFET gate-source charge here. </t>
        </r>
      </text>
    </comment>
    <comment ref="G127" authorId="2" shapeId="0">
      <text>
        <r>
          <rPr>
            <b/>
            <sz val="9"/>
            <color indexed="81"/>
            <rFont val="Arial"/>
            <family val="2"/>
          </rPr>
          <t>Gate-Source Charge (Q</t>
        </r>
        <r>
          <rPr>
            <b/>
            <vertAlign val="subscript"/>
            <sz val="9"/>
            <color indexed="81"/>
            <rFont val="Arial"/>
            <family val="2"/>
          </rPr>
          <t>GS</t>
        </r>
        <r>
          <rPr>
            <b/>
            <sz val="9"/>
            <color indexed="81"/>
            <rFont val="Arial"/>
            <family val="2"/>
          </rPr>
          <t xml:space="preserve">):
</t>
        </r>
        <r>
          <rPr>
            <sz val="9"/>
            <color indexed="81"/>
            <rFont val="Arial"/>
            <family val="2"/>
          </rPr>
          <t xml:space="preserve">Enter the low-side MOSFET gate-source charge here. </t>
        </r>
      </text>
    </comment>
    <comment ref="G128" authorId="2" shapeId="0">
      <text>
        <r>
          <rPr>
            <b/>
            <sz val="9"/>
            <color indexed="81"/>
            <rFont val="Arial"/>
            <family val="2"/>
          </rPr>
          <t>Output Charge (Q</t>
        </r>
        <r>
          <rPr>
            <b/>
            <vertAlign val="subscript"/>
            <sz val="9"/>
            <color indexed="81"/>
            <rFont val="Arial"/>
            <family val="2"/>
          </rPr>
          <t>OSS</t>
        </r>
        <r>
          <rPr>
            <b/>
            <sz val="9"/>
            <color indexed="81"/>
            <rFont val="Arial"/>
            <family val="2"/>
          </rPr>
          <t xml:space="preserve">):
</t>
        </r>
        <r>
          <rPr>
            <sz val="9"/>
            <color indexed="81"/>
            <rFont val="Arial"/>
            <family val="2"/>
          </rPr>
          <t xml:space="preserve">Enter the low-side MOSFET output charge here. </t>
        </r>
      </text>
    </comment>
    <comment ref="F129" authorId="2" shapeId="0">
      <text>
        <r>
          <rPr>
            <b/>
            <sz val="9"/>
            <color indexed="81"/>
            <rFont val="Arial"/>
            <family val="2"/>
          </rPr>
          <t>Output Charge (C</t>
        </r>
        <r>
          <rPr>
            <b/>
            <vertAlign val="subscript"/>
            <sz val="9"/>
            <color indexed="81"/>
            <rFont val="Arial"/>
            <family val="2"/>
          </rPr>
          <t>OSS</t>
        </r>
        <r>
          <rPr>
            <b/>
            <sz val="9"/>
            <color indexed="81"/>
            <rFont val="Arial"/>
            <family val="2"/>
          </rPr>
          <t xml:space="preserve">):
</t>
        </r>
        <r>
          <rPr>
            <sz val="9"/>
            <color indexed="81"/>
            <rFont val="Arial"/>
            <family val="2"/>
          </rPr>
          <t xml:space="preserve">Enter the high-side MOSFET output capacitance at typicalinput voltagehere. </t>
        </r>
      </text>
    </comment>
    <comment ref="G129" authorId="2" shapeId="0">
      <text>
        <r>
          <rPr>
            <b/>
            <sz val="9"/>
            <color indexed="81"/>
            <rFont val="Arial"/>
            <family val="2"/>
          </rPr>
          <t xml:space="preserve">Output Charge (COSS):
</t>
        </r>
        <r>
          <rPr>
            <sz val="9"/>
            <color indexed="81"/>
            <rFont val="Arial"/>
            <family val="2"/>
          </rPr>
          <t xml:space="preserve">Enter the high-side MOSFET output capacitance at typicalinput voltagehere. </t>
        </r>
        <r>
          <rPr>
            <b/>
            <sz val="10"/>
            <color indexed="81"/>
            <rFont val="Tahoma"/>
            <family val="2"/>
          </rPr>
          <t xml:space="preserve">
</t>
        </r>
      </text>
    </comment>
    <comment ref="F130" authorId="2" shapeId="0">
      <text>
        <r>
          <rPr>
            <b/>
            <sz val="9"/>
            <color indexed="81"/>
            <rFont val="Arial"/>
            <family val="2"/>
          </rPr>
          <t>Gate Resistance (R</t>
        </r>
        <r>
          <rPr>
            <b/>
            <vertAlign val="subscript"/>
            <sz val="9"/>
            <color indexed="81"/>
            <rFont val="Arial"/>
            <family val="2"/>
          </rPr>
          <t>G</t>
        </r>
        <r>
          <rPr>
            <b/>
            <sz val="9"/>
            <color indexed="81"/>
            <rFont val="Arial"/>
            <family val="2"/>
          </rPr>
          <t>):</t>
        </r>
        <r>
          <rPr>
            <sz val="9"/>
            <color indexed="81"/>
            <rFont val="Arial"/>
            <family val="2"/>
          </rPr>
          <t xml:space="preserve">
Enter the high-side MOSFET gate resistance here. Enter 1Ω as a default</t>
        </r>
      </text>
    </comment>
    <comment ref="G130" authorId="2" shapeId="0">
      <text>
        <r>
          <rPr>
            <b/>
            <sz val="9"/>
            <color indexed="81"/>
            <rFont val="Arial"/>
            <family val="2"/>
          </rPr>
          <t>Gate Resistance (R</t>
        </r>
        <r>
          <rPr>
            <b/>
            <vertAlign val="subscript"/>
            <sz val="9"/>
            <color indexed="81"/>
            <rFont val="Arial"/>
            <family val="2"/>
          </rPr>
          <t>G</t>
        </r>
        <r>
          <rPr>
            <b/>
            <sz val="9"/>
            <color indexed="81"/>
            <rFont val="Arial"/>
            <family val="2"/>
          </rPr>
          <t>):</t>
        </r>
        <r>
          <rPr>
            <sz val="9"/>
            <color indexed="81"/>
            <rFont val="Arial"/>
            <family val="2"/>
          </rPr>
          <t xml:space="preserve">
Enter the low-side MOSFET gate resistance here. Enter 1Ω as a default</t>
        </r>
      </text>
    </comment>
    <comment ref="F131" authorId="2" shapeId="0">
      <text>
        <r>
          <rPr>
            <b/>
            <sz val="9"/>
            <color indexed="81"/>
            <rFont val="Arial"/>
            <family val="2"/>
          </rPr>
          <t>Forward Transconductance (g</t>
        </r>
        <r>
          <rPr>
            <b/>
            <vertAlign val="subscript"/>
            <sz val="9"/>
            <color indexed="81"/>
            <rFont val="Arial"/>
            <family val="2"/>
          </rPr>
          <t>FS</t>
        </r>
        <r>
          <rPr>
            <b/>
            <sz val="9"/>
            <color indexed="81"/>
            <rFont val="Arial"/>
            <family val="2"/>
          </rPr>
          <t xml:space="preserve">):
</t>
        </r>
        <r>
          <rPr>
            <sz val="9"/>
            <color indexed="81"/>
            <rFont val="Arial"/>
            <family val="2"/>
          </rPr>
          <t>Enter the forward transconductance rating of the high-side MOSFET here.</t>
        </r>
      </text>
    </comment>
    <comment ref="G131" authorId="2" shapeId="0">
      <text>
        <r>
          <rPr>
            <b/>
            <sz val="9"/>
            <color indexed="81"/>
            <rFont val="Arial"/>
            <family val="2"/>
          </rPr>
          <t>Forward Transconductance (g</t>
        </r>
        <r>
          <rPr>
            <b/>
            <vertAlign val="subscript"/>
            <sz val="9"/>
            <color indexed="81"/>
            <rFont val="Arial"/>
            <family val="2"/>
          </rPr>
          <t>FS</t>
        </r>
        <r>
          <rPr>
            <b/>
            <sz val="9"/>
            <color indexed="81"/>
            <rFont val="Arial"/>
            <family val="2"/>
          </rPr>
          <t xml:space="preserve">):
</t>
        </r>
        <r>
          <rPr>
            <sz val="9"/>
            <color indexed="81"/>
            <rFont val="Arial"/>
            <family val="2"/>
          </rPr>
          <t>Enter the forward transconductance rating of the low-side MOSFET here.</t>
        </r>
      </text>
    </comment>
    <comment ref="F132" authorId="2" shapeId="0">
      <text>
        <r>
          <rPr>
            <b/>
            <sz val="9"/>
            <color indexed="81"/>
            <rFont val="Arial"/>
            <family val="2"/>
          </rPr>
          <t>Gate to Source Threshold Voltage (V</t>
        </r>
        <r>
          <rPr>
            <b/>
            <vertAlign val="subscript"/>
            <sz val="9"/>
            <color indexed="81"/>
            <rFont val="Arial"/>
            <family val="2"/>
          </rPr>
          <t>GS(TH)</t>
        </r>
        <r>
          <rPr>
            <b/>
            <sz val="9"/>
            <color indexed="81"/>
            <rFont val="Arial"/>
            <family val="2"/>
          </rPr>
          <t xml:space="preserve">):
</t>
        </r>
        <r>
          <rPr>
            <sz val="9"/>
            <color indexed="81"/>
            <rFont val="Arial"/>
            <family val="2"/>
          </rPr>
          <t>Enter the MOSFET gate-source threshold voltage at rated current here. This can be taken as the plateau voltage in the V</t>
        </r>
        <r>
          <rPr>
            <vertAlign val="subscript"/>
            <sz val="9"/>
            <color indexed="81"/>
            <rFont val="Arial"/>
            <family val="2"/>
          </rPr>
          <t>GS</t>
        </r>
        <r>
          <rPr>
            <sz val="9"/>
            <color indexed="81"/>
            <rFont val="Arial"/>
            <family val="2"/>
          </rPr>
          <t>-Q</t>
        </r>
        <r>
          <rPr>
            <vertAlign val="subscript"/>
            <sz val="9"/>
            <color indexed="81"/>
            <rFont val="Arial"/>
            <family val="2"/>
          </rPr>
          <t>G</t>
        </r>
        <r>
          <rPr>
            <sz val="9"/>
            <color indexed="81"/>
            <rFont val="Arial"/>
            <family val="2"/>
          </rPr>
          <t xml:space="preserve"> curve in the MOSFET datasheet.</t>
        </r>
        <r>
          <rPr>
            <sz val="10"/>
            <color indexed="81"/>
            <rFont val="Tahoma"/>
            <family val="2"/>
          </rPr>
          <t xml:space="preserve">
</t>
        </r>
      </text>
    </comment>
    <comment ref="G132" authorId="2" shapeId="0">
      <text>
        <r>
          <rPr>
            <b/>
            <sz val="9"/>
            <color indexed="81"/>
            <rFont val="Arial"/>
            <family val="2"/>
          </rPr>
          <t>Gate to Source Threshold Voltage (V</t>
        </r>
        <r>
          <rPr>
            <b/>
            <vertAlign val="subscript"/>
            <sz val="9"/>
            <color indexed="81"/>
            <rFont val="Arial"/>
            <family val="2"/>
          </rPr>
          <t>GS(TH)</t>
        </r>
        <r>
          <rPr>
            <b/>
            <sz val="9"/>
            <color indexed="81"/>
            <rFont val="Arial"/>
            <family val="2"/>
          </rPr>
          <t xml:space="preserve">):
</t>
        </r>
        <r>
          <rPr>
            <sz val="9"/>
            <color indexed="81"/>
            <rFont val="Arial"/>
            <family val="2"/>
          </rPr>
          <t>Enter the MOSFET gate-source threshold voltage at rated current here. This can be taken as the plateau voltage in the V</t>
        </r>
        <r>
          <rPr>
            <vertAlign val="subscript"/>
            <sz val="9"/>
            <color indexed="81"/>
            <rFont val="Arial"/>
            <family val="2"/>
          </rPr>
          <t>GS</t>
        </r>
        <r>
          <rPr>
            <sz val="9"/>
            <color indexed="81"/>
            <rFont val="Arial"/>
            <family val="2"/>
          </rPr>
          <t>-Q</t>
        </r>
        <r>
          <rPr>
            <vertAlign val="subscript"/>
            <sz val="9"/>
            <color indexed="81"/>
            <rFont val="Arial"/>
            <family val="2"/>
          </rPr>
          <t>G</t>
        </r>
        <r>
          <rPr>
            <sz val="9"/>
            <color indexed="81"/>
            <rFont val="Arial"/>
            <family val="2"/>
          </rPr>
          <t xml:space="preserve"> curve in the MOSFET datasheet.</t>
        </r>
        <r>
          <rPr>
            <sz val="10"/>
            <color indexed="81"/>
            <rFont val="Tahoma"/>
            <family val="2"/>
          </rPr>
          <t xml:space="preserve">
</t>
        </r>
      </text>
    </comment>
    <comment ref="F133" authorId="2" shapeId="0">
      <text>
        <r>
          <rPr>
            <b/>
            <sz val="9"/>
            <color indexed="81"/>
            <rFont val="Arial"/>
            <family val="2"/>
          </rPr>
          <t>Body Diode Forward Voltage (V</t>
        </r>
        <r>
          <rPr>
            <b/>
            <vertAlign val="subscript"/>
            <sz val="9"/>
            <color indexed="81"/>
            <rFont val="Arial"/>
            <family val="2"/>
          </rPr>
          <t>bd1</t>
        </r>
        <r>
          <rPr>
            <b/>
            <sz val="9"/>
            <color indexed="81"/>
            <rFont val="Arial"/>
            <family val="2"/>
          </rPr>
          <t xml:space="preserve">):
</t>
        </r>
        <r>
          <rPr>
            <sz val="9"/>
            <color indexed="81"/>
            <rFont val="Arial"/>
            <family val="2"/>
          </rPr>
          <t>A MOSFET has an inherent reverse body diode, and the voltage drop usually is specified at a rated current. The high-side MOSFET body diode contributes power loss during negative current events.</t>
        </r>
      </text>
    </comment>
    <comment ref="G133" authorId="2" shapeId="0">
      <text>
        <r>
          <rPr>
            <b/>
            <sz val="9"/>
            <color indexed="81"/>
            <rFont val="Arial"/>
            <family val="2"/>
          </rPr>
          <t>Body Diode Forward Voltage (V</t>
        </r>
        <r>
          <rPr>
            <b/>
            <vertAlign val="subscript"/>
            <sz val="9"/>
            <color indexed="81"/>
            <rFont val="Arial"/>
            <family val="2"/>
          </rPr>
          <t>bd1</t>
        </r>
        <r>
          <rPr>
            <b/>
            <sz val="9"/>
            <color indexed="81"/>
            <rFont val="Arial"/>
            <family val="2"/>
          </rPr>
          <t xml:space="preserve">):
</t>
        </r>
        <r>
          <rPr>
            <sz val="9"/>
            <color indexed="81"/>
            <rFont val="Arial"/>
            <family val="2"/>
          </rPr>
          <t>A MOSFET has an inherent reverse body diode, and the voltage drop usually is specified at a rated current. The low-side MOSFET body diode contributes power loss related to both conduction and reverse recovery losses.</t>
        </r>
      </text>
    </comment>
    <comment ref="G134" authorId="2" shapeId="0">
      <text>
        <r>
          <rPr>
            <b/>
            <sz val="9"/>
            <color indexed="81"/>
            <rFont val="Arial"/>
            <family val="2"/>
          </rPr>
          <t>Body Diode Recovery Charge (Q</t>
        </r>
        <r>
          <rPr>
            <b/>
            <vertAlign val="subscript"/>
            <sz val="9"/>
            <color indexed="81"/>
            <rFont val="Arial"/>
            <family val="2"/>
          </rPr>
          <t>RR</t>
        </r>
        <r>
          <rPr>
            <b/>
            <sz val="9"/>
            <color indexed="81"/>
            <rFont val="Arial"/>
            <family val="2"/>
          </rPr>
          <t xml:space="preserve">):
</t>
        </r>
        <r>
          <rPr>
            <sz val="9"/>
            <color indexed="81"/>
            <rFont val="Arial"/>
            <family val="2"/>
          </rPr>
          <t xml:space="preserve">Enter the reverse recovery charge of the low-side MOSFET body diode here. </t>
        </r>
      </text>
    </comment>
    <comment ref="F135" authorId="2" shapeId="0">
      <text>
        <r>
          <rPr>
            <b/>
            <sz val="9"/>
            <color indexed="81"/>
            <rFont val="Arial"/>
            <family val="2"/>
          </rPr>
          <t>θ</t>
        </r>
        <r>
          <rPr>
            <b/>
            <vertAlign val="subscript"/>
            <sz val="9"/>
            <color indexed="81"/>
            <rFont val="Arial"/>
            <family val="2"/>
          </rPr>
          <t>JA</t>
        </r>
        <r>
          <rPr>
            <b/>
            <sz val="9"/>
            <color indexed="81"/>
            <rFont val="Arial"/>
            <family val="2"/>
          </rPr>
          <t xml:space="preserve">:
</t>
        </r>
        <r>
          <rPr>
            <sz val="9"/>
            <color indexed="81"/>
            <rFont val="Arial"/>
            <family val="2"/>
          </rPr>
          <t>θ</t>
        </r>
        <r>
          <rPr>
            <vertAlign val="subscript"/>
            <sz val="9"/>
            <color indexed="81"/>
            <rFont val="Arial"/>
            <family val="2"/>
          </rPr>
          <t>JA</t>
        </r>
        <r>
          <rPr>
            <sz val="9"/>
            <color indexed="81"/>
            <rFont val="Arial"/>
            <family val="2"/>
          </rPr>
          <t xml:space="preserve"> is the junction-to-ambient thermal resistance of the MOSFET. Higher θ</t>
        </r>
        <r>
          <rPr>
            <vertAlign val="subscript"/>
            <sz val="9"/>
            <color indexed="81"/>
            <rFont val="Arial"/>
            <family val="2"/>
          </rPr>
          <t>JA</t>
        </r>
        <r>
          <rPr>
            <sz val="9"/>
            <color indexed="81"/>
            <rFont val="Arial"/>
            <family val="2"/>
          </rPr>
          <t xml:space="preserve"> will lead to higher power loss and reduced efficiency. High current designs demand low θ</t>
        </r>
        <r>
          <rPr>
            <vertAlign val="subscript"/>
            <sz val="9"/>
            <color indexed="81"/>
            <rFont val="Arial"/>
            <family val="2"/>
          </rPr>
          <t>JA</t>
        </r>
        <r>
          <rPr>
            <sz val="9"/>
            <color indexed="81"/>
            <rFont val="Arial"/>
            <family val="2"/>
          </rPr>
          <t xml:space="preserve"> rating to help maintain low MOSFET operating junction temperature. What's imperative here is consciencious PCB design and layout to maximize heat removal from the MOSFET.</t>
        </r>
      </text>
    </comment>
    <comment ref="G135" authorId="2" shapeId="0">
      <text>
        <r>
          <rPr>
            <b/>
            <sz val="9"/>
            <color indexed="81"/>
            <rFont val="Arial"/>
            <family val="2"/>
          </rPr>
          <t>θ</t>
        </r>
        <r>
          <rPr>
            <b/>
            <vertAlign val="subscript"/>
            <sz val="9"/>
            <color indexed="81"/>
            <rFont val="Arial"/>
            <family val="2"/>
          </rPr>
          <t>JA</t>
        </r>
        <r>
          <rPr>
            <b/>
            <sz val="9"/>
            <color indexed="81"/>
            <rFont val="Arial"/>
            <family val="2"/>
          </rPr>
          <t xml:space="preserve">:
</t>
        </r>
        <r>
          <rPr>
            <sz val="9"/>
            <color indexed="81"/>
            <rFont val="Arial"/>
            <family val="2"/>
          </rPr>
          <t>θ</t>
        </r>
        <r>
          <rPr>
            <vertAlign val="subscript"/>
            <sz val="9"/>
            <color indexed="81"/>
            <rFont val="Arial"/>
            <family val="2"/>
          </rPr>
          <t>JA</t>
        </r>
        <r>
          <rPr>
            <sz val="9"/>
            <color indexed="81"/>
            <rFont val="Arial"/>
            <family val="2"/>
          </rPr>
          <t xml:space="preserve"> is the junction-to-ambient thermal resistance of the MOSFET. Higher θ</t>
        </r>
        <r>
          <rPr>
            <vertAlign val="subscript"/>
            <sz val="9"/>
            <color indexed="81"/>
            <rFont val="Arial"/>
            <family val="2"/>
          </rPr>
          <t>JA</t>
        </r>
        <r>
          <rPr>
            <sz val="9"/>
            <color indexed="81"/>
            <rFont val="Arial"/>
            <family val="2"/>
          </rPr>
          <t xml:space="preserve"> will lead to higher power loss and reduced efficiency. High current designs demand low θ</t>
        </r>
        <r>
          <rPr>
            <vertAlign val="subscript"/>
            <sz val="9"/>
            <color indexed="81"/>
            <rFont val="Arial"/>
            <family val="2"/>
          </rPr>
          <t>JA</t>
        </r>
        <r>
          <rPr>
            <sz val="9"/>
            <color indexed="81"/>
            <rFont val="Arial"/>
            <family val="2"/>
          </rPr>
          <t xml:space="preserve"> rating to help maintain low MOSFET operating junction temperature. What's imperative here is consciencious PCB design and layout to maximize heat removal from the MOSFET.</t>
        </r>
      </text>
    </comment>
    <comment ref="G137" authorId="3" shapeId="0">
      <text>
        <r>
          <rPr>
            <b/>
            <sz val="9"/>
            <color indexed="81"/>
            <rFont val="Arial"/>
            <family val="2"/>
          </rPr>
          <t xml:space="preserve">Schottky Diode Forward Voltage:
</t>
        </r>
        <r>
          <rPr>
            <sz val="9"/>
            <color indexed="81"/>
            <rFont val="Arial"/>
            <family val="2"/>
          </rPr>
          <t>If an antiparallel Schottky diode is used across the low-side FET, enter the forward voltage at the rated current here. If a Schottky diode is not used, enter "0" into this cell.</t>
        </r>
        <r>
          <rPr>
            <sz val="9"/>
            <color indexed="81"/>
            <rFont val="Tahoma"/>
            <family val="2"/>
          </rPr>
          <t xml:space="preserve">
</t>
        </r>
      </text>
    </comment>
    <comment ref="G138" authorId="3" shapeId="0">
      <text>
        <r>
          <rPr>
            <b/>
            <sz val="9"/>
            <color indexed="81"/>
            <rFont val="Arial"/>
            <family val="2"/>
          </rPr>
          <t>Schottky Diode Reverse Recovery Charge:</t>
        </r>
        <r>
          <rPr>
            <sz val="9"/>
            <color indexed="81"/>
            <rFont val="Arial"/>
            <family val="2"/>
          </rPr>
          <t xml:space="preserve">
Enter the diode reverse recovery charge here.
If a Schottky diode is not used, enter "0" into this cell.</t>
        </r>
      </text>
    </comment>
    <comment ref="H142" authorId="1" shapeId="0">
      <text>
        <r>
          <rPr>
            <b/>
            <u/>
            <sz val="9"/>
            <color indexed="81"/>
            <rFont val="Arial"/>
            <family val="2"/>
          </rPr>
          <t>External BIAS Supply</t>
        </r>
        <r>
          <rPr>
            <b/>
            <sz val="9"/>
            <color indexed="81"/>
            <rFont val="Arial"/>
            <family val="2"/>
          </rPr>
          <t xml:space="preserve">
</t>
        </r>
        <r>
          <rPr>
            <sz val="9"/>
            <color indexed="81"/>
            <rFont val="Arial"/>
            <family val="2"/>
          </rPr>
          <t xml:space="preserve">The VCC regulator is a dual-input regulator. A lower voltage supply such as the converter output or other external power supply can be connected to BIAS in order to reduce the IC power loss. The IC power loss is estimated assuming the BIAS pin is connected to the converter output. </t>
        </r>
      </text>
    </comment>
    <comment ref="H144" authorId="3" shapeId="0">
      <text>
        <r>
          <rPr>
            <b/>
            <u/>
            <sz val="9"/>
            <color indexed="81"/>
            <rFont val="Arial"/>
            <family val="2"/>
          </rPr>
          <t>IC Power Loss</t>
        </r>
        <r>
          <rPr>
            <sz val="9"/>
            <color indexed="81"/>
            <rFont val="Arial"/>
            <family val="2"/>
          </rPr>
          <t xml:space="preserve">
IC power loss estimate based on the typical  input voltage. </t>
        </r>
      </text>
    </comment>
    <comment ref="H145" authorId="1" shapeId="0">
      <text>
        <r>
          <rPr>
            <b/>
            <u/>
            <sz val="9"/>
            <color indexed="81"/>
            <rFont val="Arial"/>
            <family val="2"/>
          </rPr>
          <t>Estimated juction temperature</t>
        </r>
        <r>
          <rPr>
            <b/>
            <sz val="9"/>
            <color indexed="81"/>
            <rFont val="Arial"/>
            <family val="2"/>
          </rPr>
          <t xml:space="preserve">
</t>
        </r>
        <r>
          <rPr>
            <sz val="9"/>
            <color indexed="81"/>
            <rFont val="Arial"/>
            <family val="2"/>
          </rPr>
          <t xml:space="preserve">Consider +/-10% estimation error including a part-to-part variation. 
Users must evaluate the device temperature at the worst case conditions with enclosures (if any).
</t>
        </r>
      </text>
    </comment>
    <comment ref="H146" authorId="1" shapeId="0">
      <text>
        <r>
          <rPr>
            <b/>
            <u/>
            <sz val="9"/>
            <color indexed="81"/>
            <rFont val="Arial"/>
            <family val="2"/>
          </rPr>
          <t xml:space="preserve">MOSFET driving current
</t>
        </r>
        <r>
          <rPr>
            <sz val="9"/>
            <color indexed="81"/>
            <rFont val="Arial"/>
            <family val="2"/>
          </rPr>
          <t xml:space="preserve">VCC regulator supplies the driving current for both HS and LS MOSFETs. The converter might fail start up if the driving current is greater than the VCC current limit. The text in the cell is flagged ORANGE if the driving current is greatare than 130mA.   </t>
        </r>
      </text>
    </comment>
    <comment ref="D148" authorId="1" shapeId="0">
      <text>
        <r>
          <rPr>
            <b/>
            <sz val="9"/>
            <color indexed="81"/>
            <rFont val="Tahoma"/>
            <family val="2"/>
          </rPr>
          <t>Power Supply Recommendation:</t>
        </r>
        <r>
          <rPr>
            <sz val="9"/>
            <color indexed="81"/>
            <rFont val="Tahoma"/>
            <family val="2"/>
          </rPr>
          <t xml:space="preserve">
If the regulator is connected to an input supply through long wires or PCB traces with a large impedance, take special care to achieve stable performance. The parasitic inductance and resistance of the input cables can have an adverse affect on converter operation. The parasitic inductance in combination with the low-ESR ceramic input capacitors form an underdamped resonant circuit. This circuit can cause overvoltage transients at VIN each time the input supply is cycled ON and OFF. The parasitic resistance causes the input voltage to dip during a load transient. The best way to solve such issues is to reduce the distance from the input supply
to the regulator and use an aluminum or tantalum input capacitor in parallel with the ceramics. The moderate ESR of the electrolytic capacitors helps damp the input resonant circuit and reduce any voltage overshoots.</t>
        </r>
      </text>
    </comment>
  </commentList>
</comments>
</file>

<file path=xl/comments2.xml><?xml version="1.0" encoding="utf-8"?>
<comments xmlns="http://schemas.openxmlformats.org/spreadsheetml/2006/main">
  <authors>
    <author>Lee, Eric</author>
  </authors>
  <commentList>
    <comment ref="B221" authorId="0" shapeId="0">
      <text>
        <r>
          <rPr>
            <b/>
            <sz val="9"/>
            <color indexed="81"/>
            <rFont val="Tahoma"/>
            <family val="2"/>
          </rPr>
          <t>Lee, Eric:</t>
        </r>
        <r>
          <rPr>
            <sz val="9"/>
            <color indexed="81"/>
            <rFont val="Tahoma"/>
            <family val="2"/>
          </rPr>
          <t xml:space="preserve">
Unexpected VCC regulator wake-up delay is 10us
Cvcc should be enough big to not trigger VCC_UVLO during 10us</t>
        </r>
      </text>
    </comment>
  </commentList>
</comments>
</file>

<file path=xl/sharedStrings.xml><?xml version="1.0" encoding="utf-8"?>
<sst xmlns="http://schemas.openxmlformats.org/spreadsheetml/2006/main" count="687" uniqueCount="544">
  <si>
    <t>Step 1: Operating Specifications</t>
  </si>
  <si>
    <r>
      <t>Input Voltage – Typ, V</t>
    </r>
    <r>
      <rPr>
        <b/>
        <vertAlign val="subscript"/>
        <sz val="10"/>
        <color theme="1"/>
        <rFont val="Arial"/>
        <family val="2"/>
      </rPr>
      <t>SUPPLY(typ)</t>
    </r>
  </si>
  <si>
    <r>
      <t>Input Voltage – Max, V</t>
    </r>
    <r>
      <rPr>
        <b/>
        <vertAlign val="subscript"/>
        <sz val="10"/>
        <color theme="1"/>
        <rFont val="Arial"/>
        <family val="2"/>
      </rPr>
      <t>SUPPLY(max)</t>
    </r>
  </si>
  <si>
    <r>
      <t>Switching Frequency, f</t>
    </r>
    <r>
      <rPr>
        <b/>
        <vertAlign val="subscript"/>
        <sz val="10"/>
        <color theme="1"/>
        <rFont val="Arial"/>
        <family val="2"/>
      </rPr>
      <t>SW</t>
    </r>
  </si>
  <si>
    <r>
      <t>Frequency Set Resistor, R</t>
    </r>
    <r>
      <rPr>
        <vertAlign val="subscript"/>
        <sz val="10"/>
        <color theme="1"/>
        <rFont val="Arial"/>
        <family val="2"/>
      </rPr>
      <t>RT</t>
    </r>
    <r>
      <rPr>
        <sz val="10"/>
        <color theme="1"/>
        <rFont val="Arial"/>
        <family val="2"/>
      </rPr>
      <t xml:space="preserve"> </t>
    </r>
  </si>
  <si>
    <t>Switching Mode</t>
  </si>
  <si>
    <t>V</t>
  </si>
  <si>
    <t>A</t>
  </si>
  <si>
    <t>kHz</t>
  </si>
  <si>
    <t>kΩ</t>
  </si>
  <si>
    <t>About</t>
  </si>
  <si>
    <t>xx</t>
  </si>
  <si>
    <t>= Input Box</t>
  </si>
  <si>
    <t>TERMS OF USE</t>
  </si>
  <si>
    <r>
      <t>Input Voltage – Min, V</t>
    </r>
    <r>
      <rPr>
        <b/>
        <vertAlign val="subscript"/>
        <sz val="10"/>
        <color theme="1"/>
        <rFont val="Arial"/>
        <family val="2"/>
      </rPr>
      <t xml:space="preserve">SUPPLY(min) </t>
    </r>
  </si>
  <si>
    <r>
      <t>Regulation Target in CV, V</t>
    </r>
    <r>
      <rPr>
        <b/>
        <vertAlign val="subscript"/>
        <sz val="10"/>
        <color theme="1"/>
        <rFont val="Arial"/>
        <family val="2"/>
      </rPr>
      <t xml:space="preserve">LOAD </t>
    </r>
  </si>
  <si>
    <t>FPWM</t>
  </si>
  <si>
    <t>Device P/N</t>
  </si>
  <si>
    <t>mΩ</t>
  </si>
  <si>
    <t>Step 2: Current Sense Resistor</t>
  </si>
  <si>
    <t>Step 3: Buck Inductor</t>
  </si>
  <si>
    <t>µH</t>
  </si>
  <si>
    <t>Minimum Inductance</t>
  </si>
  <si>
    <t>Apk</t>
  </si>
  <si>
    <t>W</t>
  </si>
  <si>
    <r>
      <t xml:space="preserve"> Selected Buck Inductance, L</t>
    </r>
    <r>
      <rPr>
        <b/>
        <vertAlign val="subscript"/>
        <sz val="10"/>
        <color theme="1"/>
        <rFont val="Arial"/>
        <family val="2"/>
      </rPr>
      <t>OUT</t>
    </r>
  </si>
  <si>
    <r>
      <t>Selected Sense Resistance, R</t>
    </r>
    <r>
      <rPr>
        <b/>
        <vertAlign val="subscript"/>
        <sz val="10"/>
        <color theme="1"/>
        <rFont val="Arial"/>
        <family val="2"/>
      </rPr>
      <t>S</t>
    </r>
  </si>
  <si>
    <r>
      <t>Power Loss at C/L, P</t>
    </r>
    <r>
      <rPr>
        <vertAlign val="subscript"/>
        <sz val="10"/>
        <color theme="1"/>
        <rFont val="Arial"/>
        <family val="2"/>
      </rPr>
      <t>RS</t>
    </r>
  </si>
  <si>
    <r>
      <t>Estimated Inductor Core Loss at V</t>
    </r>
    <r>
      <rPr>
        <b/>
        <vertAlign val="subscript"/>
        <sz val="10"/>
        <color theme="1"/>
        <rFont val="Arial"/>
        <family val="2"/>
      </rPr>
      <t>SUPPLY(typ)</t>
    </r>
  </si>
  <si>
    <r>
      <t>Dropout Mode Operation at V</t>
    </r>
    <r>
      <rPr>
        <vertAlign val="subscript"/>
        <sz val="10"/>
        <color theme="1"/>
        <rFont val="Arial"/>
        <family val="2"/>
      </rPr>
      <t>SUPPLY(min)</t>
    </r>
  </si>
  <si>
    <t>Recommended Maximum Sense Resistance</t>
  </si>
  <si>
    <t xml:space="preserve">Step 5: Enable, UVLO </t>
  </si>
  <si>
    <r>
      <t>VCC Capacitor, C</t>
    </r>
    <r>
      <rPr>
        <vertAlign val="subscript"/>
        <sz val="10"/>
        <color theme="1"/>
        <rFont val="Arial"/>
        <family val="2"/>
      </rPr>
      <t>VCC</t>
    </r>
  </si>
  <si>
    <t>µF</t>
  </si>
  <si>
    <t>nF</t>
  </si>
  <si>
    <r>
      <t>Boot Capacitor, C</t>
    </r>
    <r>
      <rPr>
        <vertAlign val="subscript"/>
        <sz val="10"/>
        <color theme="1"/>
        <rFont val="Arial"/>
        <family val="2"/>
      </rPr>
      <t>BOOT</t>
    </r>
  </si>
  <si>
    <r>
      <t>VIN pin Capacitor, C</t>
    </r>
    <r>
      <rPr>
        <vertAlign val="subscript"/>
        <sz val="10"/>
        <color theme="1"/>
        <rFont val="Arial"/>
        <family val="2"/>
      </rPr>
      <t>VIN</t>
    </r>
  </si>
  <si>
    <t>ms</t>
  </si>
  <si>
    <t>Step 6: Output Capacitors</t>
  </si>
  <si>
    <t>%</t>
  </si>
  <si>
    <t xml:space="preserve">Minimum Derated Output Capacitance </t>
  </si>
  <si>
    <t>mVpk-pk</t>
  </si>
  <si>
    <t>Derating Factor (Bulk/SuperCap)</t>
  </si>
  <si>
    <t>Derated Output Capacitance (Bulk/SuperCap)</t>
  </si>
  <si>
    <t>Derating Factor (Ceramic Capacitor)</t>
  </si>
  <si>
    <t>Derated Output Capacitance (Ceramic Capacitor)</t>
  </si>
  <si>
    <t>Derated Output Capacitance (Total)</t>
  </si>
  <si>
    <t>pF</t>
  </si>
  <si>
    <r>
      <t>Lower Standard Feedback Resistance, R</t>
    </r>
    <r>
      <rPr>
        <vertAlign val="subscript"/>
        <sz val="10"/>
        <rFont val="Arial"/>
        <family val="2"/>
      </rPr>
      <t>FBB</t>
    </r>
  </si>
  <si>
    <t>Step 7: Feedback Resistors (CV mode)</t>
  </si>
  <si>
    <t>Step 8:  Loop Compensation Design (CV mode)</t>
  </si>
  <si>
    <t>Step 10:  Loop Compensation Design (CC mode)</t>
  </si>
  <si>
    <t>Step 9: ISET Components (CC mode)</t>
  </si>
  <si>
    <t>Step 11: Efficiency</t>
  </si>
  <si>
    <t>Step 12: IC Power Loss</t>
  </si>
  <si>
    <t>Step 13: Input Capacitors</t>
  </si>
  <si>
    <t>Desired Compensation Zero Frequency</t>
  </si>
  <si>
    <t>Desired Compensation Pole Frequency</t>
  </si>
  <si>
    <r>
      <t>Inductor DCR at 25°C, R</t>
    </r>
    <r>
      <rPr>
        <b/>
        <vertAlign val="subscript"/>
        <sz val="10"/>
        <color theme="1"/>
        <rFont val="Arial"/>
        <family val="2"/>
      </rPr>
      <t>DCR</t>
    </r>
  </si>
  <si>
    <r>
      <t>Upper Enable Resistor for UVLO, R</t>
    </r>
    <r>
      <rPr>
        <b/>
        <vertAlign val="subscript"/>
        <sz val="10"/>
        <color theme="1"/>
        <rFont val="Arial"/>
        <family val="2"/>
      </rPr>
      <t>ENT</t>
    </r>
  </si>
  <si>
    <r>
      <t>Lower Enable Resistor for UVLO, R</t>
    </r>
    <r>
      <rPr>
        <vertAlign val="subscript"/>
        <sz val="10"/>
        <color theme="1"/>
        <rFont val="Arial"/>
        <family val="2"/>
      </rPr>
      <t>ENB</t>
    </r>
  </si>
  <si>
    <r>
      <t xml:space="preserve">  Rated Output Capacitance (Bulk/SuperCap), C</t>
    </r>
    <r>
      <rPr>
        <b/>
        <vertAlign val="subscript"/>
        <sz val="10"/>
        <rFont val="Arial"/>
        <family val="2"/>
      </rPr>
      <t>OUTB</t>
    </r>
  </si>
  <si>
    <r>
      <t>Effective Capacitor ESR (Bulk/SuperCap), R</t>
    </r>
    <r>
      <rPr>
        <b/>
        <vertAlign val="subscript"/>
        <sz val="10"/>
        <rFont val="Arial"/>
        <family val="2"/>
      </rPr>
      <t>ESRB</t>
    </r>
  </si>
  <si>
    <r>
      <t>Effective Capacitor ESR (Ceramic Capacitor), R</t>
    </r>
    <r>
      <rPr>
        <b/>
        <vertAlign val="subscript"/>
        <sz val="10"/>
        <rFont val="Arial"/>
        <family val="2"/>
      </rPr>
      <t>ESRHF</t>
    </r>
  </si>
  <si>
    <r>
      <t>Load Pole Frequency, f</t>
    </r>
    <r>
      <rPr>
        <vertAlign val="subscript"/>
        <sz val="10"/>
        <rFont val="Arial"/>
        <family val="2"/>
      </rPr>
      <t>LP</t>
    </r>
  </si>
  <si>
    <r>
      <t>ESR Zero Frequency, f</t>
    </r>
    <r>
      <rPr>
        <vertAlign val="subscript"/>
        <sz val="10"/>
        <rFont val="Arial"/>
        <family val="2"/>
      </rPr>
      <t>ESRZ</t>
    </r>
  </si>
  <si>
    <r>
      <t xml:space="preserve"> Selected Compensation Zero Frequency, f</t>
    </r>
    <r>
      <rPr>
        <vertAlign val="subscript"/>
        <sz val="10"/>
        <rFont val="Arial"/>
        <family val="2"/>
      </rPr>
      <t>COMPZ</t>
    </r>
  </si>
  <si>
    <r>
      <t>Selected C</t>
    </r>
    <r>
      <rPr>
        <vertAlign val="subscript"/>
        <sz val="10"/>
        <rFont val="Arial"/>
        <family val="2"/>
      </rPr>
      <t>FF</t>
    </r>
    <r>
      <rPr>
        <sz val="10"/>
        <rFont val="Arial"/>
        <family val="2"/>
      </rPr>
      <t xml:space="preserve"> Zero Frequency, f</t>
    </r>
    <r>
      <rPr>
        <vertAlign val="subscript"/>
        <sz val="10"/>
        <rFont val="Arial"/>
        <family val="2"/>
      </rPr>
      <t>CFFZ</t>
    </r>
  </si>
  <si>
    <r>
      <t>Selected Compensation Pole Frequency,  f</t>
    </r>
    <r>
      <rPr>
        <vertAlign val="subscript"/>
        <sz val="10"/>
        <rFont val="Arial"/>
        <family val="2"/>
      </rPr>
      <t>COMPP</t>
    </r>
  </si>
  <si>
    <r>
      <t>Desired Maximum R</t>
    </r>
    <r>
      <rPr>
        <vertAlign val="subscript"/>
        <sz val="10"/>
        <rFont val="Arial"/>
        <family val="2"/>
      </rPr>
      <t>COMP</t>
    </r>
  </si>
  <si>
    <r>
      <t>Desired Minimum C</t>
    </r>
    <r>
      <rPr>
        <vertAlign val="subscript"/>
        <sz val="10"/>
        <rFont val="Arial"/>
        <family val="2"/>
      </rPr>
      <t>COMP</t>
    </r>
  </si>
  <si>
    <r>
      <t>Desired C</t>
    </r>
    <r>
      <rPr>
        <vertAlign val="subscript"/>
        <sz val="10"/>
        <rFont val="Arial"/>
        <family val="2"/>
      </rPr>
      <t>HF</t>
    </r>
  </si>
  <si>
    <r>
      <t>Selected R</t>
    </r>
    <r>
      <rPr>
        <b/>
        <vertAlign val="subscript"/>
        <sz val="10"/>
        <rFont val="Arial"/>
        <family val="2"/>
      </rPr>
      <t>COMP</t>
    </r>
  </si>
  <si>
    <r>
      <t>Selected C</t>
    </r>
    <r>
      <rPr>
        <b/>
        <vertAlign val="subscript"/>
        <sz val="10"/>
        <rFont val="Arial"/>
        <family val="2"/>
      </rPr>
      <t>COMP</t>
    </r>
  </si>
  <si>
    <r>
      <t>Selected C</t>
    </r>
    <r>
      <rPr>
        <b/>
        <vertAlign val="subscript"/>
        <sz val="10"/>
        <rFont val="Arial"/>
        <family val="2"/>
      </rPr>
      <t>HF</t>
    </r>
  </si>
  <si>
    <r>
      <t>Selected Feedforward Capacitance, C</t>
    </r>
    <r>
      <rPr>
        <b/>
        <vertAlign val="subscript"/>
        <sz val="10"/>
        <rFont val="Arial"/>
        <family val="2"/>
      </rPr>
      <t>FF</t>
    </r>
  </si>
  <si>
    <r>
      <t>Selected Feedforward Resistance, R</t>
    </r>
    <r>
      <rPr>
        <b/>
        <vertAlign val="subscript"/>
        <sz val="10"/>
        <rFont val="Arial"/>
        <family val="2"/>
      </rPr>
      <t>FF</t>
    </r>
  </si>
  <si>
    <r>
      <t>Desired ISET Voltage, V</t>
    </r>
    <r>
      <rPr>
        <b/>
        <vertAlign val="subscript"/>
        <sz val="10"/>
        <color theme="1"/>
        <rFont val="Arial"/>
        <family val="2"/>
      </rPr>
      <t>ISET</t>
    </r>
  </si>
  <si>
    <r>
      <t>ISET Resistor, R</t>
    </r>
    <r>
      <rPr>
        <vertAlign val="subscript"/>
        <sz val="10"/>
        <color theme="1"/>
        <rFont val="Arial"/>
        <family val="2"/>
      </rPr>
      <t>ISET</t>
    </r>
  </si>
  <si>
    <r>
      <t>Current Regulation Soft-start Time, T</t>
    </r>
    <r>
      <rPr>
        <vertAlign val="subscript"/>
        <sz val="10"/>
        <color theme="1"/>
        <rFont val="Arial"/>
        <family val="2"/>
      </rPr>
      <t>SSCC</t>
    </r>
  </si>
  <si>
    <r>
      <t>Selected ISET Capacitor, C</t>
    </r>
    <r>
      <rPr>
        <b/>
        <vertAlign val="subscript"/>
        <sz val="10"/>
        <color theme="1"/>
        <rFont val="Arial"/>
        <family val="2"/>
      </rPr>
      <t>ISET</t>
    </r>
  </si>
  <si>
    <r>
      <t>Desired Minimum C</t>
    </r>
    <r>
      <rPr>
        <vertAlign val="subscript"/>
        <sz val="10"/>
        <rFont val="Arial"/>
        <family val="2"/>
      </rPr>
      <t>IMON</t>
    </r>
  </si>
  <si>
    <r>
      <t>Desired R</t>
    </r>
    <r>
      <rPr>
        <vertAlign val="subscript"/>
        <sz val="10"/>
        <rFont val="Arial"/>
        <family val="2"/>
      </rPr>
      <t>IMON</t>
    </r>
  </si>
  <si>
    <r>
      <t>Desired R</t>
    </r>
    <r>
      <rPr>
        <vertAlign val="subscript"/>
        <sz val="10"/>
        <rFont val="Arial"/>
        <family val="2"/>
      </rPr>
      <t>IMONHF</t>
    </r>
  </si>
  <si>
    <r>
      <t>Selected R</t>
    </r>
    <r>
      <rPr>
        <b/>
        <vertAlign val="subscript"/>
        <sz val="10"/>
        <rFont val="Arial"/>
        <family val="2"/>
      </rPr>
      <t>IMON</t>
    </r>
  </si>
  <si>
    <r>
      <t>Selected R</t>
    </r>
    <r>
      <rPr>
        <b/>
        <vertAlign val="subscript"/>
        <sz val="10"/>
        <rFont val="Arial"/>
        <family val="2"/>
      </rPr>
      <t>IMONHF</t>
    </r>
  </si>
  <si>
    <r>
      <t>Selected C</t>
    </r>
    <r>
      <rPr>
        <b/>
        <vertAlign val="subscript"/>
        <sz val="10"/>
        <rFont val="Arial"/>
        <family val="2"/>
      </rPr>
      <t>IMON</t>
    </r>
  </si>
  <si>
    <r>
      <t xml:space="preserve"> Selected IMON Zero Frequency, f</t>
    </r>
    <r>
      <rPr>
        <vertAlign val="subscript"/>
        <sz val="10"/>
        <rFont val="Arial"/>
        <family val="2"/>
      </rPr>
      <t>IMONZ</t>
    </r>
  </si>
  <si>
    <r>
      <t>Selected IMON Pole Frequency,  f</t>
    </r>
    <r>
      <rPr>
        <vertAlign val="subscript"/>
        <sz val="10"/>
        <rFont val="Arial"/>
        <family val="2"/>
      </rPr>
      <t>IMONP</t>
    </r>
  </si>
  <si>
    <t>nC</t>
  </si>
  <si>
    <t>Ω</t>
  </si>
  <si>
    <t>S</t>
  </si>
  <si>
    <t>°C/W</t>
  </si>
  <si>
    <t>External Schottky Diode (if applicable)</t>
  </si>
  <si>
    <t>High-side</t>
  </si>
  <si>
    <t>Low-side</t>
  </si>
  <si>
    <t>°C</t>
  </si>
  <si>
    <t>Yes</t>
  </si>
  <si>
    <r>
      <t>Estimated IC Power Dissipation, P</t>
    </r>
    <r>
      <rPr>
        <vertAlign val="subscript"/>
        <sz val="10"/>
        <color theme="1"/>
        <rFont val="Arial"/>
        <family val="2"/>
      </rPr>
      <t>IC</t>
    </r>
  </si>
  <si>
    <t>Input Voltage Ripple Spec</t>
  </si>
  <si>
    <t>Maximum Input Capacitor RMS Current</t>
  </si>
  <si>
    <t>A(rms)</t>
  </si>
  <si>
    <t xml:space="preserve">Maximum Input Capacitor ESR </t>
  </si>
  <si>
    <r>
      <t>Minimum Derated Input Capacitance, C</t>
    </r>
    <r>
      <rPr>
        <vertAlign val="subscript"/>
        <sz val="10"/>
        <color theme="1"/>
        <rFont val="Arial"/>
        <family val="2"/>
      </rPr>
      <t>IN</t>
    </r>
  </si>
  <si>
    <t>Device Rating</t>
  </si>
  <si>
    <t>Value</t>
  </si>
  <si>
    <t xml:space="preserve">Macro should be enabled </t>
  </si>
  <si>
    <t>User Input</t>
  </si>
  <si>
    <t>Calc suggestion / User Input /Output</t>
  </si>
  <si>
    <t>FixedParameters</t>
  </si>
  <si>
    <t>Definitions</t>
  </si>
  <si>
    <t>Name</t>
  </si>
  <si>
    <t xml:space="preserve">Number </t>
  </si>
  <si>
    <t>Displayed Unit</t>
  </si>
  <si>
    <t xml:space="preserve">multiple </t>
  </si>
  <si>
    <t>Arial 8pt</t>
  </si>
  <si>
    <t>PI</t>
  </si>
  <si>
    <t>Min 3.9V</t>
  </si>
  <si>
    <t>V.supply_min</t>
  </si>
  <si>
    <t>V.supply_typ</t>
  </si>
  <si>
    <t>Max 36V</t>
  </si>
  <si>
    <t>V.supply_max</t>
  </si>
  <si>
    <t>Min 0.8V,  Max 20V</t>
  </si>
  <si>
    <t>V.load</t>
  </si>
  <si>
    <t>Max 36A</t>
  </si>
  <si>
    <t>Min 100k, Max 2.2M</t>
  </si>
  <si>
    <t>f.sw</t>
  </si>
  <si>
    <t>P.out</t>
  </si>
  <si>
    <t>Use dropdown menu</t>
  </si>
  <si>
    <t>I.load</t>
  </si>
  <si>
    <t>LM(2)5190(-Q1)</t>
  </si>
  <si>
    <t>PFM</t>
  </si>
  <si>
    <t>LM5190(-Q1)</t>
  </si>
  <si>
    <r>
      <t>Power Good Pull-up Resistor, R</t>
    </r>
    <r>
      <rPr>
        <vertAlign val="subscript"/>
        <sz val="10"/>
        <color theme="1"/>
        <rFont val="Arial"/>
        <family val="2"/>
      </rPr>
      <t>PGOOD</t>
    </r>
  </si>
  <si>
    <t>External BIAS</t>
  </si>
  <si>
    <t>R.load</t>
  </si>
  <si>
    <t>R.t_calc</t>
  </si>
  <si>
    <t>R.t_std</t>
  </si>
  <si>
    <t>DEVICE</t>
  </si>
  <si>
    <t xml:space="preserve">Current Sense </t>
  </si>
  <si>
    <t xml:space="preserve">Electrical Specifications </t>
  </si>
  <si>
    <t>R.s_desired</t>
  </si>
  <si>
    <t>R.s</t>
  </si>
  <si>
    <t>P.rs</t>
  </si>
  <si>
    <t>V.pcl_typ</t>
  </si>
  <si>
    <t>V.pcl_min</t>
  </si>
  <si>
    <t>V.pcl_max</t>
  </si>
  <si>
    <t>Inductor</t>
  </si>
  <si>
    <t>L.out_desired</t>
  </si>
  <si>
    <t>RR.typ</t>
  </si>
  <si>
    <t>V.slope_typ</t>
  </si>
  <si>
    <t>V.slope_min</t>
  </si>
  <si>
    <t>V.slope_max</t>
  </si>
  <si>
    <t>A.s_typ</t>
  </si>
  <si>
    <t>A.s_min</t>
  </si>
  <si>
    <t>A.s_max</t>
  </si>
  <si>
    <t>L.margin</t>
  </si>
  <si>
    <t>L.outmin1</t>
  </si>
  <si>
    <t>L.outmin2</t>
  </si>
  <si>
    <t>V.ncl_max</t>
  </si>
  <si>
    <t>L.outmin3</t>
  </si>
  <si>
    <t>L.outmin4</t>
  </si>
  <si>
    <t>L.smalest</t>
  </si>
  <si>
    <t>L.out</t>
  </si>
  <si>
    <t>I.peak_tblank</t>
  </si>
  <si>
    <t>Ipeak_atvinmax</t>
  </si>
  <si>
    <t>t.blank_max</t>
  </si>
  <si>
    <t>I.peakcl</t>
  </si>
  <si>
    <t>T.on_min_ideal</t>
  </si>
  <si>
    <t>T.off_min_150</t>
  </si>
  <si>
    <t>D.on_min_150</t>
  </si>
  <si>
    <t>D.on_min_ideal</t>
  </si>
  <si>
    <t>R.dcr150</t>
  </si>
  <si>
    <t>R.dcr25</t>
  </si>
  <si>
    <t>P.core</t>
  </si>
  <si>
    <t>나중에사용</t>
  </si>
  <si>
    <t>R.ls25</t>
  </si>
  <si>
    <t>R.ls150</t>
  </si>
  <si>
    <t>R.hs25</t>
  </si>
  <si>
    <t>R.hs150</t>
  </si>
  <si>
    <t>T.on_min_150</t>
  </si>
  <si>
    <t>D.off_min_ideal</t>
  </si>
  <si>
    <t>T.off_min_ideal</t>
  </si>
  <si>
    <t>D.off_min_150</t>
  </si>
  <si>
    <t>T.onmin_IC</t>
  </si>
  <si>
    <t>T.offmin_IC</t>
  </si>
  <si>
    <t>UVLO</t>
  </si>
  <si>
    <t>V.enrising_max</t>
  </si>
  <si>
    <t>V.enfalling_max</t>
  </si>
  <si>
    <t>V.startup</t>
  </si>
  <si>
    <t>R.ent</t>
  </si>
  <si>
    <t>R.enb</t>
  </si>
  <si>
    <t>Vshutdown</t>
  </si>
  <si>
    <t>COUT_BULK</t>
  </si>
  <si>
    <t>V.overshoot</t>
  </si>
  <si>
    <t>V.undershoot</t>
  </si>
  <si>
    <t>C.outb_derated_min</t>
  </si>
  <si>
    <t>C.outb_derated_min1</t>
  </si>
  <si>
    <t>C.outb_derated_min2</t>
  </si>
  <si>
    <t>C.outb_derated_min3</t>
  </si>
  <si>
    <t>f.cross_desired</t>
  </si>
  <si>
    <t>C.outb_rated</t>
  </si>
  <si>
    <t>C.outb_derated</t>
  </si>
  <si>
    <t>R.esrb</t>
  </si>
  <si>
    <t>C.outb_derating_factor</t>
  </si>
  <si>
    <t>C.outhf_derating_factor</t>
  </si>
  <si>
    <t>C.outhf_rated</t>
  </si>
  <si>
    <t>C.outhf_derated</t>
  </si>
  <si>
    <t>R.esrhf</t>
  </si>
  <si>
    <t>C.outtotal_derated</t>
  </si>
  <si>
    <t>dI.out_max</t>
  </si>
  <si>
    <t>dV.out_max_rms</t>
  </si>
  <si>
    <t>dI.out_max_rms</t>
  </si>
  <si>
    <t>V.overshoot_calc</t>
  </si>
  <si>
    <t>V.undershoot_calc</t>
  </si>
  <si>
    <t>V.overshoot_calc1</t>
  </si>
  <si>
    <t>V.overshoot_calc2</t>
  </si>
  <si>
    <t>Feedback resistor</t>
  </si>
  <si>
    <t>R.fbt</t>
  </si>
  <si>
    <t>R.lp</t>
  </si>
  <si>
    <t>R.fbb</t>
  </si>
  <si>
    <t>V.vref</t>
  </si>
  <si>
    <t>CV mode loop compensation</t>
  </si>
  <si>
    <t>R.comp_desired</t>
  </si>
  <si>
    <t>GM</t>
  </si>
  <si>
    <t>C.comp_desired</t>
  </si>
  <si>
    <t>C.hf_desired</t>
  </si>
  <si>
    <t>f.z_err_desired</t>
  </si>
  <si>
    <t>f.p_err_desired</t>
  </si>
  <si>
    <t>R.comp</t>
  </si>
  <si>
    <t>C.comp</t>
  </si>
  <si>
    <t>C.hf</t>
  </si>
  <si>
    <t>f.z_err</t>
  </si>
  <si>
    <t>f.p_err</t>
  </si>
  <si>
    <t>C.ff</t>
  </si>
  <si>
    <t>R.ff</t>
  </si>
  <si>
    <t>f.z_cff</t>
  </si>
  <si>
    <t>ISET</t>
  </si>
  <si>
    <t>V.iset_desired</t>
  </si>
  <si>
    <t>I.iset</t>
  </si>
  <si>
    <t>R.iset</t>
  </si>
  <si>
    <t>C.iset</t>
  </si>
  <si>
    <t>T.sscc</t>
  </si>
  <si>
    <t>IMON</t>
  </si>
  <si>
    <t xml:space="preserve"> Desired IMON Zero Frequency</t>
  </si>
  <si>
    <t>Desired IMON Pole Frequency</t>
  </si>
  <si>
    <t>R.imon_desired</t>
  </si>
  <si>
    <t>C.imon_desired</t>
  </si>
  <si>
    <t>R.imonhf_desired</t>
  </si>
  <si>
    <t>f.z_imon_desired</t>
  </si>
  <si>
    <t>f.p_imon_desired</t>
  </si>
  <si>
    <t>R.imon</t>
  </si>
  <si>
    <t>C.imon</t>
  </si>
  <si>
    <t>R.imonhf</t>
  </si>
  <si>
    <t>f.z_imon</t>
  </si>
  <si>
    <t>f.p_imon</t>
  </si>
  <si>
    <t>I.imon</t>
  </si>
  <si>
    <t>GM.imon</t>
  </si>
  <si>
    <t>Efficiency</t>
  </si>
  <si>
    <t>V.imon_offset</t>
  </si>
  <si>
    <t>Q.g_hs</t>
  </si>
  <si>
    <t>Q.gd_hs</t>
  </si>
  <si>
    <t>Q.gs_hs</t>
  </si>
  <si>
    <t>Q.oss_hs</t>
  </si>
  <si>
    <t>C.oss_hs</t>
  </si>
  <si>
    <t>R.g_hs</t>
  </si>
  <si>
    <t>g.fs_hs</t>
  </si>
  <si>
    <t>V.th_hs</t>
  </si>
  <si>
    <t>V.bd_hs</t>
  </si>
  <si>
    <t>Q.rr_hs</t>
  </si>
  <si>
    <t>theta.ja_hs</t>
  </si>
  <si>
    <t>Q.g_ls</t>
  </si>
  <si>
    <t>Q.gd_ls</t>
  </si>
  <si>
    <t>Q.gs_ls</t>
  </si>
  <si>
    <t>Q.oss_ls</t>
  </si>
  <si>
    <t>C.oss_ls</t>
  </si>
  <si>
    <t>R.g_ls</t>
  </si>
  <si>
    <t>g.fs_ls</t>
  </si>
  <si>
    <t>V.th_ls</t>
  </si>
  <si>
    <t>V.bd_ls</t>
  </si>
  <si>
    <t>Q.rr_ls</t>
  </si>
  <si>
    <t>theta.ja_ls</t>
  </si>
  <si>
    <t>Q.rr_sch</t>
  </si>
  <si>
    <t>V.fwd_sch</t>
  </si>
  <si>
    <t>No</t>
  </si>
  <si>
    <t>Operating Point Condtions</t>
  </si>
  <si>
    <t>Filter Inductor</t>
  </si>
  <si>
    <t>Cout</t>
  </si>
  <si>
    <t>Cin</t>
  </si>
  <si>
    <t xml:space="preserve">High-side BUCK "Control" MOSFET Losses </t>
  </si>
  <si>
    <t>Sense Rs</t>
  </si>
  <si>
    <t>Controller IC Losses</t>
  </si>
  <si>
    <t>RESULTS</t>
  </si>
  <si>
    <t>Step</t>
  </si>
  <si>
    <t>Vin</t>
  </si>
  <si>
    <t>Mode</t>
  </si>
  <si>
    <t>Iout</t>
  </si>
  <si>
    <t>Duty Cycle BUCK Leg</t>
  </si>
  <si>
    <t>Ripple Current pk-pk</t>
  </si>
  <si>
    <t>Peak Inductor Current</t>
  </si>
  <si>
    <t>Valley Inductor Current</t>
  </si>
  <si>
    <t>SW node voltage at Q1 turn-on</t>
  </si>
  <si>
    <t>Irms Lf</t>
  </si>
  <si>
    <t>DCR    Loss</t>
  </si>
  <si>
    <t>Core Loss</t>
  </si>
  <si>
    <t>Total Inductor Loss</t>
  </si>
  <si>
    <t>Irms Cout</t>
  </si>
  <si>
    <t>Cout ESR Loss</t>
  </si>
  <si>
    <t>Total Cout Loss</t>
  </si>
  <si>
    <t>Irms Cin</t>
  </si>
  <si>
    <t>Cin ESR Loss</t>
  </si>
  <si>
    <t>Total Cin Loss</t>
  </si>
  <si>
    <t>Irms</t>
  </si>
  <si>
    <t>Transition Loss (not including capacitive loss)</t>
  </si>
  <si>
    <t>MOSFET Output Capacitance Loss</t>
  </si>
  <si>
    <t xml:space="preserve">Dead Time Loss </t>
  </si>
  <si>
    <t>Total Control MOSFET Loss</t>
  </si>
  <si>
    <t>Deadtime Loss</t>
  </si>
  <si>
    <t>Isense Shunt Loss</t>
  </si>
  <si>
    <t>Total IC Loss</t>
  </si>
  <si>
    <t>Total Loss</t>
  </si>
  <si>
    <t>Pout</t>
  </si>
  <si>
    <t>Total MOSFET Loss</t>
  </si>
  <si>
    <t>Rdcr</t>
  </si>
  <si>
    <r>
      <t>Estimated Junction Temperature (eT</t>
    </r>
    <r>
      <rPr>
        <vertAlign val="subscript"/>
        <sz val="10"/>
        <color theme="1"/>
        <rFont val="Arial"/>
        <family val="2"/>
      </rPr>
      <t>J</t>
    </r>
    <r>
      <rPr>
        <sz val="10"/>
        <color theme="1"/>
        <rFont val="Arial"/>
        <family val="2"/>
      </rPr>
      <t>)</t>
    </r>
  </si>
  <si>
    <r>
      <t>Ambient Temperature (T</t>
    </r>
    <r>
      <rPr>
        <b/>
        <vertAlign val="subscript"/>
        <sz val="10"/>
        <rFont val="Arial"/>
        <family val="2"/>
      </rPr>
      <t>A</t>
    </r>
    <r>
      <rPr>
        <b/>
        <sz val="10"/>
        <rFont val="Arial"/>
        <family val="2"/>
      </rPr>
      <t>)</t>
    </r>
  </si>
  <si>
    <t>T.amb</t>
  </si>
  <si>
    <t>C.inb_derated</t>
  </si>
  <si>
    <t>R.esr_cin</t>
  </si>
  <si>
    <t>Rhs</t>
  </si>
  <si>
    <t>Rls</t>
  </si>
  <si>
    <t>Rs</t>
  </si>
  <si>
    <t>T.rise</t>
  </si>
  <si>
    <t>T.fall</t>
  </si>
  <si>
    <t>VCC</t>
  </si>
  <si>
    <t>V.sp_hs</t>
  </si>
  <si>
    <t>V.sp_ls</t>
  </si>
  <si>
    <t>R.drv_hs_source</t>
  </si>
  <si>
    <t>R.drv_hs_sink</t>
  </si>
  <si>
    <t>R.drv_ls_source</t>
  </si>
  <si>
    <t>R.drv_ls_sink</t>
  </si>
  <si>
    <t>t.d_hoff_lon</t>
  </si>
  <si>
    <t>t.d_loff_hon</t>
  </si>
  <si>
    <t>Tref_ls</t>
  </si>
  <si>
    <t>Tref_dcr</t>
  </si>
  <si>
    <t>Tref_hs</t>
  </si>
  <si>
    <t>TC_rdson_hs</t>
  </si>
  <si>
    <t>%/C</t>
  </si>
  <si>
    <t>C/W</t>
  </si>
  <si>
    <t>TC_rdson_ls</t>
  </si>
  <si>
    <t>High_side</t>
  </si>
  <si>
    <t>Low_side</t>
  </si>
  <si>
    <t>Deadtime Loss(MOSFET)</t>
  </si>
  <si>
    <t>Deadtime Loss(Schottky diode)</t>
  </si>
  <si>
    <t>Reverse Recovery Loss (MOSFET)</t>
  </si>
  <si>
    <t>Reverse Recovery Loss (Schottky diode)</t>
  </si>
  <si>
    <t xml:space="preserve">Low-side BUCK "Sync" MOSFET + Schottky diode Losses </t>
  </si>
  <si>
    <t>Total Sync MOSFET + Ext Diode Loss</t>
  </si>
  <si>
    <t>I.q_IC</t>
  </si>
  <si>
    <r>
      <t>External BIAS from V</t>
    </r>
    <r>
      <rPr>
        <b/>
        <vertAlign val="subscript"/>
        <sz val="10"/>
        <rFont val="Arial"/>
        <family val="2"/>
      </rPr>
      <t>LOAD</t>
    </r>
  </si>
  <si>
    <t>ExtVCC</t>
  </si>
  <si>
    <t>MOSFET Driving Loss</t>
  </si>
  <si>
    <t>IC</t>
  </si>
  <si>
    <t>TOTAL</t>
  </si>
  <si>
    <t>EFF</t>
  </si>
  <si>
    <t>TOTAL LOSS</t>
  </si>
  <si>
    <t>IC LOSS</t>
  </si>
  <si>
    <t>CIN loss</t>
  </si>
  <si>
    <t>COUT loss</t>
  </si>
  <si>
    <t>Correction factors</t>
  </si>
  <si>
    <t>Trf_CorrectionFactor</t>
  </si>
  <si>
    <t>HS MOSFET</t>
  </si>
  <si>
    <t>Consolidated Efficiency &amp; Losses</t>
  </si>
  <si>
    <t xml:space="preserve">MOSFETs </t>
  </si>
  <si>
    <t>Sense resistor</t>
  </si>
  <si>
    <t>LS MOSFET // Diode</t>
  </si>
  <si>
    <t>Reverse Recovery Loss (LS)</t>
  </si>
  <si>
    <t>Reverse Recovery Loss (HS)</t>
  </si>
  <si>
    <t>VIN</t>
  </si>
  <si>
    <t>Vd_ls</t>
  </si>
  <si>
    <t>Vd_sch</t>
  </si>
  <si>
    <t>Vd_effective</t>
  </si>
  <si>
    <t>Hsratio</t>
  </si>
  <si>
    <t>Lsratio</t>
  </si>
  <si>
    <t>Reverse Recovery Loss (min)</t>
  </si>
  <si>
    <t>SCH_TYPICAL1</t>
  </si>
  <si>
    <t>Freq</t>
  </si>
  <si>
    <t>SH_GAIN</t>
  </si>
  <si>
    <t>SH_PHASE</t>
  </si>
  <si>
    <t>Wsh</t>
  </si>
  <si>
    <t>fsw_sh</t>
  </si>
  <si>
    <t>S.slope</t>
  </si>
  <si>
    <t>S.rise</t>
  </si>
  <si>
    <t>S.fall</t>
  </si>
  <si>
    <t>mc</t>
  </si>
  <si>
    <t>kfactor</t>
  </si>
  <si>
    <t>Qfactor</t>
  </si>
  <si>
    <t>A_COMP2VOUT</t>
  </si>
  <si>
    <t>Wesr_zero</t>
  </si>
  <si>
    <t>Wload_pole</t>
  </si>
  <si>
    <t>COMP2VOUT_GAIN</t>
  </si>
  <si>
    <t>COMP2VOUT_PHASE</t>
  </si>
  <si>
    <t>ZFB_BOT</t>
  </si>
  <si>
    <t>ZFB_TOP</t>
  </si>
  <si>
    <t>VOUT2FB_GAIN</t>
  </si>
  <si>
    <t>VOUT2FB_PHASE</t>
  </si>
  <si>
    <t>ZCOMP1</t>
  </si>
  <si>
    <t>ZCOMP2</t>
  </si>
  <si>
    <t>ZCOMP_TOTAL</t>
  </si>
  <si>
    <t>C.fbb</t>
  </si>
  <si>
    <t>ESD cell</t>
  </si>
  <si>
    <t>ZFF_TOP</t>
  </si>
  <si>
    <t>FB2COMP_GAIN</t>
  </si>
  <si>
    <t>FB2COMP_PHASE</t>
  </si>
  <si>
    <r>
      <t>R</t>
    </r>
    <r>
      <rPr>
        <vertAlign val="subscript"/>
        <sz val="10"/>
        <rFont val="Arial"/>
        <family val="2"/>
      </rPr>
      <t>DS(on)</t>
    </r>
    <r>
      <rPr>
        <sz val="10"/>
        <rFont val="Arial"/>
        <family val="2"/>
      </rPr>
      <t xml:space="preserve"> Loss</t>
    </r>
  </si>
  <si>
    <r>
      <t>R</t>
    </r>
    <r>
      <rPr>
        <vertAlign val="subscript"/>
        <sz val="10"/>
        <rFont val="Arial"/>
        <family val="2"/>
      </rPr>
      <t>DS(on)</t>
    </r>
    <r>
      <rPr>
        <sz val="10"/>
        <rFont val="Arial"/>
        <family val="2"/>
      </rPr>
      <t xml:space="preserve"> Loss (TC)</t>
    </r>
  </si>
  <si>
    <r>
      <t>I</t>
    </r>
    <r>
      <rPr>
        <vertAlign val="subscript"/>
        <sz val="10"/>
        <rFont val="Arial"/>
        <family val="2"/>
      </rPr>
      <t>Q</t>
    </r>
    <r>
      <rPr>
        <sz val="10"/>
        <rFont val="Arial"/>
        <family val="2"/>
      </rPr>
      <t xml:space="preserve"> Loss</t>
    </r>
  </si>
  <si>
    <r>
      <t xml:space="preserve">EFF, </t>
    </r>
    <r>
      <rPr>
        <sz val="10"/>
        <rFont val="Symbol"/>
        <family val="1"/>
        <charset val="2"/>
      </rPr>
      <t>h</t>
    </r>
  </si>
  <si>
    <t>ZCOMP12</t>
  </si>
  <si>
    <t>R.eaout</t>
  </si>
  <si>
    <t>C.eaout</t>
  </si>
  <si>
    <t>ZEAOUT</t>
  </si>
  <si>
    <t>POWERSTAGE_GAIN</t>
  </si>
  <si>
    <t>POWERSTAGE_PHASE</t>
  </si>
  <si>
    <t>VOUT2COMP_GAIN</t>
  </si>
  <si>
    <t>VOUT2COMP_PHASE</t>
  </si>
  <si>
    <t>OPENLOOP_GAIN</t>
  </si>
  <si>
    <t>OPENLOOP_PHASE</t>
  </si>
  <si>
    <t xml:space="preserve">To find </t>
  </si>
  <si>
    <t>Found at</t>
  </si>
  <si>
    <t>PM</t>
  </si>
  <si>
    <t>Phase Inversion</t>
  </si>
  <si>
    <t>Open Loop Gain</t>
  </si>
  <si>
    <t>CV_LOOP</t>
  </si>
  <si>
    <r>
      <t>f</t>
    </r>
    <r>
      <rPr>
        <b/>
        <vertAlign val="subscript"/>
        <sz val="11"/>
        <color theme="1"/>
        <rFont val="Arial"/>
        <family val="2"/>
      </rPr>
      <t>P_LOAD</t>
    </r>
  </si>
  <si>
    <r>
      <t>f</t>
    </r>
    <r>
      <rPr>
        <b/>
        <vertAlign val="subscript"/>
        <sz val="11"/>
        <color theme="1"/>
        <rFont val="新細明體"/>
        <family val="2"/>
        <scheme val="minor"/>
      </rPr>
      <t>Z_ESR</t>
    </r>
  </si>
  <si>
    <r>
      <t>f</t>
    </r>
    <r>
      <rPr>
        <b/>
        <vertAlign val="subscript"/>
        <sz val="11"/>
        <color theme="1"/>
        <rFont val="新細明體"/>
        <family val="2"/>
        <scheme val="minor"/>
      </rPr>
      <t>P_COMP</t>
    </r>
  </si>
  <si>
    <r>
      <t>f</t>
    </r>
    <r>
      <rPr>
        <b/>
        <vertAlign val="subscript"/>
        <sz val="11"/>
        <color theme="1"/>
        <rFont val="Arial"/>
        <family val="2"/>
      </rPr>
      <t xml:space="preserve"> </t>
    </r>
    <r>
      <rPr>
        <b/>
        <vertAlign val="subscript"/>
        <sz val="11"/>
        <color theme="1"/>
        <rFont val="新細明體"/>
        <family val="2"/>
        <scheme val="minor"/>
      </rPr>
      <t>Z_COMP</t>
    </r>
  </si>
  <si>
    <r>
      <t>f</t>
    </r>
    <r>
      <rPr>
        <b/>
        <sz val="11"/>
        <color theme="1"/>
        <rFont val="新細明體"/>
        <family val="2"/>
        <scheme val="minor"/>
      </rPr>
      <t>CROSS</t>
    </r>
  </si>
  <si>
    <t>CC_LOOP</t>
  </si>
  <si>
    <t>PCB_TYPICAL1</t>
  </si>
  <si>
    <t>CC</t>
  </si>
  <si>
    <t>CV</t>
  </si>
  <si>
    <t>ZIMON1</t>
  </si>
  <si>
    <t>ZIMON2</t>
  </si>
  <si>
    <t>ZIMON3</t>
  </si>
  <si>
    <t>WloadZ</t>
  </si>
  <si>
    <t>CV LOOP</t>
  </si>
  <si>
    <t>CS2IMON_GAIN</t>
  </si>
  <si>
    <t>CS2IMON_PHASE</t>
  </si>
  <si>
    <t>CC LOOP</t>
  </si>
  <si>
    <t>CS2COMP_GAIN</t>
  </si>
  <si>
    <t>CS2COMP_PHASE</t>
  </si>
  <si>
    <t>A_COMP2CS</t>
  </si>
  <si>
    <t>COMP2CS_GAIN</t>
  </si>
  <si>
    <t>COMP2CS_PHASE</t>
  </si>
  <si>
    <r>
      <t>f</t>
    </r>
    <r>
      <rPr>
        <b/>
        <vertAlign val="subscript"/>
        <sz val="11"/>
        <color theme="1"/>
        <rFont val="Arial"/>
        <family val="2"/>
      </rPr>
      <t>SH</t>
    </r>
  </si>
  <si>
    <r>
      <t>Peak Inductor Current Limit</t>
    </r>
    <r>
      <rPr>
        <vertAlign val="subscript"/>
        <sz val="10"/>
        <color theme="1"/>
        <rFont val="Arial"/>
        <family val="2"/>
      </rPr>
      <t>(max)</t>
    </r>
    <r>
      <rPr>
        <sz val="10"/>
        <color theme="1"/>
        <rFont val="Arial"/>
        <family val="2"/>
      </rPr>
      <t xml:space="preserve"> at V</t>
    </r>
    <r>
      <rPr>
        <vertAlign val="subscript"/>
        <sz val="10"/>
        <color theme="1"/>
        <rFont val="Arial"/>
        <family val="2"/>
      </rPr>
      <t>SUPPLY(max)</t>
    </r>
  </si>
  <si>
    <t>Ipeak_atvinmin</t>
  </si>
  <si>
    <t>V.sp_max</t>
  </si>
  <si>
    <r>
      <t>Estimated Output Voltage Ripple at V</t>
    </r>
    <r>
      <rPr>
        <vertAlign val="subscript"/>
        <sz val="10"/>
        <rFont val="Arial"/>
        <family val="2"/>
      </rPr>
      <t>SUPPLUY(max)</t>
    </r>
    <r>
      <rPr>
        <sz val="10"/>
        <rFont val="Arial"/>
        <family val="2"/>
      </rPr>
      <t xml:space="preserve"> (CV mode)</t>
    </r>
  </si>
  <si>
    <t>Estimated Overshoot (when switching stops at full-load to no-load) (CV mode)</t>
  </si>
  <si>
    <t>Estimated Undershoot (during no-load to full-load transition in FPWM) (CV mode)</t>
  </si>
  <si>
    <t>Desired Undershoot during 50% Load Transient in FPWM (CV mode)</t>
  </si>
  <si>
    <r>
      <t>Desired Crossover Frequency, f</t>
    </r>
    <r>
      <rPr>
        <b/>
        <vertAlign val="subscript"/>
        <sz val="10"/>
        <rFont val="Arial"/>
        <family val="2"/>
      </rPr>
      <t>CROSS(desired)</t>
    </r>
    <r>
      <rPr>
        <b/>
        <sz val="10"/>
        <rFont val="Arial"/>
        <family val="2"/>
      </rPr>
      <t xml:space="preserve"> (CV mode)</t>
    </r>
  </si>
  <si>
    <r>
      <t>Peak Inductor Current at V</t>
    </r>
    <r>
      <rPr>
        <vertAlign val="subscript"/>
        <sz val="10"/>
        <color theme="1"/>
        <rFont val="Arial"/>
        <family val="2"/>
      </rPr>
      <t>SUPPLY(max)</t>
    </r>
    <r>
      <rPr>
        <sz val="10"/>
        <color theme="1"/>
        <rFont val="Arial"/>
        <family val="2"/>
      </rPr>
      <t xml:space="preserve"> and Full Load (CV mode)</t>
    </r>
  </si>
  <si>
    <r>
      <t>On-State Resistance at 25°C, R</t>
    </r>
    <r>
      <rPr>
        <b/>
        <vertAlign val="subscript"/>
        <sz val="10"/>
        <color theme="1"/>
        <rFont val="Arial"/>
        <family val="2"/>
      </rPr>
      <t>DS(on)</t>
    </r>
    <r>
      <rPr>
        <b/>
        <sz val="10"/>
        <color theme="1"/>
        <rFont val="Arial"/>
        <family val="2"/>
      </rPr>
      <t xml:space="preserve"> </t>
    </r>
  </si>
  <si>
    <r>
      <t>Total Gate Charge, Q</t>
    </r>
    <r>
      <rPr>
        <b/>
        <vertAlign val="subscript"/>
        <sz val="10"/>
        <color theme="1"/>
        <rFont val="Arial"/>
        <family val="2"/>
      </rPr>
      <t>G</t>
    </r>
    <r>
      <rPr>
        <b/>
        <sz val="10"/>
        <color theme="1"/>
        <rFont val="Arial"/>
        <family val="2"/>
      </rPr>
      <t xml:space="preserve"> </t>
    </r>
  </si>
  <si>
    <r>
      <t>Gate-Drain Charge, Q</t>
    </r>
    <r>
      <rPr>
        <b/>
        <vertAlign val="subscript"/>
        <sz val="10"/>
        <color theme="1"/>
        <rFont val="Arial"/>
        <family val="2"/>
      </rPr>
      <t xml:space="preserve">GD </t>
    </r>
  </si>
  <si>
    <r>
      <t>Gate-Source Charge, Q</t>
    </r>
    <r>
      <rPr>
        <b/>
        <vertAlign val="subscript"/>
        <sz val="10"/>
        <color theme="1"/>
        <rFont val="Arial"/>
        <family val="2"/>
      </rPr>
      <t xml:space="preserve">GS </t>
    </r>
  </si>
  <si>
    <r>
      <t>Output Charge, Q</t>
    </r>
    <r>
      <rPr>
        <b/>
        <vertAlign val="subscript"/>
        <sz val="10"/>
        <color theme="1"/>
        <rFont val="Arial"/>
        <family val="2"/>
      </rPr>
      <t xml:space="preserve">OSS </t>
    </r>
  </si>
  <si>
    <r>
      <t>Output Capacitance, C</t>
    </r>
    <r>
      <rPr>
        <b/>
        <vertAlign val="subscript"/>
        <sz val="10"/>
        <color theme="1"/>
        <rFont val="Arial"/>
        <family val="2"/>
      </rPr>
      <t xml:space="preserve">OSS </t>
    </r>
  </si>
  <si>
    <r>
      <t>Gate Resistance, R</t>
    </r>
    <r>
      <rPr>
        <b/>
        <vertAlign val="subscript"/>
        <sz val="10"/>
        <color theme="1"/>
        <rFont val="Arial"/>
        <family val="2"/>
      </rPr>
      <t xml:space="preserve">G </t>
    </r>
  </si>
  <si>
    <r>
      <t>Transconductance, g</t>
    </r>
    <r>
      <rPr>
        <b/>
        <vertAlign val="subscript"/>
        <sz val="10"/>
        <color theme="1"/>
        <rFont val="Arial"/>
        <family val="2"/>
      </rPr>
      <t>FS</t>
    </r>
    <r>
      <rPr>
        <b/>
        <sz val="10"/>
        <color theme="1"/>
        <rFont val="Arial"/>
        <family val="2"/>
      </rPr>
      <t xml:space="preserve"> </t>
    </r>
  </si>
  <si>
    <r>
      <t>Gate-Source Threshold Voltage, V</t>
    </r>
    <r>
      <rPr>
        <b/>
        <vertAlign val="subscript"/>
        <sz val="10"/>
        <color theme="1"/>
        <rFont val="Arial"/>
        <family val="2"/>
      </rPr>
      <t xml:space="preserve">TH </t>
    </r>
  </si>
  <si>
    <r>
      <t>Body Diode Forward Voltage, V</t>
    </r>
    <r>
      <rPr>
        <b/>
        <vertAlign val="subscript"/>
        <sz val="10"/>
        <color theme="1"/>
        <rFont val="Arial"/>
        <family val="2"/>
      </rPr>
      <t>BD</t>
    </r>
    <r>
      <rPr>
        <b/>
        <sz val="10"/>
        <color theme="1"/>
        <rFont val="Arial"/>
        <family val="2"/>
      </rPr>
      <t xml:space="preserve"> </t>
    </r>
  </si>
  <si>
    <r>
      <t>Body Diode Rev Recovery Charge, Q</t>
    </r>
    <r>
      <rPr>
        <b/>
        <vertAlign val="subscript"/>
        <sz val="10"/>
        <color theme="1"/>
        <rFont val="Arial"/>
        <family val="2"/>
      </rPr>
      <t xml:space="preserve">RR </t>
    </r>
  </si>
  <si>
    <r>
      <t>Thermal Resistance, θ</t>
    </r>
    <r>
      <rPr>
        <b/>
        <vertAlign val="subscript"/>
        <sz val="10"/>
        <color theme="1"/>
        <rFont val="Arial"/>
        <family val="2"/>
      </rPr>
      <t xml:space="preserve">JA </t>
    </r>
  </si>
  <si>
    <r>
      <t>Schottky Fwd Voltage, V</t>
    </r>
    <r>
      <rPr>
        <b/>
        <vertAlign val="subscript"/>
        <sz val="10"/>
        <color theme="1"/>
        <rFont val="Arial"/>
        <family val="2"/>
      </rPr>
      <t xml:space="preserve">FWDsch </t>
    </r>
  </si>
  <si>
    <r>
      <t>Schottky Rev Recovery Charge, Q</t>
    </r>
    <r>
      <rPr>
        <b/>
        <vertAlign val="subscript"/>
        <sz val="10"/>
        <color theme="1"/>
        <rFont val="Arial"/>
        <family val="2"/>
      </rPr>
      <t xml:space="preserve">RRsch </t>
    </r>
  </si>
  <si>
    <t>R.fbt_min</t>
  </si>
  <si>
    <t>Input capacitor</t>
  </si>
  <si>
    <t>V.in_ripple_required</t>
  </si>
  <si>
    <t>Cinmin at Vinmax</t>
  </si>
  <si>
    <t>Cinmin at 50%DC</t>
  </si>
  <si>
    <t>Cinmin_required</t>
  </si>
  <si>
    <t>I.ripple_rms at VinMax</t>
  </si>
  <si>
    <t>I.ripple_rms at 50%</t>
  </si>
  <si>
    <t>I.ripple_in</t>
  </si>
  <si>
    <t>Max ESR</t>
  </si>
  <si>
    <t>Gain at f.p_imon</t>
  </si>
  <si>
    <t>MaxOperatinvVIN</t>
  </si>
  <si>
    <t>500k_GAIN</t>
  </si>
  <si>
    <t>500k_PHASE</t>
  </si>
  <si>
    <r>
      <t>Internal Soft-start Time in CV mode, T</t>
    </r>
    <r>
      <rPr>
        <vertAlign val="subscript"/>
        <sz val="10"/>
        <color theme="1"/>
        <rFont val="Arial"/>
        <family val="2"/>
      </rPr>
      <t>SSCV</t>
    </r>
  </si>
  <si>
    <r>
      <t>Upper Feedback Resistance, R</t>
    </r>
    <r>
      <rPr>
        <b/>
        <vertAlign val="subscript"/>
        <sz val="10"/>
        <rFont val="Arial"/>
        <family val="2"/>
      </rPr>
      <t>FBT</t>
    </r>
  </si>
  <si>
    <r>
      <t>Recommended Inductance for 40% Pk-Pk Ripple Current at V</t>
    </r>
    <r>
      <rPr>
        <vertAlign val="subscript"/>
        <sz val="10"/>
        <color theme="1"/>
        <rFont val="Arial"/>
        <family val="2"/>
      </rPr>
      <t>SUPPLY(typ)</t>
    </r>
  </si>
  <si>
    <t>IVCC</t>
  </si>
  <si>
    <t>MOSFET driving current</t>
  </si>
  <si>
    <t>mA</t>
  </si>
  <si>
    <r>
      <t>Step 4: C</t>
    </r>
    <r>
      <rPr>
        <b/>
        <vertAlign val="subscript"/>
        <sz val="12"/>
        <color rgb="FF0000FF"/>
        <rFont val="Arial"/>
        <family val="2"/>
      </rPr>
      <t>VCC</t>
    </r>
    <r>
      <rPr>
        <b/>
        <sz val="12"/>
        <color rgb="FF0000FF"/>
        <rFont val="Arial"/>
        <family val="2"/>
      </rPr>
      <t>, C</t>
    </r>
    <r>
      <rPr>
        <b/>
        <vertAlign val="subscript"/>
        <sz val="12"/>
        <color rgb="FF0000FF"/>
        <rFont val="Arial"/>
        <family val="2"/>
      </rPr>
      <t>BOOT</t>
    </r>
    <r>
      <rPr>
        <b/>
        <sz val="12"/>
        <color rgb="FF0000FF"/>
        <rFont val="Arial"/>
        <family val="2"/>
      </rPr>
      <t>, C</t>
    </r>
    <r>
      <rPr>
        <b/>
        <vertAlign val="subscript"/>
        <sz val="12"/>
        <color rgb="FF0000FF"/>
        <rFont val="Arial"/>
        <family val="2"/>
      </rPr>
      <t>VIN</t>
    </r>
    <r>
      <rPr>
        <b/>
        <sz val="12"/>
        <color rgb="FF0000FF"/>
        <rFont val="Arial"/>
        <family val="2"/>
      </rPr>
      <t>, R</t>
    </r>
    <r>
      <rPr>
        <b/>
        <vertAlign val="subscript"/>
        <sz val="12"/>
        <color rgb="FF0000FF"/>
        <rFont val="Arial"/>
        <family val="2"/>
      </rPr>
      <t xml:space="preserve">PGOOD, </t>
    </r>
    <r>
      <rPr>
        <b/>
        <sz val="12"/>
        <color rgb="FF0000FF"/>
        <rFont val="Arial"/>
        <family val="2"/>
      </rPr>
      <t>T</t>
    </r>
    <r>
      <rPr>
        <b/>
        <vertAlign val="subscript"/>
        <sz val="12"/>
        <color rgb="FF0000FF"/>
        <rFont val="Arial"/>
        <family val="2"/>
      </rPr>
      <t>SSCV</t>
    </r>
  </si>
  <si>
    <t>MinCboot</t>
  </si>
  <si>
    <t>MinCvcc</t>
  </si>
  <si>
    <t xml:space="preserve">Make V(BOOT) drop less than 1V </t>
  </si>
  <si>
    <t xml:space="preserve">10 times bigger than Min Cboot </t>
  </si>
  <si>
    <t>V.sp_hs_100A</t>
  </si>
  <si>
    <t>V.sp_ls_100A</t>
  </si>
  <si>
    <t>V.sp_max_100A</t>
  </si>
  <si>
    <r>
      <t>Required Peak Inductor C/L Setpoint at V</t>
    </r>
    <r>
      <rPr>
        <b/>
        <vertAlign val="subscript"/>
        <sz val="10"/>
        <color theme="1"/>
        <rFont val="Arial"/>
        <family val="2"/>
      </rPr>
      <t>SUPPLY(MAX)</t>
    </r>
    <r>
      <rPr>
        <b/>
        <sz val="10"/>
        <color theme="1"/>
        <rFont val="Arial"/>
        <family val="2"/>
      </rPr>
      <t>, I</t>
    </r>
    <r>
      <rPr>
        <b/>
        <vertAlign val="subscript"/>
        <sz val="10"/>
        <color theme="1"/>
        <rFont val="Arial"/>
        <family val="2"/>
      </rPr>
      <t>PEAKCL</t>
    </r>
  </si>
  <si>
    <t>Estimated Shutdown Voltage</t>
  </si>
  <si>
    <t>Desired Start-up Voltage</t>
  </si>
  <si>
    <t>MinCvcc2</t>
  </si>
  <si>
    <t>DESIGN_GUIDE1</t>
  </si>
  <si>
    <r>
      <rPr>
        <b/>
        <sz val="10"/>
        <color theme="1"/>
        <rFont val="Arial"/>
        <family val="2"/>
      </rPr>
      <t>DESIGN GOAL</t>
    </r>
    <r>
      <rPr>
        <sz val="10"/>
        <color theme="1"/>
        <rFont val="Arial"/>
        <family val="2"/>
      </rPr>
      <t xml:space="preserve">
Type 1) Typical buck converter using only CV 
    - Make CV loop stable with PM&gt;60° and GM&gt;15dB in STEP 8. Skip STEP 9 &amp;10
Type 2) Buck converter using both CC and CV. DC load can be connected to the output during the output capacitor charging 
   - Make both CC and CV loops stable with PM&gt;60° and GM&gt;15dB in STEP 8, 9 &amp;10
Type 3) Super-capacitor charger. DC load is connected to the super capacitor after the capacitor is fully charged. : 
   - Make CC loop stable with PM&gt;60° and GM&gt;15dB and high band-width in STEP 9 &amp; 10. 
   - Make CV loop stable with PM&gt;60° and GM&gt;15dB in STEP 8   
.</t>
    </r>
  </si>
  <si>
    <r>
      <t>Switching Skip at V</t>
    </r>
    <r>
      <rPr>
        <vertAlign val="subscript"/>
        <sz val="10"/>
        <color theme="1"/>
        <rFont val="Arial"/>
        <family val="2"/>
      </rPr>
      <t>SUPPLY(max)</t>
    </r>
  </si>
  <si>
    <r>
      <t xml:space="preserve">  Rated Output Capacitance (Ceramic Capacitor/Local C</t>
    </r>
    <r>
      <rPr>
        <b/>
        <vertAlign val="subscript"/>
        <sz val="10"/>
        <rFont val="Arial"/>
        <family val="2"/>
      </rPr>
      <t>OUT</t>
    </r>
    <r>
      <rPr>
        <b/>
        <sz val="10"/>
        <rFont val="Arial"/>
        <family val="2"/>
      </rPr>
      <t>), C</t>
    </r>
    <r>
      <rPr>
        <b/>
        <vertAlign val="subscript"/>
        <sz val="10"/>
        <rFont val="Arial"/>
        <family val="2"/>
      </rPr>
      <t>OUTHF</t>
    </r>
  </si>
  <si>
    <t>(Typical buck converter using only CV mode)</t>
  </si>
  <si>
    <t xml:space="preserve">Application type 1 </t>
  </si>
  <si>
    <t xml:space="preserve">Application type 2 </t>
  </si>
  <si>
    <t>3. Skip STEP 9 &amp;10</t>
  </si>
  <si>
    <t>Application type 3</t>
  </si>
  <si>
    <r>
      <t>Regulation Target in CC / Full load current in CV, I</t>
    </r>
    <r>
      <rPr>
        <b/>
        <vertAlign val="subscript"/>
        <sz val="10"/>
        <color theme="1"/>
        <rFont val="Arial"/>
        <family val="2"/>
      </rPr>
      <t>LOAD</t>
    </r>
  </si>
  <si>
    <t>(Super-capacitor charger. No load during the Super-cap charging)</t>
  </si>
  <si>
    <t xml:space="preserve">5. Make it sure to meet the following equation. </t>
  </si>
  <si>
    <t xml:space="preserve">10. Make it sure to meet the following equation. </t>
  </si>
  <si>
    <t>2. On STEP 7, Select the feedback resistor divider.</t>
  </si>
  <si>
    <t>0. On STEP 1, Input the CC mode regulation target.</t>
  </si>
  <si>
    <t>6. On STEP 9,  Select ISET componenets.</t>
  </si>
  <si>
    <r>
      <t>3. On STEP 8, Select R</t>
    </r>
    <r>
      <rPr>
        <vertAlign val="subscript"/>
        <sz val="10"/>
        <color theme="1"/>
        <rFont val="Arial"/>
        <family val="2"/>
      </rPr>
      <t>COMP</t>
    </r>
    <r>
      <rPr>
        <sz val="10"/>
        <color theme="1"/>
        <rFont val="Arial"/>
        <family val="2"/>
      </rPr>
      <t xml:space="preserve"> as 10kΩ.</t>
    </r>
  </si>
  <si>
    <r>
      <t>4. On STEP 8, Adjust C</t>
    </r>
    <r>
      <rPr>
        <vertAlign val="subscript"/>
        <sz val="10"/>
        <color theme="1"/>
        <rFont val="Arial"/>
        <family val="2"/>
      </rPr>
      <t>COMP</t>
    </r>
    <r>
      <rPr>
        <sz val="10"/>
        <color theme="1"/>
        <rFont val="Arial"/>
        <family val="2"/>
      </rPr>
      <t xml:space="preserve"> to locate the compensation zero (f</t>
    </r>
    <r>
      <rPr>
        <vertAlign val="subscript"/>
        <sz val="10"/>
        <color theme="1"/>
        <rFont val="Arial"/>
        <family val="2"/>
      </rPr>
      <t>COMPZ</t>
    </r>
    <r>
      <rPr>
        <sz val="10"/>
        <color theme="1"/>
        <rFont val="Arial"/>
        <family val="2"/>
      </rPr>
      <t>) at 1/10 of the load pole.</t>
    </r>
  </si>
  <si>
    <r>
      <t>5. On STEP 8, Adjust C</t>
    </r>
    <r>
      <rPr>
        <vertAlign val="subscript"/>
        <sz val="10"/>
        <color theme="1"/>
        <rFont val="Arial"/>
        <family val="2"/>
      </rPr>
      <t>HF</t>
    </r>
    <r>
      <rPr>
        <sz val="10"/>
        <color theme="1"/>
        <rFont val="Arial"/>
        <family val="2"/>
      </rPr>
      <t xml:space="preserve"> to locate the compensation pole (f</t>
    </r>
    <r>
      <rPr>
        <vertAlign val="subscript"/>
        <sz val="10"/>
        <color theme="1"/>
        <rFont val="Arial"/>
        <family val="2"/>
      </rPr>
      <t>COMPP</t>
    </r>
    <r>
      <rPr>
        <sz val="10"/>
        <color theme="1"/>
        <rFont val="Arial"/>
        <family val="2"/>
      </rPr>
      <t>) at the effective ESR zero of the output capacitors.</t>
    </r>
  </si>
  <si>
    <r>
      <t>6. On STEP 10, Select R</t>
    </r>
    <r>
      <rPr>
        <vertAlign val="subscript"/>
        <sz val="10"/>
        <color theme="1"/>
        <rFont val="Arial"/>
        <family val="2"/>
      </rPr>
      <t>IMON</t>
    </r>
    <r>
      <rPr>
        <sz val="10"/>
        <color theme="1"/>
        <rFont val="Arial"/>
        <family val="2"/>
      </rPr>
      <t>.</t>
    </r>
  </si>
  <si>
    <r>
      <t>8. On STEP 10, Adjust R</t>
    </r>
    <r>
      <rPr>
        <vertAlign val="subscript"/>
        <sz val="10"/>
        <color theme="1"/>
        <rFont val="Arial"/>
        <family val="2"/>
      </rPr>
      <t>IMONHF</t>
    </r>
    <r>
      <rPr>
        <sz val="10"/>
        <color theme="1"/>
        <rFont val="Arial"/>
        <family val="2"/>
      </rPr>
      <t xml:space="preserve"> to make PM&gt;60° and GM&gt;15dB.</t>
    </r>
  </si>
  <si>
    <r>
      <t>9. Revisit STEP 8, Adjust the R</t>
    </r>
    <r>
      <rPr>
        <vertAlign val="subscript"/>
        <sz val="10"/>
        <color theme="1"/>
        <rFont val="Arial"/>
        <family val="2"/>
      </rPr>
      <t>COMP</t>
    </r>
    <r>
      <rPr>
        <sz val="10"/>
        <color theme="1"/>
        <rFont val="Arial"/>
        <family val="2"/>
      </rPr>
      <t xml:space="preserve"> and the C</t>
    </r>
    <r>
      <rPr>
        <vertAlign val="subscript"/>
        <sz val="10"/>
        <color theme="1"/>
        <rFont val="Arial"/>
        <family val="2"/>
      </rPr>
      <t>COMP</t>
    </r>
    <r>
      <rPr>
        <sz val="10"/>
        <color theme="1"/>
        <rFont val="Arial"/>
        <family val="2"/>
      </rPr>
      <t xml:space="preserve"> together while keeping the f</t>
    </r>
    <r>
      <rPr>
        <vertAlign val="subscript"/>
        <sz val="10"/>
        <color theme="1"/>
        <rFont val="Arial"/>
        <family val="2"/>
      </rPr>
      <t>COMPZ</t>
    </r>
    <r>
      <rPr>
        <sz val="10"/>
        <color theme="1"/>
        <rFont val="Arial"/>
        <family val="2"/>
      </rPr>
      <t xml:space="preserve"> at 1/10 of the load pole. Make the CC mode crossover frequency at around 1/20 of the switching frequency.</t>
    </r>
  </si>
  <si>
    <r>
      <t>7. On STEP 10, Adjust the C</t>
    </r>
    <r>
      <rPr>
        <vertAlign val="subscript"/>
        <sz val="10"/>
        <color theme="1"/>
        <rFont val="Arial"/>
        <family val="2"/>
      </rPr>
      <t>IMON</t>
    </r>
    <r>
      <rPr>
        <sz val="10"/>
        <color theme="1"/>
        <rFont val="Arial"/>
        <family val="2"/>
      </rPr>
      <t xml:space="preserve"> to locate the IMON pole (f</t>
    </r>
    <r>
      <rPr>
        <vertAlign val="subscript"/>
        <sz val="10"/>
        <color theme="1"/>
        <rFont val="Arial"/>
        <family val="2"/>
      </rPr>
      <t>IMONP</t>
    </r>
    <r>
      <rPr>
        <sz val="10"/>
        <color theme="1"/>
        <rFont val="Arial"/>
        <family val="2"/>
      </rPr>
      <t>) at the compensation zero (f</t>
    </r>
    <r>
      <rPr>
        <vertAlign val="subscript"/>
        <sz val="10"/>
        <color theme="1"/>
        <rFont val="Arial"/>
        <family val="2"/>
      </rPr>
      <t>COMPZ</t>
    </r>
    <r>
      <rPr>
        <sz val="10"/>
        <color theme="1"/>
        <rFont val="Arial"/>
        <family val="2"/>
      </rPr>
      <t>).</t>
    </r>
  </si>
  <si>
    <t>1. On STEP 6,  Ignore the minimum output capacitance requirement, Input the super-capacitor value.</t>
  </si>
  <si>
    <t>1. On STEP 7, Select the feedback resistor divider.</t>
  </si>
  <si>
    <t>2. On STEP 8, Make the CV loop stable with PM&gt;60° and GM&gt;15dB.</t>
  </si>
  <si>
    <t>3. On STEP 9, Select ISET componenets.</t>
  </si>
  <si>
    <t>4. On STEP 10, Make the CC loop stable with PM&gt;60° and GM&gt;15dB.</t>
  </si>
  <si>
    <t>0. On STEP 1, Input the CV mode full load current.</t>
  </si>
  <si>
    <t>(CCCV converter. Buck converter using both CC and CV regulations. Design to start up at full load)</t>
  </si>
  <si>
    <t>Changed from 2p to 20p</t>
  </si>
  <si>
    <t>200kHz parasitic Pole (Changed from 500kHz to 200kHz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</si>
</sst>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_(* #,##0.00_);_(* \(#,##0.00\);_(* &quot;-&quot;??_);_(@_)"/>
    <numFmt numFmtId="177" formatCode="0.0"/>
    <numFmt numFmtId="178" formatCode="0.0000"/>
    <numFmt numFmtId="179" formatCode="_(* #,##0.000000_);_(* \(#,##0.000000\);_(* &quot;-&quot;??_);_(@_)"/>
    <numFmt numFmtId="180" formatCode="0.000"/>
    <numFmt numFmtId="181" formatCode="0.000E+00"/>
    <numFmt numFmtId="182" formatCode="0.0%"/>
    <numFmt numFmtId="183" formatCode="_(* #,##0.0_);_(* \(#,##0.0\);_(* &quot;-&quot;??_);_(@_)"/>
    <numFmt numFmtId="184" formatCode="_(* #,##0.00000_);_(* \(#,##0.00000\);_(* &quot;-&quot;??_);_(@_)"/>
    <numFmt numFmtId="185" formatCode="_(* #,##0.0_);_(* \(#,##0.0\);_(* &quot;-&quot;?_);_(@_)"/>
    <numFmt numFmtId="186" formatCode="_(* #,##0_);_(* \(#,##0\);_(* &quot;-&quot;?_);_(@_)"/>
  </numFmts>
  <fonts count="49" x14ac:knownFonts="1">
    <font>
      <sz val="10"/>
      <color theme="1"/>
      <name val="Arial"/>
      <family val="2"/>
    </font>
    <font>
      <sz val="10"/>
      <color theme="1"/>
      <name val="Arial"/>
      <family val="2"/>
    </font>
    <font>
      <b/>
      <sz val="10"/>
      <color theme="1"/>
      <name val="Arial"/>
      <family val="2"/>
    </font>
    <font>
      <b/>
      <vertAlign val="subscript"/>
      <sz val="10"/>
      <color theme="1"/>
      <name val="Arial"/>
      <family val="2"/>
    </font>
    <font>
      <vertAlign val="subscript"/>
      <sz val="10"/>
      <color theme="1"/>
      <name val="Arial"/>
      <family val="2"/>
    </font>
    <font>
      <u/>
      <sz val="10"/>
      <color theme="10"/>
      <name val="Arial"/>
      <family val="2"/>
    </font>
    <font>
      <b/>
      <sz val="12"/>
      <color indexed="9"/>
      <name val="Calibri"/>
      <family val="2"/>
    </font>
    <font>
      <u/>
      <sz val="10"/>
      <color theme="0" tint="-0.499984740745262"/>
      <name val="Arial"/>
      <family val="2"/>
    </font>
    <font>
      <b/>
      <sz val="12"/>
      <color rgb="FF003366"/>
      <name val="Calibri"/>
      <family val="2"/>
    </font>
    <font>
      <sz val="11"/>
      <color rgb="FFFF0000"/>
      <name val="新細明體"/>
      <family val="2"/>
      <scheme val="minor"/>
    </font>
    <font>
      <b/>
      <sz val="10"/>
      <color indexed="9"/>
      <name val="Calibri"/>
      <family val="2"/>
    </font>
    <font>
      <b/>
      <sz val="10"/>
      <color indexed="9"/>
      <name val="Arial"/>
      <family val="2"/>
    </font>
    <font>
      <sz val="10"/>
      <name val="Arial"/>
      <family val="2"/>
    </font>
    <font>
      <b/>
      <sz val="12"/>
      <color indexed="10"/>
      <name val="Arial"/>
      <family val="2"/>
    </font>
    <font>
      <sz val="9"/>
      <color indexed="81"/>
      <name val="Arial"/>
      <family val="2"/>
    </font>
    <font>
      <b/>
      <sz val="9"/>
      <color indexed="81"/>
      <name val="Arial"/>
      <family val="2"/>
    </font>
    <font>
      <b/>
      <u/>
      <sz val="11"/>
      <color indexed="10"/>
      <name val="Arial"/>
      <family val="2"/>
    </font>
    <font>
      <sz val="11"/>
      <color indexed="10"/>
      <name val="Arial"/>
      <family val="2"/>
    </font>
    <font>
      <b/>
      <sz val="10"/>
      <name val="Arial"/>
      <family val="2"/>
    </font>
    <font>
      <vertAlign val="subscript"/>
      <sz val="10"/>
      <name val="Arial"/>
      <family val="2"/>
    </font>
    <font>
      <b/>
      <vertAlign val="subscript"/>
      <sz val="10"/>
      <name val="Arial"/>
      <family val="2"/>
    </font>
    <font>
      <b/>
      <sz val="10"/>
      <color indexed="12"/>
      <name val="Arial"/>
      <family val="2"/>
    </font>
    <font>
      <sz val="11"/>
      <color theme="1"/>
      <name val="新細明體"/>
      <family val="2"/>
      <scheme val="minor"/>
    </font>
    <font>
      <b/>
      <sz val="11"/>
      <color theme="1"/>
      <name val="新細明體"/>
      <family val="2"/>
      <scheme val="minor"/>
    </font>
    <font>
      <sz val="20"/>
      <color rgb="FFFFFF00"/>
      <name val="新細明體"/>
      <family val="2"/>
      <scheme val="minor"/>
    </font>
    <font>
      <sz val="8"/>
      <color theme="1"/>
      <name val="Arial"/>
      <family val="2"/>
    </font>
    <font>
      <b/>
      <sz val="8"/>
      <color theme="1"/>
      <name val="Arial"/>
      <family val="2"/>
    </font>
    <font>
      <b/>
      <sz val="10"/>
      <color rgb="FF000000"/>
      <name val="Arial"/>
      <family val="2"/>
    </font>
    <font>
      <b/>
      <u/>
      <sz val="9"/>
      <color indexed="81"/>
      <name val="Arial"/>
      <family val="2"/>
    </font>
    <font>
      <sz val="10"/>
      <color rgb="FFFF0000"/>
      <name val="Arial"/>
      <family val="2"/>
    </font>
    <font>
      <sz val="10"/>
      <name val="Symbol"/>
      <family val="1"/>
      <charset val="2"/>
    </font>
    <font>
      <b/>
      <sz val="12"/>
      <name val="Arial"/>
      <family val="2"/>
    </font>
    <font>
      <b/>
      <sz val="11"/>
      <color theme="1"/>
      <name val="Arial"/>
      <family val="2"/>
    </font>
    <font>
      <b/>
      <vertAlign val="subscript"/>
      <sz val="11"/>
      <color theme="1"/>
      <name val="Arial"/>
      <family val="2"/>
    </font>
    <font>
      <b/>
      <vertAlign val="subscript"/>
      <sz val="11"/>
      <color theme="1"/>
      <name val="新細明體"/>
      <family val="2"/>
      <scheme val="minor"/>
    </font>
    <font>
      <b/>
      <sz val="14"/>
      <color theme="1"/>
      <name val="Arial"/>
      <family val="2"/>
    </font>
    <font>
      <sz val="10"/>
      <color rgb="FF0000FF"/>
      <name val="Arial"/>
      <family val="2"/>
    </font>
    <font>
      <b/>
      <sz val="12"/>
      <color rgb="FF0000FF"/>
      <name val="Arial"/>
      <family val="2"/>
    </font>
    <font>
      <b/>
      <sz val="10"/>
      <color rgb="FF0000FF"/>
      <name val="Arial"/>
      <family val="2"/>
    </font>
    <font>
      <sz val="9"/>
      <color indexed="81"/>
      <name val="Tahoma"/>
      <family val="2"/>
    </font>
    <font>
      <b/>
      <sz val="10"/>
      <color indexed="81"/>
      <name val="Tahoma"/>
      <family val="2"/>
    </font>
    <font>
      <sz val="10"/>
      <color indexed="81"/>
      <name val="Tahoma"/>
      <family val="2"/>
    </font>
    <font>
      <b/>
      <sz val="9"/>
      <color indexed="81"/>
      <name val="Tahoma"/>
      <family val="2"/>
    </font>
    <font>
      <u/>
      <sz val="9"/>
      <color indexed="81"/>
      <name val="Arial"/>
      <family val="2"/>
    </font>
    <font>
      <b/>
      <vertAlign val="subscript"/>
      <sz val="9"/>
      <color indexed="81"/>
      <name val="Arial"/>
      <family val="2"/>
    </font>
    <font>
      <vertAlign val="subscript"/>
      <sz val="9"/>
      <color indexed="81"/>
      <name val="Arial"/>
      <family val="2"/>
    </font>
    <font>
      <b/>
      <vertAlign val="subscript"/>
      <sz val="12"/>
      <color rgb="FF0000FF"/>
      <name val="Arial"/>
      <family val="2"/>
    </font>
    <font>
      <b/>
      <sz val="18"/>
      <color theme="1"/>
      <name val="Arial"/>
      <family val="2"/>
    </font>
    <font>
      <sz val="9"/>
      <name val="細明體"/>
      <family val="3"/>
      <charset val="136"/>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rgb="FF7030A0"/>
        <bgColor indexed="64"/>
      </patternFill>
    </fill>
    <fill>
      <patternFill patternType="solid">
        <fgColor rgb="FFFFC000"/>
        <bgColor indexed="64"/>
      </patternFill>
    </fill>
    <fill>
      <patternFill patternType="solid">
        <fgColor theme="8"/>
        <bgColor indexed="64"/>
      </patternFill>
    </fill>
    <fill>
      <patternFill patternType="solid">
        <fgColor rgb="FFFF0000"/>
        <bgColor indexed="64"/>
      </patternFill>
    </fill>
    <fill>
      <patternFill patternType="solid">
        <fgColor theme="7"/>
        <bgColor indexed="64"/>
      </patternFill>
    </fill>
    <fill>
      <patternFill patternType="solid">
        <fgColor theme="0" tint="-0.14999847407452621"/>
        <bgColor indexed="64"/>
      </patternFill>
    </fill>
    <fill>
      <patternFill patternType="solid">
        <fgColor indexed="22"/>
        <bgColor indexed="64"/>
      </patternFill>
    </fill>
    <fill>
      <patternFill patternType="solid">
        <fgColor rgb="FFC0C0C0"/>
        <bgColor indexed="64"/>
      </patternFill>
    </fill>
    <fill>
      <patternFill patternType="solid">
        <fgColor indexed="44"/>
        <bgColor indexed="64"/>
      </patternFill>
    </fill>
    <fill>
      <patternFill patternType="solid">
        <fgColor indexed="46"/>
        <bgColor indexed="64"/>
      </patternFill>
    </fill>
    <fill>
      <patternFill patternType="solid">
        <fgColor indexed="47"/>
        <bgColor indexed="64"/>
      </patternFill>
    </fill>
    <fill>
      <patternFill patternType="solid">
        <fgColor rgb="FFFFFFCC"/>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2F75B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8"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0" fontId="5" fillId="0" borderId="0" applyNumberFormat="0" applyFill="0" applyBorder="0" applyAlignment="0" applyProtection="0"/>
    <xf numFmtId="0" fontId="22" fillId="0" borderId="0"/>
    <xf numFmtId="176" fontId="1" fillId="0" borderId="0" applyFont="0" applyFill="0" applyBorder="0" applyAlignment="0" applyProtection="0"/>
    <xf numFmtId="0" fontId="12" fillId="0" borderId="0"/>
  </cellStyleXfs>
  <cellXfs count="172">
    <xf numFmtId="0" fontId="0" fillId="0" borderId="0" xfId="0"/>
    <xf numFmtId="0" fontId="0" fillId="2" borderId="0" xfId="0" applyFill="1"/>
    <xf numFmtId="0" fontId="2" fillId="2" borderId="0" xfId="0" applyFont="1" applyFill="1" applyBorder="1" applyAlignment="1" applyProtection="1">
      <alignment horizontal="right" vertical="center"/>
    </xf>
    <xf numFmtId="0" fontId="2" fillId="2" borderId="0" xfId="0" applyFont="1" applyFill="1" applyBorder="1"/>
    <xf numFmtId="177" fontId="2" fillId="2" borderId="0" xfId="0" applyNumberFormat="1" applyFont="1" applyFill="1" applyBorder="1" applyProtection="1">
      <protection locked="0"/>
    </xf>
    <xf numFmtId="0" fontId="0" fillId="4" borderId="0" xfId="0" applyFill="1"/>
    <xf numFmtId="0" fontId="1" fillId="4" borderId="0" xfId="0" applyFont="1" applyFill="1"/>
    <xf numFmtId="0" fontId="6" fillId="4" borderId="0" xfId="0" applyFont="1" applyFill="1" applyBorder="1" applyAlignment="1" applyProtection="1">
      <alignment horizontal="left" vertical="center"/>
    </xf>
    <xf numFmtId="0" fontId="7" fillId="4" borderId="0" xfId="1" applyFont="1" applyFill="1" applyBorder="1" applyAlignment="1" applyProtection="1">
      <alignment horizontal="left" vertical="center"/>
    </xf>
    <xf numFmtId="0" fontId="8" fillId="4" borderId="0" xfId="0" applyFont="1" applyFill="1" applyBorder="1" applyAlignment="1" applyProtection="1">
      <alignment horizontal="left" vertical="center"/>
    </xf>
    <xf numFmtId="0" fontId="9" fillId="4" borderId="0" xfId="0" applyFont="1" applyFill="1"/>
    <xf numFmtId="0" fontId="6" fillId="4" borderId="0" xfId="0" quotePrefix="1" applyFont="1" applyFill="1" applyBorder="1" applyAlignment="1" applyProtection="1">
      <alignment vertical="center"/>
    </xf>
    <xf numFmtId="0" fontId="11" fillId="4" borderId="0" xfId="0" applyFont="1" applyFill="1" applyBorder="1" applyAlignment="1" applyProtection="1">
      <alignment horizontal="left"/>
    </xf>
    <xf numFmtId="0" fontId="11" fillId="4" borderId="0" xfId="0" applyFont="1" applyFill="1" applyBorder="1" applyAlignment="1" applyProtection="1">
      <alignment vertical="center"/>
    </xf>
    <xf numFmtId="0" fontId="12" fillId="4" borderId="0" xfId="0" applyFont="1" applyFill="1" applyBorder="1" applyProtection="1"/>
    <xf numFmtId="0" fontId="0" fillId="2" borderId="0" xfId="0" applyFont="1" applyFill="1" applyBorder="1" applyAlignment="1" applyProtection="1">
      <alignment horizontal="right" vertical="center"/>
    </xf>
    <xf numFmtId="177" fontId="0" fillId="2" borderId="0" xfId="0" applyNumberFormat="1" applyFont="1" applyFill="1" applyBorder="1" applyProtection="1">
      <protection locked="0"/>
    </xf>
    <xf numFmtId="0" fontId="0" fillId="2" borderId="0" xfId="0" applyFont="1" applyFill="1" applyBorder="1"/>
    <xf numFmtId="177" fontId="0" fillId="2" borderId="0" xfId="0" applyNumberFormat="1" applyFont="1" applyFill="1" applyBorder="1" applyAlignment="1" applyProtection="1">
      <alignment horizontal="right"/>
      <protection locked="0"/>
    </xf>
    <xf numFmtId="0" fontId="0" fillId="2" borderId="0" xfId="0" applyFill="1" applyAlignment="1">
      <alignment horizontal="right"/>
    </xf>
    <xf numFmtId="0" fontId="2" fillId="2" borderId="0" xfId="0" applyFont="1" applyFill="1" applyAlignment="1">
      <alignment horizontal="right"/>
    </xf>
    <xf numFmtId="0" fontId="0" fillId="2" borderId="0" xfId="0" applyFont="1" applyFill="1" applyAlignment="1">
      <alignment horizontal="right"/>
    </xf>
    <xf numFmtId="0" fontId="18" fillId="2" borderId="0" xfId="0" applyFont="1" applyFill="1" applyBorder="1" applyAlignment="1" applyProtection="1">
      <alignment horizontal="right" vertical="center"/>
    </xf>
    <xf numFmtId="0" fontId="12" fillId="2" borderId="0" xfId="0" applyFont="1" applyFill="1" applyBorder="1" applyAlignment="1" applyProtection="1">
      <alignment horizontal="right" vertical="center"/>
    </xf>
    <xf numFmtId="2" fontId="2" fillId="2" borderId="0" xfId="0" applyNumberFormat="1" applyFont="1" applyFill="1" applyBorder="1" applyProtection="1">
      <protection locked="0"/>
    </xf>
    <xf numFmtId="0" fontId="10" fillId="3" borderId="1" xfId="0" applyFont="1" applyFill="1" applyBorder="1" applyAlignment="1" applyProtection="1">
      <alignment vertical="center"/>
    </xf>
    <xf numFmtId="1" fontId="0" fillId="2" borderId="0" xfId="0" applyNumberFormat="1" applyFont="1" applyFill="1" applyBorder="1" applyProtection="1">
      <protection locked="0"/>
    </xf>
    <xf numFmtId="0" fontId="2" fillId="2" borderId="0" xfId="0" applyFont="1" applyFill="1"/>
    <xf numFmtId="0" fontId="21" fillId="2" borderId="0" xfId="0" applyFont="1" applyFill="1" applyBorder="1" applyAlignment="1" applyProtection="1">
      <alignment horizontal="right" vertical="center"/>
    </xf>
    <xf numFmtId="177" fontId="0" fillId="2" borderId="0" xfId="0" applyNumberFormat="1" applyFill="1"/>
    <xf numFmtId="1" fontId="0" fillId="2" borderId="0" xfId="0" applyNumberFormat="1" applyFill="1"/>
    <xf numFmtId="0" fontId="22" fillId="0" borderId="0" xfId="2"/>
    <xf numFmtId="0" fontId="23" fillId="0" borderId="0" xfId="0" applyFont="1"/>
    <xf numFmtId="0" fontId="0" fillId="0" borderId="0" xfId="0" applyAlignment="1">
      <alignment horizontal="left"/>
    </xf>
    <xf numFmtId="0" fontId="23" fillId="0" borderId="0" xfId="0" applyFont="1" applyAlignment="1">
      <alignment horizontal="left"/>
    </xf>
    <xf numFmtId="0" fontId="24" fillId="5" borderId="0" xfId="0" applyFont="1" applyFill="1"/>
    <xf numFmtId="0" fontId="25" fillId="0" borderId="0" xfId="0" applyFont="1"/>
    <xf numFmtId="0" fontId="0" fillId="6" borderId="0" xfId="0" applyFill="1"/>
    <xf numFmtId="0" fontId="0" fillId="7" borderId="0" xfId="0" applyFill="1"/>
    <xf numFmtId="0" fontId="0" fillId="0" borderId="0" xfId="0" applyFill="1"/>
    <xf numFmtId="0" fontId="0" fillId="8" borderId="0" xfId="0" applyFill="1"/>
    <xf numFmtId="0" fontId="26" fillId="0" borderId="0" xfId="0" applyFont="1"/>
    <xf numFmtId="0" fontId="2" fillId="0" borderId="0" xfId="0" applyFont="1"/>
    <xf numFmtId="177" fontId="2" fillId="3" borderId="0" xfId="0" applyNumberFormat="1" applyFont="1" applyFill="1" applyBorder="1" applyProtection="1">
      <protection locked="0"/>
    </xf>
    <xf numFmtId="177" fontId="2" fillId="3" borderId="0" xfId="0" applyNumberFormat="1" applyFont="1" applyFill="1" applyBorder="1" applyAlignment="1" applyProtection="1">
      <alignment horizontal="right"/>
      <protection locked="0"/>
    </xf>
    <xf numFmtId="0" fontId="0" fillId="9" borderId="0" xfId="0" applyFill="1"/>
    <xf numFmtId="0" fontId="0" fillId="3" borderId="0" xfId="0" applyFill="1"/>
    <xf numFmtId="2" fontId="0" fillId="0" borderId="0" xfId="0" applyNumberFormat="1"/>
    <xf numFmtId="1" fontId="2" fillId="3" borderId="0" xfId="0" applyNumberFormat="1" applyFont="1" applyFill="1" applyBorder="1" applyProtection="1">
      <protection locked="0"/>
    </xf>
    <xf numFmtId="2" fontId="2" fillId="3" borderId="0" xfId="0" applyNumberFormat="1" applyFont="1" applyFill="1" applyBorder="1" applyProtection="1">
      <protection locked="0"/>
    </xf>
    <xf numFmtId="11" fontId="0" fillId="0" borderId="0" xfId="0" applyNumberFormat="1"/>
    <xf numFmtId="0" fontId="0" fillId="0" borderId="0" xfId="0" applyFont="1"/>
    <xf numFmtId="1" fontId="0" fillId="0" borderId="0" xfId="0" applyNumberFormat="1"/>
    <xf numFmtId="0" fontId="0" fillId="10" borderId="0" xfId="0" applyFill="1"/>
    <xf numFmtId="1" fontId="0" fillId="10" borderId="0" xfId="0" applyNumberFormat="1" applyFill="1"/>
    <xf numFmtId="0" fontId="2" fillId="0" borderId="0" xfId="0" applyFont="1" applyAlignment="1">
      <alignment horizontal="left"/>
    </xf>
    <xf numFmtId="0" fontId="0" fillId="0" borderId="0" xfId="0" applyFill="1" applyAlignment="1">
      <alignment wrapText="1"/>
    </xf>
    <xf numFmtId="11" fontId="0" fillId="0" borderId="0" xfId="3" applyNumberFormat="1" applyFont="1"/>
    <xf numFmtId="179" fontId="0" fillId="0" borderId="0" xfId="3" applyNumberFormat="1" applyFont="1"/>
    <xf numFmtId="179" fontId="0" fillId="0" borderId="0" xfId="3" applyNumberFormat="1" applyFont="1" applyFill="1" applyAlignment="1">
      <alignment wrapText="1"/>
    </xf>
    <xf numFmtId="179" fontId="0" fillId="0" borderId="0" xfId="3" applyNumberFormat="1" applyFont="1" applyFill="1"/>
    <xf numFmtId="0" fontId="12" fillId="0" borderId="0" xfId="4"/>
    <xf numFmtId="0" fontId="12" fillId="0" borderId="0" xfId="4" applyAlignment="1">
      <alignment horizontal="center"/>
    </xf>
    <xf numFmtId="180" fontId="12" fillId="0" borderId="0" xfId="4" applyNumberFormat="1"/>
    <xf numFmtId="2" fontId="12" fillId="0" borderId="0" xfId="4" applyNumberFormat="1"/>
    <xf numFmtId="178" fontId="12" fillId="0" borderId="0" xfId="4" applyNumberFormat="1"/>
    <xf numFmtId="0" fontId="12" fillId="0" borderId="0" xfId="4" applyNumberFormat="1"/>
    <xf numFmtId="10" fontId="12" fillId="0" borderId="0" xfId="4" applyNumberFormat="1"/>
    <xf numFmtId="10" fontId="29" fillId="0" borderId="0" xfId="4" applyNumberFormat="1" applyFont="1" applyAlignment="1">
      <alignment horizontal="center"/>
    </xf>
    <xf numFmtId="0" fontId="12" fillId="0" borderId="0" xfId="4" applyFont="1"/>
    <xf numFmtId="180" fontId="12" fillId="0" borderId="0" xfId="4" applyNumberFormat="1" applyBorder="1"/>
    <xf numFmtId="2" fontId="12" fillId="0" borderId="0" xfId="4" applyNumberFormat="1" applyBorder="1"/>
    <xf numFmtId="0" fontId="12" fillId="0" borderId="0" xfId="4" applyBorder="1"/>
    <xf numFmtId="2" fontId="12" fillId="0" borderId="0" xfId="4" applyNumberFormat="1" applyAlignment="1">
      <alignment horizontal="center"/>
    </xf>
    <xf numFmtId="180" fontId="12" fillId="0" borderId="0" xfId="4" applyNumberFormat="1" applyAlignment="1"/>
    <xf numFmtId="180" fontId="12" fillId="0" borderId="0" xfId="4" applyNumberFormat="1" applyAlignment="1">
      <alignment horizontal="right"/>
    </xf>
    <xf numFmtId="182" fontId="12" fillId="0" borderId="0" xfId="4" applyNumberFormat="1"/>
    <xf numFmtId="0" fontId="12" fillId="0" borderId="0" xfId="4" applyNumberFormat="1" applyFont="1" applyProtection="1">
      <protection locked="0"/>
    </xf>
    <xf numFmtId="0" fontId="12" fillId="0" borderId="0" xfId="4" applyNumberFormat="1" applyProtection="1">
      <protection locked="0"/>
    </xf>
    <xf numFmtId="2" fontId="12" fillId="3" borderId="0" xfId="4" applyNumberFormat="1" applyFill="1"/>
    <xf numFmtId="180" fontId="12" fillId="3" borderId="0" xfId="4" applyNumberFormat="1" applyFill="1"/>
    <xf numFmtId="0" fontId="12" fillId="0" borderId="0" xfId="4" applyFill="1"/>
    <xf numFmtId="177" fontId="12" fillId="0" borderId="0" xfId="4" applyNumberFormat="1"/>
    <xf numFmtId="180" fontId="31" fillId="0" borderId="0" xfId="4" applyNumberFormat="1" applyFont="1"/>
    <xf numFmtId="178" fontId="0" fillId="0" borderId="0" xfId="0" applyNumberFormat="1"/>
    <xf numFmtId="2" fontId="12" fillId="0" borderId="0" xfId="4" applyNumberFormat="1" applyFill="1"/>
    <xf numFmtId="180" fontId="12" fillId="0" borderId="0" xfId="4" applyNumberFormat="1" applyFill="1"/>
    <xf numFmtId="180" fontId="12" fillId="0" borderId="0" xfId="4" applyNumberFormat="1" applyFill="1" applyAlignment="1">
      <alignment horizontal="right"/>
    </xf>
    <xf numFmtId="180" fontId="12" fillId="0" borderId="0" xfId="4" applyNumberFormat="1" applyFill="1" applyAlignment="1"/>
    <xf numFmtId="2" fontId="12" fillId="0" borderId="0" xfId="4" applyNumberFormat="1" applyFill="1" applyAlignment="1">
      <alignment horizontal="center"/>
    </xf>
    <xf numFmtId="178" fontId="12" fillId="0" borderId="0" xfId="4" applyNumberFormat="1" applyFill="1"/>
    <xf numFmtId="182" fontId="12" fillId="0" borderId="0" xfId="4" applyNumberFormat="1" applyFill="1"/>
    <xf numFmtId="0" fontId="12" fillId="0" borderId="0" xfId="4" applyNumberFormat="1" applyFont="1" applyFill="1" applyProtection="1">
      <protection locked="0"/>
    </xf>
    <xf numFmtId="0" fontId="12" fillId="0" borderId="0" xfId="4" applyNumberFormat="1" applyFill="1" applyProtection="1">
      <protection locked="0"/>
    </xf>
    <xf numFmtId="180" fontId="31" fillId="0" borderId="0" xfId="4" applyNumberFormat="1" applyFont="1" applyFill="1"/>
    <xf numFmtId="180" fontId="31" fillId="0" borderId="0" xfId="4" applyNumberFormat="1" applyFont="1" applyFill="1" applyAlignment="1">
      <alignment horizontal="right"/>
    </xf>
    <xf numFmtId="182" fontId="31" fillId="0" borderId="0" xfId="4" applyNumberFormat="1" applyFont="1" applyFill="1"/>
    <xf numFmtId="0" fontId="0" fillId="18" borderId="0" xfId="0" applyFill="1" applyAlignment="1">
      <alignment horizontal="right"/>
    </xf>
    <xf numFmtId="0" fontId="0" fillId="19" borderId="0" xfId="0" applyFill="1" applyAlignment="1">
      <alignment horizontal="right"/>
    </xf>
    <xf numFmtId="184" fontId="0" fillId="0" borderId="0" xfId="3" applyNumberFormat="1" applyFont="1"/>
    <xf numFmtId="0" fontId="12" fillId="11" borderId="1" xfId="4" applyFont="1" applyFill="1" applyBorder="1" applyAlignment="1">
      <alignment horizontal="center"/>
    </xf>
    <xf numFmtId="0" fontId="12" fillId="17" borderId="1" xfId="4" applyFont="1" applyFill="1" applyBorder="1" applyAlignment="1">
      <alignment horizontal="center" vertical="center" wrapText="1"/>
    </xf>
    <xf numFmtId="178" fontId="12" fillId="17" borderId="1" xfId="4" applyNumberFormat="1" applyFont="1" applyFill="1" applyBorder="1" applyAlignment="1">
      <alignment horizontal="center" vertical="center" wrapText="1"/>
    </xf>
    <xf numFmtId="180" fontId="12" fillId="17" borderId="1" xfId="4" applyNumberFormat="1" applyFont="1" applyFill="1" applyBorder="1" applyAlignment="1">
      <alignment horizontal="center" vertical="center" wrapText="1"/>
    </xf>
    <xf numFmtId="2" fontId="12" fillId="17" borderId="1" xfId="4" applyNumberFormat="1" applyFont="1" applyFill="1" applyBorder="1" applyAlignment="1">
      <alignment horizontal="center" vertical="center" wrapText="1"/>
    </xf>
    <xf numFmtId="2" fontId="12" fillId="13" borderId="1" xfId="4" applyNumberFormat="1" applyFont="1" applyFill="1" applyBorder="1" applyAlignment="1">
      <alignment horizontal="center" vertical="center" wrapText="1"/>
    </xf>
    <xf numFmtId="178" fontId="12" fillId="13" borderId="1" xfId="4" applyNumberFormat="1" applyFont="1" applyFill="1" applyBorder="1" applyAlignment="1">
      <alignment horizontal="center" vertical="center" wrapText="1"/>
    </xf>
    <xf numFmtId="0" fontId="12" fillId="13" borderId="1" xfId="4" applyFont="1" applyFill="1" applyBorder="1" applyAlignment="1">
      <alignment horizontal="center" vertical="center" wrapText="1"/>
    </xf>
    <xf numFmtId="0" fontId="12" fillId="14" borderId="1" xfId="4" applyNumberFormat="1" applyFont="1" applyFill="1" applyBorder="1" applyAlignment="1">
      <alignment horizontal="center" vertical="center" wrapText="1"/>
    </xf>
    <xf numFmtId="181" fontId="12" fillId="13" borderId="1" xfId="4" applyNumberFormat="1" applyFont="1" applyFill="1" applyBorder="1" applyAlignment="1">
      <alignment horizontal="center" vertical="center" wrapText="1"/>
    </xf>
    <xf numFmtId="0" fontId="12" fillId="14" borderId="1" xfId="4" applyFont="1" applyFill="1" applyBorder="1" applyAlignment="1">
      <alignment horizontal="center" vertical="center" wrapText="1"/>
    </xf>
    <xf numFmtId="0" fontId="29" fillId="13" borderId="1" xfId="4" applyFont="1" applyFill="1" applyBorder="1" applyAlignment="1">
      <alignment horizontal="center" vertical="center" wrapText="1"/>
    </xf>
    <xf numFmtId="0" fontId="12" fillId="15" borderId="1" xfId="4" applyFont="1" applyFill="1" applyBorder="1" applyAlignment="1">
      <alignment horizontal="center" vertical="center" wrapText="1"/>
    </xf>
    <xf numFmtId="2" fontId="12" fillId="15" borderId="1" xfId="4" applyNumberFormat="1" applyFont="1" applyFill="1" applyBorder="1" applyAlignment="1">
      <alignment horizontal="center" vertical="center" wrapText="1"/>
    </xf>
    <xf numFmtId="180" fontId="12" fillId="16" borderId="1" xfId="4" applyNumberFormat="1" applyFont="1" applyFill="1" applyBorder="1" applyAlignment="1">
      <alignment horizontal="center" vertical="center"/>
    </xf>
    <xf numFmtId="178" fontId="12" fillId="16" borderId="1" xfId="4" applyNumberFormat="1" applyFont="1" applyFill="1" applyBorder="1" applyAlignment="1">
      <alignment horizontal="center" vertical="center" wrapText="1"/>
    </xf>
    <xf numFmtId="0" fontId="0" fillId="17" borderId="0" xfId="0" applyFill="1" applyAlignment="1">
      <alignment horizontal="right"/>
    </xf>
    <xf numFmtId="183" fontId="0" fillId="17" borderId="0" xfId="3" applyNumberFormat="1" applyFont="1" applyFill="1" applyAlignment="1">
      <alignment horizontal="right"/>
    </xf>
    <xf numFmtId="0" fontId="12" fillId="6" borderId="0" xfId="4" applyFill="1" applyAlignment="1">
      <alignment horizontal="left"/>
    </xf>
    <xf numFmtId="0" fontId="12" fillId="6" borderId="0" xfId="4" applyFill="1"/>
    <xf numFmtId="0" fontId="12" fillId="6" borderId="0" xfId="4" applyFill="1" applyAlignment="1">
      <alignment horizontal="right"/>
    </xf>
    <xf numFmtId="0" fontId="2" fillId="7" borderId="0" xfId="0" applyFont="1" applyFill="1"/>
    <xf numFmtId="0" fontId="2" fillId="8" borderId="0" xfId="0" applyFont="1" applyFill="1"/>
    <xf numFmtId="176" fontId="0" fillId="0" borderId="0" xfId="0" applyNumberFormat="1"/>
    <xf numFmtId="0" fontId="2" fillId="20" borderId="0" xfId="0" applyFont="1" applyFill="1"/>
    <xf numFmtId="185" fontId="0" fillId="0" borderId="0" xfId="0" applyNumberFormat="1"/>
    <xf numFmtId="185" fontId="0" fillId="21" borderId="0" xfId="0" applyNumberFormat="1" applyFill="1"/>
    <xf numFmtId="186" fontId="0" fillId="21" borderId="0" xfId="0" applyNumberFormat="1" applyFill="1"/>
    <xf numFmtId="2" fontId="0" fillId="21" borderId="0" xfId="0" applyNumberFormat="1" applyFill="1"/>
    <xf numFmtId="2" fontId="0" fillId="0" borderId="0" xfId="0" applyNumberFormat="1" applyFill="1"/>
    <xf numFmtId="0" fontId="1" fillId="2" borderId="0" xfId="0" applyFont="1" applyFill="1"/>
    <xf numFmtId="0" fontId="0" fillId="0" borderId="6" xfId="0" applyFill="1" applyBorder="1"/>
    <xf numFmtId="0" fontId="0" fillId="0" borderId="7" xfId="0" applyBorder="1"/>
    <xf numFmtId="0" fontId="0" fillId="0" borderId="8" xfId="0" applyBorder="1"/>
    <xf numFmtId="0" fontId="32" fillId="0" borderId="5" xfId="0" applyFont="1" applyFill="1" applyBorder="1"/>
    <xf numFmtId="0" fontId="32" fillId="0" borderId="0" xfId="0" applyFont="1" applyFill="1"/>
    <xf numFmtId="0" fontId="35" fillId="3" borderId="0" xfId="0" applyFont="1" applyFill="1"/>
    <xf numFmtId="2" fontId="35" fillId="3" borderId="0" xfId="0" applyNumberFormat="1" applyFont="1" applyFill="1"/>
    <xf numFmtId="0" fontId="2" fillId="17" borderId="0" xfId="0" applyFont="1" applyFill="1" applyAlignment="1">
      <alignment horizontal="right"/>
    </xf>
    <xf numFmtId="0" fontId="0" fillId="22" borderId="0" xfId="0" applyFill="1"/>
    <xf numFmtId="0" fontId="2" fillId="3" borderId="0" xfId="0" applyFont="1" applyFill="1"/>
    <xf numFmtId="180" fontId="2" fillId="3" borderId="0" xfId="0" applyNumberFormat="1" applyFont="1" applyFill="1" applyBorder="1" applyProtection="1">
      <protection locked="0"/>
    </xf>
    <xf numFmtId="0" fontId="0" fillId="23" borderId="0" xfId="0" applyFill="1" applyAlignment="1">
      <alignment horizontal="right"/>
    </xf>
    <xf numFmtId="0" fontId="36" fillId="2" borderId="0" xfId="0" applyFont="1" applyFill="1"/>
    <xf numFmtId="0" fontId="37" fillId="2" borderId="0" xfId="0" applyFont="1" applyFill="1" applyBorder="1" applyAlignment="1" applyProtection="1">
      <alignment horizontal="left" vertical="center"/>
    </xf>
    <xf numFmtId="0" fontId="38" fillId="2" borderId="0" xfId="0" applyFont="1" applyFill="1" applyBorder="1" applyAlignment="1" applyProtection="1">
      <alignment horizontal="right" vertical="center"/>
    </xf>
    <xf numFmtId="0" fontId="29" fillId="2" borderId="0" xfId="0" applyFont="1" applyFill="1"/>
    <xf numFmtId="2" fontId="0" fillId="2" borderId="0" xfId="0" applyNumberFormat="1" applyFill="1"/>
    <xf numFmtId="180" fontId="0" fillId="0" borderId="0" xfId="0" applyNumberFormat="1"/>
    <xf numFmtId="177" fontId="0" fillId="2" borderId="0" xfId="0" applyNumberFormat="1" applyFont="1" applyFill="1" applyBorder="1" applyProtection="1"/>
    <xf numFmtId="2" fontId="0" fillId="2" borderId="0" xfId="0" applyNumberFormat="1" applyFont="1" applyFill="1" applyBorder="1" applyProtection="1"/>
    <xf numFmtId="177" fontId="0" fillId="2" borderId="0" xfId="0" applyNumberFormat="1" applyFont="1" applyFill="1" applyBorder="1" applyAlignment="1" applyProtection="1">
      <alignment horizontal="right"/>
    </xf>
    <xf numFmtId="1" fontId="0" fillId="2" borderId="0" xfId="0" applyNumberFormat="1" applyFont="1" applyFill="1" applyBorder="1" applyProtection="1"/>
    <xf numFmtId="177" fontId="12" fillId="2" borderId="0" xfId="0" applyNumberFormat="1" applyFont="1" applyFill="1" applyBorder="1" applyProtection="1"/>
    <xf numFmtId="2" fontId="0" fillId="2" borderId="0" xfId="0" applyNumberFormat="1" applyFont="1" applyFill="1" applyBorder="1" applyAlignment="1" applyProtection="1">
      <alignment horizontal="right"/>
    </xf>
    <xf numFmtId="0" fontId="2" fillId="0" borderId="0" xfId="0" applyFont="1" applyAlignment="1">
      <alignment wrapText="1"/>
    </xf>
    <xf numFmtId="0" fontId="0" fillId="0" borderId="0" xfId="0" applyFill="1" applyAlignment="1">
      <alignment horizontal="right"/>
    </xf>
    <xf numFmtId="1" fontId="0" fillId="2" borderId="0" xfId="0" applyNumberFormat="1" applyFont="1" applyFill="1" applyBorder="1" applyAlignment="1" applyProtection="1">
      <alignment horizontal="right"/>
    </xf>
    <xf numFmtId="0" fontId="0" fillId="2" borderId="0" xfId="0" applyFill="1" applyAlignment="1">
      <alignment horizontal="left" vertical="center" wrapText="1" indent="2"/>
    </xf>
    <xf numFmtId="0" fontId="47" fillId="0" borderId="0" xfId="0" applyFont="1"/>
    <xf numFmtId="0" fontId="35" fillId="0" borderId="0" xfId="0" applyFont="1"/>
    <xf numFmtId="2" fontId="2" fillId="3" borderId="0" xfId="0" applyNumberFormat="1" applyFont="1" applyFill="1" applyProtection="1">
      <protection locked="0"/>
    </xf>
    <xf numFmtId="0" fontId="2" fillId="3" borderId="0" xfId="0" applyFont="1" applyFill="1" applyAlignment="1" applyProtection="1">
      <alignment horizontal="right"/>
      <protection locked="0"/>
    </xf>
    <xf numFmtId="0" fontId="11" fillId="4" borderId="0" xfId="0" applyFont="1" applyFill="1" applyBorder="1" applyAlignment="1" applyProtection="1">
      <alignment horizontal="center" vertical="center"/>
    </xf>
    <xf numFmtId="0" fontId="12" fillId="11" borderId="1" xfId="4" applyFont="1" applyFill="1" applyBorder="1" applyAlignment="1">
      <alignment horizontal="center"/>
    </xf>
    <xf numFmtId="0" fontId="12" fillId="12" borderId="2" xfId="4" applyFont="1" applyFill="1" applyBorder="1" applyAlignment="1">
      <alignment horizontal="center"/>
    </xf>
    <xf numFmtId="0" fontId="12" fillId="12" borderId="3" xfId="4" applyFont="1" applyFill="1" applyBorder="1" applyAlignment="1">
      <alignment horizontal="center"/>
    </xf>
    <xf numFmtId="0" fontId="12" fillId="12" borderId="4" xfId="4" applyFont="1" applyFill="1" applyBorder="1" applyAlignment="1">
      <alignment horizontal="center"/>
    </xf>
    <xf numFmtId="0" fontId="12" fillId="11" borderId="2" xfId="4" applyFont="1" applyFill="1" applyBorder="1" applyAlignment="1">
      <alignment horizontal="center"/>
    </xf>
    <xf numFmtId="0" fontId="12" fillId="11" borderId="3" xfId="4" applyFont="1" applyFill="1" applyBorder="1" applyAlignment="1">
      <alignment horizontal="center"/>
    </xf>
    <xf numFmtId="0" fontId="12" fillId="11" borderId="4" xfId="4" applyFont="1" applyFill="1" applyBorder="1" applyAlignment="1">
      <alignment horizontal="center"/>
    </xf>
    <xf numFmtId="181" fontId="12" fillId="11" borderId="1" xfId="4" applyNumberFormat="1" applyFont="1" applyFill="1" applyBorder="1" applyAlignment="1">
      <alignment horizontal="center"/>
    </xf>
  </cellXfs>
  <cellStyles count="5">
    <cellStyle name="Normal 2" xfId="2"/>
    <cellStyle name="Normal 3" xfId="4"/>
    <cellStyle name="一般" xfId="0" builtinId="0"/>
    <cellStyle name="千分位" xfId="3" builtinId="3"/>
    <cellStyle name="超連結" xfId="1" builtinId="8"/>
  </cellStyles>
  <dxfs count="23">
    <dxf>
      <font>
        <color rgb="FFFFC000"/>
      </font>
    </dxf>
    <dxf>
      <font>
        <color rgb="FFFFC000"/>
      </font>
    </dxf>
    <dxf>
      <font>
        <color rgb="FFFF0000"/>
      </font>
      <fill>
        <patternFill>
          <bgColor theme="0"/>
        </patternFill>
      </fill>
    </dxf>
    <dxf>
      <font>
        <color rgb="FFFFC000"/>
      </font>
    </dxf>
    <dxf>
      <font>
        <color rgb="FFFFC000"/>
      </font>
    </dxf>
    <dxf>
      <font>
        <color rgb="FFFFC000"/>
      </font>
    </dxf>
    <dxf>
      <font>
        <color rgb="FFFF0000"/>
      </font>
    </dxf>
    <dxf>
      <font>
        <color theme="7"/>
      </font>
    </dxf>
    <dxf>
      <font>
        <color theme="7"/>
      </font>
    </dxf>
    <dxf>
      <font>
        <color rgb="FFFF0000"/>
      </font>
    </dxf>
    <dxf>
      <font>
        <color rgb="FFFF0000"/>
      </font>
    </dxf>
    <dxf>
      <font>
        <color rgb="FFFF0000"/>
      </font>
    </dxf>
    <dxf>
      <font>
        <color rgb="FFFF0000"/>
      </font>
    </dxf>
    <dxf>
      <font>
        <color rgb="FFFF0000"/>
      </font>
    </dxf>
    <dxf>
      <font>
        <color rgb="FFFF0000"/>
      </font>
    </dxf>
    <dxf>
      <font>
        <color rgb="FFFFC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0000FF"/>
      <color rgb="FF2F7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Sample</a:t>
            </a:r>
            <a:r>
              <a:rPr lang="en-US" baseline="0"/>
              <a:t> &amp; Hold</a:t>
            </a:r>
            <a:endParaRPr lang="en-US"/>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Bode!$G$11</c:f>
              <c:strCache>
                <c:ptCount val="1"/>
                <c:pt idx="0">
                  <c:v>SH_GAIN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Bode!$G$12:$G$138</c:f>
              <c:numCache>
                <c:formatCode>_(* #,##0.000000_);_(* \(#,##0.000000\);_(* "-"??_);_(@_)</c:formatCode>
                <c:ptCount val="127"/>
                <c:pt idx="0">
                  <c:v>-8.3863172116651955E-9</c:v>
                </c:pt>
                <c:pt idx="1">
                  <c:v>-1.8869218318188679E-8</c:v>
                </c:pt>
                <c:pt idx="2">
                  <c:v>-3.3545273716880589E-8</c:v>
                </c:pt>
                <c:pt idx="3">
                  <c:v>-5.2414493072270463E-8</c:v>
                </c:pt>
                <c:pt idx="4">
                  <c:v>-7.5476874483031021E-8</c:v>
                </c:pt>
                <c:pt idx="5">
                  <c:v>-1.0273241123227042E-7</c:v>
                </c:pt>
                <c:pt idx="6">
                  <c:v>-1.3418110239513436E-7</c:v>
                </c:pt>
                <c:pt idx="7">
                  <c:v>-1.6982295766044371E-7</c:v>
                </c:pt>
                <c:pt idx="8">
                  <c:v>-2.0965797707981751E-7</c:v>
                </c:pt>
                <c:pt idx="9">
                  <c:v>-2.5368614238872504E-7</c:v>
                </c:pt>
                <c:pt idx="10">
                  <c:v>-3.0190747390180805E-7</c:v>
                </c:pt>
                <c:pt idx="11">
                  <c:v>-3.5432197072457656E-7</c:v>
                </c:pt>
                <c:pt idx="12">
                  <c:v>-4.1092961846802814E-7</c:v>
                </c:pt>
                <c:pt idx="13">
                  <c:v>-4.7173042396443802E-7</c:v>
                </c:pt>
                <c:pt idx="14">
                  <c:v>-5.3672438633753451E-7</c:v>
                </c:pt>
                <c:pt idx="15">
                  <c:v>-6.0591151918203157E-7</c:v>
                </c:pt>
                <c:pt idx="16">
                  <c:v>-6.7929179463263206E-7</c:v>
                </c:pt>
                <c:pt idx="17">
                  <c:v>-7.5686524076110867E-7</c:v>
                </c:pt>
                <c:pt idx="18">
                  <c:v>-8.3863183646460231E-7</c:v>
                </c:pt>
                <c:pt idx="19">
                  <c:v>-1.8869214204499529E-6</c:v>
                </c:pt>
                <c:pt idx="20">
                  <c:v>-3.3545264498014735E-6</c:v>
                </c:pt>
                <c:pt idx="21">
                  <c:v>-5.2414465343621404E-6</c:v>
                </c:pt>
                <c:pt idx="22">
                  <c:v>-7.5476811826952466E-6</c:v>
                </c:pt>
                <c:pt idx="23">
                  <c:v>-1.0273229768332495E-5</c:v>
                </c:pt>
                <c:pt idx="24">
                  <c:v>-1.3418091590526153E-5</c:v>
                </c:pt>
                <c:pt idx="25">
                  <c:v>-1.6982265802888134E-5</c:v>
                </c:pt>
                <c:pt idx="26">
                  <c:v>-2.0965751453891066E-5</c:v>
                </c:pt>
                <c:pt idx="27">
                  <c:v>-2.53685475061541E-5</c:v>
                </c:pt>
                <c:pt idx="28">
                  <c:v>-3.0190652780510877E-5</c:v>
                </c:pt>
                <c:pt idx="29">
                  <c:v>-3.5432066008082357E-5</c:v>
                </c:pt>
                <c:pt idx="30">
                  <c:v>-4.1092785803274466E-5</c:v>
                </c:pt>
                <c:pt idx="31">
                  <c:v>-4.7172810655097935E-5</c:v>
                </c:pt>
                <c:pt idx="32">
                  <c:v>-5.3672138965740266E-5</c:v>
                </c:pt>
                <c:pt idx="33">
                  <c:v>-6.059076900909808E-5</c:v>
                </c:pt>
                <c:pt idx="34">
                  <c:v>-6.7928698952955319E-5</c:v>
                </c:pt>
                <c:pt idx="35">
                  <c:v>-7.5685926853195625E-5</c:v>
                </c:pt>
                <c:pt idx="36">
                  <c:v>-8.3862450661515393E-5</c:v>
                </c:pt>
                <c:pt idx="37">
                  <c:v>-1.886884321942022E-4</c:v>
                </c:pt>
                <c:pt idx="38">
                  <c:v>-3.354409205281743E-4</c:v>
                </c:pt>
                <c:pt idx="39">
                  <c:v>-5.2411603027563522E-4</c:v>
                </c:pt>
                <c:pt idx="40">
                  <c:v>-7.5470876655235131E-4</c:v>
                </c:pt>
                <c:pt idx="41">
                  <c:v>-1.0272130254442074E-3</c:v>
                </c:pt>
                <c:pt idx="42">
                  <c:v>-1.3416215945554854E-3</c:v>
                </c:pt>
                <c:pt idx="43">
                  <c:v>-1.6979261536660057E-3</c:v>
                </c:pt>
                <c:pt idx="44">
                  <c:v>-2.0961172755242967E-3</c:v>
                </c:pt>
                <c:pt idx="45">
                  <c:v>-2.5361844266892104E-3</c:v>
                </c:pt>
                <c:pt idx="46">
                  <c:v>-3.0181159685070003E-3</c:v>
                </c:pt>
                <c:pt idx="47">
                  <c:v>-3.541899158176823E-3</c:v>
                </c:pt>
                <c:pt idx="48">
                  <c:v>-4.1075201499222967E-3</c:v>
                </c:pt>
                <c:pt idx="49">
                  <c:v>-4.7149639962655344E-3</c:v>
                </c:pt>
                <c:pt idx="50">
                  <c:v>-5.3642146493991299E-3</c:v>
                </c:pt>
                <c:pt idx="51">
                  <c:v>-6.0552549626429249E-3</c:v>
                </c:pt>
                <c:pt idx="52">
                  <c:v>-6.7880666920293233E-3</c:v>
                </c:pt>
                <c:pt idx="53">
                  <c:v>-7.562630497973153E-3</c:v>
                </c:pt>
                <c:pt idx="54">
                  <c:v>-8.3789259470476978E-3</c:v>
                </c:pt>
                <c:pt idx="55">
                  <c:v>-1.8831847389076586E-2</c:v>
                </c:pt>
                <c:pt idx="56">
                  <c:v>-3.3427419046131973E-2</c:v>
                </c:pt>
                <c:pt idx="57">
                  <c:v>-5.2127543771419808E-2</c:v>
                </c:pt>
                <c:pt idx="58">
                  <c:v>-7.4883832231138273E-2</c:v>
                </c:pt>
                <c:pt idx="59">
                  <c:v>-0.10163803196536719</c:v>
                </c:pt>
                <c:pt idx="60">
                  <c:v>-0.132322535222888</c:v>
                </c:pt>
                <c:pt idx="61">
                  <c:v>-0.16686095645808435</c:v>
                </c:pt>
                <c:pt idx="62">
                  <c:v>-0.20516876942225543</c:v>
                </c:pt>
                <c:pt idx="63">
                  <c:v>-0.24715399311699321</c:v>
                </c:pt>
                <c:pt idx="64">
                  <c:v>-0.29271791550765414</c:v>
                </c:pt>
                <c:pt idx="65">
                  <c:v>-0.34175584381486135</c:v>
                </c:pt>
                <c:pt idx="66">
                  <c:v>-0.39415787039280198</c:v>
                </c:pt>
                <c:pt idx="67">
                  <c:v>-0.44980964363897918</c:v>
                </c:pt>
                <c:pt idx="68">
                  <c:v>-0.50859313402845674</c:v>
                </c:pt>
                <c:pt idx="69">
                  <c:v>-0.57038738618730045</c:v>
                </c:pt>
                <c:pt idx="70">
                  <c:v>-0.63506924887618321</c:v>
                </c:pt>
                <c:pt idx="71">
                  <c:v>-0.70251407580371006</c:v>
                </c:pt>
                <c:pt idx="72">
                  <c:v>-0.77259639129152125</c:v>
                </c:pt>
                <c:pt idx="73">
                  <c:v>-1.5913984647949109</c:v>
                </c:pt>
                <c:pt idx="74">
                  <c:v>-2.5479174838110619</c:v>
                </c:pt>
                <c:pt idx="75">
                  <c:v>-3.5590881765256048</c:v>
                </c:pt>
                <c:pt idx="76">
                  <c:v>-4.5750633422883613</c:v>
                </c:pt>
                <c:pt idx="77">
                  <c:v>-5.5697768129961069</c:v>
                </c:pt>
                <c:pt idx="78">
                  <c:v>-6.5313859349498307</c:v>
                </c:pt>
                <c:pt idx="79">
                  <c:v>-7.4557583108550931</c:v>
                </c:pt>
                <c:pt idx="80">
                  <c:v>-8.3426510101551283</c:v>
                </c:pt>
                <c:pt idx="81">
                  <c:v>-9.1936262046197044</c:v>
                </c:pt>
                <c:pt idx="82">
                  <c:v>-10.010963721308697</c:v>
                </c:pt>
                <c:pt idx="83">
                  <c:v>-10.797116705897206</c:v>
                </c:pt>
                <c:pt idx="84">
                  <c:v>-11.554454939499729</c:v>
                </c:pt>
                <c:pt idx="85">
                  <c:v>-12.285157186269029</c:v>
                </c:pt>
                <c:pt idx="86">
                  <c:v>-12.991178612181661</c:v>
                </c:pt>
                <c:pt idx="87">
                  <c:v>-13.674254234564726</c:v>
                </c:pt>
                <c:pt idx="88">
                  <c:v>-14.335918052462834</c:v>
                </c:pt>
                <c:pt idx="89">
                  <c:v>-14.977527479618654</c:v>
                </c:pt>
                <c:pt idx="90">
                  <c:v>-15.600288003084817</c:v>
                </c:pt>
                <c:pt idx="91">
                  <c:v>-20.984636724261211</c:v>
                </c:pt>
                <c:pt idx="92">
                  <c:v>-25.240595313165556</c:v>
                </c:pt>
                <c:pt idx="93">
                  <c:v>-28.731396564732282</c:v>
                </c:pt>
                <c:pt idx="94">
                  <c:v>-31.675512352970134</c:v>
                </c:pt>
                <c:pt idx="95">
                  <c:v>-34.213653470024063</c:v>
                </c:pt>
                <c:pt idx="96">
                  <c:v>-36.440408864638364</c:v>
                </c:pt>
                <c:pt idx="97">
                  <c:v>-38.421742168810738</c:v>
                </c:pt>
                <c:pt idx="98">
                  <c:v>-40.205168769422251</c:v>
                </c:pt>
                <c:pt idx="99">
                  <c:v>-41.825896462043239</c:v>
                </c:pt>
                <c:pt idx="100">
                  <c:v>-43.31066098412969</c:v>
                </c:pt>
                <c:pt idx="101">
                  <c:v>-44.680201053163543</c:v>
                </c:pt>
                <c:pt idx="102">
                  <c:v>-45.950904018101575</c:v>
                </c:pt>
                <c:pt idx="103">
                  <c:v>-47.135930102134857</c:v>
                </c:pt>
                <c:pt idx="104">
                  <c:v>-48.245999369478511</c:v>
                </c:pt>
                <c:pt idx="105">
                  <c:v>-49.289954759291049</c:v>
                </c:pt>
                <c:pt idx="106">
                  <c:v>-50.275172876078322</c:v>
                </c:pt>
                <c:pt idx="107">
                  <c:v>-51.207869028946298</c:v>
                </c:pt>
                <c:pt idx="108">
                  <c:v>-52.093327370330663</c:v>
                </c:pt>
                <c:pt idx="109">
                  <c:v>-59.108088597683647</c:v>
                </c:pt>
                <c:pt idx="110">
                  <c:v>-64.095485239461922</c:v>
                </c:pt>
                <c:pt idx="111">
                  <c:v>-67.967179099387806</c:v>
                </c:pt>
                <c:pt idx="112">
                  <c:v>-71.131870281345357</c:v>
                </c:pt>
                <c:pt idx="113">
                  <c:v>-73.808198409147835</c:v>
                </c:pt>
                <c:pt idx="114">
                  <c:v>-76.126874256624632</c:v>
                </c:pt>
                <c:pt idx="115">
                  <c:v>-78.17228804279496</c:v>
                </c:pt>
                <c:pt idx="116">
                  <c:v>-80.002096117275528</c:v>
                </c:pt>
                <c:pt idx="117">
                  <c:v>-81.657439800976221</c:v>
                </c:pt>
                <c:pt idx="118">
                  <c:v>-83.168705577018684</c:v>
                </c:pt>
                <c:pt idx="119">
                  <c:v>-84.558974510067003</c:v>
                </c:pt>
                <c:pt idx="120">
                  <c:v>-85.846190990276895</c:v>
                </c:pt>
                <c:pt idx="121">
                  <c:v>-87.044582084086272</c:v>
                </c:pt>
                <c:pt idx="122">
                  <c:v>-88.165618212125821</c:v>
                </c:pt>
                <c:pt idx="123">
                  <c:v>-89.218682259873646</c:v>
                </c:pt>
                <c:pt idx="124">
                  <c:v>-90.211547252587707</c:v>
                </c:pt>
                <c:pt idx="125">
                  <c:v>-91.150724772636181</c:v>
                </c:pt>
                <c:pt idx="126">
                  <c:v>-92.041723942589499</c:v>
                </c:pt>
              </c:numCache>
            </c:numRef>
          </c:yVal>
          <c:smooth val="0"/>
          <c:extLst>
            <c:ext xmlns:c16="http://schemas.microsoft.com/office/drawing/2014/chart" uri="{C3380CC4-5D6E-409C-BE32-E72D297353CC}">
              <c16:uniqueId val="{00000000-3967-4091-A9E3-161CA422704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Bode!$H$11</c:f>
              <c:strCache>
                <c:ptCount val="1"/>
                <c:pt idx="0">
                  <c:v>SH_PHASE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Bode!$H$12:$H$138</c:f>
              <c:numCache>
                <c:formatCode>_(* #,##0.000000_);_(* \(#,##0.000000\);_(* "-"??_);_(@_)</c:formatCode>
                <c:ptCount val="127"/>
                <c:pt idx="0">
                  <c:v>-2.9942307677026892E-3</c:v>
                </c:pt>
                <c:pt idx="1">
                  <c:v>-4.4913461486888948E-3</c:v>
                </c:pt>
                <c:pt idx="2">
                  <c:v>-5.9884615262368861E-3</c:v>
                </c:pt>
                <c:pt idx="3">
                  <c:v>-7.4855768992007268E-3</c:v>
                </c:pt>
                <c:pt idx="4">
                  <c:v>-8.9826922664342189E-3</c:v>
                </c:pt>
                <c:pt idx="5">
                  <c:v>-1.0479807626791364E-2</c:v>
                </c:pt>
                <c:pt idx="6">
                  <c:v>-1.1976922979126118E-2</c:v>
                </c:pt>
                <c:pt idx="7">
                  <c:v>-1.3474038322292436E-2</c:v>
                </c:pt>
                <c:pt idx="8">
                  <c:v>-1.4971153655144221E-2</c:v>
                </c:pt>
                <c:pt idx="9">
                  <c:v>-1.6468268976535395E-2</c:v>
                </c:pt>
                <c:pt idx="10">
                  <c:v>-1.7965384285319998E-2</c:v>
                </c:pt>
                <c:pt idx="11">
                  <c:v>-1.9462499580351865E-2</c:v>
                </c:pt>
                <c:pt idx="12">
                  <c:v>-2.0959614860484976E-2</c:v>
                </c:pt>
                <c:pt idx="13">
                  <c:v>-2.2456730124573287E-2</c:v>
                </c:pt>
                <c:pt idx="14">
                  <c:v>-2.3953845371470765E-2</c:v>
                </c:pt>
                <c:pt idx="15">
                  <c:v>-2.5450960600031266E-2</c:v>
                </c:pt>
                <c:pt idx="16">
                  <c:v>-2.6948075809108834E-2</c:v>
                </c:pt>
                <c:pt idx="17">
                  <c:v>-2.8445190997557386E-2</c:v>
                </c:pt>
                <c:pt idx="18">
                  <c:v>-2.9942306164230811E-2</c:v>
                </c:pt>
                <c:pt idx="19">
                  <c:v>-4.4913456381202733E-2</c:v>
                </c:pt>
                <c:pt idx="20">
                  <c:v>-5.9884603160004192E-2</c:v>
                </c:pt>
                <c:pt idx="21">
                  <c:v>-7.485574535458181E-2</c:v>
                </c:pt>
                <c:pt idx="22">
                  <c:v>-8.9826881818883444E-2</c:v>
                </c:pt>
                <c:pt idx="23">
                  <c:v>-0.10479801140686065</c:v>
                </c:pt>
                <c:pt idx="24">
                  <c:v>-0.11976913297247033</c:v>
                </c:pt>
                <c:pt idx="25">
                  <c:v>-0.13474024536967169</c:v>
                </c:pt>
                <c:pt idx="26">
                  <c:v>-0.14971134745242903</c:v>
                </c:pt>
                <c:pt idx="27">
                  <c:v>-0.16468243807471389</c:v>
                </c:pt>
                <c:pt idx="28">
                  <c:v>-0.17965351609050359</c:v>
                </c:pt>
                <c:pt idx="29">
                  <c:v>-0.19462458035378047</c:v>
                </c:pt>
                <c:pt idx="30">
                  <c:v>-0.20959562971853676</c:v>
                </c:pt>
                <c:pt idx="31">
                  <c:v>-0.2245666630387724</c:v>
                </c:pt>
                <c:pt idx="32">
                  <c:v>-0.23953767916849467</c:v>
                </c:pt>
                <c:pt idx="33">
                  <c:v>-0.25450867696172125</c:v>
                </c:pt>
                <c:pt idx="34">
                  <c:v>-0.26947965527248063</c:v>
                </c:pt>
                <c:pt idx="35">
                  <c:v>-0.284450612954812</c:v>
                </c:pt>
                <c:pt idx="36">
                  <c:v>-0.29942154886276356</c:v>
                </c:pt>
                <c:pt idx="37">
                  <c:v>-0.44912945825170253</c:v>
                </c:pt>
                <c:pt idx="38">
                  <c:v>-0.59883392976553251</c:v>
                </c:pt>
                <c:pt idx="39">
                  <c:v>-0.74853381773888805</c:v>
                </c:pt>
                <c:pt idx="40">
                  <c:v>-0.89822797675750043</c:v>
                </c:pt>
                <c:pt idx="41">
                  <c:v>-1.0479152617209078</c:v>
                </c:pt>
                <c:pt idx="42">
                  <c:v>-1.1975945279051259</c:v>
                </c:pt>
                <c:pt idx="43">
                  <c:v>-1.3472646310252603</c:v>
                </c:pt>
                <c:pt idx="44">
                  <c:v>-1.4969244272980256</c:v>
                </c:pt>
                <c:pt idx="45">
                  <c:v>-1.6465727735042845</c:v>
                </c:pt>
                <c:pt idx="46">
                  <c:v>-1.796208527051437</c:v>
                </c:pt>
                <c:pt idx="47">
                  <c:v>-1.9458305460356939</c:v>
                </c:pt>
                <c:pt idx="48">
                  <c:v>-2.095437689304374</c:v>
                </c:pt>
                <c:pt idx="49">
                  <c:v>-2.2450288165179826</c:v>
                </c:pt>
                <c:pt idx="50">
                  <c:v>-2.3946027882122021</c:v>
                </c:pt>
                <c:pt idx="51">
                  <c:v>-2.5441584658598297</c:v>
                </c:pt>
                <c:pt idx="52">
                  <c:v>-2.693694711932515</c:v>
                </c:pt>
                <c:pt idx="53">
                  <c:v>-2.8432103899623717</c:v>
                </c:pt>
                <c:pt idx="54">
                  <c:v>-2.9927043646034508</c:v>
                </c:pt>
                <c:pt idx="55">
                  <c:v>-4.4862015729695379</c:v>
                </c:pt>
                <c:pt idx="56">
                  <c:v>-5.9762902296444151</c:v>
                </c:pt>
                <c:pt idx="57">
                  <c:v>-7.4618629236226219</c:v>
                </c:pt>
                <c:pt idx="58">
                  <c:v>-8.9418364021990229</c:v>
                </c:pt>
                <c:pt idx="59">
                  <c:v>-10.41515699536199</c:v>
                </c:pt>
                <c:pt idx="60">
                  <c:v>-11.88080565277507</c:v>
                </c:pt>
                <c:pt idx="61">
                  <c:v>-13.337802537393483</c:v>
                </c:pt>
                <c:pt idx="62">
                  <c:v>-14.785211130075183</c:v>
                </c:pt>
                <c:pt idx="63">
                  <c:v>-16.222141810516302</c:v>
                </c:pt>
                <c:pt idx="64">
                  <c:v>-17.647754891077216</c:v>
                </c:pt>
                <c:pt idx="65">
                  <c:v>-19.061263091213405</c:v>
                </c:pt>
                <c:pt idx="66">
                  <c:v>-20.461933450944787</c:v>
                </c:pt>
                <c:pt idx="67">
                  <c:v>-21.84908869179371</c:v>
                </c:pt>
                <c:pt idx="68">
                  <c:v>-23.222108042664967</c:v>
                </c:pt>
                <c:pt idx="69">
                  <c:v>-24.580427556039652</c:v>
                </c:pt>
                <c:pt idx="70">
                  <c:v>-25.92353994649098</c:v>
                </c:pt>
                <c:pt idx="71">
                  <c:v>-27.250993988842549</c:v>
                </c:pt>
                <c:pt idx="72">
                  <c:v>-28.562393517262066</c:v>
                </c:pt>
                <c:pt idx="73">
                  <c:v>-40.742110510108056</c:v>
                </c:pt>
                <c:pt idx="74">
                  <c:v>-51.211636011878717</c:v>
                </c:pt>
                <c:pt idx="75">
                  <c:v>-60.141521860616741</c:v>
                </c:pt>
                <c:pt idx="76">
                  <c:v>-67.793661716677462</c:v>
                </c:pt>
                <c:pt idx="77">
                  <c:v>-74.419947447330998</c:v>
                </c:pt>
                <c:pt idx="78">
                  <c:v>-80.228472910691522</c:v>
                </c:pt>
                <c:pt idx="79">
                  <c:v>-85.380901844568157</c:v>
                </c:pt>
                <c:pt idx="80">
                  <c:v>-90.000018723972232</c:v>
                </c:pt>
                <c:pt idx="81">
                  <c:v>-94.17876297320592</c:v>
                </c:pt>
                <c:pt idx="82">
                  <c:v>-97.98796265261953</c:v>
                </c:pt>
                <c:pt idx="83">
                  <c:v>-101.48226493092645</c:v>
                </c:pt>
                <c:pt idx="84">
                  <c:v>-104.70448167798469</c:v>
                </c:pt>
                <c:pt idx="85">
                  <c:v>-107.68871474714754</c:v>
                </c:pt>
                <c:pt idx="86">
                  <c:v>-110.46259089871472</c:v>
                </c:pt>
                <c:pt idx="87">
                  <c:v>-113.04886208717089</c:v>
                </c:pt>
                <c:pt idx="88">
                  <c:v>-115.46655747334569</c:v>
                </c:pt>
                <c:pt idx="89">
                  <c:v>-117.73181933955409</c:v>
                </c:pt>
                <c:pt idx="90">
                  <c:v>-119.85851558732776</c:v>
                </c:pt>
                <c:pt idx="91">
                  <c:v>-135.58285969250699</c:v>
                </c:pt>
                <c:pt idx="92">
                  <c:v>-145.13167087386819</c:v>
                </c:pt>
                <c:pt idx="93">
                  <c:v>-151.43764393068224</c:v>
                </c:pt>
                <c:pt idx="94">
                  <c:v>-155.87071727276481</c:v>
                </c:pt>
                <c:pt idx="95">
                  <c:v>-159.14036662329463</c:v>
                </c:pt>
                <c:pt idx="96">
                  <c:v>-161.64396824499633</c:v>
                </c:pt>
                <c:pt idx="97">
                  <c:v>-163.61892043033842</c:v>
                </c:pt>
                <c:pt idx="98">
                  <c:v>-165.21482631786927</c:v>
                </c:pt>
                <c:pt idx="99">
                  <c:v>-166.53024238686055</c:v>
                </c:pt>
                <c:pt idx="100">
                  <c:v>-167.63255768302341</c:v>
                </c:pt>
                <c:pt idx="101">
                  <c:v>-168.5693237973625</c:v>
                </c:pt>
                <c:pt idx="102">
                  <c:v>-169.37500906445453</c:v>
                </c:pt>
                <c:pt idx="103">
                  <c:v>-170.07518443838478</c:v>
                </c:pt>
                <c:pt idx="104">
                  <c:v>-170.68920675417604</c:v>
                </c:pt>
                <c:pt idx="105">
                  <c:v>-171.23199034501891</c:v>
                </c:pt>
                <c:pt idx="106">
                  <c:v>-171.71520757939575</c:v>
                </c:pt>
                <c:pt idx="107">
                  <c:v>-172.14812137970469</c:v>
                </c:pt>
                <c:pt idx="108">
                  <c:v>-172.53817452432187</c:v>
                </c:pt>
                <c:pt idx="109">
                  <c:v>-175.01670580591434</c:v>
                </c:pt>
                <c:pt idx="110">
                  <c:v>-176.26022841182598</c:v>
                </c:pt>
                <c:pt idx="111">
                  <c:v>-177.007333083341</c:v>
                </c:pt>
                <c:pt idx="112">
                  <c:v>-177.50572877172297</c:v>
                </c:pt>
                <c:pt idx="113">
                  <c:v>-177.86185775243999</c:v>
                </c:pt>
                <c:pt idx="114">
                  <c:v>-178.12901612324015</c:v>
                </c:pt>
                <c:pt idx="115">
                  <c:v>-178.33683783685041</c:v>
                </c:pt>
                <c:pt idx="116">
                  <c:v>-178.50311302064642</c:v>
                </c:pt>
                <c:pt idx="117">
                  <c:v>-178.63916693780902</c:v>
                </c:pt>
                <c:pt idx="118">
                  <c:v>-178.75255181105368</c:v>
                </c:pt>
                <c:pt idx="119">
                  <c:v>-178.84849715603394</c:v>
                </c:pt>
                <c:pt idx="120">
                  <c:v>-178.93073891627193</c:v>
                </c:pt>
                <c:pt idx="121">
                  <c:v>-179.00201711342368</c:v>
                </c:pt>
                <c:pt idx="122">
                  <c:v>-179.06438696078075</c:v>
                </c:pt>
                <c:pt idx="123">
                  <c:v>-179.1194202140727</c:v>
                </c:pt>
                <c:pt idx="124">
                  <c:v>-179.16833942793903</c:v>
                </c:pt>
                <c:pt idx="125">
                  <c:v>-179.21210982827333</c:v>
                </c:pt>
                <c:pt idx="126">
                  <c:v>-179.25150363020558</c:v>
                </c:pt>
              </c:numCache>
            </c:numRef>
          </c:yVal>
          <c:smooth val="0"/>
          <c:extLst>
            <c:ext xmlns:c16="http://schemas.microsoft.com/office/drawing/2014/chart" uri="{C3380CC4-5D6E-409C-BE32-E72D297353CC}">
              <c16:uniqueId val="{00000001-3967-4091-A9E3-161CA422704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zh-TW"/>
          </a:p>
        </c:txPr>
        <c:crossAx val="80978688"/>
        <c:crossesAt val="-40"/>
        <c:crossBetween val="midCat"/>
        <c:majorUnit val="10"/>
        <c:minorUnit val="10"/>
      </c:valAx>
      <c:valAx>
        <c:axId val="80978688"/>
        <c:scaling>
          <c:orientation val="minMax"/>
          <c:max val="10"/>
          <c:min val="-1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zh-TW"/>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zh-TW"/>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zh-TW"/>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POWER STAGE</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Bode!$BD$11</c:f>
              <c:strCache>
                <c:ptCount val="1"/>
                <c:pt idx="0">
                  <c:v>POWERSTAGE_GAIN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Bode!$BD$12:$BD$138</c:f>
              <c:numCache>
                <c:formatCode>_(* #,##0.00_);_(* \(#,##0.00\);_(* "-"??_);_(@_)</c:formatCode>
                <c:ptCount val="127"/>
                <c:pt idx="0">
                  <c:v>-6.0120116804283699</c:v>
                </c:pt>
                <c:pt idx="1">
                  <c:v>-6.0117212120811976</c:v>
                </c:pt>
                <c:pt idx="2">
                  <c:v>-6.0113146108475366</c:v>
                </c:pt>
                <c:pt idx="3">
                  <c:v>-6.0107919311554889</c:v>
                </c:pt>
                <c:pt idx="4">
                  <c:v>-6.0101532429487978</c:v>
                </c:pt>
                <c:pt idx="5">
                  <c:v>-6.009398631661103</c:v>
                </c:pt>
                <c:pt idx="6">
                  <c:v>-6.0085281981835532</c:v>
                </c:pt>
                <c:pt idx="7">
                  <c:v>-6.007542058827477</c:v>
                </c:pt>
                <c:pt idx="8">
                  <c:v>-6.0064403452808781</c:v>
                </c:pt>
                <c:pt idx="9">
                  <c:v>-6.0052232045589138</c:v>
                </c:pt>
                <c:pt idx="10">
                  <c:v>-6.0038907989493993</c:v>
                </c:pt>
                <c:pt idx="11">
                  <c:v>-6.002443305952883</c:v>
                </c:pt>
                <c:pt idx="12">
                  <c:v>-6.0008809182153389</c:v>
                </c:pt>
                <c:pt idx="13">
                  <c:v>-5.9992038434581278</c:v>
                </c:pt>
                <c:pt idx="14">
                  <c:v>-5.9974123044000267</c:v>
                </c:pt>
                <c:pt idx="15">
                  <c:v>-5.9955065386755662</c:v>
                </c:pt>
                <c:pt idx="16">
                  <c:v>-5.9934867987467539</c:v>
                </c:pt>
                <c:pt idx="17">
                  <c:v>-5.9913533518100808</c:v>
                </c:pt>
                <c:pt idx="18">
                  <c:v>-5.9891064796988358</c:v>
                </c:pt>
                <c:pt idx="19">
                  <c:v>-5.9604716204863122</c:v>
                </c:pt>
                <c:pt idx="20">
                  <c:v>-5.9209083345050404</c:v>
                </c:pt>
                <c:pt idx="21">
                  <c:v>-5.8709193361260725</c:v>
                </c:pt>
                <c:pt idx="22">
                  <c:v>-5.8111202367754196</c:v>
                </c:pt>
                <c:pt idx="23">
                  <c:v>-5.7422194739388521</c:v>
                </c:pt>
                <c:pt idx="24">
                  <c:v>-5.6649966602516137</c:v>
                </c:pt>
                <c:pt idx="25">
                  <c:v>-5.5802805640409927</c:v>
                </c:pt>
                <c:pt idx="26">
                  <c:v>-5.4889278026719506</c:v>
                </c:pt>
                <c:pt idx="27">
                  <c:v>-5.3918031293371591</c:v>
                </c:pt>
                <c:pt idx="28">
                  <c:v>-5.2897619561904587</c:v>
                </c:pt>
                <c:pt idx="29">
                  <c:v>-5.183635513209671</c:v>
                </c:pt>
                <c:pt idx="30">
                  <c:v>-5.0742188177850549</c:v>
                </c:pt>
                <c:pt idx="31">
                  <c:v>-4.9622614412690975</c:v>
                </c:pt>
                <c:pt idx="32">
                  <c:v>-4.8484609138419286</c:v>
                </c:pt>
                <c:pt idx="33">
                  <c:v>-4.7334585092440378</c:v>
                </c:pt>
                <c:pt idx="34">
                  <c:v>-4.6178370924262175</c:v>
                </c:pt>
                <c:pt idx="35">
                  <c:v>-4.5021206891616803</c:v>
                </c:pt>
                <c:pt idx="36">
                  <c:v>-4.3867754391912692</c:v>
                </c:pt>
                <c:pt idx="37">
                  <c:v>-3.320561271267354</c:v>
                </c:pt>
                <c:pt idx="38">
                  <c:v>-2.4947918319008475</c:v>
                </c:pt>
                <c:pt idx="39">
                  <c:v>-1.8976413944322532</c:v>
                </c:pt>
                <c:pt idx="40">
                  <c:v>-1.4711721852606281</c:v>
                </c:pt>
                <c:pt idx="41">
                  <c:v>-1.1638239782322373</c:v>
                </c:pt>
                <c:pt idx="42">
                  <c:v>-0.93852732883549406</c:v>
                </c:pt>
                <c:pt idx="43">
                  <c:v>-0.77017520330194322</c:v>
                </c:pt>
                <c:pt idx="44">
                  <c:v>-0.6419651670669605</c:v>
                </c:pt>
                <c:pt idx="45">
                  <c:v>-0.542577727443744</c:v>
                </c:pt>
                <c:pt idx="46">
                  <c:v>-0.46427750509566851</c:v>
                </c:pt>
                <c:pt idx="47">
                  <c:v>-0.40168687748617893</c:v>
                </c:pt>
                <c:pt idx="48">
                  <c:v>-0.35100004604673646</c:v>
                </c:pt>
                <c:pt idx="49">
                  <c:v>-0.30947616066912909</c:v>
                </c:pt>
                <c:pt idx="50">
                  <c:v>-0.27510827023174317</c:v>
                </c:pt>
                <c:pt idx="51">
                  <c:v>-0.24640377498991745</c:v>
                </c:pt>
                <c:pt idx="52">
                  <c:v>-0.22223644653323771</c:v>
                </c:pt>
                <c:pt idx="53">
                  <c:v>-0.2017450569056459</c:v>
                </c:pt>
                <c:pt idx="54">
                  <c:v>-0.1842628359633334</c:v>
                </c:pt>
                <c:pt idx="55">
                  <c:v>-9.8488836484902614E-2</c:v>
                </c:pt>
                <c:pt idx="56">
                  <c:v>-7.8535565348736805E-2</c:v>
                </c:pt>
                <c:pt idx="57">
                  <c:v>-8.108693308305695E-2</c:v>
                </c:pt>
                <c:pt idx="58">
                  <c:v>-9.5028719978163548E-2</c:v>
                </c:pt>
                <c:pt idx="59">
                  <c:v>-0.11645355476210739</c:v>
                </c:pt>
                <c:pt idx="60">
                  <c:v>-0.14367323593428463</c:v>
                </c:pt>
                <c:pt idx="61">
                  <c:v>-0.17583351508815939</c:v>
                </c:pt>
                <c:pt idx="62">
                  <c:v>-0.21243892166529033</c:v>
                </c:pt>
                <c:pt idx="63">
                  <c:v>-0.25316383949234716</c:v>
                </c:pt>
                <c:pt idx="64">
                  <c:v>-0.2977687868978488</c:v>
                </c:pt>
                <c:pt idx="65">
                  <c:v>-0.3460601624866253</c:v>
                </c:pt>
                <c:pt idx="66">
                  <c:v>-0.39786966987254258</c:v>
                </c:pt>
                <c:pt idx="67">
                  <c:v>-0.45304333051243034</c:v>
                </c:pt>
                <c:pt idx="68">
                  <c:v>-0.51143545538534985</c:v>
                </c:pt>
                <c:pt idx="69">
                  <c:v>-0.5729053087673821</c:v>
                </c:pt>
                <c:pt idx="70">
                  <c:v>-0.6373152909786487</c:v>
                </c:pt>
                <c:pt idx="71">
                  <c:v>-0.7045300032752525</c:v>
                </c:pt>
                <c:pt idx="72">
                  <c:v>-0.77441583451931495</c:v>
                </c:pt>
                <c:pt idx="73">
                  <c:v>-1.5922072632515876</c:v>
                </c:pt>
                <c:pt idx="74">
                  <c:v>-2.5483724638656806</c:v>
                </c:pt>
                <c:pt idx="75">
                  <c:v>-3.5593793729218053</c:v>
                </c:pt>
                <c:pt idx="76">
                  <c:v>-4.5752655654639955</c:v>
                </c:pt>
                <c:pt idx="77">
                  <c:v>-5.569925386656231</c:v>
                </c:pt>
                <c:pt idx="78">
                  <c:v>-6.531499687419215</c:v>
                </c:pt>
                <c:pt idx="79">
                  <c:v>-7.4558481897615447</c:v>
                </c:pt>
                <c:pt idx="80">
                  <c:v>-8.3427238123081509</c:v>
                </c:pt>
                <c:pt idx="81">
                  <c:v>-9.1936863718343069</c:v>
                </c:pt>
                <c:pt idx="82">
                  <c:v>-10.011014278575461</c:v>
                </c:pt>
                <c:pt idx="83">
                  <c:v>-10.797159784340177</c:v>
                </c:pt>
                <c:pt idx="84">
                  <c:v>-11.554492083709789</c:v>
                </c:pt>
                <c:pt idx="85">
                  <c:v>-12.285189543032873</c:v>
                </c:pt>
                <c:pt idx="86">
                  <c:v>-12.991207050765082</c:v>
                </c:pt>
                <c:pt idx="87">
                  <c:v>-13.67427942585152</c:v>
                </c:pt>
                <c:pt idx="88">
                  <c:v>-14.335940522480362</c:v>
                </c:pt>
                <c:pt idx="89">
                  <c:v>-14.97754764662394</c:v>
                </c:pt>
                <c:pt idx="90">
                  <c:v>-15.600306203813957</c:v>
                </c:pt>
                <c:pt idx="91">
                  <c:v>-20.984644813489897</c:v>
                </c:pt>
                <c:pt idx="92">
                  <c:v>-25.240599863359762</c:v>
                </c:pt>
                <c:pt idx="93">
                  <c:v>-28.731399476857472</c:v>
                </c:pt>
                <c:pt idx="94">
                  <c:v>-31.675514375279636</c:v>
                </c:pt>
                <c:pt idx="95">
                  <c:v>-34.213654955802646</c:v>
                </c:pt>
                <c:pt idx="96">
                  <c:v>-36.44041000218769</c:v>
                </c:pt>
                <c:pt idx="97">
                  <c:v>-38.421743067615118</c:v>
                </c:pt>
                <c:pt idx="98">
                  <c:v>-40.205169497453909</c:v>
                </c:pt>
                <c:pt idx="99">
                  <c:v>-41.825897063722323</c:v>
                </c:pt>
                <c:pt idx="100">
                  <c:v>-43.310661489707158</c:v>
                </c:pt>
                <c:pt idx="101">
                  <c:v>-44.680201483951478</c:v>
                </c:pt>
                <c:pt idx="102">
                  <c:v>-45.950904389546274</c:v>
                </c:pt>
                <c:pt idx="103">
                  <c:v>-47.135930425704473</c:v>
                </c:pt>
                <c:pt idx="104">
                  <c:v>-48.245999653865937</c:v>
                </c:pt>
                <c:pt idx="105">
                  <c:v>-49.28995501120513</c:v>
                </c:pt>
                <c:pt idx="106">
                  <c:v>-50.275173100779519</c:v>
                </c:pt>
                <c:pt idx="107">
                  <c:v>-51.207869230617099</c:v>
                </c:pt>
                <c:pt idx="108">
                  <c:v>-52.09332755233855</c:v>
                </c:pt>
                <c:pt idx="109">
                  <c:v>-59.108088678576017</c:v>
                </c:pt>
                <c:pt idx="110">
                  <c:v>-64.095485284963928</c:v>
                </c:pt>
                <c:pt idx="111">
                  <c:v>-67.967179128509045</c:v>
                </c:pt>
                <c:pt idx="112">
                  <c:v>-71.131870301568412</c:v>
                </c:pt>
                <c:pt idx="113">
                  <c:v>-73.808198424005624</c:v>
                </c:pt>
                <c:pt idx="114">
                  <c:v>-76.126874268000051</c:v>
                </c:pt>
                <c:pt idx="115">
                  <c:v>-78.172288051782999</c:v>
                </c:pt>
                <c:pt idx="116">
                  <c:v>-80.002096124555834</c:v>
                </c:pt>
                <c:pt idx="117">
                  <c:v>-81.657439806993082</c:v>
                </c:pt>
                <c:pt idx="118">
                  <c:v>-83.168705582074423</c:v>
                </c:pt>
                <c:pt idx="119">
                  <c:v>-84.558974514374839</c:v>
                </c:pt>
                <c:pt idx="120">
                  <c:v>-85.846190993991328</c:v>
                </c:pt>
                <c:pt idx="121">
                  <c:v>-87.044582087322013</c:v>
                </c:pt>
                <c:pt idx="122">
                  <c:v>-88.165618214969655</c:v>
                </c:pt>
                <c:pt idx="123">
                  <c:v>-89.218682262392775</c:v>
                </c:pt>
                <c:pt idx="124">
                  <c:v>-90.211547254834713</c:v>
                </c:pt>
                <c:pt idx="125">
                  <c:v>-91.150724774652872</c:v>
                </c:pt>
                <c:pt idx="126">
                  <c:v>-92.041723944409597</c:v>
                </c:pt>
              </c:numCache>
            </c:numRef>
          </c:yVal>
          <c:smooth val="0"/>
          <c:extLst>
            <c:ext xmlns:c16="http://schemas.microsoft.com/office/drawing/2014/chart" uri="{C3380CC4-5D6E-409C-BE32-E72D297353CC}">
              <c16:uniqueId val="{00000000-6754-4C2F-BCC4-E7819C29864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Bode!$BE$11</c:f>
              <c:strCache>
                <c:ptCount val="1"/>
                <c:pt idx="0">
                  <c:v>POWERSTAGE_PHASE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Bode!$BE$12:$BE$138</c:f>
              <c:numCache>
                <c:formatCode>_(* #,##0.00_);_(* \(#,##0.00\);_(* "-"??_);_(@_)</c:formatCode>
                <c:ptCount val="127"/>
                <c:pt idx="0">
                  <c:v>0.23883390675476157</c:v>
                </c:pt>
                <c:pt idx="1">
                  <c:v>0.35823196649342154</c:v>
                </c:pt>
                <c:pt idx="2">
                  <c:v>0.477607358884101</c:v>
                </c:pt>
                <c:pt idx="3">
                  <c:v>0.59695253650536828</c:v>
                </c:pt>
                <c:pt idx="4">
                  <c:v>0.71625995909665019</c:v>
                </c:pt>
                <c:pt idx="5">
                  <c:v>0.8355220953410577</c:v>
                </c:pt>
                <c:pt idx="6">
                  <c:v>0.95473142464341842</c:v>
                </c:pt>
                <c:pt idx="7">
                  <c:v>1.0738804389022971</c:v>
                </c:pt>
                <c:pt idx="8">
                  <c:v>1.1929616442753521</c:v>
                </c:pt>
                <c:pt idx="9">
                  <c:v>1.3119675629367396</c:v>
                </c:pt>
                <c:pt idx="10">
                  <c:v>1.4308907348258628</c:v>
                </c:pt>
                <c:pt idx="11">
                  <c:v>1.5497237193866189</c:v>
                </c:pt>
                <c:pt idx="12">
                  <c:v>1.6684590972956117</c:v>
                </c:pt>
                <c:pt idx="13">
                  <c:v>1.7870894721794155</c:v>
                </c:pt>
                <c:pt idx="14">
                  <c:v>1.9056074723189369</c:v>
                </c:pt>
                <c:pt idx="15">
                  <c:v>2.0240057523407122</c:v>
                </c:pt>
                <c:pt idx="16">
                  <c:v>2.1422769948939746</c:v>
                </c:pt>
                <c:pt idx="17">
                  <c:v>2.2604139123123952</c:v>
                </c:pt>
                <c:pt idx="18">
                  <c:v>2.3784092482604327</c:v>
                </c:pt>
                <c:pt idx="19">
                  <c:v>3.5490048407173775</c:v>
                </c:pt>
                <c:pt idx="20">
                  <c:v>4.6977531534429451</c:v>
                </c:pt>
                <c:pt idx="21">
                  <c:v>5.8181502986735438</c:v>
                </c:pt>
                <c:pt idx="22">
                  <c:v>6.904307656472608</c:v>
                </c:pt>
                <c:pt idx="23">
                  <c:v>7.9510463534965643</c:v>
                </c:pt>
                <c:pt idx="24">
                  <c:v>8.9539601515344955</c:v>
                </c:pt>
                <c:pt idx="25">
                  <c:v>9.909446920695606</c:v>
                </c:pt>
                <c:pt idx="26">
                  <c:v>10.814710898112724</c:v>
                </c:pt>
                <c:pt idx="27">
                  <c:v>11.667739463653762</c:v>
                </c:pt>
                <c:pt idx="28">
                  <c:v>12.467259129613524</c:v>
                </c:pt>
                <c:pt idx="29">
                  <c:v>13.212675857305014</c:v>
                </c:pt>
                <c:pt idx="30">
                  <c:v>13.904004758587481</c:v>
                </c:pt>
                <c:pt idx="31">
                  <c:v>14.541793828873859</c:v>
                </c:pt>
                <c:pt idx="32">
                  <c:v>15.127045714662861</c:v>
                </c:pt>
                <c:pt idx="33">
                  <c:v>15.661140758411637</c:v>
                </c:pt>
                <c:pt idx="34">
                  <c:v>16.145763781028709</c:v>
                </c:pt>
                <c:pt idx="35">
                  <c:v>16.582836325855418</c:v>
                </c:pt>
                <c:pt idx="36">
                  <c:v>16.974455440876913</c:v>
                </c:pt>
                <c:pt idx="37">
                  <c:v>18.889602341613884</c:v>
                </c:pt>
                <c:pt idx="38">
                  <c:v>18.562749582229955</c:v>
                </c:pt>
                <c:pt idx="39">
                  <c:v>17.325474760362621</c:v>
                </c:pt>
                <c:pt idx="40">
                  <c:v>15.818824588527754</c:v>
                </c:pt>
                <c:pt idx="41">
                  <c:v>14.31344874281363</c:v>
                </c:pt>
                <c:pt idx="42">
                  <c:v>12.910604438221519</c:v>
                </c:pt>
                <c:pt idx="43">
                  <c:v>11.638895307532078</c:v>
                </c:pt>
                <c:pt idx="44">
                  <c:v>10.497422027159987</c:v>
                </c:pt>
                <c:pt idx="45">
                  <c:v>9.4744841796387185</c:v>
                </c:pt>
                <c:pt idx="46">
                  <c:v>8.5554968416709301</c:v>
                </c:pt>
                <c:pt idx="47">
                  <c:v>7.7261921428534457</c:v>
                </c:pt>
                <c:pt idx="48">
                  <c:v>6.9737735494919129</c:v>
                </c:pt>
                <c:pt idx="49">
                  <c:v>6.2871981890227504</c:v>
                </c:pt>
                <c:pt idx="50">
                  <c:v>5.6571065183769651</c:v>
                </c:pt>
                <c:pt idx="51">
                  <c:v>5.0756275784150979</c:v>
                </c:pt>
                <c:pt idx="52">
                  <c:v>4.5361578023482494</c:v>
                </c:pt>
                <c:pt idx="53">
                  <c:v>4.0331528734478201</c:v>
                </c:pt>
                <c:pt idx="54">
                  <c:v>3.5619461172744926</c:v>
                </c:pt>
                <c:pt idx="55">
                  <c:v>-3.8829490986701742E-2</c:v>
                </c:pt>
                <c:pt idx="56">
                  <c:v>-2.6198308798663148</c:v>
                </c:pt>
                <c:pt idx="57">
                  <c:v>-4.7688640950091425</c:v>
                </c:pt>
                <c:pt idx="58">
                  <c:v>-6.6941074743526858</c:v>
                </c:pt>
                <c:pt idx="59">
                  <c:v>-8.4866852730806546</c:v>
                </c:pt>
                <c:pt idx="60">
                  <c:v>-10.192342121829386</c:v>
                </c:pt>
                <c:pt idx="61">
                  <c:v>-11.836304938217301</c:v>
                </c:pt>
                <c:pt idx="62">
                  <c:v>-13.433450211425447</c:v>
                </c:pt>
                <c:pt idx="63">
                  <c:v>-14.992990232570486</c:v>
                </c:pt>
                <c:pt idx="64">
                  <c:v>-16.520838690919014</c:v>
                </c:pt>
                <c:pt idx="65">
                  <c:v>-18.020893397314769</c:v>
                </c:pt>
                <c:pt idx="66">
                  <c:v>-19.495773173951594</c:v>
                </c:pt>
                <c:pt idx="67">
                  <c:v>-20.947261750367701</c:v>
                </c:pt>
                <c:pt idx="68">
                  <c:v>-22.37658592614758</c:v>
                </c:pt>
                <c:pt idx="69">
                  <c:v>-23.784595726451368</c:v>
                </c:pt>
                <c:pt idx="70">
                  <c:v>-25.171884341100338</c:v>
                </c:pt>
                <c:pt idx="71">
                  <c:v>-26.538869813161746</c:v>
                </c:pt>
                <c:pt idx="72">
                  <c:v>-27.885851708899708</c:v>
                </c:pt>
                <c:pt idx="73">
                  <c:v>-40.291000882021244</c:v>
                </c:pt>
                <c:pt idx="74">
                  <c:v>-50.873282323925046</c:v>
                </c:pt>
                <c:pt idx="75">
                  <c:v>-59.870830960531812</c:v>
                </c:pt>
                <c:pt idx="76">
                  <c:v>-67.568082367781315</c:v>
                </c:pt>
                <c:pt idx="77">
                  <c:v>-74.226591859670421</c:v>
                </c:pt>
                <c:pt idx="78">
                  <c:v>-80.059285715138998</c:v>
                </c:pt>
                <c:pt idx="79">
                  <c:v>-85.230512582532</c:v>
                </c:pt>
                <c:pt idx="80">
                  <c:v>-89.864667973701543</c:v>
                </c:pt>
                <c:pt idx="81">
                  <c:v>-94.055716557833208</c:v>
                </c:pt>
                <c:pt idx="82">
                  <c:v>-97.875169910840128</c:v>
                </c:pt>
                <c:pt idx="83">
                  <c:v>-101.37814841428023</c:v>
                </c:pt>
                <c:pt idx="84">
                  <c:v>-104.60780195251408</c:v>
                </c:pt>
                <c:pt idx="85">
                  <c:v>-107.59848025925008</c:v>
                </c:pt>
                <c:pt idx="86">
                  <c:v>-110.377996006879</c:v>
                </c:pt>
                <c:pt idx="87">
                  <c:v>-112.96924331908474</c:v>
                </c:pt>
                <c:pt idx="88">
                  <c:v>-115.39136193346263</c:v>
                </c:pt>
                <c:pt idx="89">
                  <c:v>-117.66058143024802</c:v>
                </c:pt>
                <c:pt idx="90">
                  <c:v>-119.79083954962692</c:v>
                </c:pt>
                <c:pt idx="91">
                  <c:v>-135.53774225224052</c:v>
                </c:pt>
                <c:pt idx="92">
                  <c:v>-145.09783277219597</c:v>
                </c:pt>
                <c:pt idx="93">
                  <c:v>-151.41057344139352</c:v>
                </c:pt>
                <c:pt idx="94">
                  <c:v>-155.84815852809169</c:v>
                </c:pt>
                <c:pt idx="95">
                  <c:v>-159.1210305545718</c:v>
                </c:pt>
                <c:pt idx="96">
                  <c:v>-161.62704918380743</c:v>
                </c:pt>
                <c:pt idx="97">
                  <c:v>-163.6038812641934</c:v>
                </c:pt>
                <c:pt idx="98">
                  <c:v>-165.2012910679243</c:v>
                </c:pt>
                <c:pt idx="99">
                  <c:v>-166.51793761390454</c:v>
                </c:pt>
                <c:pt idx="100">
                  <c:v>-167.62127830761938</c:v>
                </c:pt>
                <c:pt idx="101">
                  <c:v>-168.55891206608069</c:v>
                </c:pt>
                <c:pt idx="102">
                  <c:v>-169.3653410281614</c:v>
                </c:pt>
                <c:pt idx="103">
                  <c:v>-170.06616093776705</c:v>
                </c:pt>
                <c:pt idx="104">
                  <c:v>-170.68074722228752</c:v>
                </c:pt>
                <c:pt idx="105">
                  <c:v>-171.22402843260687</c:v>
                </c:pt>
                <c:pt idx="106">
                  <c:v>-171.70768799541435</c:v>
                </c:pt>
                <c:pt idx="107">
                  <c:v>-172.14099756327184</c:v>
                </c:pt>
                <c:pt idx="108">
                  <c:v>-172.53140689868681</c:v>
                </c:pt>
                <c:pt idx="109">
                  <c:v>-175.01219405540917</c:v>
                </c:pt>
                <c:pt idx="110">
                  <c:v>-176.25684459892562</c:v>
                </c:pt>
                <c:pt idx="111">
                  <c:v>-177.00462603301276</c:v>
                </c:pt>
                <c:pt idx="112">
                  <c:v>-177.50347289644586</c:v>
                </c:pt>
                <c:pt idx="113">
                  <c:v>-177.85992414505773</c:v>
                </c:pt>
                <c:pt idx="114">
                  <c:v>-178.12732421677961</c:v>
                </c:pt>
                <c:pt idx="115">
                  <c:v>-178.33533391999595</c:v>
                </c:pt>
                <c:pt idx="116">
                  <c:v>-178.50175949547702</c:v>
                </c:pt>
                <c:pt idx="117">
                  <c:v>-178.63793646038201</c:v>
                </c:pt>
                <c:pt idx="118">
                  <c:v>-178.75142387341205</c:v>
                </c:pt>
                <c:pt idx="119">
                  <c:v>-178.84745598282615</c:v>
                </c:pt>
                <c:pt idx="120">
                  <c:v>-178.92977211257889</c:v>
                </c:pt>
                <c:pt idx="121">
                  <c:v>-179.00111476331008</c:v>
                </c:pt>
                <c:pt idx="122">
                  <c:v>-179.06354100754919</c:v>
                </c:pt>
                <c:pt idx="123">
                  <c:v>-179.1186240227959</c:v>
                </c:pt>
                <c:pt idx="124">
                  <c:v>-179.16758746951089</c:v>
                </c:pt>
                <c:pt idx="125">
                  <c:v>-179.21139744660454</c:v>
                </c:pt>
                <c:pt idx="126">
                  <c:v>-179.25082686762019</c:v>
                </c:pt>
              </c:numCache>
            </c:numRef>
          </c:yVal>
          <c:smooth val="0"/>
          <c:extLst>
            <c:ext xmlns:c16="http://schemas.microsoft.com/office/drawing/2014/chart" uri="{C3380CC4-5D6E-409C-BE32-E72D297353CC}">
              <c16:uniqueId val="{00000001-6754-4C2F-BCC4-E7819C29864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zh-TW"/>
          </a:p>
        </c:txPr>
        <c:crossAx val="80978688"/>
        <c:crossesAt val="-40"/>
        <c:crossBetween val="midCat"/>
        <c:majorUnit val="10"/>
        <c:minorUnit val="10"/>
      </c:valAx>
      <c:valAx>
        <c:axId val="80978688"/>
        <c:scaling>
          <c:orientation val="minMax"/>
          <c:max val="20"/>
          <c:min val="-8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zh-TW"/>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zh-TW"/>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zh-TW"/>
    </a:p>
  </c:txPr>
  <c:printSettings>
    <c:headerFooter alignWithMargins="0"/>
    <c:pageMargins b="1" l="0.75000000000000167" r="0.75000000000000167"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CS2COMP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Bode!$BF$11</c:f>
              <c:strCache>
                <c:ptCount val="1"/>
                <c:pt idx="0">
                  <c:v>CS2COMP_GAIN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Bode!$BF$12:$BF$138</c:f>
              <c:numCache>
                <c:formatCode>General</c:formatCode>
                <c:ptCount val="127"/>
                <c:pt idx="0">
                  <c:v>78.624516077505291</c:v>
                </c:pt>
                <c:pt idx="1">
                  <c:v>75.10507192132863</c:v>
                </c:pt>
                <c:pt idx="2">
                  <c:v>72.606769210795349</c:v>
                </c:pt>
                <c:pt idx="3">
                  <c:v>70.668390686375062</c:v>
                </c:pt>
                <c:pt idx="4">
                  <c:v>69.084248039854273</c:v>
                </c:pt>
                <c:pt idx="5">
                  <c:v>67.744561641629602</c:v>
                </c:pt>
                <c:pt idx="6">
                  <c:v>66.583783799039722</c:v>
                </c:pt>
                <c:pt idx="7">
                  <c:v>65.559627508872126</c:v>
                </c:pt>
                <c:pt idx="8">
                  <c:v>64.643216229744411</c:v>
                </c:pt>
                <c:pt idx="9">
                  <c:v>63.813951912562089</c:v>
                </c:pt>
                <c:pt idx="10">
                  <c:v>63.056624897787614</c:v>
                </c:pt>
                <c:pt idx="11">
                  <c:v>62.359684358318717</c:v>
                </c:pt>
                <c:pt idx="12">
                  <c:v>61.71415140912309</c:v>
                </c:pt>
                <c:pt idx="13">
                  <c:v>61.112908046172038</c:v>
                </c:pt>
                <c:pt idx="14">
                  <c:v>60.550216007594528</c:v>
                </c:pt>
                <c:pt idx="15">
                  <c:v>60.021381737412909</c:v>
                </c:pt>
                <c:pt idx="16">
                  <c:v>59.5225172485993</c:v>
                </c:pt>
                <c:pt idx="17">
                  <c:v>59.050365722153309</c:v>
                </c:pt>
                <c:pt idx="18">
                  <c:v>58.602171888779914</c:v>
                </c:pt>
                <c:pt idx="19">
                  <c:v>55.046276398822798</c:v>
                </c:pt>
                <c:pt idx="20">
                  <c:v>52.500233345511091</c:v>
                </c:pt>
                <c:pt idx="21">
                  <c:v>50.50202095339376</c:v>
                </c:pt>
                <c:pt idx="22">
                  <c:v>48.846187703994829</c:v>
                </c:pt>
                <c:pt idx="23">
                  <c:v>47.423480436814252</c:v>
                </c:pt>
                <c:pt idx="24">
                  <c:v>46.169009916577188</c:v>
                </c:pt>
                <c:pt idx="25">
                  <c:v>45.041223749928776</c:v>
                </c:pt>
                <c:pt idx="26">
                  <c:v>44.012025885602839</c:v>
                </c:pt>
                <c:pt idx="27">
                  <c:v>43.061623151057773</c:v>
                </c:pt>
                <c:pt idx="28">
                  <c:v>42.175617957765581</c:v>
                </c:pt>
                <c:pt idx="29">
                  <c:v>41.34326452680839</c:v>
                </c:pt>
                <c:pt idx="30">
                  <c:v>40.556370315800883</c:v>
                </c:pt>
                <c:pt idx="31">
                  <c:v>39.808575604572816</c:v>
                </c:pt>
                <c:pt idx="32">
                  <c:v>39.094865161864817</c:v>
                </c:pt>
                <c:pt idx="33">
                  <c:v>38.411227980951935</c:v>
                </c:pt>
                <c:pt idx="34">
                  <c:v>37.754414660096216</c:v>
                </c:pt>
                <c:pt idx="35">
                  <c:v>37.121761025130688</c:v>
                </c:pt>
                <c:pt idx="36">
                  <c:v>36.511057796362095</c:v>
                </c:pt>
                <c:pt idx="37">
                  <c:v>31.30886175041308</c:v>
                </c:pt>
                <c:pt idx="38">
                  <c:v>27.236010878040233</c:v>
                </c:pt>
                <c:pt idx="39">
                  <c:v>23.908973797706174</c:v>
                </c:pt>
                <c:pt idx="40">
                  <c:v>21.120100265574695</c:v>
                </c:pt>
                <c:pt idx="41">
                  <c:v>18.737171607194458</c:v>
                </c:pt>
                <c:pt idx="42">
                  <c:v>16.670227999239842</c:v>
                </c:pt>
                <c:pt idx="43">
                  <c:v>14.85544396813669</c:v>
                </c:pt>
                <c:pt idx="44">
                  <c:v>13.246012131540379</c:v>
                </c:pt>
                <c:pt idx="45">
                  <c:v>11.806633416258395</c:v>
                </c:pt>
                <c:pt idx="46">
                  <c:v>10.510044087798454</c:v>
                </c:pt>
                <c:pt idx="47">
                  <c:v>9.3347517949007344</c:v>
                </c:pt>
                <c:pt idx="48">
                  <c:v>8.2635154068789767</c:v>
                </c:pt>
                <c:pt idx="49">
                  <c:v>7.2822964423252907</c:v>
                </c:pt>
                <c:pt idx="50">
                  <c:v>6.3795177014797364</c:v>
                </c:pt>
                <c:pt idx="51">
                  <c:v>5.5455270582279965</c:v>
                </c:pt>
                <c:pt idx="52">
                  <c:v>4.7722014740231007</c:v>
                </c:pt>
                <c:pt idx="53">
                  <c:v>4.0526489525326603</c:v>
                </c:pt>
                <c:pt idx="54">
                  <c:v>3.3809803111946337</c:v>
                </c:pt>
                <c:pt idx="55">
                  <c:v>-1.5487955974825436</c:v>
                </c:pt>
                <c:pt idx="56">
                  <c:v>-4.6706724537333812</c:v>
                </c:pt>
                <c:pt idx="57">
                  <c:v>-6.9207435678162188</c:v>
                </c:pt>
                <c:pt idx="58">
                  <c:v>-8.6715328137867314</c:v>
                </c:pt>
                <c:pt idx="59">
                  <c:v>-10.101268893258096</c:v>
                </c:pt>
                <c:pt idx="60">
                  <c:v>-11.307245899680971</c:v>
                </c:pt>
                <c:pt idx="61">
                  <c:v>-12.347982840435208</c:v>
                </c:pt>
                <c:pt idx="62">
                  <c:v>-13.261339088654212</c:v>
                </c:pt>
                <c:pt idx="63">
                  <c:v>-14.073223322242278</c:v>
                </c:pt>
                <c:pt idx="64">
                  <c:v>-14.802168866717516</c:v>
                </c:pt>
                <c:pt idx="65">
                  <c:v>-15.461914825977509</c:v>
                </c:pt>
                <c:pt idx="66">
                  <c:v>-16.062949123767609</c:v>
                </c:pt>
                <c:pt idx="67">
                  <c:v>-16.613476179146485</c:v>
                </c:pt>
                <c:pt idx="68">
                  <c:v>-17.120048526989354</c:v>
                </c:pt>
                <c:pt idx="69">
                  <c:v>-17.587993277015347</c:v>
                </c:pt>
                <c:pt idx="70">
                  <c:v>-18.021708502680227</c:v>
                </c:pt>
                <c:pt idx="71">
                  <c:v>-18.424874442762864</c:v>
                </c:pt>
                <c:pt idx="72">
                  <c:v>-18.800607314537032</c:v>
                </c:pt>
                <c:pt idx="73">
                  <c:v>-21.497013385331723</c:v>
                </c:pt>
                <c:pt idx="74">
                  <c:v>-23.057635978478615</c:v>
                </c:pt>
                <c:pt idx="75">
                  <c:v>-24.049033256558126</c:v>
                </c:pt>
                <c:pt idx="76">
                  <c:v>-24.729046154099962</c:v>
                </c:pt>
                <c:pt idx="77">
                  <c:v>-25.229897751345462</c:v>
                </c:pt>
                <c:pt idx="78">
                  <c:v>-25.624066825703995</c:v>
                </c:pt>
                <c:pt idx="79">
                  <c:v>-25.953260252284998</c:v>
                </c:pt>
                <c:pt idx="80">
                  <c:v>-26.242437225694179</c:v>
                </c:pt>
                <c:pt idx="81">
                  <c:v>-26.507019780782642</c:v>
                </c:pt>
                <c:pt idx="82">
                  <c:v>-26.756780232926026</c:v>
                </c:pt>
                <c:pt idx="83">
                  <c:v>-26.998025538675584</c:v>
                </c:pt>
                <c:pt idx="84">
                  <c:v>-27.234871340275149</c:v>
                </c:pt>
                <c:pt idx="85">
                  <c:v>-27.4700107050468</c:v>
                </c:pt>
                <c:pt idx="86">
                  <c:v>-27.705192507125055</c:v>
                </c:pt>
                <c:pt idx="87">
                  <c:v>-27.941527563169412</c:v>
                </c:pt>
                <c:pt idx="88">
                  <c:v>-28.179689536303385</c:v>
                </c:pt>
                <c:pt idx="89">
                  <c:v>-28.420049775398791</c:v>
                </c:pt>
                <c:pt idx="90">
                  <c:v>-28.662769620588357</c:v>
                </c:pt>
                <c:pt idx="91">
                  <c:v>-31.192575698894338</c:v>
                </c:pt>
                <c:pt idx="92">
                  <c:v>-33.759153651644823</c:v>
                </c:pt>
                <c:pt idx="93">
                  <c:v>-36.208848559437527</c:v>
                </c:pt>
                <c:pt idx="94">
                  <c:v>-38.481760094715916</c:v>
                </c:pt>
                <c:pt idx="95">
                  <c:v>-40.568341578018817</c:v>
                </c:pt>
                <c:pt idx="96">
                  <c:v>-42.479591111400964</c:v>
                </c:pt>
                <c:pt idx="97">
                  <c:v>-44.233126974063154</c:v>
                </c:pt>
                <c:pt idx="98">
                  <c:v>-45.847371686772448</c:v>
                </c:pt>
                <c:pt idx="99">
                  <c:v>-47.339358794333961</c:v>
                </c:pt>
                <c:pt idx="100">
                  <c:v>-48.724077483658462</c:v>
                </c:pt>
                <c:pt idx="101">
                  <c:v>-50.014438924131973</c:v>
                </c:pt>
                <c:pt idx="102">
                  <c:v>-51.221470395331224</c:v>
                </c:pt>
                <c:pt idx="103">
                  <c:v>-52.354571523759709</c:v>
                </c:pt>
                <c:pt idx="104">
                  <c:v>-53.421766177371609</c:v>
                </c:pt>
                <c:pt idx="105">
                  <c:v>-54.429926386057247</c:v>
                </c:pt>
                <c:pt idx="106">
                  <c:v>-55.384962721252961</c:v>
                </c:pt>
                <c:pt idx="107">
                  <c:v>-56.29198275362468</c:v>
                </c:pt>
                <c:pt idx="108">
                  <c:v>-57.155421654398019</c:v>
                </c:pt>
                <c:pt idx="109">
                  <c:v>-64.055501932468331</c:v>
                </c:pt>
                <c:pt idx="110">
                  <c:v>-69.002175712887578</c:v>
                </c:pt>
                <c:pt idx="111">
                  <c:v>-72.854915960390159</c:v>
                </c:pt>
                <c:pt idx="112">
                  <c:v>-76.009283339955431</c:v>
                </c:pt>
                <c:pt idx="113">
                  <c:v>-78.679376969913804</c:v>
                </c:pt>
                <c:pt idx="114">
                  <c:v>-80.994002526022527</c:v>
                </c:pt>
                <c:pt idx="115">
                  <c:v>-83.03663768623305</c:v>
                </c:pt>
                <c:pt idx="116">
                  <c:v>-84.864457346913085</c:v>
                </c:pt>
                <c:pt idx="117">
                  <c:v>-86.518329357062299</c:v>
                </c:pt>
                <c:pt idx="118">
                  <c:v>-88.028475535633959</c:v>
                </c:pt>
                <c:pt idx="119">
                  <c:v>-89.4178729976732</c:v>
                </c:pt>
                <c:pt idx="120">
                  <c:v>-90.7043978920683</c:v>
                </c:pt>
                <c:pt idx="121">
                  <c:v>-91.902230985070815</c:v>
                </c:pt>
                <c:pt idx="122">
                  <c:v>-93.022810387358959</c:v>
                </c:pt>
                <c:pt idx="123">
                  <c:v>-94.075495882655758</c:v>
                </c:pt>
                <c:pt idx="124">
                  <c:v>-95.068043624262799</c:v>
                </c:pt>
                <c:pt idx="125">
                  <c:v>-96.006952640126372</c:v>
                </c:pt>
                <c:pt idx="126">
                  <c:v>-96.897722554978429</c:v>
                </c:pt>
              </c:numCache>
            </c:numRef>
          </c:yVal>
          <c:smooth val="0"/>
          <c:extLst>
            <c:ext xmlns:c16="http://schemas.microsoft.com/office/drawing/2014/chart" uri="{C3380CC4-5D6E-409C-BE32-E72D297353CC}">
              <c16:uniqueId val="{00000000-9F5A-44B3-A2FD-277C482835DC}"/>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Bode!$BG$11</c:f>
              <c:strCache>
                <c:ptCount val="1"/>
                <c:pt idx="0">
                  <c:v>CS2COMP_PHASE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Bode!$BG$12:$BG$138</c:f>
              <c:numCache>
                <c:formatCode>General</c:formatCode>
                <c:ptCount val="127"/>
                <c:pt idx="0">
                  <c:v>-88.476254586416005</c:v>
                </c:pt>
                <c:pt idx="1">
                  <c:v>-89.318915725260908</c:v>
                </c:pt>
                <c:pt idx="2">
                  <c:v>-89.840853865099518</c:v>
                </c:pt>
                <c:pt idx="3">
                  <c:v>-90.234407686701175</c:v>
                </c:pt>
                <c:pt idx="4">
                  <c:v>-90.563731873221471</c:v>
                </c:pt>
                <c:pt idx="5">
                  <c:v>-90.856325706940183</c:v>
                </c:pt>
                <c:pt idx="6">
                  <c:v>-91.1259374433685</c:v>
                </c:pt>
                <c:pt idx="7">
                  <c:v>-91.380202502772121</c:v>
                </c:pt>
                <c:pt idx="8">
                  <c:v>-91.623699504584152</c:v>
                </c:pt>
                <c:pt idx="9">
                  <c:v>-91.859339588669542</c:v>
                </c:pt>
                <c:pt idx="10">
                  <c:v>-92.089061148201608</c:v>
                </c:pt>
                <c:pt idx="11">
                  <c:v>-92.31420394438274</c:v>
                </c:pt>
                <c:pt idx="12">
                  <c:v>-92.535722898246902</c:v>
                </c:pt>
                <c:pt idx="13">
                  <c:v>-92.754316371446734</c:v>
                </c:pt>
                <c:pt idx="14">
                  <c:v>-92.970506344754938</c:v>
                </c:pt>
                <c:pt idx="15">
                  <c:v>-93.18469030002548</c:v>
                </c:pt>
                <c:pt idx="16">
                  <c:v>-93.397175809299952</c:v>
                </c:pt>
                <c:pt idx="17">
                  <c:v>-93.608204201838618</c:v>
                </c:pt>
                <c:pt idx="18">
                  <c:v>-93.817967131656616</c:v>
                </c:pt>
                <c:pt idx="19">
                  <c:v>-95.869227749221906</c:v>
                </c:pt>
                <c:pt idx="20">
                  <c:v>-97.866860464996748</c:v>
                </c:pt>
                <c:pt idx="21">
                  <c:v>-99.823584010321696</c:v>
                </c:pt>
                <c:pt idx="22">
                  <c:v>-101.73977424289589</c:v>
                </c:pt>
                <c:pt idx="23">
                  <c:v>-103.61272026423163</c:v>
                </c:pt>
                <c:pt idx="24">
                  <c:v>-105.43897701404725</c:v>
                </c:pt>
                <c:pt idx="25">
                  <c:v>-107.21516528866938</c:v>
                </c:pt>
                <c:pt idx="26">
                  <c:v>-108.93829054192376</c:v>
                </c:pt>
                <c:pt idx="27">
                  <c:v>-110.60587459658309</c:v>
                </c:pt>
                <c:pt idx="28">
                  <c:v>-112.21600059766175</c:v>
                </c:pt>
                <c:pt idx="29">
                  <c:v>-113.76731210408269</c:v>
                </c:pt>
                <c:pt idx="30">
                  <c:v>-115.25898594675434</c:v>
                </c:pt>
                <c:pt idx="31">
                  <c:v>-116.6906897781446</c:v>
                </c:pt>
                <c:pt idx="32">
                  <c:v>-118.06253115524353</c:v>
                </c:pt>
                <c:pt idx="33">
                  <c:v>-119.37500277780885</c:v>
                </c:pt>
                <c:pt idx="34">
                  <c:v>-120.62892711168008</c:v>
                </c:pt>
                <c:pt idx="35">
                  <c:v>-121.82540265125976</c:v>
                </c:pt>
                <c:pt idx="36">
                  <c:v>-122.96575334443747</c:v>
                </c:pt>
                <c:pt idx="37">
                  <c:v>-131.65593774784688</c:v>
                </c:pt>
                <c:pt idx="38">
                  <c:v>-136.63767570853983</c:v>
                </c:pt>
                <c:pt idx="39">
                  <c:v>-139.30605870084537</c:v>
                </c:pt>
                <c:pt idx="40">
                  <c:v>-140.53847329514497</c:v>
                </c:pt>
                <c:pt idx="41">
                  <c:v>-140.86005128429883</c:v>
                </c:pt>
                <c:pt idx="42">
                  <c:v>-140.59070403773353</c:v>
                </c:pt>
                <c:pt idx="43">
                  <c:v>-139.93213054899977</c:v>
                </c:pt>
                <c:pt idx="44">
                  <c:v>-139.0160408214839</c:v>
                </c:pt>
                <c:pt idx="45">
                  <c:v>-137.93112315995378</c:v>
                </c:pt>
                <c:pt idx="46">
                  <c:v>-136.73859773365393</c:v>
                </c:pt>
                <c:pt idx="47">
                  <c:v>-135.48152450635288</c:v>
                </c:pt>
                <c:pt idx="48">
                  <c:v>-134.19058492156867</c:v>
                </c:pt>
                <c:pt idx="49">
                  <c:v>-132.88780233992125</c:v>
                </c:pt>
                <c:pt idx="50">
                  <c:v>-131.58901482052127</c:v>
                </c:pt>
                <c:pt idx="51">
                  <c:v>-130.30556681344194</c:v>
                </c:pt>
                <c:pt idx="52">
                  <c:v>-129.04549600073412</c:v>
                </c:pt>
                <c:pt idx="53">
                  <c:v>-127.81438400289659</c:v>
                </c:pt>
                <c:pt idx="54">
                  <c:v>-126.61597714061458</c:v>
                </c:pt>
                <c:pt idx="55">
                  <c:v>-116.60066380015465</c:v>
                </c:pt>
                <c:pt idx="56">
                  <c:v>-109.56778449267046</c:v>
                </c:pt>
                <c:pt idx="57">
                  <c:v>-104.43858008046973</c:v>
                </c:pt>
                <c:pt idx="58">
                  <c:v>-100.49198012739446</c:v>
                </c:pt>
                <c:pt idx="59">
                  <c:v>-97.308533820148</c:v>
                </c:pt>
                <c:pt idx="60">
                  <c:v>-94.640922623959398</c:v>
                </c:pt>
                <c:pt idx="61">
                  <c:v>-92.337493140990063</c:v>
                </c:pt>
                <c:pt idx="62">
                  <c:v>-90.301359457565241</c:v>
                </c:pt>
                <c:pt idx="63">
                  <c:v>-88.468272979960815</c:v>
                </c:pt>
                <c:pt idx="64">
                  <c:v>-86.794215298198296</c:v>
                </c:pt>
                <c:pt idx="65">
                  <c:v>-85.248162571376653</c:v>
                </c:pt>
                <c:pt idx="66">
                  <c:v>-83.807703876032392</c:v>
                </c:pt>
                <c:pt idx="67">
                  <c:v>-82.456295203027821</c:v>
                </c:pt>
                <c:pt idx="68">
                  <c:v>-81.181484895657505</c:v>
                </c:pt>
                <c:pt idx="69">
                  <c:v>-79.973735193219682</c:v>
                </c:pt>
                <c:pt idx="70">
                  <c:v>-78.825620535634584</c:v>
                </c:pt>
                <c:pt idx="71">
                  <c:v>-77.73127042630918</c:v>
                </c:pt>
                <c:pt idx="72">
                  <c:v>-76.685974896541424</c:v>
                </c:pt>
                <c:pt idx="73">
                  <c:v>-68.325862136409143</c:v>
                </c:pt>
                <c:pt idx="74">
                  <c:v>-62.771397810336879</c:v>
                </c:pt>
                <c:pt idx="75">
                  <c:v>-59.212590609848391</c:v>
                </c:pt>
                <c:pt idx="76">
                  <c:v>-57.114143371918715</c:v>
                </c:pt>
                <c:pt idx="77">
                  <c:v>-56.084627943834654</c:v>
                </c:pt>
                <c:pt idx="78">
                  <c:v>-55.839389602312266</c:v>
                </c:pt>
                <c:pt idx="79">
                  <c:v>-56.172612525703066</c:v>
                </c:pt>
                <c:pt idx="80">
                  <c:v>-56.93493430744855</c:v>
                </c:pt>
                <c:pt idx="81">
                  <c:v>-58.01687920964897</c:v>
                </c:pt>
                <c:pt idx="82">
                  <c:v>-59.337169334669426</c:v>
                </c:pt>
                <c:pt idx="83">
                  <c:v>-60.83463525939942</c:v>
                </c:pt>
                <c:pt idx="84">
                  <c:v>-62.462633477398938</c:v>
                </c:pt>
                <c:pt idx="85">
                  <c:v>-64.185169808248887</c:v>
                </c:pt>
                <c:pt idx="86">
                  <c:v>-65.974177525500409</c:v>
                </c:pt>
                <c:pt idx="87">
                  <c:v>-67.807580171909507</c:v>
                </c:pt>
                <c:pt idx="88">
                  <c:v>-69.66789241905083</c:v>
                </c:pt>
                <c:pt idx="89">
                  <c:v>-71.541194193638162</c:v>
                </c:pt>
                <c:pt idx="90">
                  <c:v>-73.41636717705677</c:v>
                </c:pt>
                <c:pt idx="91">
                  <c:v>-90.982293770900839</c:v>
                </c:pt>
                <c:pt idx="92">
                  <c:v>-105.12974382323104</c:v>
                </c:pt>
                <c:pt idx="93">
                  <c:v>-116.06273376831398</c:v>
                </c:pt>
                <c:pt idx="94">
                  <c:v>-124.53155670218979</c:v>
                </c:pt>
                <c:pt idx="95">
                  <c:v>-131.18765720813752</c:v>
                </c:pt>
                <c:pt idx="96">
                  <c:v>-136.51112029438224</c:v>
                </c:pt>
                <c:pt idx="97">
                  <c:v>-140.84249927014801</c:v>
                </c:pt>
                <c:pt idx="98">
                  <c:v>-144.42288014240179</c:v>
                </c:pt>
                <c:pt idx="99">
                  <c:v>-147.42480220355696</c:v>
                </c:pt>
                <c:pt idx="100">
                  <c:v>-149.97367958569791</c:v>
                </c:pt>
                <c:pt idx="101">
                  <c:v>-152.16221390539278</c:v>
                </c:pt>
                <c:pt idx="102">
                  <c:v>-154.06006998138267</c:v>
                </c:pt>
                <c:pt idx="103">
                  <c:v>-155.72042884442541</c:v>
                </c:pt>
                <c:pt idx="104">
                  <c:v>-157.18448567279941</c:v>
                </c:pt>
                <c:pt idx="105">
                  <c:v>-158.48458415022819</c:v>
                </c:pt>
                <c:pt idx="106">
                  <c:v>-159.64643464224682</c:v>
                </c:pt>
                <c:pt idx="107">
                  <c:v>-160.69070791270718</c:v>
                </c:pt>
                <c:pt idx="108">
                  <c:v>-161.63419686161734</c:v>
                </c:pt>
                <c:pt idx="109">
                  <c:v>-167.67977765888827</c:v>
                </c:pt>
                <c:pt idx="110">
                  <c:v>-170.73948703118242</c:v>
                </c:pt>
                <c:pt idx="111">
                  <c:v>-172.58401532467883</c:v>
                </c:pt>
                <c:pt idx="112">
                  <c:v>-173.81657702417684</c:v>
                </c:pt>
                <c:pt idx="113">
                  <c:v>-174.69814669014178</c:v>
                </c:pt>
                <c:pt idx="114">
                  <c:v>-175.35987009779205</c:v>
                </c:pt>
                <c:pt idx="115">
                  <c:v>-175.87482652961336</c:v>
                </c:pt>
                <c:pt idx="116">
                  <c:v>-176.28694976976914</c:v>
                </c:pt>
                <c:pt idx="117">
                  <c:v>-176.62423549919893</c:v>
                </c:pt>
                <c:pt idx="118">
                  <c:v>-176.90536564308709</c:v>
                </c:pt>
                <c:pt idx="119">
                  <c:v>-177.14328318492184</c:v>
                </c:pt>
                <c:pt idx="120">
                  <c:v>-177.34723821558765</c:v>
                </c:pt>
                <c:pt idx="121">
                  <c:v>-177.52401706150272</c:v>
                </c:pt>
                <c:pt idx="122">
                  <c:v>-177.67871121688356</c:v>
                </c:pt>
                <c:pt idx="123">
                  <c:v>-177.81521526103572</c:v>
                </c:pt>
                <c:pt idx="124">
                  <c:v>-177.9365590036725</c:v>
                </c:pt>
                <c:pt idx="125">
                  <c:v>-178.0451348544961</c:v>
                </c:pt>
                <c:pt idx="126">
                  <c:v>-178.14285704705682</c:v>
                </c:pt>
              </c:numCache>
            </c:numRef>
          </c:yVal>
          <c:smooth val="0"/>
          <c:extLst>
            <c:ext xmlns:c16="http://schemas.microsoft.com/office/drawing/2014/chart" uri="{C3380CC4-5D6E-409C-BE32-E72D297353CC}">
              <c16:uniqueId val="{00000001-9F5A-44B3-A2FD-277C482835DC}"/>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zh-TW"/>
          </a:p>
        </c:txPr>
        <c:crossAx val="80978688"/>
        <c:crossesAt val="-40"/>
        <c:crossBetween val="midCat"/>
        <c:majorUnit val="10"/>
        <c:minorUnit val="10"/>
      </c:valAx>
      <c:valAx>
        <c:axId val="80978688"/>
        <c:scaling>
          <c:orientation val="minMax"/>
          <c:max val="6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zh-TW"/>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zh-TW"/>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zh-TW"/>
    </a:p>
  </c:txPr>
  <c:printSettings>
    <c:headerFooter alignWithMargins="0"/>
    <c:pageMargins b="1" l="0.75000000000000167" r="0.75000000000000167"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OPENLOOP (CC)</a:t>
            </a:r>
          </a:p>
          <a:p>
            <a:pPr>
              <a:defRPr sz="1200" b="1" i="0" u="none" strike="noStrike" baseline="0">
                <a:solidFill>
                  <a:srgbClr val="000000"/>
                </a:solidFill>
                <a:latin typeface="Arial"/>
                <a:ea typeface="Arial"/>
                <a:cs typeface="Arial"/>
              </a:defRPr>
            </a:pPr>
            <a:endParaRPr lang="en-US"/>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Bode!$BH$11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Bode!$BH$12:$BH$138</c:f>
              <c:numCache>
                <c:formatCode>_(* #,##0.00_);_(* \(#,##0.00\);_(* "-"??_);_(@_)</c:formatCode>
                <c:ptCount val="127"/>
                <c:pt idx="0">
                  <c:v>72.612504397076918</c:v>
                </c:pt>
                <c:pt idx="1">
                  <c:v>69.093350709247431</c:v>
                </c:pt>
                <c:pt idx="2">
                  <c:v>66.595454599947814</c:v>
                </c:pt>
                <c:pt idx="3">
                  <c:v>64.657598755219567</c:v>
                </c:pt>
                <c:pt idx="4">
                  <c:v>63.074094796905477</c:v>
                </c:pt>
                <c:pt idx="5">
                  <c:v>61.735163009968502</c:v>
                </c:pt>
                <c:pt idx="6">
                  <c:v>60.575255600856167</c:v>
                </c:pt>
                <c:pt idx="7">
                  <c:v>59.55208545004465</c:v>
                </c:pt>
                <c:pt idx="8">
                  <c:v>58.636775884463532</c:v>
                </c:pt>
                <c:pt idx="9">
                  <c:v>57.808728708003173</c:v>
                </c:pt>
                <c:pt idx="10">
                  <c:v>57.052734098838215</c:v>
                </c:pt>
                <c:pt idx="11">
                  <c:v>56.357241052365836</c:v>
                </c:pt>
                <c:pt idx="12">
                  <c:v>55.713270490907753</c:v>
                </c:pt>
                <c:pt idx="13">
                  <c:v>55.113704202713912</c:v>
                </c:pt>
                <c:pt idx="14">
                  <c:v>54.552803703194499</c:v>
                </c:pt>
                <c:pt idx="15">
                  <c:v>54.025875198737346</c:v>
                </c:pt>
                <c:pt idx="16">
                  <c:v>53.529030449852549</c:v>
                </c:pt>
                <c:pt idx="17">
                  <c:v>53.059012370343225</c:v>
                </c:pt>
                <c:pt idx="18">
                  <c:v>52.613065409081081</c:v>
                </c:pt>
                <c:pt idx="19">
                  <c:v>49.085804778336488</c:v>
                </c:pt>
                <c:pt idx="20">
                  <c:v>46.579325011006048</c:v>
                </c:pt>
                <c:pt idx="21">
                  <c:v>44.631101617267689</c:v>
                </c:pt>
                <c:pt idx="22">
                  <c:v>43.035067467219406</c:v>
                </c:pt>
                <c:pt idx="23">
                  <c:v>41.681260962875399</c:v>
                </c:pt>
                <c:pt idx="24">
                  <c:v>40.504013256325578</c:v>
                </c:pt>
                <c:pt idx="25">
                  <c:v>39.460943185887785</c:v>
                </c:pt>
                <c:pt idx="26">
                  <c:v>38.523098082930886</c:v>
                </c:pt>
                <c:pt idx="27">
                  <c:v>37.669820021720611</c:v>
                </c:pt>
                <c:pt idx="28">
                  <c:v>36.885856001575121</c:v>
                </c:pt>
                <c:pt idx="29">
                  <c:v>36.159629013598718</c:v>
                </c:pt>
                <c:pt idx="30">
                  <c:v>35.482151498015831</c:v>
                </c:pt>
                <c:pt idx="31">
                  <c:v>34.846314163303717</c:v>
                </c:pt>
                <c:pt idx="32">
                  <c:v>34.246404248022891</c:v>
                </c:pt>
                <c:pt idx="33">
                  <c:v>33.677769471707897</c:v>
                </c:pt>
                <c:pt idx="34">
                  <c:v>33.136577567670003</c:v>
                </c:pt>
                <c:pt idx="35">
                  <c:v>32.619640335969009</c:v>
                </c:pt>
                <c:pt idx="36">
                  <c:v>32.124282357170827</c:v>
                </c:pt>
                <c:pt idx="37">
                  <c:v>27.988300479145725</c:v>
                </c:pt>
                <c:pt idx="38">
                  <c:v>24.741219046139385</c:v>
                </c:pt>
                <c:pt idx="39">
                  <c:v>22.011332403273922</c:v>
                </c:pt>
                <c:pt idx="40">
                  <c:v>19.648928080314068</c:v>
                </c:pt>
                <c:pt idx="41">
                  <c:v>17.573347628962221</c:v>
                </c:pt>
                <c:pt idx="42">
                  <c:v>15.731700670404347</c:v>
                </c:pt>
                <c:pt idx="43">
                  <c:v>14.085268764834748</c:v>
                </c:pt>
                <c:pt idx="44">
                  <c:v>12.604046964473419</c:v>
                </c:pt>
                <c:pt idx="45">
                  <c:v>11.264055688814651</c:v>
                </c:pt>
                <c:pt idx="46">
                  <c:v>10.045766582702784</c:v>
                </c:pt>
                <c:pt idx="47">
                  <c:v>8.9330649174145549</c:v>
                </c:pt>
                <c:pt idx="48">
                  <c:v>7.9125153608322405</c:v>
                </c:pt>
                <c:pt idx="49">
                  <c:v>6.972820281656162</c:v>
                </c:pt>
                <c:pt idx="50">
                  <c:v>6.1044094312479933</c:v>
                </c:pt>
                <c:pt idx="51">
                  <c:v>5.299123283238079</c:v>
                </c:pt>
                <c:pt idx="52">
                  <c:v>4.5499650274898631</c:v>
                </c:pt>
                <c:pt idx="53">
                  <c:v>3.8509038956270145</c:v>
                </c:pt>
                <c:pt idx="54">
                  <c:v>3.1967174752313001</c:v>
                </c:pt>
                <c:pt idx="55">
                  <c:v>-1.6472844339674462</c:v>
                </c:pt>
                <c:pt idx="56">
                  <c:v>-4.7492080190821184</c:v>
                </c:pt>
                <c:pt idx="57">
                  <c:v>-7.0018305008992758</c:v>
                </c:pt>
                <c:pt idx="58">
                  <c:v>-8.7665615337648948</c:v>
                </c:pt>
                <c:pt idx="59">
                  <c:v>-10.217722448020204</c:v>
                </c:pt>
                <c:pt idx="60">
                  <c:v>-11.450919135615257</c:v>
                </c:pt>
                <c:pt idx="61">
                  <c:v>-12.523816355523367</c:v>
                </c:pt>
                <c:pt idx="62">
                  <c:v>-13.473778010319503</c:v>
                </c:pt>
                <c:pt idx="63">
                  <c:v>-14.326387161734624</c:v>
                </c:pt>
                <c:pt idx="64">
                  <c:v>-15.099937653615365</c:v>
                </c:pt>
                <c:pt idx="65">
                  <c:v>-15.807974988464133</c:v>
                </c:pt>
                <c:pt idx="66">
                  <c:v>-16.460818793640151</c:v>
                </c:pt>
                <c:pt idx="67">
                  <c:v>-17.066519509658914</c:v>
                </c:pt>
                <c:pt idx="68">
                  <c:v>-17.631483982374704</c:v>
                </c:pt>
                <c:pt idx="69">
                  <c:v>-18.160898585782729</c:v>
                </c:pt>
                <c:pt idx="70">
                  <c:v>-18.659023793658875</c:v>
                </c:pt>
                <c:pt idx="71">
                  <c:v>-19.129404446038116</c:v>
                </c:pt>
                <c:pt idx="72">
                  <c:v>-19.575023149056346</c:v>
                </c:pt>
                <c:pt idx="73">
                  <c:v>-23.089220648583311</c:v>
                </c:pt>
                <c:pt idx="74">
                  <c:v>-25.606008442344297</c:v>
                </c:pt>
                <c:pt idx="75">
                  <c:v>-27.608412629479929</c:v>
                </c:pt>
                <c:pt idx="76">
                  <c:v>-29.304311719563955</c:v>
                </c:pt>
                <c:pt idx="77">
                  <c:v>-30.799823138001692</c:v>
                </c:pt>
                <c:pt idx="78">
                  <c:v>-32.155566513123212</c:v>
                </c:pt>
                <c:pt idx="79">
                  <c:v>-33.409108442046545</c:v>
                </c:pt>
                <c:pt idx="80">
                  <c:v>-34.585161038002326</c:v>
                </c:pt>
                <c:pt idx="81">
                  <c:v>-35.700706152616945</c:v>
                </c:pt>
                <c:pt idx="82">
                  <c:v>-36.767794511501485</c:v>
                </c:pt>
                <c:pt idx="83">
                  <c:v>-37.795185323015758</c:v>
                </c:pt>
                <c:pt idx="84">
                  <c:v>-38.789363423984938</c:v>
                </c:pt>
                <c:pt idx="85">
                  <c:v>-39.755200248079674</c:v>
                </c:pt>
                <c:pt idx="86">
                  <c:v>-40.696399557890139</c:v>
                </c:pt>
                <c:pt idx="87">
                  <c:v>-41.615806989020932</c:v>
                </c:pt>
                <c:pt idx="88">
                  <c:v>-42.515630058783749</c:v>
                </c:pt>
                <c:pt idx="89">
                  <c:v>-43.397597422022727</c:v>
                </c:pt>
                <c:pt idx="90">
                  <c:v>-44.263075824402314</c:v>
                </c:pt>
                <c:pt idx="91">
                  <c:v>-52.177220512384238</c:v>
                </c:pt>
                <c:pt idx="92">
                  <c:v>-58.999753515004585</c:v>
                </c:pt>
                <c:pt idx="93">
                  <c:v>-64.940248036295003</c:v>
                </c:pt>
                <c:pt idx="94">
                  <c:v>-70.157274469995556</c:v>
                </c:pt>
                <c:pt idx="95">
                  <c:v>-74.781996533821456</c:v>
                </c:pt>
                <c:pt idx="96">
                  <c:v>-78.920001113588654</c:v>
                </c:pt>
                <c:pt idx="97">
                  <c:v>-82.654870041678265</c:v>
                </c:pt>
                <c:pt idx="98">
                  <c:v>-86.052541184226357</c:v>
                </c:pt>
                <c:pt idx="99">
                  <c:v>-89.165255858056284</c:v>
                </c:pt>
                <c:pt idx="100">
                  <c:v>-92.03473897336562</c:v>
                </c:pt>
                <c:pt idx="101">
                  <c:v>-94.694640408083444</c:v>
                </c:pt>
                <c:pt idx="102">
                  <c:v>-97.172374784877491</c:v>
                </c:pt>
                <c:pt idx="103">
                  <c:v>-99.490501949464175</c:v>
                </c:pt>
                <c:pt idx="104">
                  <c:v>-101.66776583123755</c:v>
                </c:pt>
                <c:pt idx="105">
                  <c:v>-103.71988139726238</c:v>
                </c:pt>
                <c:pt idx="106">
                  <c:v>-105.66013582203249</c:v>
                </c:pt>
                <c:pt idx="107">
                  <c:v>-107.49985198424179</c:v>
                </c:pt>
                <c:pt idx="108">
                  <c:v>-109.24874920673656</c:v>
                </c:pt>
                <c:pt idx="109">
                  <c:v>-123.16359061104436</c:v>
                </c:pt>
                <c:pt idx="110">
                  <c:v>-133.09766099785151</c:v>
                </c:pt>
                <c:pt idx="111">
                  <c:v>-140.8220950888992</c:v>
                </c:pt>
                <c:pt idx="112">
                  <c:v>-147.14115364152383</c:v>
                </c:pt>
                <c:pt idx="113">
                  <c:v>-152.48757539391943</c:v>
                </c:pt>
                <c:pt idx="114">
                  <c:v>-157.12087679402259</c:v>
                </c:pt>
                <c:pt idx="115">
                  <c:v>-161.20892573801603</c:v>
                </c:pt>
                <c:pt idx="116">
                  <c:v>-164.86655347146893</c:v>
                </c:pt>
                <c:pt idx="117">
                  <c:v>-168.1757691640554</c:v>
                </c:pt>
                <c:pt idx="118">
                  <c:v>-171.1971811177084</c:v>
                </c:pt>
                <c:pt idx="119">
                  <c:v>-173.97684751204804</c:v>
                </c:pt>
                <c:pt idx="120">
                  <c:v>-176.55058888605964</c:v>
                </c:pt>
                <c:pt idx="121">
                  <c:v>-178.94681307239284</c:v>
                </c:pt>
                <c:pt idx="122">
                  <c:v>-181.1884286023286</c:v>
                </c:pt>
                <c:pt idx="123">
                  <c:v>-183.29417814504853</c:v>
                </c:pt>
                <c:pt idx="124">
                  <c:v>-185.2795908790975</c:v>
                </c:pt>
                <c:pt idx="125">
                  <c:v>-187.15767741477924</c:v>
                </c:pt>
                <c:pt idx="126">
                  <c:v>-188.93944649938803</c:v>
                </c:pt>
              </c:numCache>
            </c:numRef>
          </c:yVal>
          <c:smooth val="0"/>
          <c:extLst>
            <c:ext xmlns:c16="http://schemas.microsoft.com/office/drawing/2014/chart" uri="{C3380CC4-5D6E-409C-BE32-E72D297353CC}">
              <c16:uniqueId val="{00000000-D0D2-43AE-B4D9-BE62830E910C}"/>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Bode!$BI$11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Bode!$BI$12:$BI$138</c:f>
              <c:numCache>
                <c:formatCode>_(* #,##0.00_);_(* \(#,##0.00\);_(* "-"??_);_(@_)</c:formatCode>
                <c:ptCount val="127"/>
                <c:pt idx="0">
                  <c:v>-88.237420679661241</c:v>
                </c:pt>
                <c:pt idx="1">
                  <c:v>-88.960683758767487</c:v>
                </c:pt>
                <c:pt idx="2">
                  <c:v>-89.363246506215418</c:v>
                </c:pt>
                <c:pt idx="3">
                  <c:v>-89.637455150195805</c:v>
                </c:pt>
                <c:pt idx="4">
                  <c:v>-89.847471914124824</c:v>
                </c:pt>
                <c:pt idx="5">
                  <c:v>-90.020803611599121</c:v>
                </c:pt>
                <c:pt idx="6">
                  <c:v>-90.171206018725087</c:v>
                </c:pt>
                <c:pt idx="7">
                  <c:v>-90.306322063869828</c:v>
                </c:pt>
                <c:pt idx="8">
                  <c:v>-90.430737860308795</c:v>
                </c:pt>
                <c:pt idx="9">
                  <c:v>-90.547372025732798</c:v>
                </c:pt>
                <c:pt idx="10">
                  <c:v>-90.658170413375743</c:v>
                </c:pt>
                <c:pt idx="11">
                  <c:v>-90.76448022499612</c:v>
                </c:pt>
                <c:pt idx="12">
                  <c:v>-90.867263800951292</c:v>
                </c:pt>
                <c:pt idx="13">
                  <c:v>-90.967226899267317</c:v>
                </c:pt>
                <c:pt idx="14">
                  <c:v>-91.064898872436004</c:v>
                </c:pt>
                <c:pt idx="15">
                  <c:v>-91.160684547684767</c:v>
                </c:pt>
                <c:pt idx="16">
                  <c:v>-91.254898814405976</c:v>
                </c:pt>
                <c:pt idx="17">
                  <c:v>-91.347790289526216</c:v>
                </c:pt>
                <c:pt idx="18">
                  <c:v>-91.439557883396176</c:v>
                </c:pt>
                <c:pt idx="19">
                  <c:v>-92.320222908504533</c:v>
                </c:pt>
                <c:pt idx="20">
                  <c:v>-93.169107311553802</c:v>
                </c:pt>
                <c:pt idx="21">
                  <c:v>-94.005433711648152</c:v>
                </c:pt>
                <c:pt idx="22">
                  <c:v>-94.83546658642328</c:v>
                </c:pt>
                <c:pt idx="23">
                  <c:v>-95.661673910735061</c:v>
                </c:pt>
                <c:pt idx="24">
                  <c:v>-96.485016862512765</c:v>
                </c:pt>
                <c:pt idx="25">
                  <c:v>-97.305718367973782</c:v>
                </c:pt>
                <c:pt idx="26">
                  <c:v>-98.123579643811041</c:v>
                </c:pt>
                <c:pt idx="27">
                  <c:v>-98.938135132929332</c:v>
                </c:pt>
                <c:pt idx="28">
                  <c:v>-99.748741468048223</c:v>
                </c:pt>
                <c:pt idx="29">
                  <c:v>-100.55463624677768</c:v>
                </c:pt>
                <c:pt idx="30">
                  <c:v>-101.35498118816686</c:v>
                </c:pt>
                <c:pt idx="31">
                  <c:v>-102.14889594927074</c:v>
                </c:pt>
                <c:pt idx="32">
                  <c:v>-102.93548544058068</c:v>
                </c:pt>
                <c:pt idx="33">
                  <c:v>-103.71386201939721</c:v>
                </c:pt>
                <c:pt idx="34">
                  <c:v>-104.48316333065138</c:v>
                </c:pt>
                <c:pt idx="35">
                  <c:v>-105.24256632540434</c:v>
                </c:pt>
                <c:pt idx="36">
                  <c:v>-105.99129790356056</c:v>
                </c:pt>
                <c:pt idx="37">
                  <c:v>-112.766335406233</c:v>
                </c:pt>
                <c:pt idx="38">
                  <c:v>-118.07492612630988</c:v>
                </c:pt>
                <c:pt idx="39">
                  <c:v>-121.98058394048275</c:v>
                </c:pt>
                <c:pt idx="40">
                  <c:v>-124.71964870661722</c:v>
                </c:pt>
                <c:pt idx="41">
                  <c:v>-126.5466025414852</c:v>
                </c:pt>
                <c:pt idx="42">
                  <c:v>-127.680099599512</c:v>
                </c:pt>
                <c:pt idx="43">
                  <c:v>-128.2932352414677</c:v>
                </c:pt>
                <c:pt idx="44">
                  <c:v>-128.51861879432391</c:v>
                </c:pt>
                <c:pt idx="45">
                  <c:v>-128.45663898031506</c:v>
                </c:pt>
                <c:pt idx="46">
                  <c:v>-128.183100891983</c:v>
                </c:pt>
                <c:pt idx="47">
                  <c:v>-127.75533236349943</c:v>
                </c:pt>
                <c:pt idx="48">
                  <c:v>-127.21681137207676</c:v>
                </c:pt>
                <c:pt idx="49">
                  <c:v>-126.6006041508985</c:v>
                </c:pt>
                <c:pt idx="50">
                  <c:v>-125.93190830214431</c:v>
                </c:pt>
                <c:pt idx="51">
                  <c:v>-125.22993923502685</c:v>
                </c:pt>
                <c:pt idx="52">
                  <c:v>-124.50933819838588</c:v>
                </c:pt>
                <c:pt idx="53">
                  <c:v>-123.78123112944877</c:v>
                </c:pt>
                <c:pt idx="54">
                  <c:v>-123.05403102334009</c:v>
                </c:pt>
                <c:pt idx="55">
                  <c:v>-116.63949329114135</c:v>
                </c:pt>
                <c:pt idx="56">
                  <c:v>-112.18761537253677</c:v>
                </c:pt>
                <c:pt idx="57">
                  <c:v>-109.20744417547888</c:v>
                </c:pt>
                <c:pt idx="58">
                  <c:v>-107.18608760174715</c:v>
                </c:pt>
                <c:pt idx="59">
                  <c:v>-105.79521909322865</c:v>
                </c:pt>
                <c:pt idx="60">
                  <c:v>-104.83326474578878</c:v>
                </c:pt>
                <c:pt idx="61">
                  <c:v>-104.17379807920736</c:v>
                </c:pt>
                <c:pt idx="62">
                  <c:v>-103.73480966899069</c:v>
                </c:pt>
                <c:pt idx="63">
                  <c:v>-103.46126321253131</c:v>
                </c:pt>
                <c:pt idx="64">
                  <c:v>-103.3150539891173</c:v>
                </c:pt>
                <c:pt idx="65">
                  <c:v>-103.26905596869142</c:v>
                </c:pt>
                <c:pt idx="66">
                  <c:v>-103.30347704998398</c:v>
                </c:pt>
                <c:pt idx="67">
                  <c:v>-103.40355695339552</c:v>
                </c:pt>
                <c:pt idx="68">
                  <c:v>-103.55807082180509</c:v>
                </c:pt>
                <c:pt idx="69">
                  <c:v>-103.75833091967105</c:v>
                </c:pt>
                <c:pt idx="70">
                  <c:v>-103.99750487673492</c:v>
                </c:pt>
                <c:pt idx="71">
                  <c:v>-104.27014023947092</c:v>
                </c:pt>
                <c:pt idx="72">
                  <c:v>-104.57182660544113</c:v>
                </c:pt>
                <c:pt idx="73">
                  <c:v>-108.61686301843039</c:v>
                </c:pt>
                <c:pt idx="74">
                  <c:v>-113.64468013426193</c:v>
                </c:pt>
                <c:pt idx="75">
                  <c:v>-119.08342157038021</c:v>
                </c:pt>
                <c:pt idx="76">
                  <c:v>-124.68222573970003</c:v>
                </c:pt>
                <c:pt idx="77">
                  <c:v>-130.31121980350508</c:v>
                </c:pt>
                <c:pt idx="78">
                  <c:v>-135.89867531745125</c:v>
                </c:pt>
                <c:pt idx="79">
                  <c:v>-141.40312510823506</c:v>
                </c:pt>
                <c:pt idx="80">
                  <c:v>-146.7996022811501</c:v>
                </c:pt>
                <c:pt idx="81">
                  <c:v>-152.07259576748217</c:v>
                </c:pt>
                <c:pt idx="82">
                  <c:v>-157.21233924550955</c:v>
                </c:pt>
                <c:pt idx="83">
                  <c:v>-162.21278367367967</c:v>
                </c:pt>
                <c:pt idx="84">
                  <c:v>-167.070435429913</c:v>
                </c:pt>
                <c:pt idx="85">
                  <c:v>-171.78365006749897</c:v>
                </c:pt>
                <c:pt idx="86">
                  <c:v>-176.35217353237942</c:v>
                </c:pt>
                <c:pt idx="87">
                  <c:v>-180.77682349099425</c:v>
                </c:pt>
                <c:pt idx="88">
                  <c:v>-185.05925435251345</c:v>
                </c:pt>
                <c:pt idx="89">
                  <c:v>-189.20177562388619</c:v>
                </c:pt>
                <c:pt idx="90">
                  <c:v>-193.20720672668369</c:v>
                </c:pt>
                <c:pt idx="91">
                  <c:v>-226.52003602314136</c:v>
                </c:pt>
                <c:pt idx="92">
                  <c:v>-250.22757659542702</c:v>
                </c:pt>
                <c:pt idx="93">
                  <c:v>-267.47330720970751</c:v>
                </c:pt>
                <c:pt idx="94">
                  <c:v>-280.37971523028148</c:v>
                </c:pt>
                <c:pt idx="95">
                  <c:v>-290.30868776270933</c:v>
                </c:pt>
                <c:pt idx="96">
                  <c:v>-298.13816947818964</c:v>
                </c:pt>
                <c:pt idx="97">
                  <c:v>-304.44638053434142</c:v>
                </c:pt>
                <c:pt idx="98">
                  <c:v>-309.6241712103261</c:v>
                </c:pt>
                <c:pt idx="99">
                  <c:v>-313.94273981746153</c:v>
                </c:pt>
                <c:pt idx="100">
                  <c:v>-317.59495789331731</c:v>
                </c:pt>
                <c:pt idx="101">
                  <c:v>-320.7211259714735</c:v>
                </c:pt>
                <c:pt idx="102">
                  <c:v>-323.42541100954406</c:v>
                </c:pt>
                <c:pt idx="103">
                  <c:v>-325.78658978219244</c:v>
                </c:pt>
                <c:pt idx="104">
                  <c:v>-327.86523289508693</c:v>
                </c:pt>
                <c:pt idx="105">
                  <c:v>-329.70861258283503</c:v>
                </c:pt>
                <c:pt idx="106">
                  <c:v>-331.35412263766113</c:v>
                </c:pt>
                <c:pt idx="107">
                  <c:v>-332.83170547597899</c:v>
                </c:pt>
                <c:pt idx="108">
                  <c:v>-334.16560376030418</c:v>
                </c:pt>
                <c:pt idx="109">
                  <c:v>-342.69197171429744</c:v>
                </c:pt>
                <c:pt idx="110">
                  <c:v>-346.99633163010805</c:v>
                </c:pt>
                <c:pt idx="111">
                  <c:v>-349.58864135769159</c:v>
                </c:pt>
                <c:pt idx="112">
                  <c:v>-351.32004992062269</c:v>
                </c:pt>
                <c:pt idx="113">
                  <c:v>-352.55807083519949</c:v>
                </c:pt>
                <c:pt idx="114">
                  <c:v>-353.48719431457164</c:v>
                </c:pt>
                <c:pt idx="115">
                  <c:v>-354.2101604496093</c:v>
                </c:pt>
                <c:pt idx="116">
                  <c:v>-354.78870926524615</c:v>
                </c:pt>
                <c:pt idx="117">
                  <c:v>-355.26217195958094</c:v>
                </c:pt>
                <c:pt idx="118">
                  <c:v>-355.65678951649915</c:v>
                </c:pt>
                <c:pt idx="119">
                  <c:v>-355.99073916774796</c:v>
                </c:pt>
                <c:pt idx="120">
                  <c:v>-356.27701032816651</c:v>
                </c:pt>
                <c:pt idx="121">
                  <c:v>-356.52513182481277</c:v>
                </c:pt>
                <c:pt idx="122">
                  <c:v>-356.74225222443272</c:v>
                </c:pt>
                <c:pt idx="123">
                  <c:v>-356.93383928383162</c:v>
                </c:pt>
                <c:pt idx="124">
                  <c:v>-357.10414647318339</c:v>
                </c:pt>
                <c:pt idx="125">
                  <c:v>-357.25653230110061</c:v>
                </c:pt>
                <c:pt idx="126">
                  <c:v>-357.39368391467701</c:v>
                </c:pt>
              </c:numCache>
            </c:numRef>
          </c:yVal>
          <c:smooth val="0"/>
          <c:extLst>
            <c:ext xmlns:c16="http://schemas.microsoft.com/office/drawing/2014/chart" uri="{C3380CC4-5D6E-409C-BE32-E72D297353CC}">
              <c16:uniqueId val="{00000001-D0D2-43AE-B4D9-BE62830E910C}"/>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zh-TW"/>
          </a:p>
        </c:txPr>
        <c:crossAx val="80978688"/>
        <c:crossesAt val="-40"/>
        <c:crossBetween val="midCat"/>
        <c:majorUnit val="10"/>
        <c:minorUnit val="10"/>
      </c:valAx>
      <c:valAx>
        <c:axId val="80978688"/>
        <c:scaling>
          <c:orientation val="minMax"/>
          <c:max val="80"/>
          <c:min val="-6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zh-TW"/>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27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zh-TW"/>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zh-TW"/>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OPENLOOP (CV)</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Bode!$AE$11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Bode!$AE$12:$AE$138</c:f>
              <c:numCache>
                <c:formatCode>_(* #,##0.00_);_(* \(#,##0.00\);_(* "-"??_);_(@_)</c:formatCode>
                <c:ptCount val="127"/>
                <c:pt idx="0">
                  <c:v>74.278132571704575</c:v>
                </c:pt>
                <c:pt idx="1">
                  <c:v>70.758941047911662</c:v>
                </c:pt>
                <c:pt idx="2">
                  <c:v>68.260991979053131</c:v>
                </c:pt>
                <c:pt idx="3">
                  <c:v>66.323068061953904</c:v>
                </c:pt>
                <c:pt idx="4">
                  <c:v>64.739480932311167</c:v>
                </c:pt>
                <c:pt idx="5">
                  <c:v>63.400450892007356</c:v>
                </c:pt>
                <c:pt idx="6">
                  <c:v>62.240430167464915</c:v>
                </c:pt>
                <c:pt idx="7">
                  <c:v>61.217131662180677</c:v>
                </c:pt>
                <c:pt idx="8">
                  <c:v>60.301678729139397</c:v>
                </c:pt>
                <c:pt idx="9">
                  <c:v>59.473473201306717</c:v>
                </c:pt>
                <c:pt idx="10">
                  <c:v>58.717305288938846</c:v>
                </c:pt>
                <c:pt idx="11">
                  <c:v>58.021624022504874</c:v>
                </c:pt>
                <c:pt idx="12">
                  <c:v>57.377450362369885</c:v>
                </c:pt>
                <c:pt idx="13">
                  <c:v>56.777666137780514</c:v>
                </c:pt>
                <c:pt idx="14">
                  <c:v>56.216532908076033</c:v>
                </c:pt>
                <c:pt idx="15">
                  <c:v>55.689356926483654</c:v>
                </c:pt>
                <c:pt idx="16">
                  <c:v>55.192250003239891</c:v>
                </c:pt>
                <c:pt idx="17">
                  <c:v>54.721955104735699</c:v>
                </c:pt>
                <c:pt idx="18">
                  <c:v>54.275716735267352</c:v>
                </c:pt>
                <c:pt idx="19">
                  <c:v>50.744753777737571</c:v>
                </c:pt>
                <c:pt idx="20">
                  <c:v>48.23319356520831</c:v>
                </c:pt>
                <c:pt idx="21">
                  <c:v>46.278608387193927</c:v>
                </c:pt>
                <c:pt idx="22">
                  <c:v>44.675047533545964</c:v>
                </c:pt>
                <c:pt idx="23">
                  <c:v>43.312680428725464</c:v>
                </c:pt>
                <c:pt idx="24">
                  <c:v>42.125978604806633</c:v>
                </c:pt>
                <c:pt idx="25">
                  <c:v>41.07270553799971</c:v>
                </c:pt>
                <c:pt idx="26">
                  <c:v>40.124052793169639</c:v>
                </c:pt>
                <c:pt idx="27">
                  <c:v>39.259502259828352</c:v>
                </c:pt>
                <c:pt idx="28">
                  <c:v>38.463933093489125</c:v>
                </c:pt>
                <c:pt idx="29">
                  <c:v>37.725890358380482</c:v>
                </c:pt>
                <c:pt idx="30">
                  <c:v>37.036496854066129</c:v>
                </c:pt>
                <c:pt idx="31">
                  <c:v>36.38874102418194</c:v>
                </c:pt>
                <c:pt idx="32">
                  <c:v>35.776994924083354</c:v>
                </c:pt>
                <c:pt idx="33">
                  <c:v>35.196678375052102</c:v>
                </c:pt>
                <c:pt idx="34">
                  <c:v>34.644019077861415</c:v>
                </c:pt>
                <c:pt idx="35">
                  <c:v>34.115877512013355</c:v>
                </c:pt>
                <c:pt idx="36">
                  <c:v>33.609616663309552</c:v>
                </c:pt>
                <c:pt idx="37">
                  <c:v>29.384434501326744</c:v>
                </c:pt>
                <c:pt idx="38">
                  <c:v>26.080914438049753</c:v>
                </c:pt>
                <c:pt idx="39">
                  <c:v>23.316048827868091</c:v>
                </c:pt>
                <c:pt idx="40">
                  <c:v>20.931312121070331</c:v>
                </c:pt>
                <c:pt idx="41">
                  <c:v>18.840891246092696</c:v>
                </c:pt>
                <c:pt idx="42">
                  <c:v>16.988995647503462</c:v>
                </c:pt>
                <c:pt idx="43">
                  <c:v>15.335242287544659</c:v>
                </c:pt>
                <c:pt idx="44">
                  <c:v>13.848636509434957</c:v>
                </c:pt>
                <c:pt idx="45">
                  <c:v>12.50458784287235</c:v>
                </c:pt>
                <c:pt idx="46">
                  <c:v>11.283177290796662</c:v>
                </c:pt>
                <c:pt idx="47">
                  <c:v>10.168032177166449</c:v>
                </c:pt>
                <c:pt idx="48">
                  <c:v>9.1455418879623362</c:v>
                </c:pt>
                <c:pt idx="49">
                  <c:v>8.204286606078778</c:v>
                </c:pt>
                <c:pt idx="50">
                  <c:v>7.3346089545411228</c:v>
                </c:pt>
                <c:pt idx="51">
                  <c:v>6.5282860073345663</c:v>
                </c:pt>
                <c:pt idx="52">
                  <c:v>5.7782739779186247</c:v>
                </c:pt>
                <c:pt idx="53">
                  <c:v>5.0785067193557829</c:v>
                </c:pt>
                <c:pt idx="54">
                  <c:v>4.4237347810610839</c:v>
                </c:pt>
                <c:pt idx="55">
                  <c:v>-0.42251850380211486</c:v>
                </c:pt>
                <c:pt idx="56">
                  <c:v>-3.5238599000374329</c:v>
                </c:pt>
                <c:pt idx="57">
                  <c:v>-5.7747121859144936</c:v>
                </c:pt>
                <c:pt idx="58">
                  <c:v>-7.5369079047092002</c:v>
                </c:pt>
                <c:pt idx="59">
                  <c:v>-8.9849253642151545</c:v>
                </c:pt>
                <c:pt idx="60">
                  <c:v>-10.214447601563275</c:v>
                </c:pt>
                <c:pt idx="61">
                  <c:v>-11.283187604949333</c:v>
                </c:pt>
                <c:pt idx="62">
                  <c:v>-12.228545763233294</c:v>
                </c:pt>
                <c:pt idx="63">
                  <c:v>-13.076136508181607</c:v>
                </c:pt>
                <c:pt idx="64">
                  <c:v>-13.844282705772089</c:v>
                </c:pt>
                <c:pt idx="65">
                  <c:v>-14.546557717015798</c:v>
                </c:pt>
                <c:pt idx="66">
                  <c:v>-15.193308341324581</c:v>
                </c:pt>
                <c:pt idx="67">
                  <c:v>-15.792611648690583</c:v>
                </c:pt>
                <c:pt idx="68">
                  <c:v>-16.350900555540093</c:v>
                </c:pt>
                <c:pt idx="69">
                  <c:v>-16.873386856798291</c:v>
                </c:pt>
                <c:pt idx="70">
                  <c:v>-17.364355677298427</c:v>
                </c:pt>
                <c:pt idx="71">
                  <c:v>-17.827375612957027</c:v>
                </c:pt>
                <c:pt idx="72">
                  <c:v>-18.265452013713983</c:v>
                </c:pt>
                <c:pt idx="73">
                  <c:v>-21.698375636216628</c:v>
                </c:pt>
                <c:pt idx="74">
                  <c:v>-24.131660346086932</c:v>
                </c:pt>
                <c:pt idx="75">
                  <c:v>-26.052980490802675</c:v>
                </c:pt>
                <c:pt idx="76">
                  <c:v>-27.669811710646805</c:v>
                </c:pt>
                <c:pt idx="77">
                  <c:v>-29.086474975468004</c:v>
                </c:pt>
                <c:pt idx="78">
                  <c:v>-30.361880421301194</c:v>
                </c:pt>
                <c:pt idx="79">
                  <c:v>-31.532348066794214</c:v>
                </c:pt>
                <c:pt idx="80">
                  <c:v>-32.621798450928864</c:v>
                </c:pt>
                <c:pt idx="81">
                  <c:v>-33.646777264699729</c:v>
                </c:pt>
                <c:pt idx="82">
                  <c:v>-34.619155377104875</c:v>
                </c:pt>
                <c:pt idx="83">
                  <c:v>-35.547690716820512</c:v>
                </c:pt>
                <c:pt idx="84">
                  <c:v>-36.438988831246412</c:v>
                </c:pt>
                <c:pt idx="85">
                  <c:v>-37.298123603314551</c:v>
                </c:pt>
                <c:pt idx="86">
                  <c:v>-38.129054422841662</c:v>
                </c:pt>
                <c:pt idx="87">
                  <c:v>-38.934915345489017</c:v>
                </c:pt>
                <c:pt idx="88">
                  <c:v>-39.718220433876184</c:v>
                </c:pt>
                <c:pt idx="89">
                  <c:v>-40.481012389790493</c:v>
                </c:pt>
                <c:pt idx="90">
                  <c:v>-41.224971791594882</c:v>
                </c:pt>
                <c:pt idx="91">
                  <c:v>-47.856419844800129</c:v>
                </c:pt>
                <c:pt idx="92">
                  <c:v>-53.411195519180332</c:v>
                </c:pt>
                <c:pt idx="93">
                  <c:v>-58.198191411179891</c:v>
                </c:pt>
                <c:pt idx="94">
                  <c:v>-62.401473435016435</c:v>
                </c:pt>
                <c:pt idx="95">
                  <c:v>-66.147761431292651</c:v>
                </c:pt>
                <c:pt idx="96">
                  <c:v>-69.52840404514626</c:v>
                </c:pt>
                <c:pt idx="97">
                  <c:v>-72.610862126116047</c:v>
                </c:pt>
                <c:pt idx="98">
                  <c:v>-75.445901859582392</c:v>
                </c:pt>
                <c:pt idx="99">
                  <c:v>-78.072395493734518</c:v>
                </c:pt>
                <c:pt idx="100">
                  <c:v>-80.520611118483714</c:v>
                </c:pt>
                <c:pt idx="101">
                  <c:v>-82.814502303510693</c:v>
                </c:pt>
                <c:pt idx="102">
                  <c:v>-84.973321723900881</c:v>
                </c:pt>
                <c:pt idx="103">
                  <c:v>-87.012771934086757</c:v>
                </c:pt>
                <c:pt idx="104">
                  <c:v>-88.945835868330008</c:v>
                </c:pt>
                <c:pt idx="105">
                  <c:v>-90.783383491395284</c:v>
                </c:pt>
                <c:pt idx="106">
                  <c:v>-92.534620415026922</c:v>
                </c:pt>
                <c:pt idx="107">
                  <c:v>-94.207423799393325</c:v>
                </c:pt>
                <c:pt idx="108">
                  <c:v>-95.808597018216517</c:v>
                </c:pt>
                <c:pt idx="109">
                  <c:v>-108.90059698163124</c:v>
                </c:pt>
                <c:pt idx="110">
                  <c:v>-118.57948381898471</c:v>
                </c:pt>
                <c:pt idx="111">
                  <c:v>-126.26858803343737</c:v>
                </c:pt>
                <c:pt idx="112">
                  <c:v>-132.66115555788386</c:v>
                </c:pt>
                <c:pt idx="113">
                  <c:v>-138.14522381144502</c:v>
                </c:pt>
                <c:pt idx="114">
                  <c:v>-142.95850026583031</c:v>
                </c:pt>
                <c:pt idx="115">
                  <c:v>-147.25636936619378</c:v>
                </c:pt>
                <c:pt idx="116">
                  <c:v>-151.1455560999521</c:v>
                </c:pt>
                <c:pt idx="117">
                  <c:v>-154.70230471324069</c:v>
                </c:pt>
                <c:pt idx="118">
                  <c:v>-157.98287232168198</c:v>
                </c:pt>
                <c:pt idx="119">
                  <c:v>-161.02991389013607</c:v>
                </c:pt>
                <c:pt idx="120">
                  <c:v>-163.87653611635443</c:v>
                </c:pt>
                <c:pt idx="121">
                  <c:v>-166.54896317150957</c:v>
                </c:pt>
                <c:pt idx="122">
                  <c:v>-169.06834215218964</c:v>
                </c:pt>
                <c:pt idx="123">
                  <c:v>-171.45199728688374</c:v>
                </c:pt>
                <c:pt idx="124">
                  <c:v>-173.71432078537885</c:v>
                </c:pt>
                <c:pt idx="125">
                  <c:v>-175.86741826842859</c:v>
                </c:pt>
                <c:pt idx="126">
                  <c:v>-177.92158485553841</c:v>
                </c:pt>
              </c:numCache>
            </c:numRef>
          </c:yVal>
          <c:smooth val="0"/>
          <c:extLst>
            <c:ext xmlns:c16="http://schemas.microsoft.com/office/drawing/2014/chart" uri="{C3380CC4-5D6E-409C-BE32-E72D297353CC}">
              <c16:uniqueId val="{00000000-0C54-4215-900B-50CE7095AD8F}"/>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Bode!$AF$11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Bode!$AF$12:$AF$138</c:f>
              <c:numCache>
                <c:formatCode>_(* #,##0.00_);_(* \(#,##0.00\);_(* "-"??_);_(@_)</c:formatCode>
                <c:ptCount val="127"/>
                <c:pt idx="0">
                  <c:v>-88.26125103408107</c:v>
                </c:pt>
                <c:pt idx="1">
                  <c:v>-88.996426205406038</c:v>
                </c:pt>
                <c:pt idx="2">
                  <c:v>-89.410897344256739</c:v>
                </c:pt>
                <c:pt idx="3">
                  <c:v>-89.697009447173542</c:v>
                </c:pt>
                <c:pt idx="4">
                  <c:v>-89.918923507596077</c:v>
                </c:pt>
                <c:pt idx="5">
                  <c:v>-90.104145111234502</c:v>
                </c:pt>
                <c:pt idx="6">
                  <c:v>-90.266428808813515</c:v>
                </c:pt>
                <c:pt idx="7">
                  <c:v>-90.413416306236286</c:v>
                </c:pt>
                <c:pt idx="8">
                  <c:v>-90.549692497643022</c:v>
                </c:pt>
                <c:pt idx="9">
                  <c:v>-90.678174785326334</c:v>
                </c:pt>
                <c:pt idx="10">
                  <c:v>-90.80080781126496</c:v>
                </c:pt>
                <c:pt idx="11">
                  <c:v>-90.918937570508319</c:v>
                </c:pt>
                <c:pt idx="12">
                  <c:v>-91.033525201650008</c:v>
                </c:pt>
                <c:pt idx="13">
                  <c:v>-91.145275266294618</c:v>
                </c:pt>
                <c:pt idx="14">
                  <c:v>-91.254715926246476</c:v>
                </c:pt>
                <c:pt idx="15">
                  <c:v>-91.362250824168683</c:v>
                </c:pt>
                <c:pt idx="16">
                  <c:v>-91.468193671395994</c:v>
                </c:pt>
                <c:pt idx="17">
                  <c:v>-91.572791913684028</c:v>
                </c:pt>
                <c:pt idx="18">
                  <c:v>-91.676243297473931</c:v>
                </c:pt>
                <c:pt idx="19">
                  <c:v>-92.672232328597673</c:v>
                </c:pt>
                <c:pt idx="20">
                  <c:v>-93.632930111216723</c:v>
                </c:pt>
                <c:pt idx="21">
                  <c:v>-94.576567208612687</c:v>
                </c:pt>
                <c:pt idx="22">
                  <c:v>-95.508553327398047</c:v>
                </c:pt>
                <c:pt idx="23">
                  <c:v>-96.430656060251678</c:v>
                </c:pt>
                <c:pt idx="24">
                  <c:v>-97.343299024488601</c:v>
                </c:pt>
                <c:pt idx="25">
                  <c:v>-98.246330638590962</c:v>
                </c:pt>
                <c:pt idx="26">
                  <c:v>-99.139333765834976</c:v>
                </c:pt>
                <c:pt idx="27">
                  <c:v>-100.02176808647006</c:v>
                </c:pt>
                <c:pt idx="28">
                  <c:v>-100.89304247431942</c:v>
                </c:pt>
                <c:pt idx="29">
                  <c:v>-101.7525547878152</c:v>
                </c:pt>
                <c:pt idx="30">
                  <c:v>-102.59971511078631</c:v>
                </c:pt>
                <c:pt idx="31">
                  <c:v>-103.43395993357866</c:v>
                </c:pt>
                <c:pt idx="32">
                  <c:v>-104.2547610309957</c:v>
                </c:pt>
                <c:pt idx="33">
                  <c:v>-105.06163103968397</c:v>
                </c:pt>
                <c:pt idx="34">
                  <c:v>-105.85412686317099</c:v>
                </c:pt>
                <c:pt idx="35">
                  <c:v>-106.63185157429483</c:v>
                </c:pt>
                <c:pt idx="36">
                  <c:v>-107.39445523366889</c:v>
                </c:pt>
                <c:pt idx="37">
                  <c:v>-114.14400786252754</c:v>
                </c:pt>
                <c:pt idx="38">
                  <c:v>-119.2984316260513</c:v>
                </c:pt>
                <c:pt idx="39">
                  <c:v>-123.03463857611622</c:v>
                </c:pt>
                <c:pt idx="40">
                  <c:v>-125.62013898838305</c:v>
                </c:pt>
                <c:pt idx="41">
                  <c:v>-127.31440482711184</c:v>
                </c:pt>
                <c:pt idx="42">
                  <c:v>-128.33407108031676</c:v>
                </c:pt>
                <c:pt idx="43">
                  <c:v>-128.8489118973751</c:v>
                </c:pt>
                <c:pt idx="44">
                  <c:v>-128.98846257426294</c:v>
                </c:pt>
                <c:pt idx="45">
                  <c:v>-128.85060386284295</c:v>
                </c:pt>
                <c:pt idx="46">
                  <c:v>-128.5091748230538</c:v>
                </c:pt>
                <c:pt idx="47">
                  <c:v>-128.01997867760963</c:v>
                </c:pt>
                <c:pt idx="48">
                  <c:v>-127.42530982813963</c:v>
                </c:pt>
                <c:pt idx="49">
                  <c:v>-126.75730988013132</c:v>
                </c:pt>
                <c:pt idx="50">
                  <c:v>-126.04044790237521</c:v>
                </c:pt>
                <c:pt idx="51">
                  <c:v>-125.29335986988818</c:v>
                </c:pt>
                <c:pt idx="52">
                  <c:v>-124.53022178438798</c:v>
                </c:pt>
                <c:pt idx="53">
                  <c:v>-123.76178254394821</c:v>
                </c:pt>
                <c:pt idx="54">
                  <c:v>-122.99614687070907</c:v>
                </c:pt>
                <c:pt idx="55">
                  <c:v>-116.26159585343956</c:v>
                </c:pt>
                <c:pt idx="56">
                  <c:v>-111.54716582439421</c:v>
                </c:pt>
                <c:pt idx="57">
                  <c:v>-108.32853699143547</c:v>
                </c:pt>
                <c:pt idx="58">
                  <c:v>-106.08149313239169</c:v>
                </c:pt>
                <c:pt idx="59">
                  <c:v>-104.47289205106622</c:v>
                </c:pt>
                <c:pt idx="60">
                  <c:v>-103.29881359914936</c:v>
                </c:pt>
                <c:pt idx="61">
                  <c:v>-102.43158319635982</c:v>
                </c:pt>
                <c:pt idx="62">
                  <c:v>-101.78848703222869</c:v>
                </c:pt>
                <c:pt idx="63">
                  <c:v>-101.31407430275581</c:v>
                </c:pt>
                <c:pt idx="64">
                  <c:v>-100.96998815870326</c:v>
                </c:pt>
                <c:pt idx="65">
                  <c:v>-100.72894403437628</c:v>
                </c:pt>
                <c:pt idx="66">
                  <c:v>-100.57104569832903</c:v>
                </c:pt>
                <c:pt idx="67">
                  <c:v>-100.48145988336731</c:v>
                </c:pt>
                <c:pt idx="68">
                  <c:v>-100.44890567803731</c:v>
                </c:pt>
                <c:pt idx="69">
                  <c:v>-100.46464740741244</c:v>
                </c:pt>
                <c:pt idx="70">
                  <c:v>-100.52180739524192</c:v>
                </c:pt>
                <c:pt idx="71">
                  <c:v>-100.61488716520778</c:v>
                </c:pt>
                <c:pt idx="72">
                  <c:v>-100.73942761975775</c:v>
                </c:pt>
                <c:pt idx="73">
                  <c:v>-103.13216935119723</c:v>
                </c:pt>
                <c:pt idx="74">
                  <c:v>-106.67439546303181</c:v>
                </c:pt>
                <c:pt idx="75">
                  <c:v>-110.7289810475186</c:v>
                </c:pt>
                <c:pt idx="76">
                  <c:v>-115.00230089087877</c:v>
                </c:pt>
                <c:pt idx="77">
                  <c:v>-119.34226764207369</c:v>
                </c:pt>
                <c:pt idx="78">
                  <c:v>-123.66756063490824</c:v>
                </c:pt>
                <c:pt idx="79">
                  <c:v>-127.93373270463701</c:v>
                </c:pt>
                <c:pt idx="80">
                  <c:v>-132.11598844285183</c:v>
                </c:pt>
                <c:pt idx="81">
                  <c:v>-136.20033648692143</c:v>
                </c:pt>
                <c:pt idx="82">
                  <c:v>-140.1789791365762</c:v>
                </c:pt>
                <c:pt idx="83">
                  <c:v>-144.04784929892753</c:v>
                </c:pt>
                <c:pt idx="84">
                  <c:v>-147.80524632305571</c:v>
                </c:pt>
                <c:pt idx="85">
                  <c:v>-151.4510444613172</c:v>
                </c:pt>
                <c:pt idx="86">
                  <c:v>-154.986207562098</c:v>
                </c:pt>
                <c:pt idx="87">
                  <c:v>-158.41247329434242</c:v>
                </c:pt>
                <c:pt idx="88">
                  <c:v>-161.73213550944877</c:v>
                </c:pt>
                <c:pt idx="89">
                  <c:v>-164.94788661117974</c:v>
                </c:pt>
                <c:pt idx="90">
                  <c:v>-168.06269896378956</c:v>
                </c:pt>
                <c:pt idx="91">
                  <c:v>-194.37697614239806</c:v>
                </c:pt>
                <c:pt idx="92">
                  <c:v>-214.00538931169126</c:v>
                </c:pt>
                <c:pt idx="93">
                  <c:v>-229.21517017411821</c:v>
                </c:pt>
                <c:pt idx="94">
                  <c:v>-241.4345759213368</c:v>
                </c:pt>
                <c:pt idx="95">
                  <c:v>-251.55233945319983</c:v>
                </c:pt>
                <c:pt idx="96">
                  <c:v>-260.13506071702284</c:v>
                </c:pt>
                <c:pt idx="97">
                  <c:v>-267.5560259498115</c:v>
                </c:pt>
                <c:pt idx="98">
                  <c:v>-274.06982782903231</c:v>
                </c:pt>
                <c:pt idx="99">
                  <c:v>-279.85612737479101</c:v>
                </c:pt>
                <c:pt idx="100">
                  <c:v>-285.04587365627071</c:v>
                </c:pt>
                <c:pt idx="101">
                  <c:v>-289.73739584746573</c:v>
                </c:pt>
                <c:pt idx="102">
                  <c:v>-294.00652833104573</c:v>
                </c:pt>
                <c:pt idx="103">
                  <c:v>-297.91314357524425</c:v>
                </c:pt>
                <c:pt idx="104">
                  <c:v>-301.50547498392712</c:v>
                </c:pt>
                <c:pt idx="105">
                  <c:v>-304.82305042664154</c:v>
                </c:pt>
                <c:pt idx="106">
                  <c:v>-307.89873336653056</c:v>
                </c:pt>
                <c:pt idx="107">
                  <c:v>-310.76017823366709</c:v>
                </c:pt>
                <c:pt idx="108">
                  <c:v>-313.43089284519993</c:v>
                </c:pt>
                <c:pt idx="109">
                  <c:v>-333.01752357498037</c:v>
                </c:pt>
                <c:pt idx="110">
                  <c:v>-345.42482397742697</c:v>
                </c:pt>
                <c:pt idx="111">
                  <c:v>-354.43495579880175</c:v>
                </c:pt>
                <c:pt idx="112">
                  <c:v>-361.55183120862688</c:v>
                </c:pt>
                <c:pt idx="113">
                  <c:v>-367.47768367442785</c:v>
                </c:pt>
                <c:pt idx="114">
                  <c:v>-372.58092385170596</c:v>
                </c:pt>
                <c:pt idx="115">
                  <c:v>-377.07344599894304</c:v>
                </c:pt>
                <c:pt idx="116">
                  <c:v>-381.08693052000615</c:v>
                </c:pt>
                <c:pt idx="117">
                  <c:v>-384.7089551747946</c:v>
                </c:pt>
                <c:pt idx="118">
                  <c:v>-388.00137392729596</c:v>
                </c:pt>
                <c:pt idx="119">
                  <c:v>-391.01022012244152</c:v>
                </c:pt>
                <c:pt idx="120">
                  <c:v>-393.77129744583988</c:v>
                </c:pt>
                <c:pt idx="121">
                  <c:v>-396.31346656956475</c:v>
                </c:pt>
                <c:pt idx="122">
                  <c:v>-398.66065110056024</c:v>
                </c:pt>
                <c:pt idx="123">
                  <c:v>-400.83310813868718</c:v>
                </c:pt>
                <c:pt idx="124">
                  <c:v>-402.8482642806473</c:v>
                </c:pt>
                <c:pt idx="125">
                  <c:v>-404.72128778566571</c:v>
                </c:pt>
                <c:pt idx="126">
                  <c:v>-406.46549608982428</c:v>
                </c:pt>
              </c:numCache>
            </c:numRef>
          </c:yVal>
          <c:smooth val="0"/>
          <c:extLst>
            <c:ext xmlns:c16="http://schemas.microsoft.com/office/drawing/2014/chart" uri="{C3380CC4-5D6E-409C-BE32-E72D297353CC}">
              <c16:uniqueId val="{00000001-0C54-4215-900B-50CE7095AD8F}"/>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zh-TW"/>
          </a:p>
        </c:txPr>
        <c:crossAx val="80978688"/>
        <c:crossesAt val="-40"/>
        <c:crossBetween val="midCat"/>
        <c:majorUnit val="10"/>
        <c:minorUnit val="10"/>
      </c:valAx>
      <c:valAx>
        <c:axId val="80978688"/>
        <c:scaling>
          <c:orientation val="minMax"/>
          <c:max val="80"/>
          <c:min val="-6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zh-TW"/>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27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zh-TW"/>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zh-TW"/>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000000"/>
                </a:solidFill>
                <a:latin typeface="Arial"/>
                <a:ea typeface="Arial"/>
                <a:cs typeface="Arial"/>
              </a:defRPr>
            </a:pPr>
            <a:r>
              <a:rPr lang="en-US" sz="1600" baseline="0"/>
              <a:t>CC LOOP - OPEN LOOP RESPONSE in CCM </a:t>
            </a:r>
            <a:r>
              <a:rPr lang="en-US" sz="1800" b="1" i="0" baseline="0">
                <a:effectLst/>
              </a:rPr>
              <a:t>@V</a:t>
            </a:r>
            <a:r>
              <a:rPr lang="en-US" sz="1800" b="1" i="0" baseline="-25000">
                <a:effectLst/>
              </a:rPr>
              <a:t>SUPPLY(typ)</a:t>
            </a:r>
            <a:endParaRPr lang="en-US" sz="1600">
              <a:effectLst/>
            </a:endParaRPr>
          </a:p>
        </c:rich>
      </c:tx>
      <c:layout>
        <c:manualLayout>
          <c:xMode val="edge"/>
          <c:yMode val="edge"/>
          <c:x val="0.12328808296910675"/>
          <c:y val="1.6251301945748486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Bode!$BH$11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Bode!$BH$12:$BH$138</c:f>
              <c:numCache>
                <c:formatCode>_(* #,##0.00_);_(* \(#,##0.00\);_(* "-"??_);_(@_)</c:formatCode>
                <c:ptCount val="127"/>
                <c:pt idx="0">
                  <c:v>72.612504397076918</c:v>
                </c:pt>
                <c:pt idx="1">
                  <c:v>69.093350709247431</c:v>
                </c:pt>
                <c:pt idx="2">
                  <c:v>66.595454599947814</c:v>
                </c:pt>
                <c:pt idx="3">
                  <c:v>64.657598755219567</c:v>
                </c:pt>
                <c:pt idx="4">
                  <c:v>63.074094796905477</c:v>
                </c:pt>
                <c:pt idx="5">
                  <c:v>61.735163009968502</c:v>
                </c:pt>
                <c:pt idx="6">
                  <c:v>60.575255600856167</c:v>
                </c:pt>
                <c:pt idx="7">
                  <c:v>59.55208545004465</c:v>
                </c:pt>
                <c:pt idx="8">
                  <c:v>58.636775884463532</c:v>
                </c:pt>
                <c:pt idx="9">
                  <c:v>57.808728708003173</c:v>
                </c:pt>
                <c:pt idx="10">
                  <c:v>57.052734098838215</c:v>
                </c:pt>
                <c:pt idx="11">
                  <c:v>56.357241052365836</c:v>
                </c:pt>
                <c:pt idx="12">
                  <c:v>55.713270490907753</c:v>
                </c:pt>
                <c:pt idx="13">
                  <c:v>55.113704202713912</c:v>
                </c:pt>
                <c:pt idx="14">
                  <c:v>54.552803703194499</c:v>
                </c:pt>
                <c:pt idx="15">
                  <c:v>54.025875198737346</c:v>
                </c:pt>
                <c:pt idx="16">
                  <c:v>53.529030449852549</c:v>
                </c:pt>
                <c:pt idx="17">
                  <c:v>53.059012370343225</c:v>
                </c:pt>
                <c:pt idx="18">
                  <c:v>52.613065409081081</c:v>
                </c:pt>
                <c:pt idx="19">
                  <c:v>49.085804778336488</c:v>
                </c:pt>
                <c:pt idx="20">
                  <c:v>46.579325011006048</c:v>
                </c:pt>
                <c:pt idx="21">
                  <c:v>44.631101617267689</c:v>
                </c:pt>
                <c:pt idx="22">
                  <c:v>43.035067467219406</c:v>
                </c:pt>
                <c:pt idx="23">
                  <c:v>41.681260962875399</c:v>
                </c:pt>
                <c:pt idx="24">
                  <c:v>40.504013256325578</c:v>
                </c:pt>
                <c:pt idx="25">
                  <c:v>39.460943185887785</c:v>
                </c:pt>
                <c:pt idx="26">
                  <c:v>38.523098082930886</c:v>
                </c:pt>
                <c:pt idx="27">
                  <c:v>37.669820021720611</c:v>
                </c:pt>
                <c:pt idx="28">
                  <c:v>36.885856001575121</c:v>
                </c:pt>
                <c:pt idx="29">
                  <c:v>36.159629013598718</c:v>
                </c:pt>
                <c:pt idx="30">
                  <c:v>35.482151498015831</c:v>
                </c:pt>
                <c:pt idx="31">
                  <c:v>34.846314163303717</c:v>
                </c:pt>
                <c:pt idx="32">
                  <c:v>34.246404248022891</c:v>
                </c:pt>
                <c:pt idx="33">
                  <c:v>33.677769471707897</c:v>
                </c:pt>
                <c:pt idx="34">
                  <c:v>33.136577567670003</c:v>
                </c:pt>
                <c:pt idx="35">
                  <c:v>32.619640335969009</c:v>
                </c:pt>
                <c:pt idx="36">
                  <c:v>32.124282357170827</c:v>
                </c:pt>
                <c:pt idx="37">
                  <c:v>27.988300479145725</c:v>
                </c:pt>
                <c:pt idx="38">
                  <c:v>24.741219046139385</c:v>
                </c:pt>
                <c:pt idx="39">
                  <c:v>22.011332403273922</c:v>
                </c:pt>
                <c:pt idx="40">
                  <c:v>19.648928080314068</c:v>
                </c:pt>
                <c:pt idx="41">
                  <c:v>17.573347628962221</c:v>
                </c:pt>
                <c:pt idx="42">
                  <c:v>15.731700670404347</c:v>
                </c:pt>
                <c:pt idx="43">
                  <c:v>14.085268764834748</c:v>
                </c:pt>
                <c:pt idx="44">
                  <c:v>12.604046964473419</c:v>
                </c:pt>
                <c:pt idx="45">
                  <c:v>11.264055688814651</c:v>
                </c:pt>
                <c:pt idx="46">
                  <c:v>10.045766582702784</c:v>
                </c:pt>
                <c:pt idx="47">
                  <c:v>8.9330649174145549</c:v>
                </c:pt>
                <c:pt idx="48">
                  <c:v>7.9125153608322405</c:v>
                </c:pt>
                <c:pt idx="49">
                  <c:v>6.972820281656162</c:v>
                </c:pt>
                <c:pt idx="50">
                  <c:v>6.1044094312479933</c:v>
                </c:pt>
                <c:pt idx="51">
                  <c:v>5.299123283238079</c:v>
                </c:pt>
                <c:pt idx="52">
                  <c:v>4.5499650274898631</c:v>
                </c:pt>
                <c:pt idx="53">
                  <c:v>3.8509038956270145</c:v>
                </c:pt>
                <c:pt idx="54">
                  <c:v>3.1967174752313001</c:v>
                </c:pt>
                <c:pt idx="55">
                  <c:v>-1.6472844339674462</c:v>
                </c:pt>
                <c:pt idx="56">
                  <c:v>-4.7492080190821184</c:v>
                </c:pt>
                <c:pt idx="57">
                  <c:v>-7.0018305008992758</c:v>
                </c:pt>
                <c:pt idx="58">
                  <c:v>-8.7665615337648948</c:v>
                </c:pt>
                <c:pt idx="59">
                  <c:v>-10.217722448020204</c:v>
                </c:pt>
                <c:pt idx="60">
                  <c:v>-11.450919135615257</c:v>
                </c:pt>
                <c:pt idx="61">
                  <c:v>-12.523816355523367</c:v>
                </c:pt>
                <c:pt idx="62">
                  <c:v>-13.473778010319503</c:v>
                </c:pt>
                <c:pt idx="63">
                  <c:v>-14.326387161734624</c:v>
                </c:pt>
                <c:pt idx="64">
                  <c:v>-15.099937653615365</c:v>
                </c:pt>
                <c:pt idx="65">
                  <c:v>-15.807974988464133</c:v>
                </c:pt>
                <c:pt idx="66">
                  <c:v>-16.460818793640151</c:v>
                </c:pt>
                <c:pt idx="67">
                  <c:v>-17.066519509658914</c:v>
                </c:pt>
                <c:pt idx="68">
                  <c:v>-17.631483982374704</c:v>
                </c:pt>
                <c:pt idx="69">
                  <c:v>-18.160898585782729</c:v>
                </c:pt>
                <c:pt idx="70">
                  <c:v>-18.659023793658875</c:v>
                </c:pt>
                <c:pt idx="71">
                  <c:v>-19.129404446038116</c:v>
                </c:pt>
                <c:pt idx="72">
                  <c:v>-19.575023149056346</c:v>
                </c:pt>
                <c:pt idx="73">
                  <c:v>-23.089220648583311</c:v>
                </c:pt>
                <c:pt idx="74">
                  <c:v>-25.606008442344297</c:v>
                </c:pt>
                <c:pt idx="75">
                  <c:v>-27.608412629479929</c:v>
                </c:pt>
                <c:pt idx="76">
                  <c:v>-29.304311719563955</c:v>
                </c:pt>
                <c:pt idx="77">
                  <c:v>-30.799823138001692</c:v>
                </c:pt>
                <c:pt idx="78">
                  <c:v>-32.155566513123212</c:v>
                </c:pt>
                <c:pt idx="79">
                  <c:v>-33.409108442046545</c:v>
                </c:pt>
                <c:pt idx="80">
                  <c:v>-34.585161038002326</c:v>
                </c:pt>
                <c:pt idx="81">
                  <c:v>-35.700706152616945</c:v>
                </c:pt>
                <c:pt idx="82">
                  <c:v>-36.767794511501485</c:v>
                </c:pt>
                <c:pt idx="83">
                  <c:v>-37.795185323015758</c:v>
                </c:pt>
                <c:pt idx="84">
                  <c:v>-38.789363423984938</c:v>
                </c:pt>
                <c:pt idx="85">
                  <c:v>-39.755200248079674</c:v>
                </c:pt>
                <c:pt idx="86">
                  <c:v>-40.696399557890139</c:v>
                </c:pt>
                <c:pt idx="87">
                  <c:v>-41.615806989020932</c:v>
                </c:pt>
                <c:pt idx="88">
                  <c:v>-42.515630058783749</c:v>
                </c:pt>
                <c:pt idx="89">
                  <c:v>-43.397597422022727</c:v>
                </c:pt>
                <c:pt idx="90">
                  <c:v>-44.263075824402314</c:v>
                </c:pt>
                <c:pt idx="91">
                  <c:v>-52.177220512384238</c:v>
                </c:pt>
                <c:pt idx="92">
                  <c:v>-58.999753515004585</c:v>
                </c:pt>
                <c:pt idx="93">
                  <c:v>-64.940248036295003</c:v>
                </c:pt>
                <c:pt idx="94">
                  <c:v>-70.157274469995556</c:v>
                </c:pt>
                <c:pt idx="95">
                  <c:v>-74.781996533821456</c:v>
                </c:pt>
                <c:pt idx="96">
                  <c:v>-78.920001113588654</c:v>
                </c:pt>
                <c:pt idx="97">
                  <c:v>-82.654870041678265</c:v>
                </c:pt>
                <c:pt idx="98">
                  <c:v>-86.052541184226357</c:v>
                </c:pt>
                <c:pt idx="99">
                  <c:v>-89.165255858056284</c:v>
                </c:pt>
                <c:pt idx="100">
                  <c:v>-92.03473897336562</c:v>
                </c:pt>
                <c:pt idx="101">
                  <c:v>-94.694640408083444</c:v>
                </c:pt>
                <c:pt idx="102">
                  <c:v>-97.172374784877491</c:v>
                </c:pt>
                <c:pt idx="103">
                  <c:v>-99.490501949464175</c:v>
                </c:pt>
                <c:pt idx="104">
                  <c:v>-101.66776583123755</c:v>
                </c:pt>
                <c:pt idx="105">
                  <c:v>-103.71988139726238</c:v>
                </c:pt>
                <c:pt idx="106">
                  <c:v>-105.66013582203249</c:v>
                </c:pt>
                <c:pt idx="107">
                  <c:v>-107.49985198424179</c:v>
                </c:pt>
                <c:pt idx="108">
                  <c:v>-109.24874920673656</c:v>
                </c:pt>
                <c:pt idx="109">
                  <c:v>-123.16359061104436</c:v>
                </c:pt>
                <c:pt idx="110">
                  <c:v>-133.09766099785151</c:v>
                </c:pt>
                <c:pt idx="111">
                  <c:v>-140.8220950888992</c:v>
                </c:pt>
                <c:pt idx="112">
                  <c:v>-147.14115364152383</c:v>
                </c:pt>
                <c:pt idx="113">
                  <c:v>-152.48757539391943</c:v>
                </c:pt>
                <c:pt idx="114">
                  <c:v>-157.12087679402259</c:v>
                </c:pt>
                <c:pt idx="115">
                  <c:v>-161.20892573801603</c:v>
                </c:pt>
                <c:pt idx="116">
                  <c:v>-164.86655347146893</c:v>
                </c:pt>
                <c:pt idx="117">
                  <c:v>-168.1757691640554</c:v>
                </c:pt>
                <c:pt idx="118">
                  <c:v>-171.1971811177084</c:v>
                </c:pt>
                <c:pt idx="119">
                  <c:v>-173.97684751204804</c:v>
                </c:pt>
                <c:pt idx="120">
                  <c:v>-176.55058888605964</c:v>
                </c:pt>
                <c:pt idx="121">
                  <c:v>-178.94681307239284</c:v>
                </c:pt>
                <c:pt idx="122">
                  <c:v>-181.1884286023286</c:v>
                </c:pt>
                <c:pt idx="123">
                  <c:v>-183.29417814504853</c:v>
                </c:pt>
                <c:pt idx="124">
                  <c:v>-185.2795908790975</c:v>
                </c:pt>
                <c:pt idx="125">
                  <c:v>-187.15767741477924</c:v>
                </c:pt>
                <c:pt idx="126">
                  <c:v>-188.93944649938803</c:v>
                </c:pt>
              </c:numCache>
            </c:numRef>
          </c:yVal>
          <c:smooth val="0"/>
          <c:extLst>
            <c:ext xmlns:c16="http://schemas.microsoft.com/office/drawing/2014/chart" uri="{C3380CC4-5D6E-409C-BE32-E72D297353CC}">
              <c16:uniqueId val="{00000000-B915-43A9-A00B-70FF61B90E08}"/>
            </c:ext>
          </c:extLst>
        </c:ser>
        <c:dLbls>
          <c:showLegendKey val="0"/>
          <c:showVal val="0"/>
          <c:showCatName val="0"/>
          <c:showSerName val="0"/>
          <c:showPercent val="0"/>
          <c:showBubbleSize val="0"/>
        </c:dLbls>
        <c:axId val="80968320"/>
        <c:axId val="80978688"/>
      </c:scatterChart>
      <c:scatterChart>
        <c:scatterStyle val="lineMarker"/>
        <c:varyColors val="0"/>
        <c:ser>
          <c:idx val="2"/>
          <c:order val="2"/>
          <c:tx>
            <c:v>fCROSS</c:v>
          </c:tx>
          <c:spPr>
            <a:effectLst>
              <a:glow rad="228600">
                <a:schemeClr val="accent1">
                  <a:satMod val="175000"/>
                  <a:alpha val="40000"/>
                </a:schemeClr>
              </a:glow>
            </a:effectLst>
          </c:spPr>
          <c:marker>
            <c:symbol val="triangle"/>
            <c:size val="10"/>
            <c:spPr>
              <a:solidFill>
                <a:schemeClr val="tx1"/>
              </a:solidFill>
              <a:ln w="25400">
                <a:solidFill>
                  <a:schemeClr val="tx1"/>
                </a:solidFill>
              </a:ln>
              <a:effectLst>
                <a:glow rad="228600">
                  <a:schemeClr val="accent1">
                    <a:satMod val="175000"/>
                    <a:alpha val="40000"/>
                  </a:schemeClr>
                </a:glow>
              </a:effectLst>
            </c:spPr>
          </c:marker>
          <c:dLbls>
            <c:dLbl>
              <c:idx val="0"/>
              <c:layout/>
              <c:tx>
                <c:rich>
                  <a:bodyPr/>
                  <a:lstStyle/>
                  <a:p>
                    <a:r>
                      <a:rPr lang="en-US" sz="1100" b="1" baseline="0"/>
                      <a:t>fCROSS(CC)</a:t>
                    </a:r>
                  </a:p>
                </c:rich>
              </c:tx>
              <c:dLblPos val="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B915-43A9-A00B-70FF61B90E08}"/>
                </c:ext>
              </c:extLst>
            </c:dLbl>
            <c:spPr>
              <a:noFill/>
              <a:ln>
                <a:noFill/>
              </a:ln>
              <a:effectLst/>
            </c:spPr>
            <c:txPr>
              <a:bodyPr wrap="square" lIns="38100" tIns="19050" rIns="38100" bIns="19050" anchor="ctr">
                <a:spAutoFit/>
              </a:bodyPr>
              <a:lstStyle/>
              <a:p>
                <a:pPr>
                  <a:defRPr sz="1000" b="1" baseline="0"/>
                </a:pPr>
                <a:endParaRPr lang="zh-TW"/>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Bode!$BL$8</c:f>
              <c:numCache>
                <c:formatCode>_(* #,##0.0_);_(* \(#,##0.0\);_(* "-"?_);_(@_)</c:formatCode>
                <c:ptCount val="1"/>
                <c:pt idx="0">
                  <c:v>1329.9665787869264</c:v>
                </c:pt>
              </c:numCache>
            </c:numRef>
          </c:xVal>
          <c:yVal>
            <c:numLit>
              <c:formatCode>General</c:formatCode>
              <c:ptCount val="1"/>
              <c:pt idx="0">
                <c:v>0</c:v>
              </c:pt>
            </c:numLit>
          </c:yVal>
          <c:smooth val="0"/>
          <c:extLst>
            <c:ext xmlns:c16="http://schemas.microsoft.com/office/drawing/2014/chart" uri="{C3380CC4-5D6E-409C-BE32-E72D297353CC}">
              <c16:uniqueId val="{00000002-B915-43A9-A00B-70FF61B90E08}"/>
            </c:ext>
          </c:extLst>
        </c:ser>
        <c:ser>
          <c:idx val="3"/>
          <c:order val="3"/>
          <c:tx>
            <c:v>fPIMON</c:v>
          </c:tx>
          <c:marker>
            <c:symbol val="x"/>
            <c:size val="11"/>
            <c:spPr>
              <a:noFill/>
              <a:ln w="25400">
                <a:solidFill>
                  <a:schemeClr val="tx1"/>
                </a:solidFill>
              </a:ln>
              <a:effectLst>
                <a:glow rad="63500">
                  <a:srgbClr val="00B050">
                    <a:alpha val="40000"/>
                  </a:srgbClr>
                </a:glow>
              </a:effectLst>
            </c:spPr>
          </c:marker>
          <c:dLbls>
            <c:spPr>
              <a:noFill/>
              <a:ln>
                <a:noFill/>
              </a:ln>
              <a:effectLst/>
            </c:spPr>
            <c:txPr>
              <a:bodyPr wrap="square" lIns="38100" tIns="19050" rIns="38100" bIns="19050" anchor="ctr">
                <a:spAutoFit/>
              </a:bodyPr>
              <a:lstStyle/>
              <a:p>
                <a:pPr>
                  <a:defRPr sz="1000" b="1"/>
                </a:pPr>
                <a:endParaRPr lang="zh-TW"/>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Bode!$BX$7</c:f>
              <c:numCache>
                <c:formatCode>General</c:formatCode>
                <c:ptCount val="1"/>
                <c:pt idx="0">
                  <c:v>125.31887890011646</c:v>
                </c:pt>
              </c:numCache>
            </c:numRef>
          </c:xVal>
          <c:yVal>
            <c:numRef>
              <c:f>Bode!$BX$8</c:f>
              <c:numCache>
                <c:formatCode>0.00</c:formatCode>
                <c:ptCount val="1"/>
                <c:pt idx="0">
                  <c:v>30.02991387111495</c:v>
                </c:pt>
              </c:numCache>
            </c:numRef>
          </c:yVal>
          <c:smooth val="0"/>
          <c:extLst>
            <c:ext xmlns:c16="http://schemas.microsoft.com/office/drawing/2014/chart" uri="{C3380CC4-5D6E-409C-BE32-E72D297353CC}">
              <c16:uniqueId val="{00000004-B915-43A9-A00B-70FF61B90E08}"/>
            </c:ext>
          </c:extLst>
        </c:ser>
        <c:ser>
          <c:idx val="4"/>
          <c:order val="4"/>
          <c:tx>
            <c:v>fZCOMP</c:v>
          </c:tx>
          <c:spPr>
            <a:effectLst>
              <a:glow rad="127000">
                <a:schemeClr val="accent4">
                  <a:alpha val="99000"/>
                </a:schemeClr>
              </a:glow>
            </a:effectLst>
          </c:spPr>
          <c:marker>
            <c:symbol val="circle"/>
            <c:size val="12"/>
            <c:spPr>
              <a:noFill/>
              <a:ln w="25400">
                <a:solidFill>
                  <a:schemeClr val="tx1"/>
                </a:solidFill>
              </a:ln>
              <a:effectLst>
                <a:glow rad="127000">
                  <a:schemeClr val="accent4">
                    <a:alpha val="99000"/>
                  </a:schemeClr>
                </a:glow>
              </a:effectLst>
            </c:spPr>
          </c:marker>
          <c:dLbls>
            <c:spPr>
              <a:noFill/>
              <a:ln>
                <a:noFill/>
              </a:ln>
              <a:effectLst/>
            </c:spPr>
            <c:txPr>
              <a:bodyPr wrap="square" lIns="38100" tIns="19050" rIns="38100" bIns="19050" anchor="ctr">
                <a:spAutoFit/>
              </a:bodyPr>
              <a:lstStyle/>
              <a:p>
                <a:pPr>
                  <a:defRPr sz="1000" b="1"/>
                </a:pPr>
                <a:endParaRPr lang="zh-TW"/>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Bode!$BS$8</c:f>
              <c:numCache>
                <c:formatCode>_(* #,##0.0_);_(* \(#,##0.0\);_(* "-"?_);_(@_)</c:formatCode>
                <c:ptCount val="1"/>
                <c:pt idx="0">
                  <c:v>1026.1442695238425</c:v>
                </c:pt>
              </c:numCache>
            </c:numRef>
          </c:xVal>
          <c:yVal>
            <c:numRef>
              <c:f>Bode!$BT$8</c:f>
              <c:numCache>
                <c:formatCode>_(* #,##0.0_);_(* \(#,##0.0\);_(* "-"?_);_(@_)</c:formatCode>
                <c:ptCount val="1"/>
                <c:pt idx="0">
                  <c:v>4.1703312769405434</c:v>
                </c:pt>
              </c:numCache>
            </c:numRef>
          </c:yVal>
          <c:smooth val="0"/>
          <c:extLst>
            <c:ext xmlns:c16="http://schemas.microsoft.com/office/drawing/2014/chart" uri="{C3380CC4-5D6E-409C-BE32-E72D297353CC}">
              <c16:uniqueId val="{00000006-B915-43A9-A00B-70FF61B90E0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Bode!$BI$11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Bode!$BI$12:$BI$138</c:f>
              <c:numCache>
                <c:formatCode>_(* #,##0.00_);_(* \(#,##0.00\);_(* "-"??_);_(@_)</c:formatCode>
                <c:ptCount val="127"/>
                <c:pt idx="0">
                  <c:v>-88.237420679661241</c:v>
                </c:pt>
                <c:pt idx="1">
                  <c:v>-88.960683758767487</c:v>
                </c:pt>
                <c:pt idx="2">
                  <c:v>-89.363246506215418</c:v>
                </c:pt>
                <c:pt idx="3">
                  <c:v>-89.637455150195805</c:v>
                </c:pt>
                <c:pt idx="4">
                  <c:v>-89.847471914124824</c:v>
                </c:pt>
                <c:pt idx="5">
                  <c:v>-90.020803611599121</c:v>
                </c:pt>
                <c:pt idx="6">
                  <c:v>-90.171206018725087</c:v>
                </c:pt>
                <c:pt idx="7">
                  <c:v>-90.306322063869828</c:v>
                </c:pt>
                <c:pt idx="8">
                  <c:v>-90.430737860308795</c:v>
                </c:pt>
                <c:pt idx="9">
                  <c:v>-90.547372025732798</c:v>
                </c:pt>
                <c:pt idx="10">
                  <c:v>-90.658170413375743</c:v>
                </c:pt>
                <c:pt idx="11">
                  <c:v>-90.76448022499612</c:v>
                </c:pt>
                <c:pt idx="12">
                  <c:v>-90.867263800951292</c:v>
                </c:pt>
                <c:pt idx="13">
                  <c:v>-90.967226899267317</c:v>
                </c:pt>
                <c:pt idx="14">
                  <c:v>-91.064898872436004</c:v>
                </c:pt>
                <c:pt idx="15">
                  <c:v>-91.160684547684767</c:v>
                </c:pt>
                <c:pt idx="16">
                  <c:v>-91.254898814405976</c:v>
                </c:pt>
                <c:pt idx="17">
                  <c:v>-91.347790289526216</c:v>
                </c:pt>
                <c:pt idx="18">
                  <c:v>-91.439557883396176</c:v>
                </c:pt>
                <c:pt idx="19">
                  <c:v>-92.320222908504533</c:v>
                </c:pt>
                <c:pt idx="20">
                  <c:v>-93.169107311553802</c:v>
                </c:pt>
                <c:pt idx="21">
                  <c:v>-94.005433711648152</c:v>
                </c:pt>
                <c:pt idx="22">
                  <c:v>-94.83546658642328</c:v>
                </c:pt>
                <c:pt idx="23">
                  <c:v>-95.661673910735061</c:v>
                </c:pt>
                <c:pt idx="24">
                  <c:v>-96.485016862512765</c:v>
                </c:pt>
                <c:pt idx="25">
                  <c:v>-97.305718367973782</c:v>
                </c:pt>
                <c:pt idx="26">
                  <c:v>-98.123579643811041</c:v>
                </c:pt>
                <c:pt idx="27">
                  <c:v>-98.938135132929332</c:v>
                </c:pt>
                <c:pt idx="28">
                  <c:v>-99.748741468048223</c:v>
                </c:pt>
                <c:pt idx="29">
                  <c:v>-100.55463624677768</c:v>
                </c:pt>
                <c:pt idx="30">
                  <c:v>-101.35498118816686</c:v>
                </c:pt>
                <c:pt idx="31">
                  <c:v>-102.14889594927074</c:v>
                </c:pt>
                <c:pt idx="32">
                  <c:v>-102.93548544058068</c:v>
                </c:pt>
                <c:pt idx="33">
                  <c:v>-103.71386201939721</c:v>
                </c:pt>
                <c:pt idx="34">
                  <c:v>-104.48316333065138</c:v>
                </c:pt>
                <c:pt idx="35">
                  <c:v>-105.24256632540434</c:v>
                </c:pt>
                <c:pt idx="36">
                  <c:v>-105.99129790356056</c:v>
                </c:pt>
                <c:pt idx="37">
                  <c:v>-112.766335406233</c:v>
                </c:pt>
                <c:pt idx="38">
                  <c:v>-118.07492612630988</c:v>
                </c:pt>
                <c:pt idx="39">
                  <c:v>-121.98058394048275</c:v>
                </c:pt>
                <c:pt idx="40">
                  <c:v>-124.71964870661722</c:v>
                </c:pt>
                <c:pt idx="41">
                  <c:v>-126.5466025414852</c:v>
                </c:pt>
                <c:pt idx="42">
                  <c:v>-127.680099599512</c:v>
                </c:pt>
                <c:pt idx="43">
                  <c:v>-128.2932352414677</c:v>
                </c:pt>
                <c:pt idx="44">
                  <c:v>-128.51861879432391</c:v>
                </c:pt>
                <c:pt idx="45">
                  <c:v>-128.45663898031506</c:v>
                </c:pt>
                <c:pt idx="46">
                  <c:v>-128.183100891983</c:v>
                </c:pt>
                <c:pt idx="47">
                  <c:v>-127.75533236349943</c:v>
                </c:pt>
                <c:pt idx="48">
                  <c:v>-127.21681137207676</c:v>
                </c:pt>
                <c:pt idx="49">
                  <c:v>-126.6006041508985</c:v>
                </c:pt>
                <c:pt idx="50">
                  <c:v>-125.93190830214431</c:v>
                </c:pt>
                <c:pt idx="51">
                  <c:v>-125.22993923502685</c:v>
                </c:pt>
                <c:pt idx="52">
                  <c:v>-124.50933819838588</c:v>
                </c:pt>
                <c:pt idx="53">
                  <c:v>-123.78123112944877</c:v>
                </c:pt>
                <c:pt idx="54">
                  <c:v>-123.05403102334009</c:v>
                </c:pt>
                <c:pt idx="55">
                  <c:v>-116.63949329114135</c:v>
                </c:pt>
                <c:pt idx="56">
                  <c:v>-112.18761537253677</c:v>
                </c:pt>
                <c:pt idx="57">
                  <c:v>-109.20744417547888</c:v>
                </c:pt>
                <c:pt idx="58">
                  <c:v>-107.18608760174715</c:v>
                </c:pt>
                <c:pt idx="59">
                  <c:v>-105.79521909322865</c:v>
                </c:pt>
                <c:pt idx="60">
                  <c:v>-104.83326474578878</c:v>
                </c:pt>
                <c:pt idx="61">
                  <c:v>-104.17379807920736</c:v>
                </c:pt>
                <c:pt idx="62">
                  <c:v>-103.73480966899069</c:v>
                </c:pt>
                <c:pt idx="63">
                  <c:v>-103.46126321253131</c:v>
                </c:pt>
                <c:pt idx="64">
                  <c:v>-103.3150539891173</c:v>
                </c:pt>
                <c:pt idx="65">
                  <c:v>-103.26905596869142</c:v>
                </c:pt>
                <c:pt idx="66">
                  <c:v>-103.30347704998398</c:v>
                </c:pt>
                <c:pt idx="67">
                  <c:v>-103.40355695339552</c:v>
                </c:pt>
                <c:pt idx="68">
                  <c:v>-103.55807082180509</c:v>
                </c:pt>
                <c:pt idx="69">
                  <c:v>-103.75833091967105</c:v>
                </c:pt>
                <c:pt idx="70">
                  <c:v>-103.99750487673492</c:v>
                </c:pt>
                <c:pt idx="71">
                  <c:v>-104.27014023947092</c:v>
                </c:pt>
                <c:pt idx="72">
                  <c:v>-104.57182660544113</c:v>
                </c:pt>
                <c:pt idx="73">
                  <c:v>-108.61686301843039</c:v>
                </c:pt>
                <c:pt idx="74">
                  <c:v>-113.64468013426193</c:v>
                </c:pt>
                <c:pt idx="75">
                  <c:v>-119.08342157038021</c:v>
                </c:pt>
                <c:pt idx="76">
                  <c:v>-124.68222573970003</c:v>
                </c:pt>
                <c:pt idx="77">
                  <c:v>-130.31121980350508</c:v>
                </c:pt>
                <c:pt idx="78">
                  <c:v>-135.89867531745125</c:v>
                </c:pt>
                <c:pt idx="79">
                  <c:v>-141.40312510823506</c:v>
                </c:pt>
                <c:pt idx="80">
                  <c:v>-146.7996022811501</c:v>
                </c:pt>
                <c:pt idx="81">
                  <c:v>-152.07259576748217</c:v>
                </c:pt>
                <c:pt idx="82">
                  <c:v>-157.21233924550955</c:v>
                </c:pt>
                <c:pt idx="83">
                  <c:v>-162.21278367367967</c:v>
                </c:pt>
                <c:pt idx="84">
                  <c:v>-167.070435429913</c:v>
                </c:pt>
                <c:pt idx="85">
                  <c:v>-171.78365006749897</c:v>
                </c:pt>
                <c:pt idx="86">
                  <c:v>-176.35217353237942</c:v>
                </c:pt>
                <c:pt idx="87">
                  <c:v>-180.77682349099425</c:v>
                </c:pt>
                <c:pt idx="88">
                  <c:v>-185.05925435251345</c:v>
                </c:pt>
                <c:pt idx="89">
                  <c:v>-189.20177562388619</c:v>
                </c:pt>
                <c:pt idx="90">
                  <c:v>-193.20720672668369</c:v>
                </c:pt>
                <c:pt idx="91">
                  <c:v>-226.52003602314136</c:v>
                </c:pt>
                <c:pt idx="92">
                  <c:v>-250.22757659542702</c:v>
                </c:pt>
                <c:pt idx="93">
                  <c:v>-267.47330720970751</c:v>
                </c:pt>
                <c:pt idx="94">
                  <c:v>-280.37971523028148</c:v>
                </c:pt>
                <c:pt idx="95">
                  <c:v>-290.30868776270933</c:v>
                </c:pt>
                <c:pt idx="96">
                  <c:v>-298.13816947818964</c:v>
                </c:pt>
                <c:pt idx="97">
                  <c:v>-304.44638053434142</c:v>
                </c:pt>
                <c:pt idx="98">
                  <c:v>-309.6241712103261</c:v>
                </c:pt>
                <c:pt idx="99">
                  <c:v>-313.94273981746153</c:v>
                </c:pt>
                <c:pt idx="100">
                  <c:v>-317.59495789331731</c:v>
                </c:pt>
                <c:pt idx="101">
                  <c:v>-320.7211259714735</c:v>
                </c:pt>
                <c:pt idx="102">
                  <c:v>-323.42541100954406</c:v>
                </c:pt>
                <c:pt idx="103">
                  <c:v>-325.78658978219244</c:v>
                </c:pt>
                <c:pt idx="104">
                  <c:v>-327.86523289508693</c:v>
                </c:pt>
                <c:pt idx="105">
                  <c:v>-329.70861258283503</c:v>
                </c:pt>
                <c:pt idx="106">
                  <c:v>-331.35412263766113</c:v>
                </c:pt>
                <c:pt idx="107">
                  <c:v>-332.83170547597899</c:v>
                </c:pt>
                <c:pt idx="108">
                  <c:v>-334.16560376030418</c:v>
                </c:pt>
                <c:pt idx="109">
                  <c:v>-342.69197171429744</c:v>
                </c:pt>
                <c:pt idx="110">
                  <c:v>-346.99633163010805</c:v>
                </c:pt>
                <c:pt idx="111">
                  <c:v>-349.58864135769159</c:v>
                </c:pt>
                <c:pt idx="112">
                  <c:v>-351.32004992062269</c:v>
                </c:pt>
                <c:pt idx="113">
                  <c:v>-352.55807083519949</c:v>
                </c:pt>
                <c:pt idx="114">
                  <c:v>-353.48719431457164</c:v>
                </c:pt>
                <c:pt idx="115">
                  <c:v>-354.2101604496093</c:v>
                </c:pt>
                <c:pt idx="116">
                  <c:v>-354.78870926524615</c:v>
                </c:pt>
                <c:pt idx="117">
                  <c:v>-355.26217195958094</c:v>
                </c:pt>
                <c:pt idx="118">
                  <c:v>-355.65678951649915</c:v>
                </c:pt>
                <c:pt idx="119">
                  <c:v>-355.99073916774796</c:v>
                </c:pt>
                <c:pt idx="120">
                  <c:v>-356.27701032816651</c:v>
                </c:pt>
                <c:pt idx="121">
                  <c:v>-356.52513182481277</c:v>
                </c:pt>
                <c:pt idx="122">
                  <c:v>-356.74225222443272</c:v>
                </c:pt>
                <c:pt idx="123">
                  <c:v>-356.93383928383162</c:v>
                </c:pt>
                <c:pt idx="124">
                  <c:v>-357.10414647318339</c:v>
                </c:pt>
                <c:pt idx="125">
                  <c:v>-357.25653230110061</c:v>
                </c:pt>
                <c:pt idx="126">
                  <c:v>-357.39368391467701</c:v>
                </c:pt>
              </c:numCache>
            </c:numRef>
          </c:yVal>
          <c:smooth val="0"/>
          <c:extLst>
            <c:ext xmlns:c16="http://schemas.microsoft.com/office/drawing/2014/chart" uri="{C3380CC4-5D6E-409C-BE32-E72D297353CC}">
              <c16:uniqueId val="{00000008-B915-43A9-A00B-70FF61B90E0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400" b="1" i="0" u="none" strike="noStrike" baseline="0">
                    <a:solidFill>
                      <a:srgbClr val="000000"/>
                    </a:solidFill>
                    <a:latin typeface="Arial"/>
                    <a:ea typeface="Arial"/>
                    <a:cs typeface="Arial"/>
                  </a:defRPr>
                </a:pPr>
                <a:r>
                  <a:rPr lang="en-US" sz="1400"/>
                  <a:t>Frequency (Hz)</a:t>
                </a:r>
              </a:p>
            </c:rich>
          </c:tx>
          <c:layout>
            <c:manualLayout>
              <c:xMode val="edge"/>
              <c:yMode val="edge"/>
              <c:x val="0.42690764520080698"/>
              <c:y val="0.9000083922042877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zh-TW"/>
          </a:p>
        </c:txPr>
        <c:crossAx val="80978688"/>
        <c:crossesAt val="-40"/>
        <c:crossBetween val="midCat"/>
        <c:majorUnit val="10"/>
        <c:minorUnit val="10"/>
      </c:valAx>
      <c:valAx>
        <c:axId val="80978688"/>
        <c:scaling>
          <c:orientation val="minMax"/>
          <c:max val="100"/>
          <c:min val="-40"/>
        </c:scaling>
        <c:delete val="0"/>
        <c:axPos val="l"/>
        <c:majorGridlines>
          <c:spPr>
            <a:ln w="3175">
              <a:solidFill>
                <a:srgbClr val="000000"/>
              </a:solidFill>
              <a:prstDash val="solid"/>
            </a:ln>
          </c:spPr>
        </c:majorGridlines>
        <c:title>
          <c:tx>
            <c:rich>
              <a:bodyPr/>
              <a:lstStyle/>
              <a:p>
                <a:pPr>
                  <a:defRPr sz="1400" b="1" i="0" u="none" strike="noStrike" baseline="0">
                    <a:solidFill>
                      <a:srgbClr val="0000FF"/>
                    </a:solidFill>
                    <a:latin typeface="Arial"/>
                    <a:ea typeface="Arial"/>
                    <a:cs typeface="Arial"/>
                  </a:defRPr>
                </a:pPr>
                <a:r>
                  <a:rPr lang="en-US" sz="1400">
                    <a:solidFill>
                      <a:srgbClr val="0000FF"/>
                    </a:solidFill>
                  </a:rPr>
                  <a:t>Loop Gain (dB)</a:t>
                </a:r>
              </a:p>
            </c:rich>
          </c:tx>
          <c:layout>
            <c:manualLayout>
              <c:xMode val="edge"/>
              <c:yMode val="edge"/>
              <c:x val="1.7212827297800173E-2"/>
              <c:y val="0.35172352205751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FF"/>
                </a:solidFill>
                <a:latin typeface="Arial"/>
                <a:ea typeface="Arial"/>
                <a:cs typeface="Arial"/>
              </a:defRPr>
            </a:pPr>
            <a:endParaRPr lang="zh-TW"/>
          </a:p>
        </c:txPr>
        <c:crossAx val="80968320"/>
        <c:crossesAt val="0.1"/>
        <c:crossBetween val="midCat"/>
        <c:majorUnit val="20"/>
        <c:minorUnit val="4"/>
      </c:valAx>
      <c:valAx>
        <c:axId val="80980608"/>
        <c:scaling>
          <c:logBase val="10"/>
          <c:orientation val="minMax"/>
        </c:scaling>
        <c:delete val="1"/>
        <c:axPos val="b"/>
        <c:numFmt formatCode="General" sourceLinked="1"/>
        <c:majorTickMark val="out"/>
        <c:minorTickMark val="none"/>
        <c:tickLblPos val="none"/>
        <c:crossAx val="80982400"/>
        <c:crossesAt val="0"/>
        <c:crossBetween val="midCat"/>
      </c:valAx>
      <c:valAx>
        <c:axId val="80982400"/>
        <c:scaling>
          <c:orientation val="minMax"/>
          <c:max val="-45"/>
          <c:min val="-202.5"/>
        </c:scaling>
        <c:delete val="0"/>
        <c:axPos val="r"/>
        <c:title>
          <c:tx>
            <c:rich>
              <a:bodyPr/>
              <a:lstStyle/>
              <a:p>
                <a:pPr>
                  <a:defRPr sz="1400" b="1" i="0" u="none" strike="noStrike" baseline="0">
                    <a:solidFill>
                      <a:srgbClr val="FF0000"/>
                    </a:solidFill>
                    <a:latin typeface="Arial"/>
                    <a:ea typeface="Arial"/>
                    <a:cs typeface="Arial"/>
                  </a:defRPr>
                </a:pPr>
                <a:r>
                  <a:rPr lang="en-US" sz="1400">
                    <a:solidFill>
                      <a:srgbClr val="FF0000"/>
                    </a:solidFill>
                  </a:rPr>
                  <a:t>Loop Phase (°)</a:t>
                </a:r>
              </a:p>
            </c:rich>
          </c:tx>
          <c:layout>
            <c:manualLayout>
              <c:xMode val="edge"/>
              <c:yMode val="edge"/>
              <c:x val="0.95718172965910109"/>
              <c:y val="0.35453275864666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zh-TW"/>
          </a:p>
        </c:txPr>
        <c:crossAx val="80980608"/>
        <c:crosses val="max"/>
        <c:crossBetween val="midCat"/>
        <c:majorUnit val="22.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zh-TW"/>
    </a:p>
  </c:txPr>
  <c:printSettings>
    <c:headerFooter alignWithMargins="0"/>
    <c:pageMargins b="1" l="0.75000000000000167" r="0.75000000000000167"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Parasitic</a:t>
            </a:r>
            <a:r>
              <a:rPr lang="en-US" baseline="0"/>
              <a:t> pole</a:t>
            </a:r>
            <a:endParaRPr lang="en-US"/>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Bode!$X$11</c:f>
              <c:strCache>
                <c:ptCount val="1"/>
                <c:pt idx="0">
                  <c:v>500k_GAIN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Bode!$X$12:$X$138</c:f>
              <c:numCache>
                <c:formatCode>General</c:formatCode>
                <c:ptCount val="127"/>
                <c:pt idx="0">
                  <c:v>-1.0857362945991318E-10</c:v>
                </c:pt>
                <c:pt idx="1">
                  <c:v>-2.4429018412297988E-10</c:v>
                </c:pt>
                <c:pt idx="2">
                  <c:v>-4.3429451784779571E-10</c:v>
                </c:pt>
                <c:pt idx="3">
                  <c:v>-6.7858470198299015E-10</c:v>
                </c:pt>
                <c:pt idx="4">
                  <c:v>-9.7716266518807683E-10</c:v>
                </c:pt>
                <c:pt idx="5">
                  <c:v>-1.3300264788137207E-9</c:v>
                </c:pt>
                <c:pt idx="6">
                  <c:v>-1.7371780715214712E-9</c:v>
                </c:pt>
                <c:pt idx="7">
                  <c:v>-2.1986155146640294E-9</c:v>
                </c:pt>
                <c:pt idx="8">
                  <c:v>-2.7143407369049804E-9</c:v>
                </c:pt>
                <c:pt idx="9">
                  <c:v>-3.2843527739265282E-9</c:v>
                </c:pt>
                <c:pt idx="10">
                  <c:v>-3.9086496970844254E-9</c:v>
                </c:pt>
                <c:pt idx="11">
                  <c:v>-4.5872363280277123E-9</c:v>
                </c:pt>
                <c:pt idx="12">
                  <c:v>-5.320106880804311E-9</c:v>
                </c:pt>
                <c:pt idx="13">
                  <c:v>-6.1072671413927652E-9</c:v>
                </c:pt>
                <c:pt idx="14">
                  <c:v>-6.9487132524979666E-9</c:v>
                </c:pt>
                <c:pt idx="15">
                  <c:v>-7.8444452141356898E-9</c:v>
                </c:pt>
                <c:pt idx="16">
                  <c:v>-8.7944639906502004E-9</c:v>
                </c:pt>
                <c:pt idx="17">
                  <c:v>-9.7987695820593061E-9</c:v>
                </c:pt>
                <c:pt idx="18">
                  <c:v>-1.0857362952709313E-8</c:v>
                </c:pt>
                <c:pt idx="19">
                  <c:v>-2.4429064734026222E-8</c:v>
                </c:pt>
                <c:pt idx="20">
                  <c:v>-4.3429448999285063E-8</c:v>
                </c:pt>
                <c:pt idx="21">
                  <c:v>-6.7858513855456616E-8</c:v>
                </c:pt>
                <c:pt idx="22">
                  <c:v>-9.7716260312672845E-8</c:v>
                </c:pt>
                <c:pt idx="23">
                  <c:v>-1.3300268167662466E-7</c:v>
                </c:pt>
                <c:pt idx="24">
                  <c:v>-1.7371778476376644E-7</c:v>
                </c:pt>
                <c:pt idx="25">
                  <c:v>-2.198615725434215E-7</c:v>
                </c:pt>
                <c:pt idx="26">
                  <c:v>-2.7143404220912692E-7</c:v>
                </c:pt>
                <c:pt idx="27">
                  <c:v>-3.2843518710728875E-7</c:v>
                </c:pt>
                <c:pt idx="28">
                  <c:v>-3.9086501795238646E-7</c:v>
                </c:pt>
                <c:pt idx="29">
                  <c:v>-4.5872352328954592E-7</c:v>
                </c:pt>
                <c:pt idx="30">
                  <c:v>-5.3201070806763932E-7</c:v>
                </c:pt>
                <c:pt idx="31">
                  <c:v>-6.1072656953109756E-7</c:v>
                </c:pt>
                <c:pt idx="32">
                  <c:v>-6.9487111168482278E-7</c:v>
                </c:pt>
                <c:pt idx="33">
                  <c:v>-7.8444433372225859E-7</c:v>
                </c:pt>
                <c:pt idx="34">
                  <c:v>-8.794462377400096E-7</c:v>
                </c:pt>
                <c:pt idx="35">
                  <c:v>-9.7987681330860141E-7</c:v>
                </c:pt>
                <c:pt idx="36">
                  <c:v>-1.0857360731525995E-6</c:v>
                </c:pt>
                <c:pt idx="37">
                  <c:v>-2.4429057691341332E-6</c:v>
                </c:pt>
                <c:pt idx="38">
                  <c:v>-4.3429426478763223E-6</c:v>
                </c:pt>
                <c:pt idx="39">
                  <c:v>-6.7858459807662682E-6</c:v>
                </c:pt>
                <c:pt idx="40">
                  <c:v>-9.7716148536074405E-6</c:v>
                </c:pt>
                <c:pt idx="41">
                  <c:v>-1.3300248140581823E-5</c:v>
                </c:pt>
                <c:pt idx="42">
                  <c:v>-1.7371744533178545E-5</c:v>
                </c:pt>
                <c:pt idx="43">
                  <c:v>-2.1986102492940332E-5</c:v>
                </c:pt>
                <c:pt idx="44">
                  <c:v>-2.7143320298713954E-5</c:v>
                </c:pt>
                <c:pt idx="45">
                  <c:v>-3.2843396005182155E-5</c:v>
                </c:pt>
                <c:pt idx="46">
                  <c:v>-3.9086327486256407E-5</c:v>
                </c:pt>
                <c:pt idx="47">
                  <c:v>-4.587211239167966E-5</c:v>
                </c:pt>
                <c:pt idx="48">
                  <c:v>-5.3200748176918117E-5</c:v>
                </c:pt>
                <c:pt idx="49">
                  <c:v>-6.1072232106051366E-5</c:v>
                </c:pt>
                <c:pt idx="50">
                  <c:v>-6.9486561212231803E-5</c:v>
                </c:pt>
                <c:pt idx="51">
                  <c:v>-7.8443732350719708E-5</c:v>
                </c:pt>
                <c:pt idx="52">
                  <c:v>-8.7943742159342088E-5</c:v>
                </c:pt>
                <c:pt idx="53">
                  <c:v>-9.7986587071025372E-5</c:v>
                </c:pt>
                <c:pt idx="54">
                  <c:v>-1.0857226333114956E-4</c:v>
                </c:pt>
                <c:pt idx="55">
                  <c:v>-2.4428377565909336E-4</c:v>
                </c:pt>
                <c:pt idx="56">
                  <c:v>-4.3427276862828968E-4</c:v>
                </c:pt>
                <c:pt idx="57">
                  <c:v>-6.7853211903576923E-4</c:v>
                </c:pt>
                <c:pt idx="58">
                  <c:v>-9.7705266997797973E-4</c:v>
                </c:pt>
                <c:pt idx="59">
                  <c:v>-1.3298232320420092E-3</c:v>
                </c:pt>
                <c:pt idx="60">
                  <c:v>-1.7368305846464187E-3</c:v>
                </c:pt>
                <c:pt idx="61">
                  <c:v>-2.1980594777616471E-3</c:v>
                </c:pt>
                <c:pt idx="62">
                  <c:v>-2.7134926337472106E-3</c:v>
                </c:pt>
                <c:pt idx="63">
                  <c:v>-3.2831107495560861E-3</c:v>
                </c:pt>
                <c:pt idx="64">
                  <c:v>-3.9068924990976498E-3</c:v>
                </c:pt>
                <c:pt idx="65">
                  <c:v>-4.5848145359586217E-3</c:v>
                </c:pt>
                <c:pt idx="66">
                  <c:v>-5.3168514962532573E-3</c:v>
                </c:pt>
                <c:pt idx="67">
                  <c:v>-6.1029760017995132E-3</c:v>
                </c:pt>
                <c:pt idx="68">
                  <c:v>-6.9431586635440327E-3</c:v>
                </c:pt>
                <c:pt idx="69">
                  <c:v>-7.8373680852157779E-3</c:v>
                </c:pt>
                <c:pt idx="70">
                  <c:v>-8.7855708671930096E-3</c:v>
                </c:pt>
                <c:pt idx="71">
                  <c:v>-9.7877316107141711E-3</c:v>
                </c:pt>
                <c:pt idx="72">
                  <c:v>-1.0843812922199398E-2</c:v>
                </c:pt>
                <c:pt idx="73">
                  <c:v>-2.4360614431044699E-2</c:v>
                </c:pt>
                <c:pt idx="74">
                  <c:v>-4.3213737826427526E-2</c:v>
                </c:pt>
                <c:pt idx="75">
                  <c:v>-6.7333826589681289E-2</c:v>
                </c:pt>
                <c:pt idx="76">
                  <c:v>-9.663316679379233E-2</c:v>
                </c:pt>
                <c:pt idx="77">
                  <c:v>-0.13100672988593903</c:v>
                </c:pt>
                <c:pt idx="78">
                  <c:v>-0.17033339298780789</c:v>
                </c:pt>
                <c:pt idx="79">
                  <c:v>-0.2144773078354662</c:v>
                </c:pt>
                <c:pt idx="80">
                  <c:v>-0.2632893872234946</c:v>
                </c:pt>
                <c:pt idx="81">
                  <c:v>-0.31660887671635185</c:v>
                </c:pt>
                <c:pt idx="82">
                  <c:v>-0.37426497940624104</c:v>
                </c:pt>
                <c:pt idx="83">
                  <c:v>-0.43607850253798275</c:v>
                </c:pt>
                <c:pt idx="84">
                  <c:v>-0.50186349675360742</c:v>
                </c:pt>
                <c:pt idx="85">
                  <c:v>-0.57142886136569104</c:v>
                </c:pt>
                <c:pt idx="86">
                  <c:v>-0.64457989226918699</c:v>
                </c:pt>
                <c:pt idx="87">
                  <c:v>-0.72111975265909201</c:v>
                </c:pt>
                <c:pt idx="88">
                  <c:v>-0.80085085045869064</c:v>
                </c:pt>
                <c:pt idx="89">
                  <c:v>-0.88357611011859283</c:v>
                </c:pt>
                <c:pt idx="90">
                  <c:v>-0.96910013008056328</c:v>
                </c:pt>
                <c:pt idx="91">
                  <c:v>-1.9382002601611279</c:v>
                </c:pt>
                <c:pt idx="92">
                  <c:v>-3.0102999566398116</c:v>
                </c:pt>
                <c:pt idx="93">
                  <c:v>-4.0866387406381053</c:v>
                </c:pt>
                <c:pt idx="94">
                  <c:v>-5.1188336097887346</c:v>
                </c:pt>
                <c:pt idx="95">
                  <c:v>-6.0879337398693059</c:v>
                </c:pt>
                <c:pt idx="96">
                  <c:v>-6.9897000433601875</c:v>
                </c:pt>
                <c:pt idx="97">
                  <c:v>-7.8265175161032001</c:v>
                </c:pt>
                <c:pt idx="98">
                  <c:v>-8.6033800657099242</c:v>
                </c:pt>
                <c:pt idx="99">
                  <c:v>-9.3260058450048167</c:v>
                </c:pt>
                <c:pt idx="100">
                  <c:v>-10</c:v>
                </c:pt>
                <c:pt idx="101">
                  <c:v>-10.630517457470891</c:v>
                </c:pt>
                <c:pt idx="102">
                  <c:v>-11.222158782728279</c:v>
                </c:pt>
                <c:pt idx="103">
                  <c:v>-11.778970599189426</c:v>
                </c:pt>
                <c:pt idx="104">
                  <c:v>-12.304489213782734</c:v>
                </c:pt>
                <c:pt idx="105">
                  <c:v>-12.801798566908616</c:v>
                </c:pt>
                <c:pt idx="106">
                  <c:v>-13.273589343863302</c:v>
                </c:pt>
                <c:pt idx="107">
                  <c:v>-13.72221367549866</c:v>
                </c:pt>
                <c:pt idx="108">
                  <c:v>-14.149733479708193</c:v>
                </c:pt>
                <c:pt idx="109">
                  <c:v>-17.577754910119261</c:v>
                </c:pt>
                <c:pt idx="110">
                  <c:v>-20.043213737826427</c:v>
                </c:pt>
                <c:pt idx="111">
                  <c:v>-21.965906541173066</c:v>
                </c:pt>
                <c:pt idx="112">
                  <c:v>-23.541084391474008</c:v>
                </c:pt>
                <c:pt idx="113">
                  <c:v>-24.874918915584921</c:v>
                </c:pt>
                <c:pt idx="114">
                  <c:v>-26.031443726201829</c:v>
                </c:pt>
                <c:pt idx="115">
                  <c:v>-27.052220557053829</c:v>
                </c:pt>
                <c:pt idx="116">
                  <c:v>-27.965743332104299</c:v>
                </c:pt>
                <c:pt idx="117">
                  <c:v>-28.792392820048946</c:v>
                </c:pt>
                <c:pt idx="118">
                  <c:v>-29.547247909790624</c:v>
                </c:pt>
                <c:pt idx="119">
                  <c:v>-30.241776938189375</c:v>
                </c:pt>
                <c:pt idx="120">
                  <c:v>-30.884904701823977</c:v>
                </c:pt>
                <c:pt idx="121">
                  <c:v>-31.4837125733224</c:v>
                </c:pt>
                <c:pt idx="122">
                  <c:v>-32.043913319192995</c:v>
                </c:pt>
                <c:pt idx="123">
                  <c:v>-32.570182334190065</c:v>
                </c:pt>
                <c:pt idx="124">
                  <c:v>-33.066394410242623</c:v>
                </c:pt>
                <c:pt idx="125">
                  <c:v>-33.535796616952879</c:v>
                </c:pt>
                <c:pt idx="126">
                  <c:v>-33.981136917305029</c:v>
                </c:pt>
              </c:numCache>
            </c:numRef>
          </c:yVal>
          <c:smooth val="0"/>
          <c:extLst>
            <c:ext xmlns:c16="http://schemas.microsoft.com/office/drawing/2014/chart" uri="{C3380CC4-5D6E-409C-BE32-E72D297353CC}">
              <c16:uniqueId val="{00000000-19BF-438B-B6BC-B29A3909C0FE}"/>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Bode!$Y$11</c:f>
              <c:strCache>
                <c:ptCount val="1"/>
                <c:pt idx="0">
                  <c:v>500k_PHASE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Bode!$Y$12:$Y$138</c:f>
              <c:numCache>
                <c:formatCode>General</c:formatCode>
                <c:ptCount val="127"/>
                <c:pt idx="0">
                  <c:v>-2.8647895716327903E-4</c:v>
                </c:pt>
                <c:pt idx="1">
                  <c:v>-4.2971843574044253E-4</c:v>
                </c:pt>
                <c:pt idx="2">
                  <c:v>-5.7295791431223413E-4</c:v>
                </c:pt>
                <c:pt idx="3">
                  <c:v>-7.1619739287686528E-4</c:v>
                </c:pt>
                <c:pt idx="4">
                  <c:v>-8.5943687143254113E-4</c:v>
                </c:pt>
                <c:pt idx="5">
                  <c:v>-1.0026763499774742E-3</c:v>
                </c:pt>
                <c:pt idx="6">
                  <c:v>-1.1459158285098763E-3</c:v>
                </c:pt>
                <c:pt idx="7">
                  <c:v>-1.2891553070279549E-3</c:v>
                </c:pt>
                <c:pt idx="8">
                  <c:v>-1.4323947855299159E-3</c:v>
                </c:pt>
                <c:pt idx="9">
                  <c:v>-1.5756342640139722E-3</c:v>
                </c:pt>
                <c:pt idx="10">
                  <c:v>-1.7188737424783356E-3</c:v>
                </c:pt>
                <c:pt idx="11">
                  <c:v>-1.8621132209212133E-3</c:v>
                </c:pt>
                <c:pt idx="12">
                  <c:v>-2.0053526993408116E-3</c:v>
                </c:pt>
                <c:pt idx="13">
                  <c:v>-2.1485921777353433E-3</c:v>
                </c:pt>
                <c:pt idx="14">
                  <c:v>-2.2918316561030207E-3</c:v>
                </c:pt>
                <c:pt idx="15">
                  <c:v>-2.4350711344420495E-3</c:v>
                </c:pt>
                <c:pt idx="16">
                  <c:v>-2.5783106127506366E-3</c:v>
                </c:pt>
                <c:pt idx="17">
                  <c:v>-2.7215500910269959E-3</c:v>
                </c:pt>
                <c:pt idx="18">
                  <c:v>-2.8647895692693382E-3</c:v>
                </c:pt>
                <c:pt idx="19">
                  <c:v>-4.2971843494277739E-3</c:v>
                </c:pt>
                <c:pt idx="20">
                  <c:v>-5.729579124214729E-3</c:v>
                </c:pt>
                <c:pt idx="21">
                  <c:v>-7.16197389183971E-3</c:v>
                </c:pt>
                <c:pt idx="22">
                  <c:v>-8.5943686505122237E-3</c:v>
                </c:pt>
                <c:pt idx="23">
                  <c:v>-1.0026763398441768E-2</c:v>
                </c:pt>
                <c:pt idx="24">
                  <c:v>-1.1459158133837855E-2</c:v>
                </c:pt>
                <c:pt idx="25">
                  <c:v>-1.289155285491005E-2</c:v>
                </c:pt>
                <c:pt idx="26">
                  <c:v>-1.4323947559867748E-2</c:v>
                </c:pt>
                <c:pt idx="27">
                  <c:v>-1.575634224692055E-2</c:v>
                </c:pt>
                <c:pt idx="28">
                  <c:v>-1.7188736914277858E-2</c:v>
                </c:pt>
                <c:pt idx="29">
                  <c:v>-1.8621131560149343E-2</c:v>
                </c:pt>
                <c:pt idx="30">
                  <c:v>-2.0053526182744336E-2</c:v>
                </c:pt>
                <c:pt idx="31">
                  <c:v>-2.1485920780272443E-2</c:v>
                </c:pt>
                <c:pt idx="32">
                  <c:v>-2.2918315350943182E-2</c:v>
                </c:pt>
                <c:pt idx="33">
                  <c:v>-2.4350709892966046E-2</c:v>
                </c:pt>
                <c:pt idx="34">
                  <c:v>-2.5783104404550491E-2</c:v>
                </c:pt>
                <c:pt idx="35">
                  <c:v>-2.7215498883906099E-2</c:v>
                </c:pt>
                <c:pt idx="36">
                  <c:v>-2.8647893329242342E-2</c:v>
                </c:pt>
                <c:pt idx="37">
                  <c:v>-4.2971835517631958E-2</c:v>
                </c:pt>
                <c:pt idx="38">
                  <c:v>-5.7295772334547579E-2</c:v>
                </c:pt>
                <c:pt idx="39">
                  <c:v>-7.1619701989503917E-2</c:v>
                </c:pt>
                <c:pt idx="40">
                  <c:v>-8.5943622692021368E-2</c:v>
                </c:pt>
                <c:pt idx="41">
                  <c:v>-0.10026753265162704</c:v>
                </c:pt>
                <c:pt idx="42">
                  <c:v>-0.11459143007785606</c:v>
                </c:pt>
                <c:pt idx="43">
                  <c:v>-0.12891531318025223</c:v>
                </c:pt>
                <c:pt idx="44">
                  <c:v>-0.14323918016837212</c:v>
                </c:pt>
                <c:pt idx="45">
                  <c:v>-0.15756302925178148</c:v>
                </c:pt>
                <c:pt idx="46">
                  <c:v>-0.17188685864006162</c:v>
                </c:pt>
                <c:pt idx="47">
                  <c:v>-0.18621066654280816</c:v>
                </c:pt>
                <c:pt idx="48">
                  <c:v>-0.20053445116963217</c:v>
                </c:pt>
                <c:pt idx="49">
                  <c:v>-0.21485821073016392</c:v>
                </c:pt>
                <c:pt idx="50">
                  <c:v>-0.22918194343404966</c:v>
                </c:pt>
                <c:pt idx="51">
                  <c:v>-0.24350564749095852</c:v>
                </c:pt>
                <c:pt idx="52">
                  <c:v>-0.25782932111057977</c:v>
                </c:pt>
                <c:pt idx="53">
                  <c:v>-0.27215296250262561</c:v>
                </c:pt>
                <c:pt idx="54">
                  <c:v>-0.28647656987683245</c:v>
                </c:pt>
                <c:pt idx="55">
                  <c:v>-0.42971037879974944</c:v>
                </c:pt>
                <c:pt idx="56">
                  <c:v>-0.57293881688002213</c:v>
                </c:pt>
                <c:pt idx="57">
                  <c:v>-0.71616009446328555</c:v>
                </c:pt>
                <c:pt idx="58">
                  <c:v>-0.85937242243203782</c:v>
                </c:pt>
                <c:pt idx="59">
                  <c:v>-1.0025740123396638</c:v>
                </c:pt>
                <c:pt idx="60">
                  <c:v>-1.1457630765443418</c:v>
                </c:pt>
                <c:pt idx="61">
                  <c:v>-1.2889378283427966</c:v>
                </c:pt>
                <c:pt idx="62">
                  <c:v>-1.4320964821038593</c:v>
                </c:pt>
                <c:pt idx="63">
                  <c:v>-1.5752372534018613</c:v>
                </c:pt>
                <c:pt idx="64">
                  <c:v>-1.718358359149764</c:v>
                </c:pt>
                <c:pt idx="65">
                  <c:v>-1.8614580177320734</c:v>
                </c:pt>
                <c:pt idx="66">
                  <c:v>-2.0045344491374539</c:v>
                </c:pt>
                <c:pt idx="67">
                  <c:v>-2.1475858750910586</c:v>
                </c:pt>
                <c:pt idx="68">
                  <c:v>-2.2906105191865156</c:v>
                </c:pt>
                <c:pt idx="69">
                  <c:v>-2.4336066070176021</c:v>
                </c:pt>
                <c:pt idx="70">
                  <c:v>-2.5765723663094895</c:v>
                </c:pt>
                <c:pt idx="71">
                  <c:v>-2.7195060270496665</c:v>
                </c:pt>
                <c:pt idx="72">
                  <c:v>-2.8624058216183719</c:v>
                </c:pt>
                <c:pt idx="73">
                  <c:v>-4.2891542211522138</c:v>
                </c:pt>
                <c:pt idx="74">
                  <c:v>-5.710594325555058</c:v>
                </c:pt>
                <c:pt idx="75">
                  <c:v>-7.1250178312196599</c:v>
                </c:pt>
                <c:pt idx="76">
                  <c:v>-8.5307673847238625</c:v>
                </c:pt>
                <c:pt idx="77">
                  <c:v>-9.9262475717488527</c:v>
                </c:pt>
                <c:pt idx="78">
                  <c:v>-11.309934826985332</c:v>
                </c:pt>
                <c:pt idx="79">
                  <c:v>-12.680386129899249</c:v>
                </c:pt>
                <c:pt idx="80">
                  <c:v>-14.036246388084637</c:v>
                </c:pt>
                <c:pt idx="81">
                  <c:v>-15.376254447765101</c:v>
                </c:pt>
                <c:pt idx="82">
                  <c:v>-16.699247708173459</c:v>
                </c:pt>
                <c:pt idx="83">
                  <c:v>-18.004165351573619</c:v>
                </c:pt>
                <c:pt idx="84">
                  <c:v>-19.29005023236973</c:v>
                </c:pt>
                <c:pt idx="85">
                  <c:v>-20.55604949614812</c:v>
                </c:pt>
                <c:pt idx="86">
                  <c:v>-21.801414022007247</c:v>
                </c:pt>
                <c:pt idx="87">
                  <c:v>-23.025496798846621</c:v>
                </c:pt>
                <c:pt idx="88">
                  <c:v>-24.227750358394488</c:v>
                </c:pt>
                <c:pt idx="89">
                  <c:v>-25.407723394875223</c:v>
                </c:pt>
                <c:pt idx="90">
                  <c:v>-26.565056703781107</c:v>
                </c:pt>
                <c:pt idx="91">
                  <c:v>-36.869905316410019</c:v>
                </c:pt>
                <c:pt idx="92">
                  <c:v>-45.000009361986116</c:v>
                </c:pt>
                <c:pt idx="93">
                  <c:v>-51.340202426935797</c:v>
                </c:pt>
                <c:pt idx="94">
                  <c:v>-56.309944188971457</c:v>
                </c:pt>
                <c:pt idx="95">
                  <c:v>-60.255131238781914</c:v>
                </c:pt>
                <c:pt idx="96">
                  <c:v>-63.434962020191122</c:v>
                </c:pt>
                <c:pt idx="97">
                  <c:v>-66.037524764138809</c:v>
                </c:pt>
                <c:pt idx="98">
                  <c:v>-68.198604701964996</c:v>
                </c:pt>
                <c:pt idx="99">
                  <c:v>-70.016908044704167</c:v>
                </c:pt>
                <c:pt idx="100">
                  <c:v>-71.565066065767226</c:v>
                </c:pt>
                <c:pt idx="101">
                  <c:v>-72.897286196797381</c:v>
                </c:pt>
                <c:pt idx="102">
                  <c:v>-74.054619505703258</c:v>
                </c:pt>
                <c:pt idx="103">
                  <c:v>-75.068598439440919</c:v>
                </c:pt>
                <c:pt idx="104">
                  <c:v>-75.963772335887626</c:v>
                </c:pt>
                <c:pt idx="105">
                  <c:v>-76.759496054172502</c:v>
                </c:pt>
                <c:pt idx="106">
                  <c:v>-77.471208408275743</c:v>
                </c:pt>
                <c:pt idx="107">
                  <c:v>-78.111358210978679</c:v>
                </c:pt>
                <c:pt idx="108">
                  <c:v>-78.690083896986863</c:v>
                </c:pt>
                <c:pt idx="109">
                  <c:v>-82.405373775359777</c:v>
                </c:pt>
                <c:pt idx="110">
                  <c:v>-84.289424398417182</c:v>
                </c:pt>
                <c:pt idx="111">
                  <c:v>-85.426096512493871</c:v>
                </c:pt>
                <c:pt idx="112">
                  <c:v>-86.18594309618598</c:v>
                </c:pt>
                <c:pt idx="113">
                  <c:v>-86.729530120382833</c:v>
                </c:pt>
                <c:pt idx="114">
                  <c:v>-87.137612902353865</c:v>
                </c:pt>
                <c:pt idx="115">
                  <c:v>-87.4552138147275</c:v>
                </c:pt>
                <c:pt idx="116">
                  <c:v>-87.709408204785703</c:v>
                </c:pt>
                <c:pt idx="117">
                  <c:v>-87.917453010975848</c:v>
                </c:pt>
                <c:pt idx="118">
                  <c:v>-88.090865893787893</c:v>
                </c:pt>
                <c:pt idx="119">
                  <c:v>-88.237627333656604</c:v>
                </c:pt>
                <c:pt idx="120">
                  <c:v>-88.363441341875244</c:v>
                </c:pt>
                <c:pt idx="121">
                  <c:v>-88.472492963966587</c:v>
                </c:pt>
                <c:pt idx="122">
                  <c:v>-88.567922241868374</c:v>
                </c:pt>
                <c:pt idx="123">
                  <c:v>-88.652131163353587</c:v>
                </c:pt>
                <c:pt idx="124">
                  <c:v>-88.726988439069089</c:v>
                </c:pt>
                <c:pt idx="125">
                  <c:v>-88.793969693840893</c:v>
                </c:pt>
                <c:pt idx="126">
                  <c:v>-88.854255647427891</c:v>
                </c:pt>
              </c:numCache>
            </c:numRef>
          </c:yVal>
          <c:smooth val="0"/>
          <c:extLst>
            <c:ext xmlns:c16="http://schemas.microsoft.com/office/drawing/2014/chart" uri="{C3380CC4-5D6E-409C-BE32-E72D297353CC}">
              <c16:uniqueId val="{00000001-19BF-438B-B6BC-B29A3909C0FE}"/>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00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zh-TW"/>
          </a:p>
        </c:txPr>
        <c:crossAx val="80978688"/>
        <c:crossesAt val="-40"/>
        <c:crossBetween val="midCat"/>
        <c:majorUnit val="10"/>
        <c:minorUnit val="10"/>
      </c:valAx>
      <c:valAx>
        <c:axId val="80978688"/>
        <c:scaling>
          <c:orientation val="minMax"/>
          <c:max val="2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zh-TW"/>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zh-TW"/>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zh-TW"/>
    </a:p>
  </c:txPr>
  <c:printSettings>
    <c:headerFooter alignWithMargins="0"/>
    <c:pageMargins b="1" l="0.75000000000000167" r="0.75000000000000167"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pitchFamily="34" charset="0"/>
                <a:ea typeface="Calibri"/>
                <a:cs typeface="Arial" pitchFamily="34" charset="0"/>
              </a:defRPr>
            </a:pPr>
            <a:r>
              <a:rPr lang="en-US" sz="1600">
                <a:latin typeface="Arial" pitchFamily="34" charset="0"/>
                <a:cs typeface="Arial" pitchFamily="34" charset="0"/>
                <a:sym typeface="Symbol"/>
              </a:rPr>
              <a:t>@</a:t>
            </a:r>
            <a:r>
              <a:rPr lang="en-US" sz="1600" b="1" i="0" u="none" strike="noStrike" baseline="0"/>
              <a:t>V</a:t>
            </a:r>
            <a:r>
              <a:rPr lang="en-US" sz="1600" b="1" i="0" u="none" strike="noStrike" baseline="-25000"/>
              <a:t>SUPPLY(typ)</a:t>
            </a:r>
            <a:endParaRPr lang="en-US" sz="1600">
              <a:latin typeface="Arial" pitchFamily="34" charset="0"/>
              <a:cs typeface="Arial" pitchFamily="34" charset="0"/>
            </a:endParaRPr>
          </a:p>
        </c:rich>
      </c:tx>
      <c:layout>
        <c:manualLayout>
          <c:xMode val="edge"/>
          <c:yMode val="edge"/>
          <c:x val="3.6981086796438578E-2"/>
          <c:y val="1.4110007078851499E-2"/>
        </c:manualLayout>
      </c:layout>
      <c:overlay val="0"/>
      <c:spPr>
        <a:noFill/>
        <a:ln w="25400">
          <a:noFill/>
        </a:ln>
      </c:spPr>
    </c:title>
    <c:autoTitleDeleted val="0"/>
    <c:plotArea>
      <c:layout>
        <c:manualLayout>
          <c:layoutTarget val="inner"/>
          <c:xMode val="edge"/>
          <c:yMode val="edge"/>
          <c:x val="8.2399604911965282E-2"/>
          <c:y val="0.12372903654825702"/>
          <c:w val="0.82579990228506228"/>
          <c:h val="0.76068566810117366"/>
        </c:manualLayout>
      </c:layout>
      <c:lineChart>
        <c:grouping val="standard"/>
        <c:varyColors val="0"/>
        <c:ser>
          <c:idx val="0"/>
          <c:order val="0"/>
          <c:tx>
            <c:strRef>
              <c:f>Efficiency!$BC$11</c:f>
              <c:strCache>
                <c:ptCount val="1"/>
                <c:pt idx="0">
                  <c:v>Efficiency</c:v>
                </c:pt>
              </c:strCache>
            </c:strRef>
          </c:tx>
          <c:spPr>
            <a:ln w="28575">
              <a:solidFill>
                <a:srgbClr val="FF0000"/>
              </a:solidFill>
            </a:ln>
          </c:spPr>
          <c:marker>
            <c:symbol val="none"/>
          </c:marker>
          <c:cat>
            <c:numRef>
              <c:f>Efficiency!$I$12:$I$112</c:f>
              <c:numCache>
                <c:formatCode>0.000</c:formatCode>
                <c:ptCount val="101"/>
                <c:pt idx="0" formatCode="General">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numCache>
            </c:numRef>
          </c:cat>
          <c:val>
            <c:numRef>
              <c:f>Efficiency!$BC$12:$BC$112</c:f>
              <c:numCache>
                <c:formatCode>0.00</c:formatCode>
                <c:ptCount val="101"/>
                <c:pt idx="0">
                  <c:v>0</c:v>
                </c:pt>
                <c:pt idx="1">
                  <c:v>40.786960597136371</c:v>
                </c:pt>
                <c:pt idx="2">
                  <c:v>57.921292410593765</c:v>
                </c:pt>
                <c:pt idx="3">
                  <c:v>67.346905493656834</c:v>
                </c:pt>
                <c:pt idx="4">
                  <c:v>73.306768149361915</c:v>
                </c:pt>
                <c:pt idx="5">
                  <c:v>77.412742294708323</c:v>
                </c:pt>
                <c:pt idx="6">
                  <c:v>80.41131507294331</c:v>
                </c:pt>
                <c:pt idx="7">
                  <c:v>82.695626400621592</c:v>
                </c:pt>
                <c:pt idx="8">
                  <c:v>84.492415857052251</c:v>
                </c:pt>
                <c:pt idx="9">
                  <c:v>85.941636483018968</c:v>
                </c:pt>
                <c:pt idx="10">
                  <c:v>87.134351273841162</c:v>
                </c:pt>
                <c:pt idx="11">
                  <c:v>88.132366992935729</c:v>
                </c:pt>
                <c:pt idx="12">
                  <c:v>88.978909694557728</c:v>
                </c:pt>
                <c:pt idx="13">
                  <c:v>89.700774762895307</c:v>
                </c:pt>
                <c:pt idx="14">
                  <c:v>90.320192013259629</c:v>
                </c:pt>
                <c:pt idx="15">
                  <c:v>90.866325450245398</c:v>
                </c:pt>
                <c:pt idx="16">
                  <c:v>91.349191915112428</c:v>
                </c:pt>
                <c:pt idx="17">
                  <c:v>91.777596646489229</c:v>
                </c:pt>
                <c:pt idx="18">
                  <c:v>92.159943306765939</c:v>
                </c:pt>
                <c:pt idx="19">
                  <c:v>92.502991011778761</c:v>
                </c:pt>
                <c:pt idx="20">
                  <c:v>92.812237831070135</c:v>
                </c:pt>
                <c:pt idx="21">
                  <c:v>93.092201753633887</c:v>
                </c:pt>
                <c:pt idx="22">
                  <c:v>93.346629737894006</c:v>
                </c:pt>
                <c:pt idx="23">
                  <c:v>93.578655442671959</c:v>
                </c:pt>
                <c:pt idx="24">
                  <c:v>93.790919759248098</c:v>
                </c:pt>
                <c:pt idx="25">
                  <c:v>93.985663992477114</c:v>
                </c:pt>
                <c:pt idx="26">
                  <c:v>94.164802667922714</c:v>
                </c:pt>
                <c:pt idx="27">
                  <c:v>94.329980979484247</c:v>
                </c:pt>
                <c:pt idx="28">
                  <c:v>94.482620529417545</c:v>
                </c:pt>
                <c:pt idx="29">
                  <c:v>94.623956052926786</c:v>
                </c:pt>
                <c:pt idx="30">
                  <c:v>94.755065134500015</c:v>
                </c:pt>
                <c:pt idx="31">
                  <c:v>94.876892428192036</c:v>
                </c:pt>
                <c:pt idx="32">
                  <c:v>94.990269532300729</c:v>
                </c:pt>
                <c:pt idx="33">
                  <c:v>95.095931401658262</c:v>
                </c:pt>
                <c:pt idx="34">
                  <c:v>95.194529981392122</c:v>
                </c:pt>
                <c:pt idx="35">
                  <c:v>95.286645595883485</c:v>
                </c:pt>
                <c:pt idx="36">
                  <c:v>95.372796512610108</c:v>
                </c:pt>
                <c:pt idx="37">
                  <c:v>95.453447013219446</c:v>
                </c:pt>
                <c:pt idx="38">
                  <c:v>95.529014236767296</c:v>
                </c:pt>
                <c:pt idx="39">
                  <c:v>95.599874007648069</c:v>
                </c:pt>
                <c:pt idx="40">
                  <c:v>95.666365819715864</c:v>
                </c:pt>
                <c:pt idx="41">
                  <c:v>95.728797115768643</c:v>
                </c:pt>
                <c:pt idx="42">
                  <c:v>95.787446975938352</c:v>
                </c:pt>
                <c:pt idx="43">
                  <c:v>95.84256930809029</c:v>
                </c:pt>
                <c:pt idx="44">
                  <c:v>95.894395616944593</c:v>
                </c:pt>
                <c:pt idx="45">
                  <c:v>95.943137415417411</c:v>
                </c:pt>
                <c:pt idx="46">
                  <c:v>95.988988330972418</c:v>
                </c:pt>
                <c:pt idx="47">
                  <c:v>96.032125951054397</c:v>
                </c:pt>
                <c:pt idx="48">
                  <c:v>96.072713444546025</c:v>
                </c:pt>
                <c:pt idx="49">
                  <c:v>96.110900990329313</c:v>
                </c:pt>
                <c:pt idx="50">
                  <c:v>96.146827039200474</c:v>
                </c:pt>
                <c:pt idx="51">
                  <c:v>96.180619431381771</c:v>
                </c:pt>
                <c:pt idx="52">
                  <c:v>96.212396388544335</c:v>
                </c:pt>
                <c:pt idx="53">
                  <c:v>96.242267396476876</c:v>
                </c:pt>
                <c:pt idx="54">
                  <c:v>96.270333992206801</c:v>
                </c:pt>
                <c:pt idx="55">
                  <c:v>96.296690467422792</c:v>
                </c:pt>
                <c:pt idx="56">
                  <c:v>96.321424498398585</c:v>
                </c:pt>
                <c:pt idx="57">
                  <c:v>96.344617711220494</c:v>
                </c:pt>
                <c:pt idx="58">
                  <c:v>96.366346189937332</c:v>
                </c:pt>
                <c:pt idx="59">
                  <c:v>96.38668093424188</c:v>
                </c:pt>
                <c:pt idx="60">
                  <c:v>96.405688272434006</c:v>
                </c:pt>
                <c:pt idx="61">
                  <c:v>96.423430234677085</c:v>
                </c:pt>
                <c:pt idx="62">
                  <c:v>96.439964890928749</c:v>
                </c:pt>
                <c:pt idx="63">
                  <c:v>96.455346657382464</c:v>
                </c:pt>
                <c:pt idx="64">
                  <c:v>96.469626574787327</c:v>
                </c:pt>
                <c:pt idx="65">
                  <c:v>96.482852561608368</c:v>
                </c:pt>
                <c:pt idx="66">
                  <c:v>96.495069644637923</c:v>
                </c:pt>
                <c:pt idx="67">
                  <c:v>96.506320169363519</c:v>
                </c:pt>
                <c:pt idx="68">
                  <c:v>96.51664399213243</c:v>
                </c:pt>
                <c:pt idx="69">
                  <c:v>96.526078655920443</c:v>
                </c:pt>
                <c:pt idx="70">
                  <c:v>96.534659551311393</c:v>
                </c:pt>
                <c:pt idx="71">
                  <c:v>96.542420064114722</c:v>
                </c:pt>
                <c:pt idx="72">
                  <c:v>96.549391710894696</c:v>
                </c:pt>
                <c:pt idx="73">
                  <c:v>96.555604263546556</c:v>
                </c:pt>
                <c:pt idx="74">
                  <c:v>96.561085863935233</c:v>
                </c:pt>
                <c:pt idx="75">
                  <c:v>96.565863129505686</c:v>
                </c:pt>
                <c:pt idx="76">
                  <c:v>96.569961250679953</c:v>
                </c:pt>
                <c:pt idx="77">
                  <c:v>96.573404080773045</c:v>
                </c:pt>
                <c:pt idx="78">
                  <c:v>96.57621421908577</c:v>
                </c:pt>
                <c:pt idx="79">
                  <c:v>96.578413087767117</c:v>
                </c:pt>
                <c:pt idx="80">
                  <c:v>96.580021002981042</c:v>
                </c:pt>
                <c:pt idx="81">
                  <c:v>96.581057240859735</c:v>
                </c:pt>
                <c:pt idx="82">
                  <c:v>96.581540098680009</c:v>
                </c:pt>
                <c:pt idx="83">
                  <c:v>96.581486951657425</c:v>
                </c:pt>
                <c:pt idx="84">
                  <c:v>96.580914305716178</c:v>
                </c:pt>
                <c:pt idx="85">
                  <c:v>96.579837846559414</c:v>
                </c:pt>
                <c:pt idx="86">
                  <c:v>96.578272485334736</c:v>
                </c:pt>
                <c:pt idx="87">
                  <c:v>96.576232401163381</c:v>
                </c:pt>
                <c:pt idx="88">
                  <c:v>96.573731080777137</c:v>
                </c:pt>
                <c:pt idx="89">
                  <c:v>96.570781355485352</c:v>
                </c:pt>
                <c:pt idx="90">
                  <c:v>96.567395435675309</c:v>
                </c:pt>
                <c:pt idx="91">
                  <c:v>96.563584943031117</c:v>
                </c:pt>
                <c:pt idx="92">
                  <c:v>96.559360940640815</c:v>
                </c:pt>
                <c:pt idx="93">
                  <c:v>96.554733961146269</c:v>
                </c:pt>
                <c:pt idx="94">
                  <c:v>96.54971403307843</c:v>
                </c:pt>
                <c:pt idx="95">
                  <c:v>96.544310705507655</c:v>
                </c:pt>
                <c:pt idx="96">
                  <c:v>96.538533071128512</c:v>
                </c:pt>
                <c:pt idx="97">
                  <c:v>96.532389787888931</c:v>
                </c:pt>
                <c:pt idx="98">
                  <c:v>96.525889099264162</c:v>
                </c:pt>
                <c:pt idx="99">
                  <c:v>96.519038853268285</c:v>
                </c:pt>
                <c:pt idx="100">
                  <c:v>96.511846520288472</c:v>
                </c:pt>
              </c:numCache>
            </c:numRef>
          </c:val>
          <c:smooth val="0"/>
          <c:extLst>
            <c:ext xmlns:c16="http://schemas.microsoft.com/office/drawing/2014/chart" uri="{C3380CC4-5D6E-409C-BE32-E72D297353CC}">
              <c16:uniqueId val="{00000000-5C48-4103-949E-30B60EE05559}"/>
            </c:ext>
          </c:extLst>
        </c:ser>
        <c:dLbls>
          <c:showLegendKey val="0"/>
          <c:showVal val="0"/>
          <c:showCatName val="0"/>
          <c:showSerName val="0"/>
          <c:showPercent val="0"/>
          <c:showBubbleSize val="0"/>
        </c:dLbls>
        <c:marker val="1"/>
        <c:smooth val="0"/>
        <c:axId val="211003264"/>
        <c:axId val="211009536"/>
      </c:lineChart>
      <c:lineChart>
        <c:grouping val="standard"/>
        <c:varyColors val="0"/>
        <c:ser>
          <c:idx val="2"/>
          <c:order val="1"/>
          <c:tx>
            <c:strRef>
              <c:f>Efficiency!$BD$11</c:f>
              <c:strCache>
                <c:ptCount val="1"/>
                <c:pt idx="0">
                  <c:v>Inductor</c:v>
                </c:pt>
              </c:strCache>
            </c:strRef>
          </c:tx>
          <c:spPr>
            <a:ln>
              <a:solidFill>
                <a:srgbClr val="7030A0"/>
              </a:solidFill>
              <a:prstDash val="dash"/>
            </a:ln>
          </c:spPr>
          <c:marker>
            <c:symbol val="none"/>
          </c:marker>
          <c:cat>
            <c:numRef>
              <c:f>Efficiency!$I$12:$I$112</c:f>
              <c:numCache>
                <c:formatCode>0.000</c:formatCode>
                <c:ptCount val="101"/>
                <c:pt idx="0" formatCode="General">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numCache>
            </c:numRef>
          </c:cat>
          <c:val>
            <c:numRef>
              <c:f>Efficiency!$BD$12:$BD$112</c:f>
              <c:numCache>
                <c:formatCode>0.000</c:formatCode>
                <c:ptCount val="101"/>
                <c:pt idx="0">
                  <c:v>1.6073246392656251</c:v>
                </c:pt>
                <c:pt idx="1">
                  <c:v>1.607437459523166</c:v>
                </c:pt>
                <c:pt idx="2">
                  <c:v>1.6077702803235543</c:v>
                </c:pt>
                <c:pt idx="3">
                  <c:v>1.6083231016667898</c:v>
                </c:pt>
                <c:pt idx="4">
                  <c:v>1.6090959235528728</c:v>
                </c:pt>
                <c:pt idx="5">
                  <c:v>1.610088745981803</c:v>
                </c:pt>
                <c:pt idx="6">
                  <c:v>1.6113015689535806</c:v>
                </c:pt>
                <c:pt idx="7">
                  <c:v>1.6127343924682054</c:v>
                </c:pt>
                <c:pt idx="8">
                  <c:v>1.6143872165256776</c:v>
                </c:pt>
                <c:pt idx="9">
                  <c:v>1.6162600411259973</c:v>
                </c:pt>
                <c:pt idx="10">
                  <c:v>1.6183528662691642</c:v>
                </c:pt>
                <c:pt idx="11">
                  <c:v>1.6206656919551783</c:v>
                </c:pt>
                <c:pt idx="12">
                  <c:v>1.6231985181840398</c:v>
                </c:pt>
                <c:pt idx="13">
                  <c:v>1.6259513449557488</c:v>
                </c:pt>
                <c:pt idx="14">
                  <c:v>1.6289241722703049</c:v>
                </c:pt>
                <c:pt idx="15">
                  <c:v>1.6321170001277083</c:v>
                </c:pt>
                <c:pt idx="16">
                  <c:v>1.6355298285279594</c:v>
                </c:pt>
                <c:pt idx="17">
                  <c:v>1.6391626574710574</c:v>
                </c:pt>
                <c:pt idx="18">
                  <c:v>1.6430154869570028</c:v>
                </c:pt>
                <c:pt idx="19">
                  <c:v>1.6470883169857957</c:v>
                </c:pt>
                <c:pt idx="20">
                  <c:v>1.6513811475574358</c:v>
                </c:pt>
                <c:pt idx="21">
                  <c:v>1.6558939786719233</c:v>
                </c:pt>
                <c:pt idx="22">
                  <c:v>1.6606268103292583</c:v>
                </c:pt>
                <c:pt idx="23">
                  <c:v>1.6655796425294402</c:v>
                </c:pt>
                <c:pt idx="24">
                  <c:v>1.6707524752724698</c:v>
                </c:pt>
                <c:pt idx="25">
                  <c:v>1.6761453085583466</c:v>
                </c:pt>
                <c:pt idx="26">
                  <c:v>1.6817581423870707</c:v>
                </c:pt>
                <c:pt idx="27">
                  <c:v>1.6875909767586421</c:v>
                </c:pt>
                <c:pt idx="28">
                  <c:v>1.693643811673061</c:v>
                </c:pt>
                <c:pt idx="29">
                  <c:v>1.6999166471303271</c:v>
                </c:pt>
                <c:pt idx="30">
                  <c:v>1.7064094831304404</c:v>
                </c:pt>
                <c:pt idx="31">
                  <c:v>1.7131223196734013</c:v>
                </c:pt>
                <c:pt idx="32">
                  <c:v>1.7200551567592093</c:v>
                </c:pt>
                <c:pt idx="33">
                  <c:v>1.7272079943878647</c:v>
                </c:pt>
                <c:pt idx="34">
                  <c:v>1.7345808325593675</c:v>
                </c:pt>
                <c:pt idx="35">
                  <c:v>1.7421736712737175</c:v>
                </c:pt>
                <c:pt idx="36">
                  <c:v>1.7499865105309149</c:v>
                </c:pt>
                <c:pt idx="37">
                  <c:v>1.7580193503309596</c:v>
                </c:pt>
                <c:pt idx="38">
                  <c:v>1.7662721906738517</c:v>
                </c:pt>
                <c:pt idx="39">
                  <c:v>1.774745031559591</c:v>
                </c:pt>
                <c:pt idx="40">
                  <c:v>1.7834378729881777</c:v>
                </c:pt>
                <c:pt idx="41">
                  <c:v>1.7923507149596118</c:v>
                </c:pt>
                <c:pt idx="42">
                  <c:v>1.8014835574738932</c:v>
                </c:pt>
                <c:pt idx="43">
                  <c:v>1.8108364005310218</c:v>
                </c:pt>
                <c:pt idx="44">
                  <c:v>1.8204092441309978</c:v>
                </c:pt>
                <c:pt idx="45">
                  <c:v>1.8302020882738212</c:v>
                </c:pt>
                <c:pt idx="46">
                  <c:v>1.8402149329594919</c:v>
                </c:pt>
                <c:pt idx="47">
                  <c:v>1.85044777818801</c:v>
                </c:pt>
                <c:pt idx="48">
                  <c:v>1.8609006239593751</c:v>
                </c:pt>
                <c:pt idx="49">
                  <c:v>1.8715734702735878</c:v>
                </c:pt>
                <c:pt idx="50">
                  <c:v>1.8824663171306479</c:v>
                </c:pt>
                <c:pt idx="51">
                  <c:v>1.8935791645305551</c:v>
                </c:pt>
                <c:pt idx="52">
                  <c:v>1.9049120124733099</c:v>
                </c:pt>
                <c:pt idx="53">
                  <c:v>1.9164648609589117</c:v>
                </c:pt>
                <c:pt idx="54">
                  <c:v>1.9282377099873611</c:v>
                </c:pt>
                <c:pt idx="55">
                  <c:v>1.9402305595586578</c:v>
                </c:pt>
                <c:pt idx="56">
                  <c:v>1.9524434096728016</c:v>
                </c:pt>
                <c:pt idx="57">
                  <c:v>1.9648762603297929</c:v>
                </c:pt>
                <c:pt idx="58">
                  <c:v>1.9775291115296314</c:v>
                </c:pt>
                <c:pt idx="59">
                  <c:v>1.9904019632723173</c:v>
                </c:pt>
                <c:pt idx="60">
                  <c:v>2.0034948155578505</c:v>
                </c:pt>
                <c:pt idx="61">
                  <c:v>2.0168076683862313</c:v>
                </c:pt>
                <c:pt idx="62">
                  <c:v>2.0303405217574593</c:v>
                </c:pt>
                <c:pt idx="63">
                  <c:v>2.0440933756715345</c:v>
                </c:pt>
                <c:pt idx="64">
                  <c:v>2.0580662301284569</c:v>
                </c:pt>
                <c:pt idx="65">
                  <c:v>2.072259085128227</c:v>
                </c:pt>
                <c:pt idx="66">
                  <c:v>2.0866719406708438</c:v>
                </c:pt>
                <c:pt idx="67">
                  <c:v>2.1013047967563088</c:v>
                </c:pt>
                <c:pt idx="68">
                  <c:v>2.1161576533846205</c:v>
                </c:pt>
                <c:pt idx="69">
                  <c:v>2.1312305105557798</c:v>
                </c:pt>
                <c:pt idx="70">
                  <c:v>2.1465233682697864</c:v>
                </c:pt>
                <c:pt idx="71">
                  <c:v>2.1620362265266402</c:v>
                </c:pt>
                <c:pt idx="72">
                  <c:v>2.1777690853263412</c:v>
                </c:pt>
                <c:pt idx="73">
                  <c:v>2.1937219446688898</c:v>
                </c:pt>
                <c:pt idx="74">
                  <c:v>2.2098948045542857</c:v>
                </c:pt>
                <c:pt idx="75">
                  <c:v>2.2262876649825287</c:v>
                </c:pt>
                <c:pt idx="76">
                  <c:v>2.242900525953619</c:v>
                </c:pt>
                <c:pt idx="77">
                  <c:v>2.2597333874675574</c:v>
                </c:pt>
                <c:pt idx="78">
                  <c:v>2.2767862495243421</c:v>
                </c:pt>
                <c:pt idx="79">
                  <c:v>2.2940591121239748</c:v>
                </c:pt>
                <c:pt idx="80">
                  <c:v>2.3115519752664548</c:v>
                </c:pt>
                <c:pt idx="81">
                  <c:v>2.3292648389517816</c:v>
                </c:pt>
                <c:pt idx="82">
                  <c:v>2.347197703179956</c:v>
                </c:pt>
                <c:pt idx="83">
                  <c:v>2.3653505679509781</c:v>
                </c:pt>
                <c:pt idx="84">
                  <c:v>2.3837234332648469</c:v>
                </c:pt>
                <c:pt idx="85">
                  <c:v>2.4023162991215634</c:v>
                </c:pt>
                <c:pt idx="86">
                  <c:v>2.4211291655211271</c:v>
                </c:pt>
                <c:pt idx="87">
                  <c:v>2.440162032463538</c:v>
                </c:pt>
                <c:pt idx="88">
                  <c:v>2.459414899948797</c:v>
                </c:pt>
                <c:pt idx="89">
                  <c:v>2.4788877679769024</c:v>
                </c:pt>
                <c:pt idx="90">
                  <c:v>2.4985806365478558</c:v>
                </c:pt>
                <c:pt idx="91">
                  <c:v>2.518493505661656</c:v>
                </c:pt>
                <c:pt idx="92">
                  <c:v>2.5386263753183034</c:v>
                </c:pt>
                <c:pt idx="93">
                  <c:v>2.5589792455177989</c:v>
                </c:pt>
                <c:pt idx="94">
                  <c:v>2.5795521162601416</c:v>
                </c:pt>
                <c:pt idx="95">
                  <c:v>2.6003449875453306</c:v>
                </c:pt>
                <c:pt idx="96">
                  <c:v>2.6213578593733677</c:v>
                </c:pt>
                <c:pt idx="97">
                  <c:v>2.6425907317442521</c:v>
                </c:pt>
                <c:pt idx="98">
                  <c:v>2.6640436046579845</c:v>
                </c:pt>
                <c:pt idx="99">
                  <c:v>2.6857164781145628</c:v>
                </c:pt>
                <c:pt idx="100">
                  <c:v>2.7076093521139892</c:v>
                </c:pt>
              </c:numCache>
            </c:numRef>
          </c:val>
          <c:smooth val="0"/>
          <c:extLst>
            <c:ext xmlns:c16="http://schemas.microsoft.com/office/drawing/2014/chart" uri="{C3380CC4-5D6E-409C-BE32-E72D297353CC}">
              <c16:uniqueId val="{00000001-5C48-4103-949E-30B60EE05559}"/>
            </c:ext>
          </c:extLst>
        </c:ser>
        <c:ser>
          <c:idx val="1"/>
          <c:order val="2"/>
          <c:tx>
            <c:strRef>
              <c:f>Efficiency!$BF$11</c:f>
              <c:strCache>
                <c:ptCount val="1"/>
                <c:pt idx="0">
                  <c:v>HS MOSFET</c:v>
                </c:pt>
              </c:strCache>
            </c:strRef>
          </c:tx>
          <c:spPr>
            <a:ln>
              <a:solidFill>
                <a:srgbClr val="0070C0"/>
              </a:solidFill>
              <a:prstDash val="dashDot"/>
            </a:ln>
          </c:spPr>
          <c:marker>
            <c:symbol val="none"/>
          </c:marker>
          <c:cat>
            <c:numRef>
              <c:f>Efficiency!$I$12:$I$112</c:f>
              <c:numCache>
                <c:formatCode>0.000</c:formatCode>
                <c:ptCount val="101"/>
                <c:pt idx="0" formatCode="General">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numCache>
            </c:numRef>
          </c:cat>
          <c:val>
            <c:numRef>
              <c:f>Efficiency!$BF$12:$BF$112</c:f>
              <c:numCache>
                <c:formatCode>0.000</c:formatCode>
                <c:ptCount val="101"/>
                <c:pt idx="0">
                  <c:v>5.1349133935465488E-2</c:v>
                </c:pt>
                <c:pt idx="1">
                  <c:v>5.1953182575150518E-2</c:v>
                </c:pt>
                <c:pt idx="2">
                  <c:v>5.2700048785580128E-2</c:v>
                </c:pt>
                <c:pt idx="3">
                  <c:v>5.3589845470651237E-2</c:v>
                </c:pt>
                <c:pt idx="4">
                  <c:v>5.4622705655622633E-2</c:v>
                </c:pt>
                <c:pt idx="5">
                  <c:v>5.5798782543536742E-2</c:v>
                </c:pt>
                <c:pt idx="6">
                  <c:v>5.7118249578798019E-2</c:v>
                </c:pt>
                <c:pt idx="7">
                  <c:v>5.8581300517953225E-2</c:v>
                </c:pt>
                <c:pt idx="8">
                  <c:v>6.0188149507723158E-2</c:v>
                </c:pt>
                <c:pt idx="9">
                  <c:v>6.1939031170340823E-2</c:v>
                </c:pt>
                <c:pt idx="10">
                  <c:v>6.3834200696255339E-2</c:v>
                </c:pt>
                <c:pt idx="11">
                  <c:v>6.5873933944266438E-2</c:v>
                </c:pt>
                <c:pt idx="12">
                  <c:v>6.8094907178973138E-2</c:v>
                </c:pt>
                <c:pt idx="13">
                  <c:v>7.1398343230145878E-2</c:v>
                </c:pt>
                <c:pt idx="14">
                  <c:v>7.6173383582504278E-2</c:v>
                </c:pt>
                <c:pt idx="15">
                  <c:v>7.9884062894523794E-2</c:v>
                </c:pt>
                <c:pt idx="16">
                  <c:v>8.3327233885854807E-2</c:v>
                </c:pt>
                <c:pt idx="17">
                  <c:v>8.6917064349865986E-2</c:v>
                </c:pt>
                <c:pt idx="18">
                  <c:v>9.0653978267685106E-2</c:v>
                </c:pt>
                <c:pt idx="19">
                  <c:v>9.4538421366827996E-2</c:v>
                </c:pt>
                <c:pt idx="20">
                  <c:v>9.8570861291978978E-2</c:v>
                </c:pt>
                <c:pt idx="21">
                  <c:v>0.10275178778414157</c:v>
                </c:pt>
                <c:pt idx="22">
                  <c:v>0.10708171286828425</c:v>
                </c:pt>
                <c:pt idx="23">
                  <c:v>0.11156117104961383</c:v>
                </c:pt>
                <c:pt idx="24">
                  <c:v>0.11619071951861448</c:v>
                </c:pt>
                <c:pt idx="25">
                  <c:v>0.12097093836499648</c:v>
                </c:pt>
                <c:pt idx="26">
                  <c:v>0.12590243080070723</c:v>
                </c:pt>
                <c:pt idx="27">
                  <c:v>0.13098582339216241</c:v>
                </c:pt>
                <c:pt idx="28">
                  <c:v>0.13622176630186236</c:v>
                </c:pt>
                <c:pt idx="29">
                  <c:v>0.14161093353956758</c:v>
                </c:pt>
                <c:pt idx="30">
                  <c:v>0.14715402322321169</c:v>
                </c:pt>
                <c:pt idx="31">
                  <c:v>0.15285175784974211</c:v>
                </c:pt>
                <c:pt idx="32">
                  <c:v>0.15870488457608176</c:v>
                </c:pt>
                <c:pt idx="33">
                  <c:v>0.16471417551041764</c:v>
                </c:pt>
                <c:pt idx="34">
                  <c:v>0.17088042801402753</c:v>
                </c:pt>
                <c:pt idx="35">
                  <c:v>0.17720446501386566</c:v>
                </c:pt>
                <c:pt idx="36">
                  <c:v>0.18368713532613767</c:v>
                </c:pt>
                <c:pt idx="37">
                  <c:v>0.19032931399110348</c:v>
                </c:pt>
                <c:pt idx="38">
                  <c:v>0.19713190261935584</c:v>
                </c:pt>
                <c:pt idx="39">
                  <c:v>0.20409582974983409</c:v>
                </c:pt>
                <c:pt idx="40">
                  <c:v>0.21122205121983983</c:v>
                </c:pt>
                <c:pt idx="41">
                  <c:v>0.21851155054733337</c:v>
                </c:pt>
                <c:pt idx="42">
                  <c:v>0.22596533932580132</c:v>
                </c:pt>
                <c:pt idx="43">
                  <c:v>0.23358445763199373</c:v>
                </c:pt>
                <c:pt idx="44">
                  <c:v>0.24136997444684494</c:v>
                </c:pt>
                <c:pt idx="45">
                  <c:v>0.24932298808989911</c:v>
                </c:pt>
                <c:pt idx="46">
                  <c:v>0.25744462666757961</c:v>
                </c:pt>
                <c:pt idx="47">
                  <c:v>0.26573604853564725</c:v>
                </c:pt>
                <c:pt idx="48">
                  <c:v>0.27419844277621236</c:v>
                </c:pt>
                <c:pt idx="49">
                  <c:v>0.2828330296896745</c:v>
                </c:pt>
                <c:pt idx="50">
                  <c:v>0.29164106130197881</c:v>
                </c:pt>
                <c:pt idx="51">
                  <c:v>0.30062382188759446</c:v>
                </c:pt>
                <c:pt idx="52">
                  <c:v>0.30978262850863425</c:v>
                </c:pt>
                <c:pt idx="53">
                  <c:v>0.31911883157054788</c:v>
                </c:pt>
                <c:pt idx="54">
                  <c:v>0.32863381539484426</c:v>
                </c:pt>
                <c:pt idx="55">
                  <c:v>0.33832899880930695</c:v>
                </c:pt>
                <c:pt idx="56">
                  <c:v>0.34820583575619041</c:v>
                </c:pt>
                <c:pt idx="57">
                  <c:v>0.35826581591890105</c:v>
                </c:pt>
                <c:pt idx="58">
                  <c:v>0.3685104653676835</c:v>
                </c:pt>
                <c:pt idx="59">
                  <c:v>0.37894134722485751</c:v>
                </c:pt>
                <c:pt idx="60">
                  <c:v>0.38956006235016477</c:v>
                </c:pt>
                <c:pt idx="61">
                  <c:v>0.40036825004681237</c:v>
                </c:pt>
                <c:pt idx="62">
                  <c:v>0.41136758878881668</c:v>
                </c:pt>
                <c:pt idx="63">
                  <c:v>0.4225597969702754</c:v>
                </c:pt>
                <c:pt idx="64">
                  <c:v>0.43394663367722391</c:v>
                </c:pt>
                <c:pt idx="65">
                  <c:v>0.44552989948274807</c:v>
                </c:pt>
                <c:pt idx="66">
                  <c:v>0.45731143726605944</c:v>
                </c:pt>
                <c:pt idx="67">
                  <c:v>0.46929313305626175</c:v>
                </c:pt>
                <c:pt idx="68">
                  <c:v>0.48147691690156408</c:v>
                </c:pt>
                <c:pt idx="69">
                  <c:v>0.4938647637647296</c:v>
                </c:pt>
                <c:pt idx="70">
                  <c:v>0.50645869444557423</c:v>
                </c:pt>
                <c:pt idx="71">
                  <c:v>0.51926077653136382</c:v>
                </c:pt>
                <c:pt idx="72">
                  <c:v>0.5322731253759907</c:v>
                </c:pt>
                <c:pt idx="73">
                  <c:v>0.54549790510884111</c:v>
                </c:pt>
                <c:pt idx="74">
                  <c:v>0.5589373296743102</c:v>
                </c:pt>
                <c:pt idx="75">
                  <c:v>0.57259366390294297</c:v>
                </c:pt>
                <c:pt idx="76">
                  <c:v>0.5864692246152351</c:v>
                </c:pt>
                <c:pt idx="77">
                  <c:v>0.60056638175915256</c:v>
                </c:pt>
                <c:pt idx="78">
                  <c:v>0.61488755958248298</c:v>
                </c:pt>
                <c:pt idx="79">
                  <c:v>0.6294352378411695</c:v>
                </c:pt>
                <c:pt idx="80">
                  <c:v>0.64421195304481982</c:v>
                </c:pt>
                <c:pt idx="81">
                  <c:v>0.65922029974064467</c:v>
                </c:pt>
                <c:pt idx="82">
                  <c:v>0.67446293183711015</c:v>
                </c:pt>
                <c:pt idx="83">
                  <c:v>0.68994256396866083</c:v>
                </c:pt>
                <c:pt idx="84">
                  <c:v>0.70566197290290589</c:v>
                </c:pt>
                <c:pt idx="85">
                  <c:v>0.72162399899173557</c:v>
                </c:pt>
                <c:pt idx="86">
                  <c:v>0.73783154766787562</c:v>
                </c:pt>
                <c:pt idx="87">
                  <c:v>0.75428759098846754</c:v>
                </c:pt>
                <c:pt idx="88">
                  <c:v>0.77099516922731648</c:v>
                </c:pt>
                <c:pt idx="89">
                  <c:v>0.78795739251751151</c:v>
                </c:pt>
                <c:pt idx="90">
                  <c:v>0.8051774425462177</c:v>
                </c:pt>
                <c:pt idx="91">
                  <c:v>0.82265857430347911</c:v>
                </c:pt>
                <c:pt idx="92">
                  <c:v>0.840404117886979</c:v>
                </c:pt>
                <c:pt idx="93">
                  <c:v>0.85841748036477206</c:v>
                </c:pt>
                <c:pt idx="94">
                  <c:v>0.87670214769808485</c:v>
                </c:pt>
                <c:pt idx="95">
                  <c:v>0.89526168672638118</c:v>
                </c:pt>
                <c:pt idx="96">
                  <c:v>0.91409974721697329</c:v>
                </c:pt>
                <c:pt idx="97">
                  <c:v>0.93322006398155954</c:v>
                </c:pt>
                <c:pt idx="98">
                  <c:v>0.95262645906217558</c:v>
                </c:pt>
                <c:pt idx="99">
                  <c:v>0.97232284398914781</c:v>
                </c:pt>
                <c:pt idx="100">
                  <c:v>0.99231322211376005</c:v>
                </c:pt>
              </c:numCache>
            </c:numRef>
          </c:val>
          <c:smooth val="0"/>
          <c:extLst>
            <c:ext xmlns:c16="http://schemas.microsoft.com/office/drawing/2014/chart" uri="{C3380CC4-5D6E-409C-BE32-E72D297353CC}">
              <c16:uniqueId val="{00000002-5C48-4103-949E-30B60EE05559}"/>
            </c:ext>
          </c:extLst>
        </c:ser>
        <c:ser>
          <c:idx val="3"/>
          <c:order val="3"/>
          <c:tx>
            <c:strRef>
              <c:f>Efficiency!$BG$11</c:f>
              <c:strCache>
                <c:ptCount val="1"/>
                <c:pt idx="0">
                  <c:v>LS MOSFET // Diode</c:v>
                </c:pt>
              </c:strCache>
            </c:strRef>
          </c:tx>
          <c:spPr>
            <a:ln>
              <a:solidFill>
                <a:srgbClr val="FFC000"/>
              </a:solidFill>
              <a:prstDash val="sysDash"/>
            </a:ln>
          </c:spPr>
          <c:marker>
            <c:symbol val="none"/>
          </c:marker>
          <c:val>
            <c:numRef>
              <c:f>Efficiency!$BG$12:$BG$112</c:f>
              <c:numCache>
                <c:formatCode>0.000</c:formatCode>
                <c:ptCount val="101"/>
                <c:pt idx="0">
                  <c:v>3.8770521238001787E-2</c:v>
                </c:pt>
                <c:pt idx="1">
                  <c:v>3.899450919759103E-2</c:v>
                </c:pt>
                <c:pt idx="2">
                  <c:v>3.9265940161556684E-2</c:v>
                </c:pt>
                <c:pt idx="3">
                  <c:v>3.9584735095955628E-2</c:v>
                </c:pt>
                <c:pt idx="4">
                  <c:v>3.9950817163641038E-2</c:v>
                </c:pt>
                <c:pt idx="5">
                  <c:v>4.0364111712124062E-2</c:v>
                </c:pt>
                <c:pt idx="6">
                  <c:v>4.0824546261708269E-2</c:v>
                </c:pt>
                <c:pt idx="7">
                  <c:v>4.1332050493894004E-2</c:v>
                </c:pt>
                <c:pt idx="8">
                  <c:v>4.1886556240049819E-2</c:v>
                </c:pt>
                <c:pt idx="9">
                  <c:v>4.2487997470348163E-2</c:v>
                </c:pt>
                <c:pt idx="10">
                  <c:v>4.3136310282962678E-2</c:v>
                </c:pt>
                <c:pt idx="11">
                  <c:v>4.3831432893524383E-2</c:v>
                </c:pt>
                <c:pt idx="12">
                  <c:v>4.4573305624834234E-2</c:v>
                </c:pt>
                <c:pt idx="13">
                  <c:v>4.5361870896829457E-2</c:v>
                </c:pt>
                <c:pt idx="14">
                  <c:v>4.6197073216801277E-2</c:v>
                </c:pt>
                <c:pt idx="15">
                  <c:v>4.7309982032986586E-2</c:v>
                </c:pt>
                <c:pt idx="16">
                  <c:v>4.8517538463656168E-2</c:v>
                </c:pt>
                <c:pt idx="17">
                  <c:v>4.9771577894197325E-2</c:v>
                </c:pt>
                <c:pt idx="18">
                  <c:v>5.1072053088438513E-2</c:v>
                </c:pt>
                <c:pt idx="19">
                  <c:v>5.2418918852338937E-2</c:v>
                </c:pt>
                <c:pt idx="20">
                  <c:v>5.381213202566594E-2</c:v>
                </c:pt>
                <c:pt idx="21">
                  <c:v>5.5251651473908106E-2</c:v>
                </c:pt>
                <c:pt idx="22">
                  <c:v>5.6737438080422101E-2</c:v>
                </c:pt>
                <c:pt idx="23">
                  <c:v>5.8269454738811226E-2</c:v>
                </c:pt>
                <c:pt idx="24">
                  <c:v>5.9847666345533984E-2</c:v>
                </c:pt>
                <c:pt idx="25">
                  <c:v>6.1472039792740463E-2</c:v>
                </c:pt>
                <c:pt idx="26">
                  <c:v>6.3142543961335035E-2</c:v>
                </c:pt>
                <c:pt idx="27">
                  <c:v>6.4859149714263514E-2</c:v>
                </c:pt>
                <c:pt idx="28">
                  <c:v>6.6621829890023021E-2</c:v>
                </c:pt>
                <c:pt idx="29">
                  <c:v>6.8430559296393051E-2</c:v>
                </c:pt>
                <c:pt idx="30">
                  <c:v>7.0285314704385843E-2</c:v>
                </c:pt>
                <c:pt idx="31">
                  <c:v>7.2186074842414905E-2</c:v>
                </c:pt>
                <c:pt idx="32">
                  <c:v>7.4132820390679893E-2</c:v>
                </c:pt>
                <c:pt idx="33">
                  <c:v>7.612553397576638E-2</c:v>
                </c:pt>
                <c:pt idx="34">
                  <c:v>7.8164200165459358E-2</c:v>
                </c:pt>
                <c:pt idx="35">
                  <c:v>8.0248805463768669E-2</c:v>
                </c:pt>
                <c:pt idx="36">
                  <c:v>8.2379338306165617E-2</c:v>
                </c:pt>
                <c:pt idx="37">
                  <c:v>8.4555789055028863E-2</c:v>
                </c:pt>
                <c:pt idx="38">
                  <c:v>8.6778149995298828E-2</c:v>
                </c:pt>
                <c:pt idx="39">
                  <c:v>8.9046415330339218E-2</c:v>
                </c:pt>
                <c:pt idx="40">
                  <c:v>9.1360581178004552E-2</c:v>
                </c:pt>
                <c:pt idx="41">
                  <c:v>9.3720645566912425E-2</c:v>
                </c:pt>
                <c:pt idx="42">
                  <c:v>9.6126608432920035E-2</c:v>
                </c:pt>
                <c:pt idx="43">
                  <c:v>9.857847161580291E-2</c:v>
                </c:pt>
                <c:pt idx="44">
                  <c:v>0.10107623885613598</c:v>
                </c:pt>
                <c:pt idx="45">
                  <c:v>0.10361991579237517</c:v>
                </c:pt>
                <c:pt idx="46">
                  <c:v>0.10620950995813935</c:v>
                </c:pt>
                <c:pt idx="47">
                  <c:v>0.10884503077969113</c:v>
                </c:pt>
                <c:pt idx="48">
                  <c:v>0.1115264895736158</c:v>
                </c:pt>
                <c:pt idx="49">
                  <c:v>0.1142538995446985</c:v>
                </c:pt>
                <c:pt idx="50">
                  <c:v>0.11702727578399727</c:v>
                </c:pt>
                <c:pt idx="51">
                  <c:v>0.11984663526711309</c:v>
                </c:pt>
                <c:pt idx="52">
                  <c:v>0.12271199685265466</c:v>
                </c:pt>
                <c:pt idx="53">
                  <c:v>0.12562338128089823</c:v>
                </c:pt>
                <c:pt idx="54">
                  <c:v>0.12858081117264197</c:v>
                </c:pt>
                <c:pt idx="55">
                  <c:v>0.13158431102825338</c:v>
                </c:pt>
                <c:pt idx="56">
                  <c:v>0.13463390722691068</c:v>
                </c:pt>
                <c:pt idx="57">
                  <c:v>0.13772962802603619</c:v>
                </c:pt>
                <c:pt idx="58">
                  <c:v>0.14087150356092226</c:v>
                </c:pt>
                <c:pt idx="59">
                  <c:v>0.14405956584454938</c:v>
                </c:pt>
                <c:pt idx="60">
                  <c:v>0.14729384876759535</c:v>
                </c:pt>
                <c:pt idx="61">
                  <c:v>0.15057438809863594</c:v>
                </c:pt>
                <c:pt idx="62">
                  <c:v>0.15390122148453639</c:v>
                </c:pt>
                <c:pt idx="63">
                  <c:v>0.1572743884510335</c:v>
                </c:pt>
                <c:pt idx="64">
                  <c:v>0.16069393040350874</c:v>
                </c:pt>
                <c:pt idx="65">
                  <c:v>0.16415989062795061</c:v>
                </c:pt>
                <c:pt idx="66">
                  <c:v>0.16767231429210816</c:v>
                </c:pt>
                <c:pt idx="67">
                  <c:v>0.17123124844683413</c:v>
                </c:pt>
                <c:pt idx="68">
                  <c:v>0.17483674202761809</c:v>
                </c:pt>
                <c:pt idx="69">
                  <c:v>0.17848884585630975</c:v>
                </c:pt>
                <c:pt idx="70">
                  <c:v>0.18218761264303179</c:v>
                </c:pt>
                <c:pt idx="71">
                  <c:v>0.1859330969882835</c:v>
                </c:pt>
                <c:pt idx="72">
                  <c:v>0.18972535538523355</c:v>
                </c:pt>
                <c:pt idx="73">
                  <c:v>0.19356444622220406</c:v>
                </c:pt>
                <c:pt idx="74">
                  <c:v>0.19745042978534377</c:v>
                </c:pt>
                <c:pt idx="75">
                  <c:v>0.20138336826149317</c:v>
                </c:pt>
                <c:pt idx="76">
                  <c:v>0.20536332574123911</c:v>
                </c:pt>
                <c:pt idx="77">
                  <c:v>0.20939036822216162</c:v>
                </c:pt>
                <c:pt idx="78">
                  <c:v>0.21346456361227073</c:v>
                </c:pt>
                <c:pt idx="79">
                  <c:v>0.21758598173363664</c:v>
                </c:pt>
                <c:pt idx="80">
                  <c:v>0.22175469432621012</c:v>
                </c:pt>
                <c:pt idx="81">
                  <c:v>0.22597077505183688</c:v>
                </c:pt>
                <c:pt idx="82">
                  <c:v>0.23023429949846397</c:v>
                </c:pt>
                <c:pt idx="83">
                  <c:v>0.23454534518453951</c:v>
                </c:pt>
                <c:pt idx="84">
                  <c:v>0.23890399156360667</c:v>
                </c:pt>
                <c:pt idx="85">
                  <c:v>0.24331032002909173</c:v>
                </c:pt>
                <c:pt idx="86">
                  <c:v>0.247764413919288</c:v>
                </c:pt>
                <c:pt idx="87">
                  <c:v>0.25226635852253343</c:v>
                </c:pt>
                <c:pt idx="88">
                  <c:v>0.25681624108258688</c:v>
                </c:pt>
                <c:pt idx="89">
                  <c:v>0.26141415080419916</c:v>
                </c:pt>
                <c:pt idx="90">
                  <c:v>0.26606017885888383</c:v>
                </c:pt>
                <c:pt idx="91">
                  <c:v>0.27075441839088449</c:v>
                </c:pt>
                <c:pt idx="92">
                  <c:v>0.27549696452334299</c:v>
                </c:pt>
                <c:pt idx="93">
                  <c:v>0.28028791436466677</c:v>
                </c:pt>
                <c:pt idx="94">
                  <c:v>0.28512736701509694</c:v>
                </c:pt>
                <c:pt idx="95">
                  <c:v>0.29001542357348031</c:v>
                </c:pt>
                <c:pt idx="96">
                  <c:v>0.29495218714424104</c:v>
                </c:pt>
                <c:pt idx="97">
                  <c:v>0.29993776284455903</c:v>
                </c:pt>
                <c:pt idx="98">
                  <c:v>0.3049722578117518</c:v>
                </c:pt>
                <c:pt idx="99">
                  <c:v>0.31005578121086247</c:v>
                </c:pt>
                <c:pt idx="100">
                  <c:v>0.31518844424245557</c:v>
                </c:pt>
              </c:numCache>
            </c:numRef>
          </c:val>
          <c:smooth val="0"/>
          <c:extLst>
            <c:ext xmlns:c16="http://schemas.microsoft.com/office/drawing/2014/chart" uri="{C3380CC4-5D6E-409C-BE32-E72D297353CC}">
              <c16:uniqueId val="{00000003-5C48-4103-949E-30B60EE05559}"/>
            </c:ext>
          </c:extLst>
        </c:ser>
        <c:ser>
          <c:idx val="4"/>
          <c:order val="4"/>
          <c:tx>
            <c:strRef>
              <c:f>Efficiency!$BH$11</c:f>
              <c:strCache>
                <c:ptCount val="1"/>
                <c:pt idx="0">
                  <c:v>Sense resistor</c:v>
                </c:pt>
              </c:strCache>
            </c:strRef>
          </c:tx>
          <c:spPr>
            <a:ln>
              <a:solidFill>
                <a:srgbClr val="00B050"/>
              </a:solidFill>
              <a:prstDash val="lgDashDot"/>
            </a:ln>
          </c:spPr>
          <c:marker>
            <c:symbol val="none"/>
          </c:marker>
          <c:val>
            <c:numRef>
              <c:f>Efficiency!$BH$12:$BH$112</c:f>
              <c:numCache>
                <c:formatCode>0.000</c:formatCode>
                <c:ptCount val="101"/>
                <c:pt idx="0">
                  <c:v>1.7312783718750012E-3</c:v>
                </c:pt>
                <c:pt idx="1">
                  <c:v>1.757944978202857E-3</c:v>
                </c:pt>
                <c:pt idx="2">
                  <c:v>1.8366117128400809E-3</c:v>
                </c:pt>
                <c:pt idx="3">
                  <c:v>1.9672785757866738E-3</c:v>
                </c:pt>
                <c:pt idx="4">
                  <c:v>2.1499455670426354E-3</c:v>
                </c:pt>
                <c:pt idx="5">
                  <c:v>2.3846126866079644E-3</c:v>
                </c:pt>
                <c:pt idx="6">
                  <c:v>2.6712799344826609E-3</c:v>
                </c:pt>
                <c:pt idx="7">
                  <c:v>3.0099473106667282E-3</c:v>
                </c:pt>
                <c:pt idx="8">
                  <c:v>3.4006148151601626E-3</c:v>
                </c:pt>
                <c:pt idx="9">
                  <c:v>3.8432824479629653E-3</c:v>
                </c:pt>
                <c:pt idx="10">
                  <c:v>4.3379502090751367E-3</c:v>
                </c:pt>
                <c:pt idx="11">
                  <c:v>4.8846180984966773E-3</c:v>
                </c:pt>
                <c:pt idx="12">
                  <c:v>5.4832861162275844E-3</c:v>
                </c:pt>
                <c:pt idx="13">
                  <c:v>6.1339542622678624E-3</c:v>
                </c:pt>
                <c:pt idx="14">
                  <c:v>6.8366225366175036E-3</c:v>
                </c:pt>
                <c:pt idx="15">
                  <c:v>7.5912909392765173E-3</c:v>
                </c:pt>
                <c:pt idx="16">
                  <c:v>8.3979594702448986E-3</c:v>
                </c:pt>
                <c:pt idx="17">
                  <c:v>9.2566281295226489E-3</c:v>
                </c:pt>
                <c:pt idx="18">
                  <c:v>1.0167296917109768E-2</c:v>
                </c:pt>
                <c:pt idx="19">
                  <c:v>1.1129965833006255E-2</c:v>
                </c:pt>
                <c:pt idx="20">
                  <c:v>1.2144634877212106E-2</c:v>
                </c:pt>
                <c:pt idx="21">
                  <c:v>1.3211304049727333E-2</c:v>
                </c:pt>
                <c:pt idx="22">
                  <c:v>1.4329973350551925E-2</c:v>
                </c:pt>
                <c:pt idx="23">
                  <c:v>1.5500642779685877E-2</c:v>
                </c:pt>
                <c:pt idx="24">
                  <c:v>1.6723312337129211E-2</c:v>
                </c:pt>
                <c:pt idx="25">
                  <c:v>1.7997982022881907E-2</c:v>
                </c:pt>
                <c:pt idx="26">
                  <c:v>1.9324651836943971E-2</c:v>
                </c:pt>
                <c:pt idx="27">
                  <c:v>2.0703321779315401E-2</c:v>
                </c:pt>
                <c:pt idx="28">
                  <c:v>2.2133991849996197E-2</c:v>
                </c:pt>
                <c:pt idx="29">
                  <c:v>2.3616662048986374E-2</c:v>
                </c:pt>
                <c:pt idx="30">
                  <c:v>2.5151332376285911E-2</c:v>
                </c:pt>
                <c:pt idx="31">
                  <c:v>2.6738002831894821E-2</c:v>
                </c:pt>
                <c:pt idx="32">
                  <c:v>2.8376673415813101E-2</c:v>
                </c:pt>
                <c:pt idx="33">
                  <c:v>3.006734412804073E-2</c:v>
                </c:pt>
                <c:pt idx="34">
                  <c:v>3.181001496857775E-2</c:v>
                </c:pt>
                <c:pt idx="35">
                  <c:v>3.360468593742412E-2</c:v>
                </c:pt>
                <c:pt idx="36">
                  <c:v>3.545135703457987E-2</c:v>
                </c:pt>
                <c:pt idx="37">
                  <c:v>3.7350028260044993E-2</c:v>
                </c:pt>
                <c:pt idx="38">
                  <c:v>3.9300699613819476E-2</c:v>
                </c:pt>
                <c:pt idx="39">
                  <c:v>4.1303371095903325E-2</c:v>
                </c:pt>
                <c:pt idx="40">
                  <c:v>4.3358042706296548E-2</c:v>
                </c:pt>
                <c:pt idx="41">
                  <c:v>4.5464714444999131E-2</c:v>
                </c:pt>
                <c:pt idx="42">
                  <c:v>4.7623386312011108E-2</c:v>
                </c:pt>
                <c:pt idx="43">
                  <c:v>4.9834058307332417E-2</c:v>
                </c:pt>
                <c:pt idx="44">
                  <c:v>5.2096730430963134E-2</c:v>
                </c:pt>
                <c:pt idx="45">
                  <c:v>5.4411402682903176E-2</c:v>
                </c:pt>
                <c:pt idx="46">
                  <c:v>5.6778075063152592E-2</c:v>
                </c:pt>
                <c:pt idx="47">
                  <c:v>5.9196747571711415E-2</c:v>
                </c:pt>
                <c:pt idx="48">
                  <c:v>6.1667420208579571E-2</c:v>
                </c:pt>
                <c:pt idx="49">
                  <c:v>6.4190092973757135E-2</c:v>
                </c:pt>
                <c:pt idx="50">
                  <c:v>6.676476586724403E-2</c:v>
                </c:pt>
                <c:pt idx="51">
                  <c:v>6.9391438889040286E-2</c:v>
                </c:pt>
                <c:pt idx="52">
                  <c:v>7.2070112039145942E-2</c:v>
                </c:pt>
                <c:pt idx="53">
                  <c:v>7.4800785317560931E-2</c:v>
                </c:pt>
                <c:pt idx="54">
                  <c:v>7.7583458724285334E-2</c:v>
                </c:pt>
                <c:pt idx="55">
                  <c:v>8.0418132259319083E-2</c:v>
                </c:pt>
                <c:pt idx="56">
                  <c:v>8.3304805922662178E-2</c:v>
                </c:pt>
                <c:pt idx="57">
                  <c:v>8.6243479714314675E-2</c:v>
                </c:pt>
                <c:pt idx="58">
                  <c:v>8.9234153634276517E-2</c:v>
                </c:pt>
                <c:pt idx="59">
                  <c:v>9.2276827682547746E-2</c:v>
                </c:pt>
                <c:pt idx="60">
                  <c:v>9.5371501859128335E-2</c:v>
                </c:pt>
                <c:pt idx="61">
                  <c:v>9.851817616401827E-2</c:v>
                </c:pt>
                <c:pt idx="62">
                  <c:v>0.10171685059721762</c:v>
                </c:pt>
                <c:pt idx="63">
                  <c:v>0.1049675251587263</c:v>
                </c:pt>
                <c:pt idx="64">
                  <c:v>0.10827019984854437</c:v>
                </c:pt>
                <c:pt idx="65">
                  <c:v>0.1116248746666718</c:v>
                </c:pt>
                <c:pt idx="66">
                  <c:v>0.11503154961310857</c:v>
                </c:pt>
                <c:pt idx="67">
                  <c:v>0.11849022468785475</c:v>
                </c:pt>
                <c:pt idx="68">
                  <c:v>0.12200089989091029</c:v>
                </c:pt>
                <c:pt idx="69">
                  <c:v>0.12556357522227521</c:v>
                </c:pt>
                <c:pt idx="70">
                  <c:v>0.12917825068194946</c:v>
                </c:pt>
                <c:pt idx="71">
                  <c:v>0.13284492626993313</c:v>
                </c:pt>
                <c:pt idx="72">
                  <c:v>0.13656360198622616</c:v>
                </c:pt>
                <c:pt idx="73">
                  <c:v>0.1403342778308285</c:v>
                </c:pt>
                <c:pt idx="74">
                  <c:v>0.14415695380374025</c:v>
                </c:pt>
                <c:pt idx="75">
                  <c:v>0.14803162990496135</c:v>
                </c:pt>
                <c:pt idx="76">
                  <c:v>0.15195830613449179</c:v>
                </c:pt>
                <c:pt idx="77">
                  <c:v>0.1559369824923317</c:v>
                </c:pt>
                <c:pt idx="78">
                  <c:v>0.15996765897848089</c:v>
                </c:pt>
                <c:pt idx="79">
                  <c:v>0.16405033559293952</c:v>
                </c:pt>
                <c:pt idx="80">
                  <c:v>0.16818501233570746</c:v>
                </c:pt>
                <c:pt idx="81">
                  <c:v>0.17237168920678478</c:v>
                </c:pt>
                <c:pt idx="82">
                  <c:v>0.17661036620617146</c:v>
                </c:pt>
                <c:pt idx="83">
                  <c:v>0.18090104333386758</c:v>
                </c:pt>
                <c:pt idx="84">
                  <c:v>0.18524372058987296</c:v>
                </c:pt>
                <c:pt idx="85">
                  <c:v>0.18963839797418774</c:v>
                </c:pt>
                <c:pt idx="86">
                  <c:v>0.19408507548681192</c:v>
                </c:pt>
                <c:pt idx="87">
                  <c:v>0.1985837531277454</c:v>
                </c:pt>
                <c:pt idx="88">
                  <c:v>0.20313443089698835</c:v>
                </c:pt>
                <c:pt idx="89">
                  <c:v>0.2077371087945406</c:v>
                </c:pt>
                <c:pt idx="90">
                  <c:v>0.21239178682040225</c:v>
                </c:pt>
                <c:pt idx="91">
                  <c:v>0.21709846497457327</c:v>
                </c:pt>
                <c:pt idx="92">
                  <c:v>0.22185714325705361</c:v>
                </c:pt>
                <c:pt idx="93">
                  <c:v>0.22666782166784344</c:v>
                </c:pt>
                <c:pt idx="94">
                  <c:v>0.23153050020694257</c:v>
                </c:pt>
                <c:pt idx="95">
                  <c:v>0.23644517887435096</c:v>
                </c:pt>
                <c:pt idx="96">
                  <c:v>0.24141185767006881</c:v>
                </c:pt>
                <c:pt idx="97">
                  <c:v>0.246430536594096</c:v>
                </c:pt>
                <c:pt idx="98">
                  <c:v>0.25150121564643269</c:v>
                </c:pt>
                <c:pt idx="99">
                  <c:v>0.25662389482707854</c:v>
                </c:pt>
                <c:pt idx="100">
                  <c:v>0.26179857413603391</c:v>
                </c:pt>
              </c:numCache>
            </c:numRef>
          </c:val>
          <c:smooth val="0"/>
          <c:extLst>
            <c:ext xmlns:c16="http://schemas.microsoft.com/office/drawing/2014/chart" uri="{C3380CC4-5D6E-409C-BE32-E72D297353CC}">
              <c16:uniqueId val="{00000004-5C48-4103-949E-30B60EE05559}"/>
            </c:ext>
          </c:extLst>
        </c:ser>
        <c:dLbls>
          <c:showLegendKey val="0"/>
          <c:showVal val="0"/>
          <c:showCatName val="0"/>
          <c:showSerName val="0"/>
          <c:showPercent val="0"/>
          <c:showBubbleSize val="0"/>
        </c:dLbls>
        <c:marker val="1"/>
        <c:smooth val="0"/>
        <c:axId val="211017728"/>
        <c:axId val="211011456"/>
      </c:lineChart>
      <c:catAx>
        <c:axId val="211003264"/>
        <c:scaling>
          <c:orientation val="minMax"/>
        </c:scaling>
        <c:delete val="0"/>
        <c:axPos val="b"/>
        <c:majorGridlines>
          <c:spPr>
            <a:ln w="15875">
              <a:solidFill>
                <a:srgbClr val="969696"/>
              </a:solidFill>
              <a:prstDash val="sysDash"/>
            </a:ln>
          </c:spPr>
        </c:majorGridlines>
        <c:title>
          <c:tx>
            <c:rich>
              <a:bodyPr/>
              <a:lstStyle/>
              <a:p>
                <a:pPr>
                  <a:defRPr sz="1300" b="1" i="0" u="none" strike="noStrike" baseline="0">
                    <a:solidFill>
                      <a:srgbClr val="0000FF"/>
                    </a:solidFill>
                    <a:latin typeface="Arial" pitchFamily="34" charset="0"/>
                    <a:ea typeface="Calibri"/>
                    <a:cs typeface="Arial" pitchFamily="34" charset="0"/>
                  </a:defRPr>
                </a:pPr>
                <a:r>
                  <a:rPr lang="en-US" sz="1300">
                    <a:solidFill>
                      <a:srgbClr val="0000FF"/>
                    </a:solidFill>
                    <a:latin typeface="Arial" pitchFamily="34" charset="0"/>
                    <a:cs typeface="Arial" pitchFamily="34" charset="0"/>
                  </a:rPr>
                  <a:t>Load Current (A)</a:t>
                </a:r>
              </a:p>
            </c:rich>
          </c:tx>
          <c:layout>
            <c:manualLayout>
              <c:xMode val="edge"/>
              <c:yMode val="edge"/>
              <c:x val="0.41625343343709942"/>
              <c:y val="0.94571913573731337"/>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0000FF"/>
                </a:solidFill>
                <a:latin typeface="Arial" pitchFamily="34" charset="0"/>
                <a:ea typeface="Calibri"/>
                <a:cs typeface="Arial" pitchFamily="34" charset="0"/>
              </a:defRPr>
            </a:pPr>
            <a:endParaRPr lang="zh-TW"/>
          </a:p>
        </c:txPr>
        <c:crossAx val="211009536"/>
        <c:crosses val="autoZero"/>
        <c:auto val="1"/>
        <c:lblAlgn val="ctr"/>
        <c:lblOffset val="100"/>
        <c:tickLblSkip val="20"/>
        <c:tickMarkSkip val="20"/>
        <c:noMultiLvlLbl val="1"/>
      </c:catAx>
      <c:valAx>
        <c:axId val="211009536"/>
        <c:scaling>
          <c:orientation val="minMax"/>
          <c:max val="100"/>
          <c:min val="65"/>
        </c:scaling>
        <c:delete val="0"/>
        <c:axPos val="l"/>
        <c:majorGridlines>
          <c:spPr>
            <a:ln w="15875">
              <a:solidFill>
                <a:srgbClr val="808080"/>
              </a:solidFill>
              <a:prstDash val="solid"/>
            </a:ln>
          </c:spPr>
        </c:majorGridlines>
        <c:minorGridlines/>
        <c:title>
          <c:tx>
            <c:rich>
              <a:bodyPr/>
              <a:lstStyle/>
              <a:p>
                <a:pPr>
                  <a:defRPr sz="1300" b="1" i="0" u="none" strike="noStrike" baseline="0">
                    <a:solidFill>
                      <a:srgbClr val="FF0000"/>
                    </a:solidFill>
                    <a:latin typeface="Arial" pitchFamily="34" charset="0"/>
                    <a:ea typeface="Calibri"/>
                    <a:cs typeface="Arial" pitchFamily="34" charset="0"/>
                  </a:defRPr>
                </a:pPr>
                <a:r>
                  <a:rPr lang="en-US" sz="1300" b="1">
                    <a:solidFill>
                      <a:srgbClr val="FF0000"/>
                    </a:solidFill>
                    <a:latin typeface="Arial" pitchFamily="34" charset="0"/>
                    <a:cs typeface="Arial" pitchFamily="34" charset="0"/>
                  </a:rPr>
                  <a:t>Estimated Efficiency at Startup  (%)</a:t>
                </a:r>
              </a:p>
            </c:rich>
          </c:tx>
          <c:layout>
            <c:manualLayout>
              <c:xMode val="edge"/>
              <c:yMode val="edge"/>
              <c:x val="1.1200987702529872E-2"/>
              <c:y val="0.20644628705606108"/>
            </c:manualLayout>
          </c:layout>
          <c:overlay val="0"/>
          <c:spPr>
            <a:noFill/>
            <a:ln w="25400">
              <a:noFill/>
            </a:ln>
          </c:spPr>
        </c:title>
        <c:numFmt formatCode="#,##0" sourceLinked="0"/>
        <c:majorTickMark val="out"/>
        <c:minorTickMark val="out"/>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zh-TW"/>
          </a:p>
        </c:txPr>
        <c:crossAx val="211003264"/>
        <c:crosses val="autoZero"/>
        <c:crossBetween val="midCat"/>
        <c:majorUnit val="5"/>
        <c:minorUnit val="2.5"/>
      </c:valAx>
      <c:valAx>
        <c:axId val="211011456"/>
        <c:scaling>
          <c:orientation val="minMax"/>
        </c:scaling>
        <c:delete val="0"/>
        <c:axPos val="r"/>
        <c:title>
          <c:tx>
            <c:rich>
              <a:bodyPr rot="-5400000" vert="horz"/>
              <a:lstStyle/>
              <a:p>
                <a:pPr>
                  <a:defRPr sz="1400" b="1"/>
                </a:pPr>
                <a:r>
                  <a:rPr lang="en-US" sz="1400" b="1"/>
                  <a:t>Power Loss (W)</a:t>
                </a:r>
              </a:p>
            </c:rich>
          </c:tx>
          <c:layout>
            <c:manualLayout>
              <c:xMode val="edge"/>
              <c:yMode val="edge"/>
              <c:x val="0.95594291793250197"/>
              <c:y val="0.37048873366731228"/>
            </c:manualLayout>
          </c:layout>
          <c:overlay val="0"/>
        </c:title>
        <c:numFmt formatCode="General" sourceLinked="0"/>
        <c:majorTickMark val="cross"/>
        <c:minorTickMark val="none"/>
        <c:tickLblPos val="nextTo"/>
        <c:txPr>
          <a:bodyPr/>
          <a:lstStyle/>
          <a:p>
            <a:pPr>
              <a:defRPr sz="1100" b="1">
                <a:solidFill>
                  <a:sysClr val="windowText" lastClr="000000"/>
                </a:solidFill>
              </a:defRPr>
            </a:pPr>
            <a:endParaRPr lang="zh-TW"/>
          </a:p>
        </c:txPr>
        <c:crossAx val="211017728"/>
        <c:crosses val="max"/>
        <c:crossBetween val="between"/>
      </c:valAx>
      <c:catAx>
        <c:axId val="211017728"/>
        <c:scaling>
          <c:orientation val="minMax"/>
        </c:scaling>
        <c:delete val="1"/>
        <c:axPos val="b"/>
        <c:numFmt formatCode="General" sourceLinked="1"/>
        <c:majorTickMark val="out"/>
        <c:minorTickMark val="none"/>
        <c:tickLblPos val="nextTo"/>
        <c:crossAx val="211011456"/>
        <c:crosses val="autoZero"/>
        <c:auto val="1"/>
        <c:lblAlgn val="ctr"/>
        <c:lblOffset val="100"/>
        <c:noMultiLvlLbl val="0"/>
      </c:catAx>
      <c:spPr>
        <a:noFill/>
        <a:ln w="25400">
          <a:noFill/>
        </a:ln>
      </c:spPr>
    </c:plotArea>
    <c:legend>
      <c:legendPos val="t"/>
      <c:layout>
        <c:manualLayout>
          <c:xMode val="edge"/>
          <c:yMode val="edge"/>
          <c:x val="0.24436132321583859"/>
          <c:y val="1.1885841661788752E-2"/>
          <c:w val="0.71865767157320171"/>
          <c:h val="0.11649066572204307"/>
        </c:manualLayout>
      </c:layout>
      <c:overlay val="0"/>
      <c:spPr>
        <a:noFill/>
        <a:ln w="25400">
          <a:noFill/>
        </a:ln>
      </c:spPr>
      <c:txPr>
        <a:bodyPr anchor="t" anchorCtr="0"/>
        <a:lstStyle/>
        <a:p>
          <a:pPr>
            <a:defRPr sz="1200" b="0" i="0" u="none" strike="noStrike" baseline="0">
              <a:solidFill>
                <a:srgbClr val="000000"/>
              </a:solidFill>
              <a:latin typeface="Arial" pitchFamily="34" charset="0"/>
              <a:ea typeface="Calibri"/>
              <a:cs typeface="Arial" pitchFamily="34" charset="0"/>
            </a:defRPr>
          </a:pPr>
          <a:endParaRPr lang="zh-TW"/>
        </a:p>
      </c:txPr>
    </c:legend>
    <c:plotVisOnly val="1"/>
    <c:dispBlanksAs val="gap"/>
    <c:showDLblsOverMax val="0"/>
  </c:chart>
  <c:spPr>
    <a:solidFill>
      <a:srgbClr val="FFFFFF"/>
    </a:solidFill>
    <a:ln w="25400">
      <a:solidFill>
        <a:srgbClr val="000000"/>
      </a:solidFill>
    </a:ln>
  </c:spPr>
  <c:txPr>
    <a:bodyPr/>
    <a:lstStyle/>
    <a:p>
      <a:pPr>
        <a:defRPr sz="850" b="0" i="0" u="none" strike="noStrike" baseline="0">
          <a:solidFill>
            <a:srgbClr val="000000"/>
          </a:solidFill>
          <a:latin typeface="Arial"/>
          <a:ea typeface="Arial"/>
          <a:cs typeface="Arial"/>
        </a:defRPr>
      </a:pPr>
      <a:endParaRPr lang="zh-TW"/>
    </a:p>
  </c:txPr>
  <c:printSettings>
    <c:headerFooter alignWithMargins="0"/>
    <c:pageMargins b="1" l="0.75000000000000666" r="0.75000000000000666" t="1" header="0.5" footer="0.5"/>
    <c:pageSetup paperSize="5"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000000"/>
                </a:solidFill>
                <a:latin typeface="Arial"/>
                <a:ea typeface="Arial"/>
                <a:cs typeface="Arial"/>
              </a:defRPr>
            </a:pPr>
            <a:r>
              <a:rPr lang="en-US" sz="1600" baseline="0"/>
              <a:t>CV LOOP - OPEN LOOP RESPONSE in CCM </a:t>
            </a:r>
            <a:r>
              <a:rPr lang="en-US" sz="1800" b="1" i="0" baseline="0">
                <a:effectLst/>
              </a:rPr>
              <a:t>@V</a:t>
            </a:r>
            <a:r>
              <a:rPr lang="en-US" sz="1800" b="1" i="0" baseline="-25000">
                <a:effectLst/>
              </a:rPr>
              <a:t>SUPPLY(typ)</a:t>
            </a:r>
            <a:endParaRPr lang="en-US" sz="1600">
              <a:effectLst/>
            </a:endParaRPr>
          </a:p>
        </c:rich>
      </c:tx>
      <c:layout>
        <c:manualLayout>
          <c:xMode val="edge"/>
          <c:yMode val="edge"/>
          <c:x val="0.12328808296910675"/>
          <c:y val="1.6251301945748486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Bode!$AE$11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Bode!$AE$12:$AE$138</c:f>
              <c:numCache>
                <c:formatCode>_(* #,##0.00_);_(* \(#,##0.00\);_(* "-"??_);_(@_)</c:formatCode>
                <c:ptCount val="127"/>
                <c:pt idx="0">
                  <c:v>74.278132571704575</c:v>
                </c:pt>
                <c:pt idx="1">
                  <c:v>70.758941047911662</c:v>
                </c:pt>
                <c:pt idx="2">
                  <c:v>68.260991979053131</c:v>
                </c:pt>
                <c:pt idx="3">
                  <c:v>66.323068061953904</c:v>
                </c:pt>
                <c:pt idx="4">
                  <c:v>64.739480932311167</c:v>
                </c:pt>
                <c:pt idx="5">
                  <c:v>63.400450892007356</c:v>
                </c:pt>
                <c:pt idx="6">
                  <c:v>62.240430167464915</c:v>
                </c:pt>
                <c:pt idx="7">
                  <c:v>61.217131662180677</c:v>
                </c:pt>
                <c:pt idx="8">
                  <c:v>60.301678729139397</c:v>
                </c:pt>
                <c:pt idx="9">
                  <c:v>59.473473201306717</c:v>
                </c:pt>
                <c:pt idx="10">
                  <c:v>58.717305288938846</c:v>
                </c:pt>
                <c:pt idx="11">
                  <c:v>58.021624022504874</c:v>
                </c:pt>
                <c:pt idx="12">
                  <c:v>57.377450362369885</c:v>
                </c:pt>
                <c:pt idx="13">
                  <c:v>56.777666137780514</c:v>
                </c:pt>
                <c:pt idx="14">
                  <c:v>56.216532908076033</c:v>
                </c:pt>
                <c:pt idx="15">
                  <c:v>55.689356926483654</c:v>
                </c:pt>
                <c:pt idx="16">
                  <c:v>55.192250003239891</c:v>
                </c:pt>
                <c:pt idx="17">
                  <c:v>54.721955104735699</c:v>
                </c:pt>
                <c:pt idx="18">
                  <c:v>54.275716735267352</c:v>
                </c:pt>
                <c:pt idx="19">
                  <c:v>50.744753777737571</c:v>
                </c:pt>
                <c:pt idx="20">
                  <c:v>48.23319356520831</c:v>
                </c:pt>
                <c:pt idx="21">
                  <c:v>46.278608387193927</c:v>
                </c:pt>
                <c:pt idx="22">
                  <c:v>44.675047533545964</c:v>
                </c:pt>
                <c:pt idx="23">
                  <c:v>43.312680428725464</c:v>
                </c:pt>
                <c:pt idx="24">
                  <c:v>42.125978604806633</c:v>
                </c:pt>
                <c:pt idx="25">
                  <c:v>41.07270553799971</c:v>
                </c:pt>
                <c:pt idx="26">
                  <c:v>40.124052793169639</c:v>
                </c:pt>
                <c:pt idx="27">
                  <c:v>39.259502259828352</c:v>
                </c:pt>
                <c:pt idx="28">
                  <c:v>38.463933093489125</c:v>
                </c:pt>
                <c:pt idx="29">
                  <c:v>37.725890358380482</c:v>
                </c:pt>
                <c:pt idx="30">
                  <c:v>37.036496854066129</c:v>
                </c:pt>
                <c:pt idx="31">
                  <c:v>36.38874102418194</c:v>
                </c:pt>
                <c:pt idx="32">
                  <c:v>35.776994924083354</c:v>
                </c:pt>
                <c:pt idx="33">
                  <c:v>35.196678375052102</c:v>
                </c:pt>
                <c:pt idx="34">
                  <c:v>34.644019077861415</c:v>
                </c:pt>
                <c:pt idx="35">
                  <c:v>34.115877512013355</c:v>
                </c:pt>
                <c:pt idx="36">
                  <c:v>33.609616663309552</c:v>
                </c:pt>
                <c:pt idx="37">
                  <c:v>29.384434501326744</c:v>
                </c:pt>
                <c:pt idx="38">
                  <c:v>26.080914438049753</c:v>
                </c:pt>
                <c:pt idx="39">
                  <c:v>23.316048827868091</c:v>
                </c:pt>
                <c:pt idx="40">
                  <c:v>20.931312121070331</c:v>
                </c:pt>
                <c:pt idx="41">
                  <c:v>18.840891246092696</c:v>
                </c:pt>
                <c:pt idx="42">
                  <c:v>16.988995647503462</c:v>
                </c:pt>
                <c:pt idx="43">
                  <c:v>15.335242287544659</c:v>
                </c:pt>
                <c:pt idx="44">
                  <c:v>13.848636509434957</c:v>
                </c:pt>
                <c:pt idx="45">
                  <c:v>12.50458784287235</c:v>
                </c:pt>
                <c:pt idx="46">
                  <c:v>11.283177290796662</c:v>
                </c:pt>
                <c:pt idx="47">
                  <c:v>10.168032177166449</c:v>
                </c:pt>
                <c:pt idx="48">
                  <c:v>9.1455418879623362</c:v>
                </c:pt>
                <c:pt idx="49">
                  <c:v>8.204286606078778</c:v>
                </c:pt>
                <c:pt idx="50">
                  <c:v>7.3346089545411228</c:v>
                </c:pt>
                <c:pt idx="51">
                  <c:v>6.5282860073345663</c:v>
                </c:pt>
                <c:pt idx="52">
                  <c:v>5.7782739779186247</c:v>
                </c:pt>
                <c:pt idx="53">
                  <c:v>5.0785067193557829</c:v>
                </c:pt>
                <c:pt idx="54">
                  <c:v>4.4237347810610839</c:v>
                </c:pt>
                <c:pt idx="55">
                  <c:v>-0.42251850380211486</c:v>
                </c:pt>
                <c:pt idx="56">
                  <c:v>-3.5238599000374329</c:v>
                </c:pt>
                <c:pt idx="57">
                  <c:v>-5.7747121859144936</c:v>
                </c:pt>
                <c:pt idx="58">
                  <c:v>-7.5369079047092002</c:v>
                </c:pt>
                <c:pt idx="59">
                  <c:v>-8.9849253642151545</c:v>
                </c:pt>
                <c:pt idx="60">
                  <c:v>-10.214447601563275</c:v>
                </c:pt>
                <c:pt idx="61">
                  <c:v>-11.283187604949333</c:v>
                </c:pt>
                <c:pt idx="62">
                  <c:v>-12.228545763233294</c:v>
                </c:pt>
                <c:pt idx="63">
                  <c:v>-13.076136508181607</c:v>
                </c:pt>
                <c:pt idx="64">
                  <c:v>-13.844282705772089</c:v>
                </c:pt>
                <c:pt idx="65">
                  <c:v>-14.546557717015798</c:v>
                </c:pt>
                <c:pt idx="66">
                  <c:v>-15.193308341324581</c:v>
                </c:pt>
                <c:pt idx="67">
                  <c:v>-15.792611648690583</c:v>
                </c:pt>
                <c:pt idx="68">
                  <c:v>-16.350900555540093</c:v>
                </c:pt>
                <c:pt idx="69">
                  <c:v>-16.873386856798291</c:v>
                </c:pt>
                <c:pt idx="70">
                  <c:v>-17.364355677298427</c:v>
                </c:pt>
                <c:pt idx="71">
                  <c:v>-17.827375612957027</c:v>
                </c:pt>
                <c:pt idx="72">
                  <c:v>-18.265452013713983</c:v>
                </c:pt>
                <c:pt idx="73">
                  <c:v>-21.698375636216628</c:v>
                </c:pt>
                <c:pt idx="74">
                  <c:v>-24.131660346086932</c:v>
                </c:pt>
                <c:pt idx="75">
                  <c:v>-26.052980490802675</c:v>
                </c:pt>
                <c:pt idx="76">
                  <c:v>-27.669811710646805</c:v>
                </c:pt>
                <c:pt idx="77">
                  <c:v>-29.086474975468004</c:v>
                </c:pt>
                <c:pt idx="78">
                  <c:v>-30.361880421301194</c:v>
                </c:pt>
                <c:pt idx="79">
                  <c:v>-31.532348066794214</c:v>
                </c:pt>
                <c:pt idx="80">
                  <c:v>-32.621798450928864</c:v>
                </c:pt>
                <c:pt idx="81">
                  <c:v>-33.646777264699729</c:v>
                </c:pt>
                <c:pt idx="82">
                  <c:v>-34.619155377104875</c:v>
                </c:pt>
                <c:pt idx="83">
                  <c:v>-35.547690716820512</c:v>
                </c:pt>
                <c:pt idx="84">
                  <c:v>-36.438988831246412</c:v>
                </c:pt>
                <c:pt idx="85">
                  <c:v>-37.298123603314551</c:v>
                </c:pt>
                <c:pt idx="86">
                  <c:v>-38.129054422841662</c:v>
                </c:pt>
                <c:pt idx="87">
                  <c:v>-38.934915345489017</c:v>
                </c:pt>
                <c:pt idx="88">
                  <c:v>-39.718220433876184</c:v>
                </c:pt>
                <c:pt idx="89">
                  <c:v>-40.481012389790493</c:v>
                </c:pt>
                <c:pt idx="90">
                  <c:v>-41.224971791594882</c:v>
                </c:pt>
                <c:pt idx="91">
                  <c:v>-47.856419844800129</c:v>
                </c:pt>
                <c:pt idx="92">
                  <c:v>-53.411195519180332</c:v>
                </c:pt>
                <c:pt idx="93">
                  <c:v>-58.198191411179891</c:v>
                </c:pt>
                <c:pt idx="94">
                  <c:v>-62.401473435016435</c:v>
                </c:pt>
                <c:pt idx="95">
                  <c:v>-66.147761431292651</c:v>
                </c:pt>
                <c:pt idx="96">
                  <c:v>-69.52840404514626</c:v>
                </c:pt>
                <c:pt idx="97">
                  <c:v>-72.610862126116047</c:v>
                </c:pt>
                <c:pt idx="98">
                  <c:v>-75.445901859582392</c:v>
                </c:pt>
                <c:pt idx="99">
                  <c:v>-78.072395493734518</c:v>
                </c:pt>
                <c:pt idx="100">
                  <c:v>-80.520611118483714</c:v>
                </c:pt>
                <c:pt idx="101">
                  <c:v>-82.814502303510693</c:v>
                </c:pt>
                <c:pt idx="102">
                  <c:v>-84.973321723900881</c:v>
                </c:pt>
                <c:pt idx="103">
                  <c:v>-87.012771934086757</c:v>
                </c:pt>
                <c:pt idx="104">
                  <c:v>-88.945835868330008</c:v>
                </c:pt>
                <c:pt idx="105">
                  <c:v>-90.783383491395284</c:v>
                </c:pt>
                <c:pt idx="106">
                  <c:v>-92.534620415026922</c:v>
                </c:pt>
                <c:pt idx="107">
                  <c:v>-94.207423799393325</c:v>
                </c:pt>
                <c:pt idx="108">
                  <c:v>-95.808597018216517</c:v>
                </c:pt>
                <c:pt idx="109">
                  <c:v>-108.90059698163124</c:v>
                </c:pt>
                <c:pt idx="110">
                  <c:v>-118.57948381898471</c:v>
                </c:pt>
                <c:pt idx="111">
                  <c:v>-126.26858803343737</c:v>
                </c:pt>
                <c:pt idx="112">
                  <c:v>-132.66115555788386</c:v>
                </c:pt>
                <c:pt idx="113">
                  <c:v>-138.14522381144502</c:v>
                </c:pt>
                <c:pt idx="114">
                  <c:v>-142.95850026583031</c:v>
                </c:pt>
                <c:pt idx="115">
                  <c:v>-147.25636936619378</c:v>
                </c:pt>
                <c:pt idx="116">
                  <c:v>-151.1455560999521</c:v>
                </c:pt>
                <c:pt idx="117">
                  <c:v>-154.70230471324069</c:v>
                </c:pt>
                <c:pt idx="118">
                  <c:v>-157.98287232168198</c:v>
                </c:pt>
                <c:pt idx="119">
                  <c:v>-161.02991389013607</c:v>
                </c:pt>
                <c:pt idx="120">
                  <c:v>-163.87653611635443</c:v>
                </c:pt>
                <c:pt idx="121">
                  <c:v>-166.54896317150957</c:v>
                </c:pt>
                <c:pt idx="122">
                  <c:v>-169.06834215218964</c:v>
                </c:pt>
                <c:pt idx="123">
                  <c:v>-171.45199728688374</c:v>
                </c:pt>
                <c:pt idx="124">
                  <c:v>-173.71432078537885</c:v>
                </c:pt>
                <c:pt idx="125">
                  <c:v>-175.86741826842859</c:v>
                </c:pt>
                <c:pt idx="126">
                  <c:v>-177.92158485553841</c:v>
                </c:pt>
              </c:numCache>
            </c:numRef>
          </c:yVal>
          <c:smooth val="0"/>
          <c:extLst>
            <c:ext xmlns:c16="http://schemas.microsoft.com/office/drawing/2014/chart" uri="{C3380CC4-5D6E-409C-BE32-E72D297353CC}">
              <c16:uniqueId val="{00000000-25F5-476A-AF9B-BEBBD67F00A8}"/>
            </c:ext>
          </c:extLst>
        </c:ser>
        <c:dLbls>
          <c:showLegendKey val="0"/>
          <c:showVal val="0"/>
          <c:showCatName val="0"/>
          <c:showSerName val="0"/>
          <c:showPercent val="0"/>
          <c:showBubbleSize val="0"/>
        </c:dLbls>
        <c:axId val="80968320"/>
        <c:axId val="80978688"/>
      </c:scatterChart>
      <c:scatterChart>
        <c:scatterStyle val="lineMarker"/>
        <c:varyColors val="0"/>
        <c:ser>
          <c:idx val="2"/>
          <c:order val="2"/>
          <c:tx>
            <c:v>fCROSS(CV)</c:v>
          </c:tx>
          <c:spPr>
            <a:effectLst>
              <a:glow rad="228600">
                <a:schemeClr val="accent1">
                  <a:satMod val="175000"/>
                  <a:alpha val="40000"/>
                </a:schemeClr>
              </a:glow>
            </a:effectLst>
          </c:spPr>
          <c:marker>
            <c:symbol val="triangle"/>
            <c:size val="10"/>
            <c:spPr>
              <a:solidFill>
                <a:schemeClr val="tx1"/>
              </a:solidFill>
              <a:ln w="25400">
                <a:solidFill>
                  <a:schemeClr val="tx1"/>
                </a:solidFill>
              </a:ln>
              <a:effectLst>
                <a:glow rad="228600">
                  <a:schemeClr val="accent1">
                    <a:satMod val="175000"/>
                    <a:alpha val="40000"/>
                  </a:schemeClr>
                </a:glow>
              </a:effectLst>
            </c:spPr>
          </c:marker>
          <c:dLbls>
            <c:dLbl>
              <c:idx val="0"/>
              <c:layout/>
              <c:tx>
                <c:rich>
                  <a:bodyPr wrap="square" lIns="38100" tIns="19050" rIns="38100" bIns="19050" anchor="ctr">
                    <a:noAutofit/>
                  </a:bodyPr>
                  <a:lstStyle/>
                  <a:p>
                    <a:pPr>
                      <a:defRPr sz="1000" b="1" baseline="0"/>
                    </a:pPr>
                    <a:r>
                      <a:rPr lang="en-US" sz="1000" b="1" baseline="0"/>
                      <a:t>fCROSS(CV)</a:t>
                    </a:r>
                  </a:p>
                </c:rich>
              </c:tx>
              <c:spPr>
                <a:noFill/>
                <a:ln>
                  <a:noFill/>
                </a:ln>
                <a:effectLst/>
              </c:spPr>
              <c:dLblPos val="t"/>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1-25F5-476A-AF9B-BEBBD67F00A8}"/>
                </c:ext>
              </c:extLst>
            </c:dLbl>
            <c:spPr>
              <a:noFill/>
              <a:ln>
                <a:noFill/>
              </a:ln>
              <a:effectLst/>
            </c:spPr>
            <c:txPr>
              <a:bodyPr wrap="square" lIns="38100" tIns="19050" rIns="38100" bIns="19050" anchor="ctr">
                <a:spAutoFit/>
              </a:bodyPr>
              <a:lstStyle/>
              <a:p>
                <a:pPr>
                  <a:defRPr sz="1000" b="1" baseline="0"/>
                </a:pPr>
                <a:endParaRPr lang="zh-TW"/>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Bode!$AI$8</c:f>
              <c:numCache>
                <c:formatCode>_(* #,##0.0_);_(* \(#,##0.0\);_(* "-"?_);_(@_)</c:formatCode>
                <c:ptCount val="1"/>
                <c:pt idx="0">
                  <c:v>1456.4077155106802</c:v>
                </c:pt>
              </c:numCache>
            </c:numRef>
          </c:xVal>
          <c:yVal>
            <c:numLit>
              <c:formatCode>General</c:formatCode>
              <c:ptCount val="1"/>
              <c:pt idx="0">
                <c:v>0</c:v>
              </c:pt>
            </c:numLit>
          </c:yVal>
          <c:smooth val="0"/>
          <c:extLst>
            <c:ext xmlns:c16="http://schemas.microsoft.com/office/drawing/2014/chart" uri="{C3380CC4-5D6E-409C-BE32-E72D297353CC}">
              <c16:uniqueId val="{00000002-25F5-476A-AF9B-BEBBD67F00A8}"/>
            </c:ext>
          </c:extLst>
        </c:ser>
        <c:ser>
          <c:idx val="3"/>
          <c:order val="3"/>
          <c:tx>
            <c:v>fPLOAD</c:v>
          </c:tx>
          <c:marker>
            <c:symbol val="x"/>
            <c:size val="11"/>
            <c:spPr>
              <a:noFill/>
              <a:ln w="25400">
                <a:solidFill>
                  <a:schemeClr val="tx1"/>
                </a:solidFill>
              </a:ln>
              <a:effectLst>
                <a:glow rad="63500">
                  <a:srgbClr val="00B050">
                    <a:alpha val="40000"/>
                  </a:srgbClr>
                </a:glow>
              </a:effectLst>
            </c:spPr>
          </c:marker>
          <c:dLbls>
            <c:dLbl>
              <c:idx val="0"/>
              <c:layout>
                <c:manualLayout>
                  <c:x val="-6.7147028097071113E-2"/>
                  <c:y val="-5.569546006395977E-2"/>
                </c:manualLayout>
              </c:layout>
              <c:tx>
                <c:rich>
                  <a:bodyPr wrap="square" lIns="38100" tIns="19050" rIns="38100" bIns="19050" anchor="ctr" anchorCtr="0">
                    <a:noAutofit/>
                  </a:bodyPr>
                  <a:lstStyle/>
                  <a:p>
                    <a:pPr algn="ctr">
                      <a:defRPr lang="en-US" sz="1000" b="1" i="0" u="none" strike="noStrike" kern="1200" baseline="-25000">
                        <a:solidFill>
                          <a:srgbClr val="000000"/>
                        </a:solidFill>
                        <a:latin typeface="Arial"/>
                        <a:ea typeface="Arial"/>
                        <a:cs typeface="Arial"/>
                      </a:defRPr>
                    </a:pPr>
                    <a:fld id="{3833914D-311C-4C5D-B515-DAD54E2B3908}" type="SERIESNAME">
                      <a:rPr lang="en-US" altLang="zh-TW" sz="1000" b="1" i="0" u="none" strike="noStrike" kern="1200" baseline="0">
                        <a:solidFill>
                          <a:srgbClr val="000000"/>
                        </a:solidFill>
                        <a:latin typeface="Arial"/>
                        <a:ea typeface="Arial"/>
                        <a:cs typeface="Arial"/>
                      </a:rPr>
                      <a:pPr algn="ctr">
                        <a:defRPr lang="en-US" sz="1000" b="1" i="0" u="none" strike="noStrike" kern="1200" baseline="-25000">
                          <a:solidFill>
                            <a:srgbClr val="000000"/>
                          </a:solidFill>
                          <a:latin typeface="Arial"/>
                          <a:ea typeface="Arial"/>
                          <a:cs typeface="Arial"/>
                        </a:defRPr>
                      </a:pPr>
                      <a:t>[數列名稱]</a:t>
                    </a:fld>
                    <a:endParaRPr lang="zh-TW" altLang="en-US"/>
                  </a:p>
                </c:rich>
              </c:tx>
              <c:spPr>
                <a:noFill/>
                <a:ln>
                  <a:noFill/>
                </a:ln>
                <a:effectLst/>
              </c:spPr>
              <c:dLblPos val="r"/>
              <c:showLegendKey val="0"/>
              <c:showVal val="0"/>
              <c:showCatName val="0"/>
              <c:showSerName val="1"/>
              <c:showPercent val="0"/>
              <c:showBubbleSize val="0"/>
              <c:extLst>
                <c:ext xmlns:c15="http://schemas.microsoft.com/office/drawing/2012/chart" uri="{CE6537A1-D6FC-4f65-9D91-7224C49458BB}">
                  <c15:layout>
                    <c:manualLayout>
                      <c:w val="0.10290414513738469"/>
                      <c:h val="5.929217279919953E-2"/>
                    </c:manualLayout>
                  </c15:layout>
                  <c15:dlblFieldTable/>
                  <c15:showDataLabelsRange val="0"/>
                </c:ext>
                <c:ext xmlns:c16="http://schemas.microsoft.com/office/drawing/2014/chart" uri="{C3380CC4-5D6E-409C-BE32-E72D297353CC}">
                  <c16:uniqueId val="{00000003-25F5-476A-AF9B-BEBBD67F00A8}"/>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rgbClr val="000000"/>
                    </a:solidFill>
                    <a:latin typeface="Arial"/>
                    <a:ea typeface="Arial"/>
                    <a:cs typeface="Arial"/>
                  </a:defRPr>
                </a:pPr>
                <a:endParaRPr lang="zh-TW"/>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Bode!$AM$8</c:f>
              <c:numCache>
                <c:formatCode>_(* #,##0.0_);_(* \(#,##0.0\);_(* "-"?_);_(@_)</c:formatCode>
                <c:ptCount val="1"/>
                <c:pt idx="0">
                  <c:v>237.16661269547845</c:v>
                </c:pt>
              </c:numCache>
            </c:numRef>
          </c:xVal>
          <c:yVal>
            <c:numRef>
              <c:f>Bode!$AN$8</c:f>
              <c:numCache>
                <c:formatCode>_(* #,##0.0_);_(* \(#,##0.0\);_(* "-"?_);_(@_)</c:formatCode>
                <c:ptCount val="1"/>
                <c:pt idx="0">
                  <c:v>24.025700652276363</c:v>
                </c:pt>
              </c:numCache>
            </c:numRef>
          </c:yVal>
          <c:smooth val="0"/>
          <c:extLst>
            <c:ext xmlns:c16="http://schemas.microsoft.com/office/drawing/2014/chart" uri="{C3380CC4-5D6E-409C-BE32-E72D297353CC}">
              <c16:uniqueId val="{00000004-25F5-476A-AF9B-BEBBD67F00A8}"/>
            </c:ext>
          </c:extLst>
        </c:ser>
        <c:ser>
          <c:idx val="4"/>
          <c:order val="4"/>
          <c:tx>
            <c:v>fZCOMP</c:v>
          </c:tx>
          <c:spPr>
            <a:effectLst>
              <a:glow rad="127000">
                <a:schemeClr val="accent4"/>
              </a:glow>
            </a:effectLst>
          </c:spPr>
          <c:marker>
            <c:symbol val="circle"/>
            <c:size val="12"/>
            <c:spPr>
              <a:noFill/>
              <a:ln w="25400">
                <a:solidFill>
                  <a:schemeClr val="tx1"/>
                </a:solidFill>
              </a:ln>
              <a:effectLst>
                <a:glow rad="127000">
                  <a:schemeClr val="accent4"/>
                </a:glow>
              </a:effectLst>
            </c:spPr>
          </c:marker>
          <c:dLbls>
            <c:spPr>
              <a:noFill/>
              <a:ln>
                <a:noFill/>
              </a:ln>
              <a:effectLst/>
            </c:spPr>
            <c:txPr>
              <a:bodyPr wrap="square" lIns="38100" tIns="19050" rIns="38100" bIns="19050" anchor="ctr">
                <a:spAutoFit/>
              </a:bodyPr>
              <a:lstStyle/>
              <a:p>
                <a:pPr>
                  <a:defRPr sz="1000" b="1"/>
                </a:pPr>
                <a:endParaRPr lang="zh-TW"/>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Bode!$AP$8</c:f>
              <c:numCache>
                <c:formatCode>_(* #,##0.0_);_(* \(#,##0.0\);_(* "-"?_);_(@_)</c:formatCode>
                <c:ptCount val="1"/>
                <c:pt idx="0">
                  <c:v>1026.1442695238425</c:v>
                </c:pt>
              </c:numCache>
            </c:numRef>
          </c:xVal>
          <c:yVal>
            <c:numRef>
              <c:f>Bode!$AQ$8</c:f>
              <c:numCache>
                <c:formatCode>_(* #,##0.0_);_(* \(#,##0.0\);_(* "-"?_);_(@_)</c:formatCode>
                <c:ptCount val="1"/>
                <c:pt idx="0">
                  <c:v>4.1703312769405434</c:v>
                </c:pt>
              </c:numCache>
            </c:numRef>
          </c:yVal>
          <c:smooth val="0"/>
          <c:extLst>
            <c:ext xmlns:c16="http://schemas.microsoft.com/office/drawing/2014/chart" uri="{C3380CC4-5D6E-409C-BE32-E72D297353CC}">
              <c16:uniqueId val="{00000006-25F5-476A-AF9B-BEBBD67F00A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Bode!$AF$11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Bode!$AF$12:$AF$138</c:f>
              <c:numCache>
                <c:formatCode>_(* #,##0.00_);_(* \(#,##0.00\);_(* "-"??_);_(@_)</c:formatCode>
                <c:ptCount val="127"/>
                <c:pt idx="0">
                  <c:v>-88.26125103408107</c:v>
                </c:pt>
                <c:pt idx="1">
                  <c:v>-88.996426205406038</c:v>
                </c:pt>
                <c:pt idx="2">
                  <c:v>-89.410897344256739</c:v>
                </c:pt>
                <c:pt idx="3">
                  <c:v>-89.697009447173542</c:v>
                </c:pt>
                <c:pt idx="4">
                  <c:v>-89.918923507596077</c:v>
                </c:pt>
                <c:pt idx="5">
                  <c:v>-90.104145111234502</c:v>
                </c:pt>
                <c:pt idx="6">
                  <c:v>-90.266428808813515</c:v>
                </c:pt>
                <c:pt idx="7">
                  <c:v>-90.413416306236286</c:v>
                </c:pt>
                <c:pt idx="8">
                  <c:v>-90.549692497643022</c:v>
                </c:pt>
                <c:pt idx="9">
                  <c:v>-90.678174785326334</c:v>
                </c:pt>
                <c:pt idx="10">
                  <c:v>-90.80080781126496</c:v>
                </c:pt>
                <c:pt idx="11">
                  <c:v>-90.918937570508319</c:v>
                </c:pt>
                <c:pt idx="12">
                  <c:v>-91.033525201650008</c:v>
                </c:pt>
                <c:pt idx="13">
                  <c:v>-91.145275266294618</c:v>
                </c:pt>
                <c:pt idx="14">
                  <c:v>-91.254715926246476</c:v>
                </c:pt>
                <c:pt idx="15">
                  <c:v>-91.362250824168683</c:v>
                </c:pt>
                <c:pt idx="16">
                  <c:v>-91.468193671395994</c:v>
                </c:pt>
                <c:pt idx="17">
                  <c:v>-91.572791913684028</c:v>
                </c:pt>
                <c:pt idx="18">
                  <c:v>-91.676243297473931</c:v>
                </c:pt>
                <c:pt idx="19">
                  <c:v>-92.672232328597673</c:v>
                </c:pt>
                <c:pt idx="20">
                  <c:v>-93.632930111216723</c:v>
                </c:pt>
                <c:pt idx="21">
                  <c:v>-94.576567208612687</c:v>
                </c:pt>
                <c:pt idx="22">
                  <c:v>-95.508553327398047</c:v>
                </c:pt>
                <c:pt idx="23">
                  <c:v>-96.430656060251678</c:v>
                </c:pt>
                <c:pt idx="24">
                  <c:v>-97.343299024488601</c:v>
                </c:pt>
                <c:pt idx="25">
                  <c:v>-98.246330638590962</c:v>
                </c:pt>
                <c:pt idx="26">
                  <c:v>-99.139333765834976</c:v>
                </c:pt>
                <c:pt idx="27">
                  <c:v>-100.02176808647006</c:v>
                </c:pt>
                <c:pt idx="28">
                  <c:v>-100.89304247431942</c:v>
                </c:pt>
                <c:pt idx="29">
                  <c:v>-101.7525547878152</c:v>
                </c:pt>
                <c:pt idx="30">
                  <c:v>-102.59971511078631</c:v>
                </c:pt>
                <c:pt idx="31">
                  <c:v>-103.43395993357866</c:v>
                </c:pt>
                <c:pt idx="32">
                  <c:v>-104.2547610309957</c:v>
                </c:pt>
                <c:pt idx="33">
                  <c:v>-105.06163103968397</c:v>
                </c:pt>
                <c:pt idx="34">
                  <c:v>-105.85412686317099</c:v>
                </c:pt>
                <c:pt idx="35">
                  <c:v>-106.63185157429483</c:v>
                </c:pt>
                <c:pt idx="36">
                  <c:v>-107.39445523366889</c:v>
                </c:pt>
                <c:pt idx="37">
                  <c:v>-114.14400786252754</c:v>
                </c:pt>
                <c:pt idx="38">
                  <c:v>-119.2984316260513</c:v>
                </c:pt>
                <c:pt idx="39">
                  <c:v>-123.03463857611622</c:v>
                </c:pt>
                <c:pt idx="40">
                  <c:v>-125.62013898838305</c:v>
                </c:pt>
                <c:pt idx="41">
                  <c:v>-127.31440482711184</c:v>
                </c:pt>
                <c:pt idx="42">
                  <c:v>-128.33407108031676</c:v>
                </c:pt>
                <c:pt idx="43">
                  <c:v>-128.8489118973751</c:v>
                </c:pt>
                <c:pt idx="44">
                  <c:v>-128.98846257426294</c:v>
                </c:pt>
                <c:pt idx="45">
                  <c:v>-128.85060386284295</c:v>
                </c:pt>
                <c:pt idx="46">
                  <c:v>-128.5091748230538</c:v>
                </c:pt>
                <c:pt idx="47">
                  <c:v>-128.01997867760963</c:v>
                </c:pt>
                <c:pt idx="48">
                  <c:v>-127.42530982813963</c:v>
                </c:pt>
                <c:pt idx="49">
                  <c:v>-126.75730988013132</c:v>
                </c:pt>
                <c:pt idx="50">
                  <c:v>-126.04044790237521</c:v>
                </c:pt>
                <c:pt idx="51">
                  <c:v>-125.29335986988818</c:v>
                </c:pt>
                <c:pt idx="52">
                  <c:v>-124.53022178438798</c:v>
                </c:pt>
                <c:pt idx="53">
                  <c:v>-123.76178254394821</c:v>
                </c:pt>
                <c:pt idx="54">
                  <c:v>-122.99614687070907</c:v>
                </c:pt>
                <c:pt idx="55">
                  <c:v>-116.26159585343956</c:v>
                </c:pt>
                <c:pt idx="56">
                  <c:v>-111.54716582439421</c:v>
                </c:pt>
                <c:pt idx="57">
                  <c:v>-108.32853699143547</c:v>
                </c:pt>
                <c:pt idx="58">
                  <c:v>-106.08149313239169</c:v>
                </c:pt>
                <c:pt idx="59">
                  <c:v>-104.47289205106622</c:v>
                </c:pt>
                <c:pt idx="60">
                  <c:v>-103.29881359914936</c:v>
                </c:pt>
                <c:pt idx="61">
                  <c:v>-102.43158319635982</c:v>
                </c:pt>
                <c:pt idx="62">
                  <c:v>-101.78848703222869</c:v>
                </c:pt>
                <c:pt idx="63">
                  <c:v>-101.31407430275581</c:v>
                </c:pt>
                <c:pt idx="64">
                  <c:v>-100.96998815870326</c:v>
                </c:pt>
                <c:pt idx="65">
                  <c:v>-100.72894403437628</c:v>
                </c:pt>
                <c:pt idx="66">
                  <c:v>-100.57104569832903</c:v>
                </c:pt>
                <c:pt idx="67">
                  <c:v>-100.48145988336731</c:v>
                </c:pt>
                <c:pt idx="68">
                  <c:v>-100.44890567803731</c:v>
                </c:pt>
                <c:pt idx="69">
                  <c:v>-100.46464740741244</c:v>
                </c:pt>
                <c:pt idx="70">
                  <c:v>-100.52180739524192</c:v>
                </c:pt>
                <c:pt idx="71">
                  <c:v>-100.61488716520778</c:v>
                </c:pt>
                <c:pt idx="72">
                  <c:v>-100.73942761975775</c:v>
                </c:pt>
                <c:pt idx="73">
                  <c:v>-103.13216935119723</c:v>
                </c:pt>
                <c:pt idx="74">
                  <c:v>-106.67439546303181</c:v>
                </c:pt>
                <c:pt idx="75">
                  <c:v>-110.7289810475186</c:v>
                </c:pt>
                <c:pt idx="76">
                  <c:v>-115.00230089087877</c:v>
                </c:pt>
                <c:pt idx="77">
                  <c:v>-119.34226764207369</c:v>
                </c:pt>
                <c:pt idx="78">
                  <c:v>-123.66756063490824</c:v>
                </c:pt>
                <c:pt idx="79">
                  <c:v>-127.93373270463701</c:v>
                </c:pt>
                <c:pt idx="80">
                  <c:v>-132.11598844285183</c:v>
                </c:pt>
                <c:pt idx="81">
                  <c:v>-136.20033648692143</c:v>
                </c:pt>
                <c:pt idx="82">
                  <c:v>-140.1789791365762</c:v>
                </c:pt>
                <c:pt idx="83">
                  <c:v>-144.04784929892753</c:v>
                </c:pt>
                <c:pt idx="84">
                  <c:v>-147.80524632305571</c:v>
                </c:pt>
                <c:pt idx="85">
                  <c:v>-151.4510444613172</c:v>
                </c:pt>
                <c:pt idx="86">
                  <c:v>-154.986207562098</c:v>
                </c:pt>
                <c:pt idx="87">
                  <c:v>-158.41247329434242</c:v>
                </c:pt>
                <c:pt idx="88">
                  <c:v>-161.73213550944877</c:v>
                </c:pt>
                <c:pt idx="89">
                  <c:v>-164.94788661117974</c:v>
                </c:pt>
                <c:pt idx="90">
                  <c:v>-168.06269896378956</c:v>
                </c:pt>
                <c:pt idx="91">
                  <c:v>-194.37697614239806</c:v>
                </c:pt>
                <c:pt idx="92">
                  <c:v>-214.00538931169126</c:v>
                </c:pt>
                <c:pt idx="93">
                  <c:v>-229.21517017411821</c:v>
                </c:pt>
                <c:pt idx="94">
                  <c:v>-241.4345759213368</c:v>
                </c:pt>
                <c:pt idx="95">
                  <c:v>-251.55233945319983</c:v>
                </c:pt>
                <c:pt idx="96">
                  <c:v>-260.13506071702284</c:v>
                </c:pt>
                <c:pt idx="97">
                  <c:v>-267.5560259498115</c:v>
                </c:pt>
                <c:pt idx="98">
                  <c:v>-274.06982782903231</c:v>
                </c:pt>
                <c:pt idx="99">
                  <c:v>-279.85612737479101</c:v>
                </c:pt>
                <c:pt idx="100">
                  <c:v>-285.04587365627071</c:v>
                </c:pt>
                <c:pt idx="101">
                  <c:v>-289.73739584746573</c:v>
                </c:pt>
                <c:pt idx="102">
                  <c:v>-294.00652833104573</c:v>
                </c:pt>
                <c:pt idx="103">
                  <c:v>-297.91314357524425</c:v>
                </c:pt>
                <c:pt idx="104">
                  <c:v>-301.50547498392712</c:v>
                </c:pt>
                <c:pt idx="105">
                  <c:v>-304.82305042664154</c:v>
                </c:pt>
                <c:pt idx="106">
                  <c:v>-307.89873336653056</c:v>
                </c:pt>
                <c:pt idx="107">
                  <c:v>-310.76017823366709</c:v>
                </c:pt>
                <c:pt idx="108">
                  <c:v>-313.43089284519993</c:v>
                </c:pt>
                <c:pt idx="109">
                  <c:v>-333.01752357498037</c:v>
                </c:pt>
                <c:pt idx="110">
                  <c:v>-345.42482397742697</c:v>
                </c:pt>
                <c:pt idx="111">
                  <c:v>-354.43495579880175</c:v>
                </c:pt>
                <c:pt idx="112">
                  <c:v>-361.55183120862688</c:v>
                </c:pt>
                <c:pt idx="113">
                  <c:v>-367.47768367442785</c:v>
                </c:pt>
                <c:pt idx="114">
                  <c:v>-372.58092385170596</c:v>
                </c:pt>
                <c:pt idx="115">
                  <c:v>-377.07344599894304</c:v>
                </c:pt>
                <c:pt idx="116">
                  <c:v>-381.08693052000615</c:v>
                </c:pt>
                <c:pt idx="117">
                  <c:v>-384.7089551747946</c:v>
                </c:pt>
                <c:pt idx="118">
                  <c:v>-388.00137392729596</c:v>
                </c:pt>
                <c:pt idx="119">
                  <c:v>-391.01022012244152</c:v>
                </c:pt>
                <c:pt idx="120">
                  <c:v>-393.77129744583988</c:v>
                </c:pt>
                <c:pt idx="121">
                  <c:v>-396.31346656956475</c:v>
                </c:pt>
                <c:pt idx="122">
                  <c:v>-398.66065110056024</c:v>
                </c:pt>
                <c:pt idx="123">
                  <c:v>-400.83310813868718</c:v>
                </c:pt>
                <c:pt idx="124">
                  <c:v>-402.8482642806473</c:v>
                </c:pt>
                <c:pt idx="125">
                  <c:v>-404.72128778566571</c:v>
                </c:pt>
                <c:pt idx="126">
                  <c:v>-406.46549608982428</c:v>
                </c:pt>
              </c:numCache>
            </c:numRef>
          </c:yVal>
          <c:smooth val="0"/>
          <c:extLst>
            <c:ext xmlns:c16="http://schemas.microsoft.com/office/drawing/2014/chart" uri="{C3380CC4-5D6E-409C-BE32-E72D297353CC}">
              <c16:uniqueId val="{00000009-25F5-476A-AF9B-BEBBD67F00A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400" b="1" i="0" u="none" strike="noStrike" baseline="0">
                    <a:solidFill>
                      <a:srgbClr val="000000"/>
                    </a:solidFill>
                    <a:latin typeface="Arial"/>
                    <a:ea typeface="Arial"/>
                    <a:cs typeface="Arial"/>
                  </a:defRPr>
                </a:pPr>
                <a:r>
                  <a:rPr lang="en-US" sz="1400"/>
                  <a:t>Frequency (Hz)</a:t>
                </a:r>
              </a:p>
            </c:rich>
          </c:tx>
          <c:layout>
            <c:manualLayout>
              <c:xMode val="edge"/>
              <c:yMode val="edge"/>
              <c:x val="0.42690764520080698"/>
              <c:y val="0.9000083922042877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zh-TW"/>
          </a:p>
        </c:txPr>
        <c:crossAx val="80978688"/>
        <c:crossesAt val="-40"/>
        <c:crossBetween val="midCat"/>
        <c:majorUnit val="10"/>
        <c:minorUnit val="10"/>
      </c:valAx>
      <c:valAx>
        <c:axId val="80978688"/>
        <c:scaling>
          <c:orientation val="minMax"/>
          <c:max val="100"/>
          <c:min val="-40"/>
        </c:scaling>
        <c:delete val="0"/>
        <c:axPos val="l"/>
        <c:majorGridlines>
          <c:spPr>
            <a:ln w="3175">
              <a:solidFill>
                <a:srgbClr val="000000"/>
              </a:solidFill>
              <a:prstDash val="solid"/>
            </a:ln>
          </c:spPr>
        </c:majorGridlines>
        <c:title>
          <c:tx>
            <c:rich>
              <a:bodyPr/>
              <a:lstStyle/>
              <a:p>
                <a:pPr>
                  <a:defRPr sz="1400" b="1" i="0" u="none" strike="noStrike" baseline="0">
                    <a:solidFill>
                      <a:srgbClr val="0000FF"/>
                    </a:solidFill>
                    <a:latin typeface="Arial"/>
                    <a:ea typeface="Arial"/>
                    <a:cs typeface="Arial"/>
                  </a:defRPr>
                </a:pPr>
                <a:r>
                  <a:rPr lang="en-US" sz="1400">
                    <a:solidFill>
                      <a:srgbClr val="0000FF"/>
                    </a:solidFill>
                  </a:rPr>
                  <a:t>Loop Gain (dB)</a:t>
                </a:r>
              </a:p>
            </c:rich>
          </c:tx>
          <c:layout>
            <c:manualLayout>
              <c:xMode val="edge"/>
              <c:yMode val="edge"/>
              <c:x val="1.7212827297800173E-2"/>
              <c:y val="0.35172352205751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FF"/>
                </a:solidFill>
                <a:latin typeface="Arial"/>
                <a:ea typeface="Arial"/>
                <a:cs typeface="Arial"/>
              </a:defRPr>
            </a:pPr>
            <a:endParaRPr lang="zh-TW"/>
          </a:p>
        </c:txPr>
        <c:crossAx val="80968320"/>
        <c:crossesAt val="0.1"/>
        <c:crossBetween val="midCat"/>
        <c:majorUnit val="20"/>
        <c:minorUnit val="4"/>
      </c:valAx>
      <c:valAx>
        <c:axId val="80980608"/>
        <c:scaling>
          <c:logBase val="10"/>
          <c:orientation val="minMax"/>
        </c:scaling>
        <c:delete val="1"/>
        <c:axPos val="b"/>
        <c:numFmt formatCode="General" sourceLinked="1"/>
        <c:majorTickMark val="out"/>
        <c:minorTickMark val="none"/>
        <c:tickLblPos val="none"/>
        <c:crossAx val="80982400"/>
        <c:crossesAt val="0"/>
        <c:crossBetween val="midCat"/>
      </c:valAx>
      <c:valAx>
        <c:axId val="80982400"/>
        <c:scaling>
          <c:orientation val="minMax"/>
          <c:max val="-45"/>
          <c:min val="-202.5"/>
        </c:scaling>
        <c:delete val="0"/>
        <c:axPos val="r"/>
        <c:title>
          <c:tx>
            <c:rich>
              <a:bodyPr/>
              <a:lstStyle/>
              <a:p>
                <a:pPr>
                  <a:defRPr sz="1400" b="1" i="0" u="none" strike="noStrike" baseline="0">
                    <a:solidFill>
                      <a:srgbClr val="FF0000"/>
                    </a:solidFill>
                    <a:latin typeface="Arial"/>
                    <a:ea typeface="Arial"/>
                    <a:cs typeface="Arial"/>
                  </a:defRPr>
                </a:pPr>
                <a:r>
                  <a:rPr lang="en-US" sz="1400">
                    <a:solidFill>
                      <a:srgbClr val="FF0000"/>
                    </a:solidFill>
                  </a:rPr>
                  <a:t>Loop Phase (°)</a:t>
                </a:r>
              </a:p>
            </c:rich>
          </c:tx>
          <c:layout>
            <c:manualLayout>
              <c:xMode val="edge"/>
              <c:yMode val="edge"/>
              <c:x val="0.95718172965910109"/>
              <c:y val="0.35453275864666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zh-TW"/>
          </a:p>
        </c:txPr>
        <c:crossAx val="80980608"/>
        <c:crosses val="max"/>
        <c:crossBetween val="midCat"/>
        <c:majorUnit val="22.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zh-TW"/>
    </a:p>
  </c:txPr>
  <c:printSettings>
    <c:headerFooter alignWithMargins="0"/>
    <c:pageMargins b="1" l="0.75000000000000167" r="0.75000000000000167"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COMP2VOUT</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Bode!$I$11</c:f>
              <c:strCache>
                <c:ptCount val="1"/>
                <c:pt idx="0">
                  <c:v>COMP2VOUT_GAIN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Bode!$I$12:$I$138</c:f>
              <c:numCache>
                <c:formatCode>General</c:formatCode>
                <c:ptCount val="127"/>
                <c:pt idx="0">
                  <c:v>27.271836222999859</c:v>
                </c:pt>
                <c:pt idx="1">
                  <c:v>27.271739149842297</c:v>
                </c:pt>
                <c:pt idx="2">
                  <c:v>27.271603251067869</c:v>
                </c:pt>
                <c:pt idx="3">
                  <c:v>27.271428530322193</c:v>
                </c:pt>
                <c:pt idx="4">
                  <c:v>27.271214992292112</c:v>
                </c:pt>
                <c:pt idx="5">
                  <c:v>27.270962642705065</c:v>
                </c:pt>
                <c:pt idx="6">
                  <c:v>27.270671488328606</c:v>
                </c:pt>
                <c:pt idx="7">
                  <c:v>27.270341536969873</c:v>
                </c:pt>
                <c:pt idx="8">
                  <c:v>27.269972797474789</c:v>
                </c:pt>
                <c:pt idx="9">
                  <c:v>27.269565279727424</c:v>
                </c:pt>
                <c:pt idx="10">
                  <c:v>27.269118994648878</c:v>
                </c:pt>
                <c:pt idx="11">
                  <c:v>27.268633954196556</c:v>
                </c:pt>
                <c:pt idx="12">
                  <c:v>27.268110171362977</c:v>
                </c:pt>
                <c:pt idx="13">
                  <c:v>27.267547660174515</c:v>
                </c:pt>
                <c:pt idx="14">
                  <c:v>27.266946435690471</c:v>
                </c:pt>
                <c:pt idx="15">
                  <c:v>27.266306514001265</c:v>
                </c:pt>
                <c:pt idx="16">
                  <c:v>27.265627912227476</c:v>
                </c:pt>
                <c:pt idx="17">
                  <c:v>27.264910648517979</c:v>
                </c:pt>
                <c:pt idx="18">
                  <c:v>27.264154742048504</c:v>
                </c:pt>
                <c:pt idx="19">
                  <c:v>27.254475274690918</c:v>
                </c:pt>
                <c:pt idx="20">
                  <c:v>27.24096017152376</c:v>
                </c:pt>
                <c:pt idx="21">
                  <c:v>27.2236451993898</c:v>
                </c:pt>
                <c:pt idx="22">
                  <c:v>27.202575803230665</c:v>
                </c:pt>
                <c:pt idx="23">
                  <c:v>27.177806714043001</c:v>
                </c:pt>
                <c:pt idx="24">
                  <c:v>27.14940148440872</c:v>
                </c:pt>
                <c:pt idx="25">
                  <c:v>27.117431959701555</c:v>
                </c:pt>
                <c:pt idx="26">
                  <c:v>27.081977693938803</c:v>
                </c:pt>
                <c:pt idx="27">
                  <c:v>27.043125319864046</c:v>
                </c:pt>
                <c:pt idx="28">
                  <c:v>27.00096788320435</c:v>
                </c:pt>
                <c:pt idx="29">
                  <c:v>26.955604151151149</c:v>
                </c:pt>
                <c:pt idx="30">
                  <c:v>26.907137904979763</c:v>
                </c:pt>
                <c:pt idx="31">
                  <c:v>26.855677226371576</c:v>
                </c:pt>
                <c:pt idx="32">
                  <c:v>26.801333786460887</c:v>
                </c:pt>
                <c:pt idx="33">
                  <c:v>26.744222145928962</c:v>
                </c:pt>
                <c:pt idx="34">
                  <c:v>26.684459073644856</c:v>
                </c:pt>
                <c:pt idx="35">
                  <c:v>26.622162890439022</c:v>
                </c:pt>
                <c:pt idx="36">
                  <c:v>26.557452843630976</c:v>
                </c:pt>
                <c:pt idx="37">
                  <c:v>25.803429291410286</c:v>
                </c:pt>
                <c:pt idx="38">
                  <c:v>24.928733724459843</c:v>
                </c:pt>
                <c:pt idx="39">
                  <c:v>24.013763706887818</c:v>
                </c:pt>
                <c:pt idx="40">
                  <c:v>23.107117064018521</c:v>
                </c:pt>
                <c:pt idx="41">
                  <c:v>22.234141936461054</c:v>
                </c:pt>
                <c:pt idx="42">
                  <c:v>21.406019923755416</c:v>
                </c:pt>
                <c:pt idx="43">
                  <c:v>20.626116556853127</c:v>
                </c:pt>
                <c:pt idx="44">
                  <c:v>19.89378474231486</c:v>
                </c:pt>
                <c:pt idx="45">
                  <c:v>19.206482331147644</c:v>
                </c:pt>
                <c:pt idx="46">
                  <c:v>18.560902722664789</c:v>
                </c:pt>
                <c:pt idx="47">
                  <c:v>17.953557878574703</c:v>
                </c:pt>
                <c:pt idx="48">
                  <c:v>17.381065358574556</c:v>
                </c:pt>
                <c:pt idx="49">
                  <c:v>16.840277978530935</c:v>
                </c:pt>
                <c:pt idx="50">
                  <c:v>16.328331218146037</c:v>
                </c:pt>
                <c:pt idx="51">
                  <c:v>15.842648816248193</c:v>
                </c:pt>
                <c:pt idx="52">
                  <c:v>15.380928208519233</c:v>
                </c:pt>
                <c:pt idx="53">
                  <c:v>14.941117305498384</c:v>
                </c:pt>
                <c:pt idx="54">
                  <c:v>14.521388610392869</c:v>
                </c:pt>
                <c:pt idx="55">
                  <c:v>11.142365217414422</c:v>
                </c:pt>
                <c:pt idx="56">
                  <c:v>8.7082127070201416</c:v>
                </c:pt>
                <c:pt idx="57">
                  <c:v>6.8150400713499337</c:v>
                </c:pt>
                <c:pt idx="58">
                  <c:v>5.2716520074845885</c:v>
                </c:pt>
                <c:pt idx="59">
                  <c:v>3.9732254193829379</c:v>
                </c:pt>
                <c:pt idx="60">
                  <c:v>2.8562236038689099</c:v>
                </c:pt>
                <c:pt idx="61">
                  <c:v>1.8792503487714813</c:v>
                </c:pt>
                <c:pt idx="62">
                  <c:v>1.0138261334436902</c:v>
                </c:pt>
                <c:pt idx="63">
                  <c:v>0.23950639070489152</c:v>
                </c:pt>
                <c:pt idx="64">
                  <c:v>-0.45889638618855511</c:v>
                </c:pt>
                <c:pt idx="65">
                  <c:v>-1.0929869463504485</c:v>
                </c:pt>
                <c:pt idx="66">
                  <c:v>-1.6718446957569255</c:v>
                </c:pt>
                <c:pt idx="67">
                  <c:v>-2.2027178654410715</c:v>
                </c:pt>
                <c:pt idx="68">
                  <c:v>-2.6914943073326079</c:v>
                </c:pt>
                <c:pt idx="69">
                  <c:v>-3.1430297979208115</c:v>
                </c:pt>
                <c:pt idx="70">
                  <c:v>-3.5613825423493339</c:v>
                </c:pt>
                <c:pt idx="71">
                  <c:v>-3.9499842295173959</c:v>
                </c:pt>
                <c:pt idx="72">
                  <c:v>-4.3117671362804666</c:v>
                </c:pt>
                <c:pt idx="73">
                  <c:v>-6.8837245026445348</c:v>
                </c:pt>
                <c:pt idx="74">
                  <c:v>-8.3280160476458231</c:v>
                </c:pt>
                <c:pt idx="75">
                  <c:v>-9.2038928250696745</c:v>
                </c:pt>
                <c:pt idx="76">
                  <c:v>-9.7659407747627593</c:v>
                </c:pt>
                <c:pt idx="77">
                  <c:v>-10.143725814234994</c:v>
                </c:pt>
                <c:pt idx="78">
                  <c:v>-10.407777445736265</c:v>
                </c:pt>
                <c:pt idx="79">
                  <c:v>-10.598560193641422</c:v>
                </c:pt>
                <c:pt idx="80">
                  <c:v>-10.740359447763177</c:v>
                </c:pt>
                <c:pt idx="81">
                  <c:v>-10.848338691716151</c:v>
                </c:pt>
                <c:pt idx="82">
                  <c:v>-10.932302255229409</c:v>
                </c:pt>
                <c:pt idx="83">
                  <c:v>-10.998788066448199</c:v>
                </c:pt>
                <c:pt idx="84">
                  <c:v>-11.052276656979911</c:v>
                </c:pt>
                <c:pt idx="85">
                  <c:v>-11.095913991910811</c:v>
                </c:pt>
                <c:pt idx="86">
                  <c:v>-11.131957229251444</c:v>
                </c:pt>
                <c:pt idx="87">
                  <c:v>-11.162057417899923</c:v>
                </c:pt>
                <c:pt idx="88">
                  <c:v>-11.187443380265911</c:v>
                </c:pt>
                <c:pt idx="89">
                  <c:v>-11.209044095287377</c:v>
                </c:pt>
                <c:pt idx="90">
                  <c:v>-11.227571864879504</c:v>
                </c:pt>
                <c:pt idx="91">
                  <c:v>-11.324119131001593</c:v>
                </c:pt>
                <c:pt idx="92">
                  <c:v>-11.358424356996768</c:v>
                </c:pt>
                <c:pt idx="93">
                  <c:v>-11.374395008163143</c:v>
                </c:pt>
                <c:pt idx="94">
                  <c:v>-11.383095109845504</c:v>
                </c:pt>
                <c:pt idx="95">
                  <c:v>-11.388349434239913</c:v>
                </c:pt>
                <c:pt idx="96">
                  <c:v>-11.391763098838565</c:v>
                </c:pt>
                <c:pt idx="97">
                  <c:v>-11.394105047856847</c:v>
                </c:pt>
                <c:pt idx="98">
                  <c:v>-11.395781005516977</c:v>
                </c:pt>
                <c:pt idx="99">
                  <c:v>-11.397021441185109</c:v>
                </c:pt>
                <c:pt idx="100">
                  <c:v>-11.397965131572896</c:v>
                </c:pt>
                <c:pt idx="101">
                  <c:v>-11.398699686549191</c:v>
                </c:pt>
                <c:pt idx="102">
                  <c:v>-11.399282621874669</c:v>
                </c:pt>
                <c:pt idx="103">
                  <c:v>-11.399752961395544</c:v>
                </c:pt>
                <c:pt idx="104">
                  <c:v>-11.400137937746779</c:v>
                </c:pt>
                <c:pt idx="105">
                  <c:v>-11.400457022597797</c:v>
                </c:pt>
                <c:pt idx="106">
                  <c:v>-11.400724436867677</c:v>
                </c:pt>
                <c:pt idx="107">
                  <c:v>-11.400950762421967</c:v>
                </c:pt>
                <c:pt idx="108">
                  <c:v>-11.401144004846932</c:v>
                </c:pt>
                <c:pt idx="109">
                  <c:v>-11.402137880243155</c:v>
                </c:pt>
                <c:pt idx="110">
                  <c:v>-11.402485790387685</c:v>
                </c:pt>
                <c:pt idx="111">
                  <c:v>-11.402646832521736</c:v>
                </c:pt>
                <c:pt idx="112">
                  <c:v>-11.402734314703283</c:v>
                </c:pt>
                <c:pt idx="113">
                  <c:v>-11.402787064551438</c:v>
                </c:pt>
                <c:pt idx="114">
                  <c:v>-11.402821301574637</c:v>
                </c:pt>
                <c:pt idx="115">
                  <c:v>-11.402844774521064</c:v>
                </c:pt>
                <c:pt idx="116">
                  <c:v>-11.402861564659396</c:v>
                </c:pt>
                <c:pt idx="117">
                  <c:v>-11.402873987504819</c:v>
                </c:pt>
                <c:pt idx="118">
                  <c:v>-11.402883436121229</c:v>
                </c:pt>
                <c:pt idx="119">
                  <c:v>-11.402890789380818</c:v>
                </c:pt>
                <c:pt idx="120">
                  <c:v>-11.402896623976124</c:v>
                </c:pt>
                <c:pt idx="121">
                  <c:v>-11.402901331035608</c:v>
                </c:pt>
                <c:pt idx="122">
                  <c:v>-11.402905183422599</c:v>
                </c:pt>
                <c:pt idx="123">
                  <c:v>-11.402908376189306</c:v>
                </c:pt>
                <c:pt idx="124">
                  <c:v>-11.402911051760672</c:v>
                </c:pt>
                <c:pt idx="125">
                  <c:v>-11.402913316097923</c:v>
                </c:pt>
                <c:pt idx="126">
                  <c:v>-11.40291524935326</c:v>
                </c:pt>
              </c:numCache>
            </c:numRef>
          </c:yVal>
          <c:smooth val="0"/>
          <c:extLst>
            <c:ext xmlns:c16="http://schemas.microsoft.com/office/drawing/2014/chart" uri="{C3380CC4-5D6E-409C-BE32-E72D297353CC}">
              <c16:uniqueId val="{00000000-0C0E-4CFD-A6D1-FD0E785314D1}"/>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Bode!$J$11</c:f>
              <c:strCache>
                <c:ptCount val="1"/>
                <c:pt idx="0">
                  <c:v>COMP2VOUT_PHASE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Bode!$J$12:$J$138</c:f>
              <c:numCache>
                <c:formatCode>General</c:formatCode>
                <c:ptCount val="127"/>
                <c:pt idx="0">
                  <c:v>-0.23948034031584831</c:v>
                </c:pt>
                <c:pt idx="1">
                  <c:v>-0.35921780214437304</c:v>
                </c:pt>
                <c:pt idx="2">
                  <c:v>-0.47895201414035715</c:v>
                </c:pt>
                <c:pt idx="3">
                  <c:v>-0.59868189329749522</c:v>
                </c:pt>
                <c:pt idx="4">
                  <c:v>-0.71840635684190113</c:v>
                </c:pt>
                <c:pt idx="5">
                  <c:v>-0.83812432229015521</c:v>
                </c:pt>
                <c:pt idx="6">
                  <c:v>-0.95783470750730193</c:v>
                </c:pt>
                <c:pt idx="7">
                  <c:v>-1.0775364307648185</c:v>
                </c:pt>
                <c:pt idx="8">
                  <c:v>-1.1972284107985414</c:v>
                </c:pt>
                <c:pt idx="9">
                  <c:v>-1.3169095668664454</c:v>
                </c:pt>
                <c:pt idx="10">
                  <c:v>-1.4365788188064943</c:v>
                </c:pt>
                <c:pt idx="11">
                  <c:v>-1.5562350870943062</c:v>
                </c:pt>
                <c:pt idx="12">
                  <c:v>-1.6758772929007379</c:v>
                </c:pt>
                <c:pt idx="13">
                  <c:v>-1.7955043581494523</c:v>
                </c:pt>
                <c:pt idx="14">
                  <c:v>-1.9151152055742662</c:v>
                </c:pt>
                <c:pt idx="15">
                  <c:v>-2.034708758776572</c:v>
                </c:pt>
                <c:pt idx="16">
                  <c:v>-2.1542839422823907</c:v>
                </c:pt>
                <c:pt idx="17">
                  <c:v>-2.273839681599545</c:v>
                </c:pt>
                <c:pt idx="18">
                  <c:v>-2.393374903274581</c:v>
                </c:pt>
                <c:pt idx="19">
                  <c:v>-3.587363345871474</c:v>
                </c:pt>
                <c:pt idx="20">
                  <c:v>-4.7781291034040478</c:v>
                </c:pt>
                <c:pt idx="21">
                  <c:v>-5.9646245942576055</c:v>
                </c:pt>
                <c:pt idx="22">
                  <c:v>-7.145824623684458</c:v>
                </c:pt>
                <c:pt idx="23">
                  <c:v>-8.3207314271431105</c:v>
                </c:pt>
                <c:pt idx="24">
                  <c:v>-9.488379364546093</c:v>
                </c:pt>
                <c:pt idx="25">
                  <c:v>-10.647839214421486</c:v>
                </c:pt>
                <c:pt idx="26">
                  <c:v>-11.798222026047995</c:v>
                </c:pt>
                <c:pt idx="27">
                  <c:v>-12.93868249728464</c:v>
                </c:pt>
                <c:pt idx="28">
                  <c:v>-14.068421855741629</c:v>
                </c:pt>
                <c:pt idx="29">
                  <c:v>-15.186690230833191</c:v>
                </c:pt>
                <c:pt idx="30">
                  <c:v>-16.292788513805622</c:v>
                </c:pt>
                <c:pt idx="31">
                  <c:v>-17.386069711805451</c:v>
                </c:pt>
                <c:pt idx="32">
                  <c:v>-18.46593981021508</c:v>
                </c:pt>
                <c:pt idx="33">
                  <c:v>-19.531858164681243</c:v>
                </c:pt>
                <c:pt idx="34">
                  <c:v>-20.583337450375684</c:v>
                </c:pt>
                <c:pt idx="35">
                  <c:v>-21.619943200997806</c:v>
                </c:pt>
                <c:pt idx="36">
                  <c:v>-22.641292973823784</c:v>
                </c:pt>
                <c:pt idx="37">
                  <c:v>-31.965683742147164</c:v>
                </c:pt>
                <c:pt idx="38">
                  <c:v>-39.660121068352247</c:v>
                </c:pt>
                <c:pt idx="39">
                  <c:v>-45.888517888743976</c:v>
                </c:pt>
                <c:pt idx="40">
                  <c:v>-50.907909291077686</c:v>
                </c:pt>
                <c:pt idx="41">
                  <c:v>-54.96905680335653</c:v>
                </c:pt>
                <c:pt idx="42">
                  <c:v>-58.281503613099204</c:v>
                </c:pt>
                <c:pt idx="43">
                  <c:v>-61.009487451920869</c:v>
                </c:pt>
                <c:pt idx="44">
                  <c:v>-63.278485039747061</c:v>
                </c:pt>
                <c:pt idx="45">
                  <c:v>-65.183688183748927</c:v>
                </c:pt>
                <c:pt idx="46">
                  <c:v>-66.797481832564188</c:v>
                </c:pt>
                <c:pt idx="47">
                  <c:v>-68.17529804499172</c:v>
                </c:pt>
                <c:pt idx="48">
                  <c:v>-69.359984016198368</c:v>
                </c:pt>
                <c:pt idx="49">
                  <c:v>-70.385000606758751</c:v>
                </c:pt>
                <c:pt idx="50">
                  <c:v>-71.276753162439718</c:v>
                </c:pt>
                <c:pt idx="51">
                  <c:v>-72.056294036000793</c:v>
                </c:pt>
                <c:pt idx="52">
                  <c:v>-72.740573895458184</c:v>
                </c:pt>
                <c:pt idx="53">
                  <c:v>-73.343368963875179</c:v>
                </c:pt>
                <c:pt idx="54">
                  <c:v>-73.875974438825892</c:v>
                </c:pt>
                <c:pt idx="55">
                  <c:v>-76.815627149097651</c:v>
                </c:pt>
                <c:pt idx="56">
                  <c:v>-77.630532890281472</c:v>
                </c:pt>
                <c:pt idx="57">
                  <c:v>-77.57612626667742</c:v>
                </c:pt>
                <c:pt idx="58">
                  <c:v>-77.086882575153311</c:v>
                </c:pt>
                <c:pt idx="59">
                  <c:v>-76.352722120475804</c:v>
                </c:pt>
                <c:pt idx="60">
                  <c:v>-75.470077536800403</c:v>
                </c:pt>
                <c:pt idx="61">
                  <c:v>-74.493358115362312</c:v>
                </c:pt>
                <c:pt idx="62">
                  <c:v>-73.455784764749041</c:v>
                </c:pt>
                <c:pt idx="63">
                  <c:v>-72.378930171599762</c:v>
                </c:pt>
                <c:pt idx="64">
                  <c:v>-71.277511627411371</c:v>
                </c:pt>
                <c:pt idx="65">
                  <c:v>-70.161980269081056</c:v>
                </c:pt>
                <c:pt idx="66">
                  <c:v>-69.040004409722329</c:v>
                </c:pt>
                <c:pt idx="67">
                  <c:v>-67.917361701142895</c:v>
                </c:pt>
                <c:pt idx="68">
                  <c:v>-66.798498395739131</c:v>
                </c:pt>
                <c:pt idx="69">
                  <c:v>-65.686892769279794</c:v>
                </c:pt>
                <c:pt idx="70">
                  <c:v>-64.585298963569542</c:v>
                </c:pt>
                <c:pt idx="71">
                  <c:v>-63.495915424096395</c:v>
                </c:pt>
                <c:pt idx="72">
                  <c:v>-62.420504426375125</c:v>
                </c:pt>
                <c:pt idx="73">
                  <c:v>-52.636081028569713</c:v>
                </c:pt>
                <c:pt idx="74">
                  <c:v>-44.749673674001215</c:v>
                </c:pt>
                <c:pt idx="75">
                  <c:v>-38.53521546571087</c:v>
                </c:pt>
                <c:pt idx="76">
                  <c:v>-33.63380605771053</c:v>
                </c:pt>
                <c:pt idx="77">
                  <c:v>-29.727116274251273</c:v>
                </c:pt>
                <c:pt idx="78">
                  <c:v>-26.569528178172529</c:v>
                </c:pt>
                <c:pt idx="79">
                  <c:v>-23.980000945271506</c:v>
                </c:pt>
                <c:pt idx="80">
                  <c:v>-21.826566691555168</c:v>
                </c:pt>
                <c:pt idx="81">
                  <c:v>-20.012666371212269</c:v>
                </c:pt>
                <c:pt idx="82">
                  <c:v>-18.466917404989037</c:v>
                </c:pt>
                <c:pt idx="83">
                  <c:v>-17.135860113880959</c:v>
                </c:pt>
                <c:pt idx="84">
                  <c:v>-15.978902712251864</c:v>
                </c:pt>
                <c:pt idx="85">
                  <c:v>-14.964801033867653</c:v>
                </c:pt>
                <c:pt idx="86">
                  <c:v>-14.069190002306263</c:v>
                </c:pt>
                <c:pt idx="87">
                  <c:v>-13.272834281402663</c:v>
                </c:pt>
                <c:pt idx="88">
                  <c:v>-12.560373469130953</c:v>
                </c:pt>
                <c:pt idx="89">
                  <c:v>-11.919410594399</c:v>
                </c:pt>
                <c:pt idx="90">
                  <c:v>-11.339841628455144</c:v>
                </c:pt>
                <c:pt idx="91">
                  <c:v>-7.6170258222301186</c:v>
                </c:pt>
                <c:pt idx="92">
                  <c:v>-5.7280406047162193</c:v>
                </c:pt>
                <c:pt idx="93">
                  <c:v>-4.5881266617236545</c:v>
                </c:pt>
                <c:pt idx="94">
                  <c:v>-3.826025302479322</c:v>
                </c:pt>
                <c:pt idx="95">
                  <c:v>-3.2807895785708787</c:v>
                </c:pt>
                <c:pt idx="96">
                  <c:v>-2.8714524040034863</c:v>
                </c:pt>
                <c:pt idx="97">
                  <c:v>-2.5528665928387948</c:v>
                </c:pt>
                <c:pt idx="98">
                  <c:v>-2.2978790999646974</c:v>
                </c:pt>
                <c:pt idx="99">
                  <c:v>-2.0891823077260772</c:v>
                </c:pt>
                <c:pt idx="100">
                  <c:v>-1.9152241762533939</c:v>
                </c:pt>
                <c:pt idx="101">
                  <c:v>-1.7680001180973861</c:v>
                </c:pt>
                <c:pt idx="102">
                  <c:v>-1.641788735466172</c:v>
                </c:pt>
                <c:pt idx="103">
                  <c:v>-1.5323921367875792</c:v>
                </c:pt>
                <c:pt idx="104">
                  <c:v>-1.4366605882009593</c:v>
                </c:pt>
                <c:pt idx="105">
                  <c:v>-1.352184654899607</c:v>
                </c:pt>
                <c:pt idx="106">
                  <c:v>-1.2770898113683273</c:v>
                </c:pt>
                <c:pt idx="107">
                  <c:v>-1.2098958271669586</c:v>
                </c:pt>
                <c:pt idx="108">
                  <c:v>-1.1494182880028652</c:v>
                </c:pt>
                <c:pt idx="109">
                  <c:v>-0.76633801407024893</c:v>
                </c:pt>
                <c:pt idx="110">
                  <c:v>-0.57476904172490972</c:v>
                </c:pt>
                <c:pt idx="111">
                  <c:v>-0.4598209847555722</c:v>
                </c:pt>
                <c:pt idx="112">
                  <c:v>-0.38318675755576403</c:v>
                </c:pt>
                <c:pt idx="113">
                  <c:v>-0.32844713783187141</c:v>
                </c:pt>
                <c:pt idx="114">
                  <c:v>-0.28739200981336205</c:v>
                </c:pt>
                <c:pt idx="115">
                  <c:v>-0.25546003000686818</c:v>
                </c:pt>
                <c:pt idx="116">
                  <c:v>-0.22991432682730731</c:v>
                </c:pt>
                <c:pt idx="117">
                  <c:v>-0.20901322605629977</c:v>
                </c:pt>
                <c:pt idx="118">
                  <c:v>-0.19159559782155067</c:v>
                </c:pt>
                <c:pt idx="119">
                  <c:v>-0.17685757591773651</c:v>
                </c:pt>
                <c:pt idx="120">
                  <c:v>-0.16422496634392214</c:v>
                </c:pt>
                <c:pt idx="121">
                  <c:v>-0.15327669129034921</c:v>
                </c:pt>
                <c:pt idx="122">
                  <c:v>-0.1436969410797943</c:v>
                </c:pt>
                <c:pt idx="123">
                  <c:v>-0.13524421337704434</c:v>
                </c:pt>
                <c:pt idx="124">
                  <c:v>-0.12773067251039869</c:v>
                </c:pt>
                <c:pt idx="125">
                  <c:v>-0.12100802681739349</c:v>
                </c:pt>
                <c:pt idx="126">
                  <c:v>-0.1149576427376211</c:v>
                </c:pt>
              </c:numCache>
            </c:numRef>
          </c:yVal>
          <c:smooth val="0"/>
          <c:extLst>
            <c:ext xmlns:c16="http://schemas.microsoft.com/office/drawing/2014/chart" uri="{C3380CC4-5D6E-409C-BE32-E72D297353CC}">
              <c16:uniqueId val="{00000001-0C0E-4CFD-A6D1-FD0E785314D1}"/>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zh-TW"/>
          </a:p>
        </c:txPr>
        <c:crossAx val="80978688"/>
        <c:crossesAt val="-40"/>
        <c:crossBetween val="midCat"/>
        <c:majorUnit val="10"/>
        <c:minorUnit val="10"/>
      </c:valAx>
      <c:valAx>
        <c:axId val="80978688"/>
        <c:scaling>
          <c:orientation val="minMax"/>
          <c:max val="30"/>
          <c:min val="-3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zh-TW"/>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zh-TW"/>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zh-TW"/>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VOUT2FB</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Bode!$N$11</c:f>
              <c:strCache>
                <c:ptCount val="1"/>
                <c:pt idx="0">
                  <c:v>VOUT2FB_GAIN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Bode!$N$12:$N$138</c:f>
              <c:numCache>
                <c:formatCode>General</c:formatCode>
                <c:ptCount val="127"/>
                <c:pt idx="0">
                  <c:v>-23.521825180938446</c:v>
                </c:pt>
                <c:pt idx="1">
                  <c:v>-23.521825180719489</c:v>
                </c:pt>
                <c:pt idx="2">
                  <c:v>-23.521825180413039</c:v>
                </c:pt>
                <c:pt idx="3">
                  <c:v>-23.521825180018901</c:v>
                </c:pt>
                <c:pt idx="4">
                  <c:v>-23.521825179537213</c:v>
                </c:pt>
                <c:pt idx="5">
                  <c:v>-23.521825178967994</c:v>
                </c:pt>
                <c:pt idx="6">
                  <c:v>-23.521825178311136</c:v>
                </c:pt>
                <c:pt idx="7">
                  <c:v>-23.521825177566772</c:v>
                </c:pt>
                <c:pt idx="8">
                  <c:v>-23.521825176734737</c:v>
                </c:pt>
                <c:pt idx="9">
                  <c:v>-23.521825175815195</c:v>
                </c:pt>
                <c:pt idx="10">
                  <c:v>-23.521825174808029</c:v>
                </c:pt>
                <c:pt idx="11">
                  <c:v>-23.521825173713271</c:v>
                </c:pt>
                <c:pt idx="12">
                  <c:v>-23.521825172530967</c:v>
                </c:pt>
                <c:pt idx="13">
                  <c:v>-23.521825171261092</c:v>
                </c:pt>
                <c:pt idx="14">
                  <c:v>-23.521825169903625</c:v>
                </c:pt>
                <c:pt idx="15">
                  <c:v>-23.521825168458598</c:v>
                </c:pt>
                <c:pt idx="16">
                  <c:v>-23.521825166925968</c:v>
                </c:pt>
                <c:pt idx="17">
                  <c:v>-23.521825165305842</c:v>
                </c:pt>
                <c:pt idx="18">
                  <c:v>-23.521825163598059</c:v>
                </c:pt>
                <c:pt idx="19">
                  <c:v>-23.521825141703594</c:v>
                </c:pt>
                <c:pt idx="20">
                  <c:v>-23.521825111051321</c:v>
                </c:pt>
                <c:pt idx="21">
                  <c:v>-23.521825071641189</c:v>
                </c:pt>
                <c:pt idx="22">
                  <c:v>-23.521825023473326</c:v>
                </c:pt>
                <c:pt idx="23">
                  <c:v>-23.521824966547641</c:v>
                </c:pt>
                <c:pt idx="24">
                  <c:v>-23.521824900864257</c:v>
                </c:pt>
                <c:pt idx="25">
                  <c:v>-23.521824826423014</c:v>
                </c:pt>
                <c:pt idx="26">
                  <c:v>-23.521824743223959</c:v>
                </c:pt>
                <c:pt idx="27">
                  <c:v>-23.521824651267135</c:v>
                </c:pt>
                <c:pt idx="28">
                  <c:v>-23.521824550552463</c:v>
                </c:pt>
                <c:pt idx="29">
                  <c:v>-23.521824441080071</c:v>
                </c:pt>
                <c:pt idx="30">
                  <c:v>-23.521824322849852</c:v>
                </c:pt>
                <c:pt idx="31">
                  <c:v>-23.521824195861857</c:v>
                </c:pt>
                <c:pt idx="32">
                  <c:v>-23.521824060116035</c:v>
                </c:pt>
                <c:pt idx="33">
                  <c:v>-23.521823915612536</c:v>
                </c:pt>
                <c:pt idx="34">
                  <c:v>-23.521823762351115</c:v>
                </c:pt>
                <c:pt idx="35">
                  <c:v>-23.521823600332024</c:v>
                </c:pt>
                <c:pt idx="36">
                  <c:v>-23.52182342955507</c:v>
                </c:pt>
                <c:pt idx="37">
                  <c:v>-23.521821240108025</c:v>
                </c:pt>
                <c:pt idx="38">
                  <c:v>-23.52181817488411</c:v>
                </c:pt>
                <c:pt idx="39">
                  <c:v>-23.521814233885358</c:v>
                </c:pt>
                <c:pt idx="40">
                  <c:v>-23.521809417114497</c:v>
                </c:pt>
                <c:pt idx="41">
                  <c:v>-23.521803724574568</c:v>
                </c:pt>
                <c:pt idx="42">
                  <c:v>-23.521797156269393</c:v>
                </c:pt>
                <c:pt idx="43">
                  <c:v>-23.521789712203251</c:v>
                </c:pt>
                <c:pt idx="44">
                  <c:v>-23.521781392381016</c:v>
                </c:pt>
                <c:pt idx="45">
                  <c:v>-23.521772196808215</c:v>
                </c:pt>
                <c:pt idx="46">
                  <c:v>-23.521762125490984</c:v>
                </c:pt>
                <c:pt idx="47">
                  <c:v>-23.521751178435842</c:v>
                </c:pt>
                <c:pt idx="48">
                  <c:v>-23.521739355650027</c:v>
                </c:pt>
                <c:pt idx="49">
                  <c:v>-23.521726657141343</c:v>
                </c:pt>
                <c:pt idx="50">
                  <c:v>-23.521713082918208</c:v>
                </c:pt>
                <c:pt idx="51">
                  <c:v>-23.521698632989501</c:v>
                </c:pt>
                <c:pt idx="52">
                  <c:v>-23.521683307364732</c:v>
                </c:pt>
                <c:pt idx="53">
                  <c:v>-23.521667106054043</c:v>
                </c:pt>
                <c:pt idx="54">
                  <c:v>-23.521650029068102</c:v>
                </c:pt>
                <c:pt idx="55">
                  <c:v>-23.521431099829297</c:v>
                </c:pt>
                <c:pt idx="56">
                  <c:v>-23.521124619086521</c:v>
                </c:pt>
                <c:pt idx="57">
                  <c:v>-23.520730607026277</c:v>
                </c:pt>
                <c:pt idx="58">
                  <c:v>-23.520249089595332</c:v>
                </c:pt>
                <c:pt idx="59">
                  <c:v>-23.519680098495172</c:v>
                </c:pt>
                <c:pt idx="60">
                  <c:v>-23.519023671175376</c:v>
                </c:pt>
                <c:pt idx="61">
                  <c:v>-23.518279850825927</c:v>
                </c:pt>
                <c:pt idx="62">
                  <c:v>-23.517448686367764</c:v>
                </c:pt>
                <c:pt idx="63">
                  <c:v>-23.516530232442612</c:v>
                </c:pt>
                <c:pt idx="64">
                  <c:v>-23.51552454940181</c:v>
                </c:pt>
                <c:pt idx="65">
                  <c:v>-23.514431703293166</c:v>
                </c:pt>
                <c:pt idx="66">
                  <c:v>-23.513251765847365</c:v>
                </c:pt>
                <c:pt idx="67">
                  <c:v>-23.511984814462746</c:v>
                </c:pt>
                <c:pt idx="68">
                  <c:v>-23.510630932189333</c:v>
                </c:pt>
                <c:pt idx="69">
                  <c:v>-23.509190207711331</c:v>
                </c:pt>
                <c:pt idx="70">
                  <c:v>-23.507662735328484</c:v>
                </c:pt>
                <c:pt idx="71">
                  <c:v>-23.506048614936446</c:v>
                </c:pt>
                <c:pt idx="72">
                  <c:v>-23.50434795200616</c:v>
                </c:pt>
                <c:pt idx="73">
                  <c:v>-23.482608625588529</c:v>
                </c:pt>
                <c:pt idx="74">
                  <c:v>-23.452371472410132</c:v>
                </c:pt>
                <c:pt idx="75">
                  <c:v>-23.413829494510956</c:v>
                </c:pt>
                <c:pt idx="76">
                  <c:v>-23.367224070427287</c:v>
                </c:pt>
                <c:pt idx="77">
                  <c:v>-23.312840273748439</c:v>
                </c:pt>
                <c:pt idx="78">
                  <c:v>-23.251001554013936</c:v>
                </c:pt>
                <c:pt idx="79">
                  <c:v>-23.182063977118048</c:v>
                </c:pt>
                <c:pt idx="80">
                  <c:v>-23.106410224267535</c:v>
                </c:pt>
                <c:pt idx="81">
                  <c:v>-23.024443539723759</c:v>
                </c:pt>
                <c:pt idx="82">
                  <c:v>-22.936581799886184</c:v>
                </c:pt>
                <c:pt idx="83">
                  <c:v>-22.843251852040957</c:v>
                </c:pt>
                <c:pt idx="84">
                  <c:v>-22.744884242779932</c:v>
                </c:pt>
                <c:pt idx="85">
                  <c:v>-22.641908426085784</c:v>
                </c:pt>
                <c:pt idx="86">
                  <c:v>-22.534748511468475</c:v>
                </c:pt>
                <c:pt idx="87">
                  <c:v>-22.423819585003642</c:v>
                </c:pt>
                <c:pt idx="88">
                  <c:v>-22.309524611854421</c:v>
                </c:pt>
                <c:pt idx="89">
                  <c:v>-22.192251908569954</c:v>
                </c:pt>
                <c:pt idx="90">
                  <c:v>-22.072373157438317</c:v>
                </c:pt>
                <c:pt idx="91">
                  <c:v>-20.798348241104808</c:v>
                </c:pt>
                <c:pt idx="92">
                  <c:v>-19.533723124763192</c:v>
                </c:pt>
                <c:pt idx="93">
                  <c:v>-18.381691922777126</c:v>
                </c:pt>
                <c:pt idx="94">
                  <c:v>-17.368749385267563</c:v>
                </c:pt>
                <c:pt idx="95">
                  <c:v>-16.490800449672054</c:v>
                </c:pt>
                <c:pt idx="96">
                  <c:v>-15.733754011321102</c:v>
                </c:pt>
                <c:pt idx="97">
                  <c:v>-15.081559789062929</c:v>
                </c:pt>
                <c:pt idx="98">
                  <c:v>-14.519083480553881</c:v>
                </c:pt>
                <c:pt idx="99">
                  <c:v>-14.032977278429708</c:v>
                </c:pt>
                <c:pt idx="100">
                  <c:v>-13.611797177226599</c:v>
                </c:pt>
                <c:pt idx="101">
                  <c:v>-13.245854964512754</c:v>
                </c:pt>
                <c:pt idx="102">
                  <c:v>-12.926994010508661</c:v>
                </c:pt>
                <c:pt idx="103">
                  <c:v>-12.648360633547025</c:v>
                </c:pt>
                <c:pt idx="104">
                  <c:v>-12.40419635830909</c:v>
                </c:pt>
                <c:pt idx="105">
                  <c:v>-12.189657984688731</c:v>
                </c:pt>
                <c:pt idx="106">
                  <c:v>-12.000665266446365</c:v>
                </c:pt>
                <c:pt idx="107">
                  <c:v>-11.833773464863011</c:v>
                </c:pt>
                <c:pt idx="108">
                  <c:v>-11.686067372192381</c:v>
                </c:pt>
                <c:pt idx="109">
                  <c:v>-10.863318064080898</c:v>
                </c:pt>
                <c:pt idx="110">
                  <c:v>-10.608166771528932</c:v>
                </c:pt>
                <c:pt idx="111">
                  <c:v>-10.572851827102404</c:v>
                </c:pt>
                <c:pt idx="112">
                  <c:v>-10.646368910711413</c:v>
                </c:pt>
                <c:pt idx="113">
                  <c:v>-10.784020303194183</c:v>
                </c:pt>
                <c:pt idx="114">
                  <c:v>-10.963998532195767</c:v>
                </c:pt>
                <c:pt idx="115">
                  <c:v>-11.173820865173321</c:v>
                </c:pt>
                <c:pt idx="116">
                  <c:v>-11.405381422408453</c:v>
                </c:pt>
                <c:pt idx="117">
                  <c:v>-11.652915495070566</c:v>
                </c:pt>
                <c:pt idx="118">
                  <c:v>-11.912072026023422</c:v>
                </c:pt>
                <c:pt idx="119">
                  <c:v>-12.179447882002751</c:v>
                </c:pt>
                <c:pt idx="120">
                  <c:v>-12.452329275250161</c:v>
                </c:pt>
                <c:pt idx="121">
                  <c:v>-12.728532580557237</c:v>
                </c:pt>
                <c:pt idx="122">
                  <c:v>-13.006296388533247</c:v>
                </c:pt>
                <c:pt idx="123">
                  <c:v>-13.284202276572914</c:v>
                </c:pt>
                <c:pt idx="124">
                  <c:v>-13.561113289125192</c:v>
                </c:pt>
                <c:pt idx="125">
                  <c:v>-13.836124446465607</c:v>
                </c:pt>
                <c:pt idx="126">
                  <c:v>-14.108522128237869</c:v>
                </c:pt>
              </c:numCache>
            </c:numRef>
          </c:yVal>
          <c:smooth val="0"/>
          <c:extLst>
            <c:ext xmlns:c16="http://schemas.microsoft.com/office/drawing/2014/chart" uri="{C3380CC4-5D6E-409C-BE32-E72D297353CC}">
              <c16:uniqueId val="{00000000-B44D-4CB2-9395-347B32D1D3C6}"/>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Bode!$O$11</c:f>
              <c:strCache>
                <c:ptCount val="1"/>
                <c:pt idx="0">
                  <c:v>VOUT2FB_PHASE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Bode!$O$12:$O$138</c:f>
              <c:numCache>
                <c:formatCode>General</c:formatCode>
                <c:ptCount val="127"/>
                <c:pt idx="0">
                  <c:v>2.8799999999482451E-4</c:v>
                </c:pt>
                <c:pt idx="1">
                  <c:v>4.3199999998253354E-4</c:v>
                </c:pt>
                <c:pt idx="2">
                  <c:v>5.7599999995858338E-4</c:v>
                </c:pt>
                <c:pt idx="3">
                  <c:v>7.1999999991911119E-4</c:v>
                </c:pt>
                <c:pt idx="4">
                  <c:v>8.6399999986022636E-4</c:v>
                </c:pt>
                <c:pt idx="5">
                  <c:v>1.0079999997780439E-3</c:v>
                </c:pt>
                <c:pt idx="6">
                  <c:v>1.1519999996686897E-3</c:v>
                </c:pt>
                <c:pt idx="7">
                  <c:v>1.2959999995282698E-3</c:v>
                </c:pt>
                <c:pt idx="8">
                  <c:v>1.439999999352919E-3</c:v>
                </c:pt>
                <c:pt idx="9">
                  <c:v>1.5839999991387244E-3</c:v>
                </c:pt>
                <c:pt idx="10">
                  <c:v>1.7279999988818278E-3</c:v>
                </c:pt>
                <c:pt idx="11">
                  <c:v>1.8719999985783557E-3</c:v>
                </c:pt>
                <c:pt idx="12">
                  <c:v>2.015999998224393E-3</c:v>
                </c:pt>
                <c:pt idx="13">
                  <c:v>2.1599999978160812E-3</c:v>
                </c:pt>
                <c:pt idx="14">
                  <c:v>2.3039999973495273E-3</c:v>
                </c:pt>
                <c:pt idx="15">
                  <c:v>2.4479999968208665E-3</c:v>
                </c:pt>
                <c:pt idx="16">
                  <c:v>2.5919999962261968E-3</c:v>
                </c:pt>
                <c:pt idx="17">
                  <c:v>2.7359999955616156E-3</c:v>
                </c:pt>
                <c:pt idx="18">
                  <c:v>2.8799999948232831E-3</c:v>
                </c:pt>
                <c:pt idx="19">
                  <c:v>4.3199999825286224E-3</c:v>
                </c:pt>
                <c:pt idx="20">
                  <c:v>5.7599999585863301E-3</c:v>
                </c:pt>
                <c:pt idx="21">
                  <c:v>7.1999999191140135E-3</c:v>
                </c:pt>
                <c:pt idx="22">
                  <c:v>8.6399998602289876E-3</c:v>
                </c:pt>
                <c:pt idx="23">
                  <c:v>1.0079999778048847E-2</c:v>
                </c:pt>
                <c:pt idx="24">
                  <c:v>1.1519999668690878E-2</c:v>
                </c:pt>
                <c:pt idx="25">
                  <c:v>1.2959999528272788E-2</c:v>
                </c:pt>
                <c:pt idx="26">
                  <c:v>1.4399999352911943E-2</c:v>
                </c:pt>
                <c:pt idx="27">
                  <c:v>1.5839999138725889E-2</c:v>
                </c:pt>
                <c:pt idx="28">
                  <c:v>1.7279998881831977E-2</c:v>
                </c:pt>
                <c:pt idx="29">
                  <c:v>1.8719998578347677E-2</c:v>
                </c:pt>
                <c:pt idx="30">
                  <c:v>2.0159998224390675E-2</c:v>
                </c:pt>
                <c:pt idx="31">
                  <c:v>2.159999781607817E-2</c:v>
                </c:pt>
                <c:pt idx="32">
                  <c:v>2.3039997349528007E-2</c:v>
                </c:pt>
                <c:pt idx="33">
                  <c:v>2.4479996820856966E-2</c:v>
                </c:pt>
                <c:pt idx="34">
                  <c:v>2.5919996226183503E-2</c:v>
                </c:pt>
                <c:pt idx="35">
                  <c:v>2.7359995561624346E-2</c:v>
                </c:pt>
                <c:pt idx="36">
                  <c:v>2.8799994823297141E-2</c:v>
                </c:pt>
                <c:pt idx="37">
                  <c:v>4.3199982528633205E-2</c:v>
                </c:pt>
                <c:pt idx="38">
                  <c:v>5.7599958586408394E-2</c:v>
                </c:pt>
                <c:pt idx="39">
                  <c:v>7.1999919114125885E-2</c:v>
                </c:pt>
                <c:pt idx="40">
                  <c:v>8.6399860229306819E-2</c:v>
                </c:pt>
                <c:pt idx="41">
                  <c:v>0.10079977804949947</c:v>
                </c:pt>
                <c:pt idx="42">
                  <c:v>0.11519966869228139</c:v>
                </c:pt>
                <c:pt idx="43">
                  <c:v>0.12959952827526378</c:v>
                </c:pt>
                <c:pt idx="44">
                  <c:v>0.14399935291609695</c:v>
                </c:pt>
                <c:pt idx="45">
                  <c:v>0.15839913873247932</c:v>
                </c:pt>
                <c:pt idx="46">
                  <c:v>0.17279888184215123</c:v>
                </c:pt>
                <c:pt idx="47">
                  <c:v>0.18719857836291495</c:v>
                </c:pt>
                <c:pt idx="48">
                  <c:v>0.20159822441263217</c:v>
                </c:pt>
                <c:pt idx="49">
                  <c:v>0.21599781610922239</c:v>
                </c:pt>
                <c:pt idx="50">
                  <c:v>0.23039734957067978</c:v>
                </c:pt>
                <c:pt idx="51">
                  <c:v>0.24479682091507091</c:v>
                </c:pt>
                <c:pt idx="52">
                  <c:v>0.25919622626054267</c:v>
                </c:pt>
                <c:pt idx="53">
                  <c:v>0.27359556172532457</c:v>
                </c:pt>
                <c:pt idx="54">
                  <c:v>0.28799482342773236</c:v>
                </c:pt>
                <c:pt idx="55">
                  <c:v>0.43198252962518829</c:v>
                </c:pt>
                <c:pt idx="56">
                  <c:v>0.57595859058807508</c:v>
                </c:pt>
                <c:pt idx="57">
                  <c:v>0.71991912687960635</c:v>
                </c:pt>
                <c:pt idx="58">
                  <c:v>0.86386026104041247</c:v>
                </c:pt>
                <c:pt idx="59">
                  <c:v>1.0077781180816869</c:v>
                </c:pt>
                <c:pt idx="60">
                  <c:v>1.1516688259776608</c:v>
                </c:pt>
                <c:pt idx="61">
                  <c:v>1.2955285161569616</c:v>
                </c:pt>
                <c:pt idx="62">
                  <c:v>1.4393533239930985</c:v>
                </c:pt>
                <c:pt idx="63">
                  <c:v>1.5831393892935539</c:v>
                </c:pt>
                <c:pt idx="64">
                  <c:v>1.7268828567874497</c:v>
                </c:pt>
                <c:pt idx="65">
                  <c:v>1.8705798766118558</c:v>
                </c:pt>
                <c:pt idx="66">
                  <c:v>2.0142266047962214</c:v>
                </c:pt>
                <c:pt idx="67">
                  <c:v>2.1578192037450132</c:v>
                </c:pt>
                <c:pt idx="68">
                  <c:v>2.301353842718374</c:v>
                </c:pt>
                <c:pt idx="69">
                  <c:v>2.4448266983105369</c:v>
                </c:pt>
                <c:pt idx="70">
                  <c:v>2.5882339549261828</c:v>
                </c:pt>
                <c:pt idx="71">
                  <c:v>2.7315718052540592</c:v>
                </c:pt>
                <c:pt idx="72">
                  <c:v>2.874836450738179</c:v>
                </c:pt>
                <c:pt idx="73">
                  <c:v>4.3026281456484545</c:v>
                </c:pt>
                <c:pt idx="74">
                  <c:v>5.719003573344958</c:v>
                </c:pt>
                <c:pt idx="75">
                  <c:v>7.1203787699747254</c:v>
                </c:pt>
                <c:pt idx="76">
                  <c:v>8.5033508811195126</c:v>
                </c:pt>
                <c:pt idx="77">
                  <c:v>9.8647331279137269</c:v>
                </c:pt>
                <c:pt idx="78">
                  <c:v>11.201583741533964</c:v>
                </c:pt>
                <c:pt idx="79">
                  <c:v>12.511228405848746</c:v>
                </c:pt>
                <c:pt idx="80">
                  <c:v>13.791276047083974</c:v>
                </c:pt>
                <c:pt idx="81">
                  <c:v>15.039628087645951</c:v>
                </c:pt>
                <c:pt idx="82">
                  <c:v>16.2544815226568</c:v>
                </c:pt>
                <c:pt idx="83">
                  <c:v>17.434326371393471</c:v>
                </c:pt>
                <c:pt idx="84">
                  <c:v>18.577938196199749</c:v>
                </c:pt>
                <c:pt idx="85">
                  <c:v>19.684366468105249</c:v>
                </c:pt>
                <c:pt idx="86">
                  <c:v>20.752919595024231</c:v>
                </c:pt>
                <c:pt idx="87">
                  <c:v>21.783147421684887</c:v>
                </c:pt>
                <c:pt idx="88">
                  <c:v>22.7748219688213</c:v>
                </c:pt>
                <c:pt idx="89">
                  <c:v>23.727917111744809</c:v>
                </c:pt>
                <c:pt idx="90">
                  <c:v>24.642587814098572</c:v>
                </c:pt>
                <c:pt idx="91">
                  <c:v>31.800528110154641</c:v>
                </c:pt>
                <c:pt idx="92">
                  <c:v>35.96314333191691</c:v>
                </c:pt>
                <c:pt idx="93">
                  <c:v>38.050097886606935</c:v>
                </c:pt>
                <c:pt idx="94">
                  <c:v>38.771407236524617</c:v>
                </c:pt>
                <c:pt idx="95">
                  <c:v>38.60724524797191</c:v>
                </c:pt>
                <c:pt idx="96">
                  <c:v>37.872535535636374</c:v>
                </c:pt>
                <c:pt idx="97">
                  <c:v>36.77422355803138</c:v>
                </c:pt>
                <c:pt idx="98">
                  <c:v>35.449782968316327</c:v>
                </c:pt>
                <c:pt idx="99">
                  <c:v>33.991528922458457</c:v>
                </c:pt>
                <c:pt idx="100">
                  <c:v>32.461904393565888</c:v>
                </c:pt>
                <c:pt idx="101">
                  <c:v>30.903242085069177</c:v>
                </c:pt>
                <c:pt idx="102">
                  <c:v>29.344133218247265</c:v>
                </c:pt>
                <c:pt idx="103">
                  <c:v>27.803672085475295</c:v>
                </c:pt>
                <c:pt idx="104">
                  <c:v>26.294338564606221</c:v>
                </c:pt>
                <c:pt idx="105">
                  <c:v>24.823986241555943</c:v>
                </c:pt>
                <c:pt idx="106">
                  <c:v>23.397230468877261</c:v>
                </c:pt>
                <c:pt idx="107">
                  <c:v>22.016426405250854</c:v>
                </c:pt>
                <c:pt idx="108">
                  <c:v>20.682362666573621</c:v>
                </c:pt>
                <c:pt idx="109">
                  <c:v>9.6395408938302811</c:v>
                </c:pt>
                <c:pt idx="110">
                  <c:v>1.5453250094042574</c:v>
                </c:pt>
                <c:pt idx="111">
                  <c:v>-4.8672613738530819</c:v>
                </c:pt>
                <c:pt idx="112">
                  <c:v>-10.249237435655182</c:v>
                </c:pt>
                <c:pt idx="113">
                  <c:v>-14.934575442922968</c:v>
                </c:pt>
                <c:pt idx="114">
                  <c:v>-19.106821924079782</c:v>
                </c:pt>
                <c:pt idx="115">
                  <c:v>-22.874923292871166</c:v>
                </c:pt>
                <c:pt idx="116">
                  <c:v>-26.308695266595194</c:v>
                </c:pt>
                <c:pt idx="117">
                  <c:v>-29.456305072843346</c:v>
                </c:pt>
                <c:pt idx="118">
                  <c:v>-32.353312800292478</c:v>
                </c:pt>
                <c:pt idx="119">
                  <c:v>-35.027537943981365</c:v>
                </c:pt>
                <c:pt idx="120">
                  <c:v>-37.501768618313207</c:v>
                </c:pt>
                <c:pt idx="121">
                  <c:v>-39.795317486654071</c:v>
                </c:pt>
                <c:pt idx="122">
                  <c:v>-41.924945202777096</c:v>
                </c:pt>
                <c:pt idx="123">
                  <c:v>-43.905430108237937</c:v>
                </c:pt>
                <c:pt idx="124">
                  <c:v>-45.749936772767619</c:v>
                </c:pt>
                <c:pt idx="125">
                  <c:v>-47.470268191564408</c:v>
                </c:pt>
                <c:pt idx="126">
                  <c:v>-49.077049249252198</c:v>
                </c:pt>
              </c:numCache>
            </c:numRef>
          </c:yVal>
          <c:smooth val="0"/>
          <c:extLst>
            <c:ext xmlns:c16="http://schemas.microsoft.com/office/drawing/2014/chart" uri="{C3380CC4-5D6E-409C-BE32-E72D297353CC}">
              <c16:uniqueId val="{00000001-B44D-4CB2-9395-347B32D1D3C6}"/>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zh-TW"/>
          </a:p>
        </c:txPr>
        <c:crossAx val="80978688"/>
        <c:crossesAt val="-40"/>
        <c:crossBetween val="midCat"/>
        <c:majorUnit val="10"/>
        <c:minorUnit val="10"/>
      </c:valAx>
      <c:valAx>
        <c:axId val="80978688"/>
        <c:scaling>
          <c:orientation val="minMax"/>
          <c:max val="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zh-TW"/>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zh-TW"/>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zh-TW"/>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FB2COMP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Bode!$V$11</c:f>
              <c:strCache>
                <c:ptCount val="1"/>
                <c:pt idx="0">
                  <c:v>FB2COMP_GAIN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Bode!$V$12:$V$138</c:f>
              <c:numCache>
                <c:formatCode>General</c:formatCode>
                <c:ptCount val="127"/>
                <c:pt idx="0">
                  <c:v>70.528121538029481</c:v>
                </c:pt>
                <c:pt idx="1">
                  <c:v>67.009027097658077</c:v>
                </c:pt>
                <c:pt idx="2">
                  <c:v>64.511213941943581</c:v>
                </c:pt>
                <c:pt idx="3">
                  <c:v>62.5734647640651</c:v>
                </c:pt>
                <c:pt idx="4">
                  <c:v>60.990091195033138</c:v>
                </c:pt>
                <c:pt idx="5">
                  <c:v>59.651313531002693</c:v>
                </c:pt>
                <c:pt idx="6">
                  <c:v>58.491583991628545</c:v>
                </c:pt>
                <c:pt idx="7">
                  <c:v>57.46861547260054</c:v>
                </c:pt>
                <c:pt idx="8">
                  <c:v>56.553531318057324</c:v>
                </c:pt>
                <c:pt idx="9">
                  <c:v>55.725733351080635</c:v>
                </c:pt>
                <c:pt idx="10">
                  <c:v>54.970011771005474</c:v>
                </c:pt>
                <c:pt idx="11">
                  <c:v>54.274815596343558</c:v>
                </c:pt>
                <c:pt idx="12">
                  <c:v>53.63116577446749</c:v>
                </c:pt>
                <c:pt idx="13">
                  <c:v>53.031944120597515</c:v>
                </c:pt>
                <c:pt idx="14">
                  <c:v>52.471412179013576</c:v>
                </c:pt>
                <c:pt idx="15">
                  <c:v>51.944876186852504</c:v>
                </c:pt>
                <c:pt idx="16">
                  <c:v>51.448447937230178</c:v>
                </c:pt>
                <c:pt idx="17">
                  <c:v>50.978870378388798</c:v>
                </c:pt>
                <c:pt idx="18">
                  <c:v>50.533387995448741</c:v>
                </c:pt>
                <c:pt idx="19">
                  <c:v>47.012105531671665</c:v>
                </c:pt>
                <c:pt idx="20">
                  <c:v>44.51406185926232</c:v>
                </c:pt>
                <c:pt idx="21">
                  <c:v>42.576793500891853</c:v>
                </c:pt>
                <c:pt idx="22">
                  <c:v>40.994304301469811</c:v>
                </c:pt>
                <c:pt idx="23">
                  <c:v>39.656708954459873</c:v>
                </c:pt>
                <c:pt idx="24">
                  <c:v>38.498415439353757</c:v>
                </c:pt>
                <c:pt idx="25">
                  <c:v>37.477115386986974</c:v>
                </c:pt>
                <c:pt idx="26">
                  <c:v>36.563920808206248</c:v>
                </c:pt>
                <c:pt idx="27">
                  <c:v>35.738226959778949</c:v>
                </c:pt>
                <c:pt idx="28">
                  <c:v>34.984819951490017</c:v>
                </c:pt>
                <c:pt idx="29">
                  <c:v>34.29214608037541</c:v>
                </c:pt>
                <c:pt idx="30">
                  <c:v>33.651224364722026</c:v>
                </c:pt>
                <c:pt idx="31">
                  <c:v>33.054935166482878</c:v>
                </c:pt>
                <c:pt idx="32">
                  <c:v>32.497538869877467</c:v>
                </c:pt>
                <c:pt idx="33">
                  <c:v>31.97434073550469</c:v>
                </c:pt>
                <c:pt idx="34">
                  <c:v>31.481451695266628</c:v>
                </c:pt>
                <c:pt idx="35">
                  <c:v>31.015613907833206</c:v>
                </c:pt>
                <c:pt idx="36">
                  <c:v>30.574071111684312</c:v>
                </c:pt>
                <c:pt idx="37">
                  <c:v>27.103015138456676</c:v>
                </c:pt>
                <c:pt idx="38">
                  <c:v>24.674334329394547</c:v>
                </c:pt>
                <c:pt idx="39">
                  <c:v>22.824623470895908</c:v>
                </c:pt>
                <c:pt idx="40">
                  <c:v>21.34675918293286</c:v>
                </c:pt>
                <c:pt idx="41">
                  <c:v>20.129580247231655</c:v>
                </c:pt>
                <c:pt idx="42">
                  <c:v>19.106114501611994</c:v>
                </c:pt>
                <c:pt idx="43">
                  <c:v>18.232613369048451</c:v>
                </c:pt>
                <c:pt idx="44">
                  <c:v>17.478729276776637</c:v>
                </c:pt>
                <c:pt idx="45">
                  <c:v>16.822413892959609</c:v>
                </c:pt>
                <c:pt idx="46">
                  <c:v>16.247054809591365</c:v>
                </c:pt>
                <c:pt idx="47">
                  <c:v>15.739767376185764</c:v>
                </c:pt>
                <c:pt idx="48">
                  <c:v>15.290323405187729</c:v>
                </c:pt>
                <c:pt idx="49">
                  <c:v>14.89045024868545</c:v>
                </c:pt>
                <c:pt idx="50">
                  <c:v>14.533355033962694</c:v>
                </c:pt>
                <c:pt idx="51">
                  <c:v>14.213391079038518</c:v>
                </c:pt>
                <c:pt idx="52">
                  <c:v>13.925817143456154</c:v>
                </c:pt>
                <c:pt idx="53">
                  <c:v>13.666619150409415</c:v>
                </c:pt>
                <c:pt idx="54">
                  <c:v>13.432375125683365</c:v>
                </c:pt>
                <c:pt idx="55">
                  <c:v>11.975379226001836</c:v>
                </c:pt>
                <c:pt idx="56">
                  <c:v>11.322479431075079</c:v>
                </c:pt>
                <c:pt idx="57">
                  <c:v>10.983105893533269</c:v>
                </c:pt>
                <c:pt idx="58">
                  <c:v>10.786573009632681</c:v>
                </c:pt>
                <c:pt idx="59">
                  <c:v>10.663167346862446</c:v>
                </c:pt>
                <c:pt idx="60">
                  <c:v>10.580675000966078</c:v>
                </c:pt>
                <c:pt idx="61">
                  <c:v>10.522702853563196</c:v>
                </c:pt>
                <c:pt idx="62">
                  <c:v>10.480245559113035</c:v>
                </c:pt>
                <c:pt idx="63">
                  <c:v>10.448041326673106</c:v>
                </c:pt>
                <c:pt idx="64">
                  <c:v>10.42285614532593</c:v>
                </c:pt>
                <c:pt idx="65">
                  <c:v>10.402616776442677</c:v>
                </c:pt>
                <c:pt idx="66">
                  <c:v>10.385945990672511</c:v>
                </c:pt>
                <c:pt idx="67">
                  <c:v>10.371900674852213</c:v>
                </c:pt>
                <c:pt idx="68">
                  <c:v>10.359817818010303</c:v>
                </c:pt>
                <c:pt idx="69">
                  <c:v>10.349220535021153</c:v>
                </c:pt>
                <c:pt idx="70">
                  <c:v>10.339758849255574</c:v>
                </c:pt>
                <c:pt idx="71">
                  <c:v>10.331171307300524</c:v>
                </c:pt>
                <c:pt idx="72">
                  <c:v>10.323259465864165</c:v>
                </c:pt>
                <c:pt idx="73">
                  <c:v>10.259355956811348</c:v>
                </c:pt>
                <c:pt idx="74">
                  <c:v>10.196644657780084</c:v>
                </c:pt>
                <c:pt idx="75">
                  <c:v>10.123830005303558</c:v>
                </c:pt>
                <c:pt idx="76">
                  <c:v>10.038416476831602</c:v>
                </c:pt>
                <c:pt idx="77">
                  <c:v>9.9398679255115354</c:v>
                </c:pt>
                <c:pt idx="78">
                  <c:v>9.8282845133988381</c:v>
                </c:pt>
                <c:pt idx="79">
                  <c:v>9.7040344148203488</c:v>
                </c:pt>
                <c:pt idx="80">
                  <c:v>9.5676222312569799</c:v>
                </c:pt>
                <c:pt idx="81">
                  <c:v>9.419631171359887</c:v>
                </c:pt>
                <c:pt idx="82">
                  <c:v>9.2606923993194172</c:v>
                </c:pt>
                <c:pt idx="83">
                  <c:v>9.0914659075658477</c:v>
                </c:pt>
                <c:pt idx="84">
                  <c:v>8.9126270080131622</c:v>
                </c:pt>
                <c:pt idx="85">
                  <c:v>8.7248560009510747</c:v>
                </c:pt>
                <c:pt idx="86">
                  <c:v>8.5288299300599206</c:v>
                </c:pt>
                <c:pt idx="87">
                  <c:v>8.3252158919792727</c:v>
                </c:pt>
                <c:pt idx="88">
                  <c:v>8.1146656107069806</c:v>
                </c:pt>
                <c:pt idx="89">
                  <c:v>7.8978110936854931</c:v>
                </c:pt>
                <c:pt idx="90">
                  <c:v>7.6752612338077517</c:v>
                </c:pt>
                <c:pt idx="91">
                  <c:v>5.2506842515674856</c:v>
                </c:pt>
                <c:pt idx="92">
                  <c:v>2.7215472757451797</c:v>
                </c:pt>
                <c:pt idx="93">
                  <c:v>0.28929208449265842</c:v>
                </c:pt>
                <c:pt idx="94">
                  <c:v>-1.9741165869332336</c:v>
                </c:pt>
                <c:pt idx="95">
                  <c:v>-4.0549580773566243</c:v>
                </c:pt>
                <c:pt idx="96">
                  <c:v>-5.962478070348225</c:v>
                </c:pt>
                <c:pt idx="97">
                  <c:v>-7.7134551203855253</c:v>
                </c:pt>
                <c:pt idx="98">
                  <c:v>-9.3258686040892904</c:v>
                </c:pt>
                <c:pt idx="99">
                  <c:v>-10.816500312076451</c:v>
                </c:pt>
                <c:pt idx="100">
                  <c:v>-12.20018782555452</c:v>
                </c:pt>
                <c:pt idx="101">
                  <c:v>-13.489746599285207</c:v>
                </c:pt>
                <c:pt idx="102">
                  <c:v>-14.696141073415973</c:v>
                </c:pt>
                <c:pt idx="103">
                  <c:v>-15.828728237009337</c:v>
                </c:pt>
                <c:pt idx="104">
                  <c:v>-16.895502202795626</c:v>
                </c:pt>
                <c:pt idx="105">
                  <c:v>-17.903313724817711</c:v>
                </c:pt>
                <c:pt idx="106">
                  <c:v>-18.858057835634551</c:v>
                </c:pt>
                <c:pt idx="107">
                  <c:v>-19.764830543162059</c:v>
                </c:pt>
                <c:pt idx="108">
                  <c:v>-20.62805827084653</c:v>
                </c:pt>
                <c:pt idx="109">
                  <c:v>-27.527052439623532</c:v>
                </c:pt>
                <c:pt idx="110">
                  <c:v>-32.473346017606175</c:v>
                </c:pt>
                <c:pt idx="111">
                  <c:v>-36.325910274425411</c:v>
                </c:pt>
                <c:pt idx="112">
                  <c:v>-39.480182051123805</c:v>
                </c:pt>
                <c:pt idx="113">
                  <c:v>-42.150218034551571</c:v>
                </c:pt>
                <c:pt idx="114">
                  <c:v>-44.464806175435271</c:v>
                </c:pt>
                <c:pt idx="115">
                  <c:v>-46.50741568370443</c:v>
                </c:pt>
                <c:pt idx="116">
                  <c:v>-48.335216995608725</c:v>
                </c:pt>
                <c:pt idx="117">
                  <c:v>-49.989075429689095</c:v>
                </c:pt>
                <c:pt idx="118">
                  <c:v>-51.499211282518651</c:v>
                </c:pt>
                <c:pt idx="119">
                  <c:v>-52.888600708685502</c:v>
                </c:pt>
                <c:pt idx="120">
                  <c:v>-54.175119226851265</c:v>
                </c:pt>
                <c:pt idx="121">
                  <c:v>-55.372947175830461</c:v>
                </c:pt>
                <c:pt idx="122">
                  <c:v>-56.493522368107975</c:v>
                </c:pt>
                <c:pt idx="123">
                  <c:v>-57.546204374247864</c:v>
                </c:pt>
                <c:pt idx="124">
                  <c:v>-58.538749191905282</c:v>
                </c:pt>
                <c:pt idx="125">
                  <c:v>-59.477655733228893</c:v>
                </c:pt>
                <c:pt idx="126">
                  <c:v>-60.368423535357785</c:v>
                </c:pt>
              </c:numCache>
            </c:numRef>
          </c:yVal>
          <c:smooth val="0"/>
          <c:extLst>
            <c:ext xmlns:c16="http://schemas.microsoft.com/office/drawing/2014/chart" uri="{C3380CC4-5D6E-409C-BE32-E72D297353CC}">
              <c16:uniqueId val="{00000000-3335-4498-BFBC-B05620B268D3}"/>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Bode!$W$11</c:f>
              <c:strCache>
                <c:ptCount val="1"/>
                <c:pt idx="0">
                  <c:v>FB2COMP_PHASE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Bode!$W$12:$W$138</c:f>
              <c:numCache>
                <c:formatCode>General</c:formatCode>
                <c:ptCount val="127"/>
                <c:pt idx="0">
                  <c:v>-88.01906446299752</c:v>
                </c:pt>
                <c:pt idx="1">
                  <c:v>-88.633149057112959</c:v>
                </c:pt>
                <c:pt idx="2">
                  <c:v>-88.926532868590101</c:v>
                </c:pt>
                <c:pt idx="3">
                  <c:v>-89.091561976976763</c:v>
                </c:pt>
                <c:pt idx="4">
                  <c:v>-89.192398458487602</c:v>
                </c:pt>
                <c:pt idx="5">
                  <c:v>-89.256548981317323</c:v>
                </c:pt>
                <c:pt idx="6">
                  <c:v>-89.297769178326746</c:v>
                </c:pt>
                <c:pt idx="7">
                  <c:v>-89.323701837148704</c:v>
                </c:pt>
                <c:pt idx="8">
                  <c:v>-89.338932933188687</c:v>
                </c:pt>
                <c:pt idx="9">
                  <c:v>-89.346380949482494</c:v>
                </c:pt>
                <c:pt idx="10">
                  <c:v>-89.347991608172023</c:v>
                </c:pt>
                <c:pt idx="11">
                  <c:v>-89.34511198383224</c:v>
                </c:pt>
                <c:pt idx="12">
                  <c:v>-89.338704293887005</c:v>
                </c:pt>
                <c:pt idx="13">
                  <c:v>-89.329474178018401</c:v>
                </c:pt>
                <c:pt idx="14">
                  <c:v>-89.317950875298095</c:v>
                </c:pt>
                <c:pt idx="15">
                  <c:v>-89.304539104788901</c:v>
                </c:pt>
                <c:pt idx="16">
                  <c:v>-89.289553653300729</c:v>
                </c:pt>
                <c:pt idx="17">
                  <c:v>-89.273243041082495</c:v>
                </c:pt>
                <c:pt idx="18">
                  <c:v>-89.255806088029942</c:v>
                </c:pt>
                <c:pt idx="19">
                  <c:v>-89.044275526327525</c:v>
                </c:pt>
                <c:pt idx="20">
                  <c:v>-88.800676404611252</c:v>
                </c:pt>
                <c:pt idx="21">
                  <c:v>-88.544286868919613</c:v>
                </c:pt>
                <c:pt idx="22">
                  <c:v>-88.281541821754942</c:v>
                </c:pt>
                <c:pt idx="23">
                  <c:v>-88.015206621479749</c:v>
                </c:pt>
                <c:pt idx="24">
                  <c:v>-87.746670526638738</c:v>
                </c:pt>
                <c:pt idx="25">
                  <c:v>-87.476711178328088</c:v>
                </c:pt>
                <c:pt idx="26">
                  <c:v>-87.205800391687475</c:v>
                </c:pt>
                <c:pt idx="27">
                  <c:v>-86.934243150249429</c:v>
                </c:pt>
                <c:pt idx="28">
                  <c:v>-86.662247101369118</c:v>
                </c:pt>
                <c:pt idx="29">
                  <c:v>-86.38995997520658</c:v>
                </c:pt>
                <c:pt idx="30">
                  <c:v>-86.117490965486539</c:v>
                </c:pt>
                <c:pt idx="31">
                  <c:v>-85.844923556550526</c:v>
                </c:pt>
                <c:pt idx="32">
                  <c:v>-85.572323538961641</c:v>
                </c:pt>
                <c:pt idx="33">
                  <c:v>-85.299744194861873</c:v>
                </c:pt>
                <c:pt idx="34">
                  <c:v>-85.027229753748998</c:v>
                </c:pt>
                <c:pt idx="35">
                  <c:v>-84.754817755903829</c:v>
                </c:pt>
                <c:pt idx="36">
                  <c:v>-84.482540705805647</c:v>
                </c:pt>
                <c:pt idx="37">
                  <c:v>-81.772394644657311</c:v>
                </c:pt>
                <c:pt idx="38">
                  <c:v>-79.097076586519918</c:v>
                </c:pt>
                <c:pt idx="39">
                  <c:v>-76.469586788747478</c:v>
                </c:pt>
                <c:pt idx="40">
                  <c:v>-73.900401580777157</c:v>
                </c:pt>
                <c:pt idx="41">
                  <c:v>-71.39823254008391</c:v>
                </c:pt>
                <c:pt idx="42">
                  <c:v>-68.970172608004717</c:v>
                </c:pt>
                <c:pt idx="43">
                  <c:v>-66.621759342704252</c:v>
                </c:pt>
                <c:pt idx="44">
                  <c:v>-64.357052460133957</c:v>
                </c:pt>
                <c:pt idx="45">
                  <c:v>-62.178742044322213</c:v>
                </c:pt>
                <c:pt idx="46">
                  <c:v>-60.088283345280338</c:v>
                </c:pt>
                <c:pt idx="47">
                  <c:v>-58.086048664945146</c:v>
                </c:pt>
                <c:pt idx="48">
                  <c:v>-56.171486347049516</c:v>
                </c:pt>
                <c:pt idx="49">
                  <c:v>-54.343278272963801</c:v>
                </c:pt>
                <c:pt idx="50">
                  <c:v>-52.599489301293964</c:v>
                </c:pt>
                <c:pt idx="51">
                  <c:v>-50.937704188942639</c:v>
                </c:pt>
                <c:pt idx="52">
                  <c:v>-49.355149403257819</c:v>
                </c:pt>
                <c:pt idx="53">
                  <c:v>-47.848798751835993</c:v>
                </c:pt>
                <c:pt idx="54">
                  <c:v>-46.415462890707452</c:v>
                </c:pt>
                <c:pt idx="55">
                  <c:v>-35.391749660997561</c:v>
                </c:pt>
                <c:pt idx="56">
                  <c:v>-28.516301295056394</c:v>
                </c:pt>
                <c:pt idx="57">
                  <c:v>-24.010466928015042</c:v>
                </c:pt>
                <c:pt idx="58">
                  <c:v>-20.91663441607977</c:v>
                </c:pt>
                <c:pt idx="59">
                  <c:v>-18.712791053310127</c:v>
                </c:pt>
                <c:pt idx="60">
                  <c:v>-17.099599235551548</c:v>
                </c:pt>
                <c:pt idx="61">
                  <c:v>-15.895951059760991</c:v>
                </c:pt>
                <c:pt idx="62">
                  <c:v>-14.986844461397565</c:v>
                </c:pt>
                <c:pt idx="63">
                  <c:v>-14.296141709933305</c:v>
                </c:pt>
                <c:pt idx="64">
                  <c:v>-13.771604497002119</c:v>
                </c:pt>
                <c:pt idx="65">
                  <c:v>-13.376280550693677</c:v>
                </c:pt>
                <c:pt idx="66">
                  <c:v>-13.083334442458137</c:v>
                </c:pt>
                <c:pt idx="67">
                  <c:v>-12.872828694175714</c:v>
                </c:pt>
                <c:pt idx="68">
                  <c:v>-12.729653082351577</c:v>
                </c:pt>
                <c:pt idx="69">
                  <c:v>-12.642153780403534</c:v>
                </c:pt>
                <c:pt idx="70">
                  <c:v>-12.601202440107583</c:v>
                </c:pt>
                <c:pt idx="71">
                  <c:v>-12.599549557522884</c:v>
                </c:pt>
                <c:pt idx="72">
                  <c:v>-12.631366126858728</c:v>
                </c:pt>
                <c:pt idx="73">
                  <c:v>-14.056605958167918</c:v>
                </c:pt>
                <c:pt idx="74">
                  <c:v>-16.432089350496831</c:v>
                </c:pt>
                <c:pt idx="75">
                  <c:v>-19.172622491165715</c:v>
                </c:pt>
                <c:pt idx="76">
                  <c:v>-22.078183997610296</c:v>
                </c:pt>
                <c:pt idx="77">
                  <c:v>-25.059937048405153</c:v>
                </c:pt>
                <c:pt idx="78">
                  <c:v>-28.071143287578149</c:v>
                </c:pt>
                <c:pt idx="79">
                  <c:v>-31.084058320646108</c:v>
                </c:pt>
                <c:pt idx="80">
                  <c:v>-34.080679074408408</c:v>
                </c:pt>
                <c:pt idx="81">
                  <c:v>-37.048535230149184</c:v>
                </c:pt>
                <c:pt idx="82">
                  <c:v>-39.978580601624444</c:v>
                </c:pt>
                <c:pt idx="83">
                  <c:v>-42.864050625513585</c:v>
                </c:pt>
                <c:pt idx="84">
                  <c:v>-45.699800129018918</c:v>
                </c:pt>
                <c:pt idx="85">
                  <c:v>-48.481895148407254</c:v>
                </c:pt>
                <c:pt idx="86">
                  <c:v>-51.207346256101246</c:v>
                </c:pt>
                <c:pt idx="87">
                  <c:v>-53.873924347453759</c:v>
                </c:pt>
                <c:pt idx="88">
                  <c:v>-56.480026535793428</c:v>
                </c:pt>
                <c:pt idx="89">
                  <c:v>-59.024573788971459</c:v>
                </c:pt>
                <c:pt idx="90">
                  <c:v>-61.506929562105249</c:v>
                </c:pt>
                <c:pt idx="91">
                  <c:v>-82.977618737815618</c:v>
                </c:pt>
                <c:pt idx="92">
                  <c:v>-99.108821165023741</c:v>
                </c:pt>
                <c:pt idx="93">
                  <c:v>-111.23949746831924</c:v>
                </c:pt>
                <c:pt idx="94">
                  <c:v>-120.50924058261731</c:v>
                </c:pt>
                <c:pt idx="95">
                  <c:v>-127.73842849930625</c:v>
                </c:pt>
                <c:pt idx="96">
                  <c:v>-133.49217560365938</c:v>
                </c:pt>
                <c:pt idx="97">
                  <c:v>-138.15846248466568</c:v>
                </c:pt>
                <c:pt idx="98">
                  <c:v>-142.00690537951471</c:v>
                </c:pt>
                <c:pt idx="99">
                  <c:v>-145.22823160266285</c:v>
                </c:pt>
                <c:pt idx="100">
                  <c:v>-147.95999619055979</c:v>
                </c:pt>
                <c:pt idx="101">
                  <c:v>-150.30331401707502</c:v>
                </c:pt>
                <c:pt idx="102">
                  <c:v>-152.33386374937231</c:v>
                </c:pt>
                <c:pt idx="103">
                  <c:v>-154.10923908554719</c:v>
                </c:pt>
                <c:pt idx="104">
                  <c:v>-155.67394620615633</c:v>
                </c:pt>
                <c:pt idx="105">
                  <c:v>-157.06286166827894</c:v>
                </c:pt>
                <c:pt idx="106">
                  <c:v>-158.30366644464374</c:v>
                </c:pt>
                <c:pt idx="107">
                  <c:v>-159.41858743204631</c:v>
                </c:pt>
                <c:pt idx="108">
                  <c:v>-160.42566269944882</c:v>
                </c:pt>
                <c:pt idx="109">
                  <c:v>-166.8740206488261</c:v>
                </c:pt>
                <c:pt idx="110">
                  <c:v>-170.13515153328029</c:v>
                </c:pt>
                <c:pt idx="111">
                  <c:v>-172.10054035685209</c:v>
                </c:pt>
                <c:pt idx="112">
                  <c:v>-173.41367824369297</c:v>
                </c:pt>
                <c:pt idx="113">
                  <c:v>-174.35280334123303</c:v>
                </c:pt>
                <c:pt idx="114">
                  <c:v>-175.05769379457266</c:v>
                </c:pt>
                <c:pt idx="115">
                  <c:v>-175.6062248392146</c:v>
                </c:pt>
                <c:pt idx="116">
                  <c:v>-176.04520790593727</c:v>
                </c:pt>
                <c:pt idx="117">
                  <c:v>-176.40446993808595</c:v>
                </c:pt>
                <c:pt idx="118">
                  <c:v>-176.70391371812826</c:v>
                </c:pt>
                <c:pt idx="119">
                  <c:v>-176.95732744650846</c:v>
                </c:pt>
                <c:pt idx="120">
                  <c:v>-177.17456494491083</c:v>
                </c:pt>
                <c:pt idx="121">
                  <c:v>-177.36285527819669</c:v>
                </c:pt>
                <c:pt idx="122">
                  <c:v>-177.5276219959226</c:v>
                </c:pt>
                <c:pt idx="123">
                  <c:v>-177.67301360299953</c:v>
                </c:pt>
                <c:pt idx="124">
                  <c:v>-177.80225740743023</c:v>
                </c:pt>
                <c:pt idx="125">
                  <c:v>-177.91790173901055</c:v>
                </c:pt>
                <c:pt idx="126">
                  <c:v>-178.02198556762889</c:v>
                </c:pt>
              </c:numCache>
            </c:numRef>
          </c:yVal>
          <c:smooth val="0"/>
          <c:extLst>
            <c:ext xmlns:c16="http://schemas.microsoft.com/office/drawing/2014/chart" uri="{C3380CC4-5D6E-409C-BE32-E72D297353CC}">
              <c16:uniqueId val="{00000001-3335-4498-BFBC-B05620B268D3}"/>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zh-TW"/>
          </a:p>
        </c:txPr>
        <c:crossAx val="80978688"/>
        <c:crossesAt val="-40"/>
        <c:crossBetween val="midCat"/>
        <c:majorUnit val="10"/>
        <c:minorUnit val="10"/>
      </c:valAx>
      <c:valAx>
        <c:axId val="80978688"/>
        <c:scaling>
          <c:orientation val="minMax"/>
          <c:max val="10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zh-TW"/>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zh-TW"/>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zh-TW"/>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POWER STAGE</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Bode!$AA$11</c:f>
              <c:strCache>
                <c:ptCount val="1"/>
                <c:pt idx="0">
                  <c:v>POWERSTAGE_GAIN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Bode!$AA$12:$AA$138</c:f>
              <c:numCache>
                <c:formatCode>_(* #,##0.00_);_(* \(#,##0.00\);_(* "-"??_);_(@_)</c:formatCode>
                <c:ptCount val="127"/>
                <c:pt idx="0">
                  <c:v>27.271836214613543</c:v>
                </c:pt>
                <c:pt idx="1">
                  <c:v>27.271739130973078</c:v>
                </c:pt>
                <c:pt idx="2">
                  <c:v>27.271603217522596</c:v>
                </c:pt>
                <c:pt idx="3">
                  <c:v>27.271428477907701</c:v>
                </c:pt>
                <c:pt idx="4">
                  <c:v>27.271214916815239</c:v>
                </c:pt>
                <c:pt idx="5">
                  <c:v>27.270962539972654</c:v>
                </c:pt>
                <c:pt idx="6">
                  <c:v>27.270671354147503</c:v>
                </c:pt>
                <c:pt idx="7">
                  <c:v>27.270341367146916</c:v>
                </c:pt>
                <c:pt idx="8">
                  <c:v>27.269972587816813</c:v>
                </c:pt>
                <c:pt idx="9">
                  <c:v>27.269565026041281</c:v>
                </c:pt>
                <c:pt idx="10">
                  <c:v>27.269118692741404</c:v>
                </c:pt>
                <c:pt idx="11">
                  <c:v>27.268633599874587</c:v>
                </c:pt>
                <c:pt idx="12">
                  <c:v>27.268109760433358</c:v>
                </c:pt>
                <c:pt idx="13">
                  <c:v>27.267547188444091</c:v>
                </c:pt>
                <c:pt idx="14">
                  <c:v>27.266945898966085</c:v>
                </c:pt>
                <c:pt idx="15">
                  <c:v>27.266305908089745</c:v>
                </c:pt>
                <c:pt idx="16">
                  <c:v>27.265627232935682</c:v>
                </c:pt>
                <c:pt idx="17">
                  <c:v>27.264909891652739</c:v>
                </c:pt>
                <c:pt idx="18">
                  <c:v>27.264153903416666</c:v>
                </c:pt>
                <c:pt idx="19">
                  <c:v>27.254473387769497</c:v>
                </c:pt>
                <c:pt idx="20">
                  <c:v>27.240956816997311</c:v>
                </c:pt>
                <c:pt idx="21">
                  <c:v>27.223639957943266</c:v>
                </c:pt>
                <c:pt idx="22">
                  <c:v>27.202568255549483</c:v>
                </c:pt>
                <c:pt idx="23">
                  <c:v>27.177796440813232</c:v>
                </c:pt>
                <c:pt idx="24">
                  <c:v>27.14938806631713</c:v>
                </c:pt>
                <c:pt idx="25">
                  <c:v>27.117414977435754</c:v>
                </c:pt>
                <c:pt idx="26">
                  <c:v>27.08195672818735</c:v>
                </c:pt>
                <c:pt idx="27">
                  <c:v>27.043099951316542</c:v>
                </c:pt>
                <c:pt idx="28">
                  <c:v>27.00093769255157</c:v>
                </c:pt>
                <c:pt idx="29">
                  <c:v>26.955568719085143</c:v>
                </c:pt>
                <c:pt idx="30">
                  <c:v>26.907096812193959</c:v>
                </c:pt>
                <c:pt idx="31">
                  <c:v>26.855630053560919</c:v>
                </c:pt>
                <c:pt idx="32">
                  <c:v>26.801280114321923</c:v>
                </c:pt>
                <c:pt idx="33">
                  <c:v>26.744161555159952</c:v>
                </c:pt>
                <c:pt idx="34">
                  <c:v>26.684391144945902</c:v>
                </c:pt>
                <c:pt idx="35">
                  <c:v>26.622087204512169</c:v>
                </c:pt>
                <c:pt idx="36">
                  <c:v>26.557368981180314</c:v>
                </c:pt>
                <c:pt idx="37">
                  <c:v>25.803240602978093</c:v>
                </c:pt>
                <c:pt idx="38">
                  <c:v>24.928398283539316</c:v>
                </c:pt>
                <c:pt idx="39">
                  <c:v>24.013239590857541</c:v>
                </c:pt>
                <c:pt idx="40">
                  <c:v>23.106362355251967</c:v>
                </c:pt>
                <c:pt idx="41">
                  <c:v>22.233114723435609</c:v>
                </c:pt>
                <c:pt idx="42">
                  <c:v>21.40467830216086</c:v>
                </c:pt>
                <c:pt idx="43">
                  <c:v>20.624418630699459</c:v>
                </c:pt>
                <c:pt idx="44">
                  <c:v>19.891688625039336</c:v>
                </c:pt>
                <c:pt idx="45">
                  <c:v>19.203946146720956</c:v>
                </c:pt>
                <c:pt idx="46">
                  <c:v>18.55788460669628</c:v>
                </c:pt>
                <c:pt idx="47">
                  <c:v>17.950015979416527</c:v>
                </c:pt>
                <c:pt idx="48">
                  <c:v>17.376957838424634</c:v>
                </c:pt>
                <c:pt idx="49">
                  <c:v>16.835563014534671</c:v>
                </c:pt>
                <c:pt idx="50">
                  <c:v>16.322967003496636</c:v>
                </c:pt>
                <c:pt idx="51">
                  <c:v>15.83659356128555</c:v>
                </c:pt>
                <c:pt idx="52">
                  <c:v>15.374140141827203</c:v>
                </c:pt>
                <c:pt idx="53">
                  <c:v>14.93355467500041</c:v>
                </c:pt>
                <c:pt idx="54">
                  <c:v>14.513009684445821</c:v>
                </c:pt>
                <c:pt idx="55">
                  <c:v>11.123533370025346</c:v>
                </c:pt>
                <c:pt idx="56">
                  <c:v>8.6747852879740091</c:v>
                </c:pt>
                <c:pt idx="57">
                  <c:v>6.7629125275785142</c:v>
                </c:pt>
                <c:pt idx="58">
                  <c:v>5.1967681752534505</c:v>
                </c:pt>
                <c:pt idx="59">
                  <c:v>3.8715873874175708</c:v>
                </c:pt>
                <c:pt idx="60">
                  <c:v>2.7239010686460219</c:v>
                </c:pt>
                <c:pt idx="61">
                  <c:v>1.712389392313397</c:v>
                </c:pt>
                <c:pt idx="62">
                  <c:v>0.80865736402143473</c:v>
                </c:pt>
                <c:pt idx="63">
                  <c:v>-7.6476024121016895E-3</c:v>
                </c:pt>
                <c:pt idx="64">
                  <c:v>-0.75161430169620924</c:v>
                </c:pt>
                <c:pt idx="65">
                  <c:v>-1.4347427901653098</c:v>
                </c:pt>
                <c:pt idx="66">
                  <c:v>-2.0660025661497277</c:v>
                </c:pt>
                <c:pt idx="67">
                  <c:v>-2.6525275090800506</c:v>
                </c:pt>
                <c:pt idx="68">
                  <c:v>-3.2000874413610645</c:v>
                </c:pt>
                <c:pt idx="69">
                  <c:v>-3.7134171841081121</c:v>
                </c:pt>
                <c:pt idx="70">
                  <c:v>-4.1964517912255168</c:v>
                </c:pt>
                <c:pt idx="71">
                  <c:v>-4.6524983053211058</c:v>
                </c:pt>
                <c:pt idx="72">
                  <c:v>-5.0843635275719876</c:v>
                </c:pt>
                <c:pt idx="73">
                  <c:v>-8.4751229674394466</c:v>
                </c:pt>
                <c:pt idx="74">
                  <c:v>-10.875933531456885</c:v>
                </c:pt>
                <c:pt idx="75">
                  <c:v>-12.762981001595278</c:v>
                </c:pt>
                <c:pt idx="76">
                  <c:v>-14.341004117051121</c:v>
                </c:pt>
                <c:pt idx="77">
                  <c:v>-15.713502627231101</c:v>
                </c:pt>
                <c:pt idx="78">
                  <c:v>-16.939163380686097</c:v>
                </c:pt>
                <c:pt idx="79">
                  <c:v>-18.054318504496514</c:v>
                </c:pt>
                <c:pt idx="80">
                  <c:v>-19.083010457918306</c:v>
                </c:pt>
                <c:pt idx="81">
                  <c:v>-20.041964896335855</c:v>
                </c:pt>
                <c:pt idx="82">
                  <c:v>-20.943265976538108</c:v>
                </c:pt>
                <c:pt idx="83">
                  <c:v>-21.795904772345406</c:v>
                </c:pt>
                <c:pt idx="84">
                  <c:v>-22.606731596479641</c:v>
                </c:pt>
                <c:pt idx="85">
                  <c:v>-23.381071178179837</c:v>
                </c:pt>
                <c:pt idx="86">
                  <c:v>-24.123135841433104</c:v>
                </c:pt>
                <c:pt idx="87">
                  <c:v>-24.836311652464651</c:v>
                </c:pt>
                <c:pt idx="88">
                  <c:v>-25.523361432728745</c:v>
                </c:pt>
                <c:pt idx="89">
                  <c:v>-26.186571574906033</c:v>
                </c:pt>
                <c:pt idx="90">
                  <c:v>-26.827859867964321</c:v>
                </c:pt>
                <c:pt idx="91">
                  <c:v>-32.308755855262802</c:v>
                </c:pt>
                <c:pt idx="92">
                  <c:v>-36.59901967016232</c:v>
                </c:pt>
                <c:pt idx="93">
                  <c:v>-40.105791572895427</c:v>
                </c:pt>
                <c:pt idx="94">
                  <c:v>-43.058607462815637</c:v>
                </c:pt>
                <c:pt idx="95">
                  <c:v>-45.602002904263976</c:v>
                </c:pt>
                <c:pt idx="96">
                  <c:v>-47.832171963476931</c:v>
                </c:pt>
                <c:pt idx="97">
                  <c:v>-49.815847216667585</c:v>
                </c:pt>
                <c:pt idx="98">
                  <c:v>-51.600949774939224</c:v>
                </c:pt>
                <c:pt idx="99">
                  <c:v>-53.22291790322835</c:v>
                </c:pt>
                <c:pt idx="100">
                  <c:v>-54.708626115702586</c:v>
                </c:pt>
                <c:pt idx="101">
                  <c:v>-56.078900739712736</c:v>
                </c:pt>
                <c:pt idx="102">
                  <c:v>-57.350186639976243</c:v>
                </c:pt>
                <c:pt idx="103">
                  <c:v>-58.535683063530399</c:v>
                </c:pt>
                <c:pt idx="104">
                  <c:v>-59.646137307225288</c:v>
                </c:pt>
                <c:pt idx="105">
                  <c:v>-60.690411781888848</c:v>
                </c:pt>
                <c:pt idx="106">
                  <c:v>-61.675897312945999</c:v>
                </c:pt>
                <c:pt idx="107">
                  <c:v>-62.608819791368262</c:v>
                </c:pt>
                <c:pt idx="108">
                  <c:v>-63.494471375177596</c:v>
                </c:pt>
                <c:pt idx="109">
                  <c:v>-70.510226477926807</c:v>
                </c:pt>
                <c:pt idx="110">
                  <c:v>-75.497971029849609</c:v>
                </c:pt>
                <c:pt idx="111">
                  <c:v>-79.369825931909546</c:v>
                </c:pt>
                <c:pt idx="112">
                  <c:v>-82.534604596048638</c:v>
                </c:pt>
                <c:pt idx="113">
                  <c:v>-85.210985473699267</c:v>
                </c:pt>
                <c:pt idx="114">
                  <c:v>-87.529695558199265</c:v>
                </c:pt>
                <c:pt idx="115">
                  <c:v>-89.575132817316018</c:v>
                </c:pt>
                <c:pt idx="116">
                  <c:v>-91.404957681934917</c:v>
                </c:pt>
                <c:pt idx="117">
                  <c:v>-93.060313788481039</c:v>
                </c:pt>
                <c:pt idx="118">
                  <c:v>-94.571589013139914</c:v>
                </c:pt>
                <c:pt idx="119">
                  <c:v>-95.961865299447823</c:v>
                </c:pt>
                <c:pt idx="120">
                  <c:v>-97.249087614253014</c:v>
                </c:pt>
                <c:pt idx="121">
                  <c:v>-98.44748341512188</c:v>
                </c:pt>
                <c:pt idx="122">
                  <c:v>-99.568523395548425</c:v>
                </c:pt>
                <c:pt idx="123">
                  <c:v>-100.62159063606295</c:v>
                </c:pt>
                <c:pt idx="124">
                  <c:v>-101.61445830434837</c:v>
                </c:pt>
                <c:pt idx="125">
                  <c:v>-102.5536380887341</c:v>
                </c:pt>
                <c:pt idx="126">
                  <c:v>-103.44463919194276</c:v>
                </c:pt>
              </c:numCache>
            </c:numRef>
          </c:yVal>
          <c:smooth val="0"/>
          <c:extLst>
            <c:ext xmlns:c16="http://schemas.microsoft.com/office/drawing/2014/chart" uri="{C3380CC4-5D6E-409C-BE32-E72D297353CC}">
              <c16:uniqueId val="{00000000-55D2-4FEE-BB76-5018E39DA72B}"/>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Bode!$AB$11</c:f>
              <c:strCache>
                <c:ptCount val="1"/>
                <c:pt idx="0">
                  <c:v>POWERSTAGE_PHASE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Bode!$AB$12:$AB$138</c:f>
              <c:numCache>
                <c:formatCode>_(* #,##0.00_);_(* \(#,##0.00\);_(* "-"??_);_(@_)</c:formatCode>
                <c:ptCount val="127"/>
                <c:pt idx="0">
                  <c:v>-0.242474571083551</c:v>
                </c:pt>
                <c:pt idx="1">
                  <c:v>-0.36370914829306195</c:v>
                </c:pt>
                <c:pt idx="2">
                  <c:v>-0.48494047566659404</c:v>
                </c:pt>
                <c:pt idx="3">
                  <c:v>-0.60616747019669592</c:v>
                </c:pt>
                <c:pt idx="4">
                  <c:v>-0.72738904910833535</c:v>
                </c:pt>
                <c:pt idx="5">
                  <c:v>-0.84860412991694656</c:v>
                </c:pt>
                <c:pt idx="6">
                  <c:v>-0.96981163048642804</c:v>
                </c:pt>
                <c:pt idx="7">
                  <c:v>-1.091010469087111</c:v>
                </c:pt>
                <c:pt idx="8">
                  <c:v>-1.2121995644536856</c:v>
                </c:pt>
                <c:pt idx="9">
                  <c:v>-1.3333778358429809</c:v>
                </c:pt>
                <c:pt idx="10">
                  <c:v>-1.4545442030918143</c:v>
                </c:pt>
                <c:pt idx="11">
                  <c:v>-1.5756975866746581</c:v>
                </c:pt>
                <c:pt idx="12">
                  <c:v>-1.6968369077612229</c:v>
                </c:pt>
                <c:pt idx="13">
                  <c:v>-1.8179610882740256</c:v>
                </c:pt>
                <c:pt idx="14">
                  <c:v>-1.9390690509457369</c:v>
                </c:pt>
                <c:pt idx="15">
                  <c:v>-2.0601597193766032</c:v>
                </c:pt>
                <c:pt idx="16">
                  <c:v>-2.1812320180914995</c:v>
                </c:pt>
                <c:pt idx="17">
                  <c:v>-2.3022848725971023</c:v>
                </c:pt>
                <c:pt idx="18">
                  <c:v>-2.423317209438812</c:v>
                </c:pt>
                <c:pt idx="19">
                  <c:v>-3.6322768022526768</c:v>
                </c:pt>
                <c:pt idx="20">
                  <c:v>-4.8380137065640518</c:v>
                </c:pt>
                <c:pt idx="21">
                  <c:v>-6.0394803396121874</c:v>
                </c:pt>
                <c:pt idx="22">
                  <c:v>-7.2356515055033412</c:v>
                </c:pt>
                <c:pt idx="23">
                  <c:v>-8.4255294385499706</c:v>
                </c:pt>
                <c:pt idx="24">
                  <c:v>-9.6081484975185631</c:v>
                </c:pt>
                <c:pt idx="25">
                  <c:v>-10.782579459791158</c:v>
                </c:pt>
                <c:pt idx="26">
                  <c:v>-11.947933373500424</c:v>
                </c:pt>
                <c:pt idx="27">
                  <c:v>-13.103364935359354</c:v>
                </c:pt>
                <c:pt idx="28">
                  <c:v>-14.248075371832133</c:v>
                </c:pt>
                <c:pt idx="29">
                  <c:v>-15.381314811186972</c:v>
                </c:pt>
                <c:pt idx="30">
                  <c:v>-16.502384143524157</c:v>
                </c:pt>
                <c:pt idx="31">
                  <c:v>-17.610636374844223</c:v>
                </c:pt>
                <c:pt idx="32">
                  <c:v>-18.705477489383576</c:v>
                </c:pt>
                <c:pt idx="33">
                  <c:v>-19.786366841642963</c:v>
                </c:pt>
                <c:pt idx="34">
                  <c:v>-20.852817105648164</c:v>
                </c:pt>
                <c:pt idx="35">
                  <c:v>-21.90439381395262</c:v>
                </c:pt>
                <c:pt idx="36">
                  <c:v>-22.940714522686548</c:v>
                </c:pt>
                <c:pt idx="37">
                  <c:v>-32.414813200398868</c:v>
                </c:pt>
                <c:pt idx="38">
                  <c:v>-40.25895499811778</c:v>
                </c:pt>
                <c:pt idx="39">
                  <c:v>-46.637051706482865</c:v>
                </c:pt>
                <c:pt idx="40">
                  <c:v>-51.80613726783519</c:v>
                </c:pt>
                <c:pt idx="41">
                  <c:v>-56.016972065077439</c:v>
                </c:pt>
                <c:pt idx="42">
                  <c:v>-59.479098141004329</c:v>
                </c:pt>
                <c:pt idx="43">
                  <c:v>-62.35675208294613</c:v>
                </c:pt>
                <c:pt idx="44">
                  <c:v>-64.77540946704508</c:v>
                </c:pt>
                <c:pt idx="45">
                  <c:v>-66.830260957253216</c:v>
                </c:pt>
                <c:pt idx="46">
                  <c:v>-68.593690359615621</c:v>
                </c:pt>
                <c:pt idx="47">
                  <c:v>-70.121128591027414</c:v>
                </c:pt>
                <c:pt idx="48">
                  <c:v>-71.455421705502744</c:v>
                </c:pt>
                <c:pt idx="49">
                  <c:v>-72.630029423276738</c:v>
                </c:pt>
                <c:pt idx="50">
                  <c:v>-73.671355950651915</c:v>
                </c:pt>
                <c:pt idx="51">
                  <c:v>-74.600452501860616</c:v>
                </c:pt>
                <c:pt idx="52">
                  <c:v>-75.434268607390692</c:v>
                </c:pt>
                <c:pt idx="53">
                  <c:v>-76.186579353837544</c:v>
                </c:pt>
                <c:pt idx="54">
                  <c:v>-76.868678803429347</c:v>
                </c:pt>
                <c:pt idx="55">
                  <c:v>-81.301828722067185</c:v>
                </c:pt>
                <c:pt idx="56">
                  <c:v>-83.606823119925892</c:v>
                </c:pt>
                <c:pt idx="57">
                  <c:v>-85.037989190300038</c:v>
                </c:pt>
                <c:pt idx="58">
                  <c:v>-86.028718977352327</c:v>
                </c:pt>
                <c:pt idx="59">
                  <c:v>-86.767879115837786</c:v>
                </c:pt>
                <c:pt idx="60">
                  <c:v>-87.35088318957547</c:v>
                </c:pt>
                <c:pt idx="61">
                  <c:v>-87.831160652755798</c:v>
                </c:pt>
                <c:pt idx="62">
                  <c:v>-88.240995894824223</c:v>
                </c:pt>
                <c:pt idx="63">
                  <c:v>-88.601071982116068</c:v>
                </c:pt>
                <c:pt idx="64">
                  <c:v>-88.925266518488584</c:v>
                </c:pt>
                <c:pt idx="65">
                  <c:v>-89.223243360294461</c:v>
                </c:pt>
                <c:pt idx="66">
                  <c:v>-89.501937860667113</c:v>
                </c:pt>
                <c:pt idx="67">
                  <c:v>-89.766450392936605</c:v>
                </c:pt>
                <c:pt idx="68">
                  <c:v>-90.020606438404101</c:v>
                </c:pt>
                <c:pt idx="69">
                  <c:v>-90.267320325319446</c:v>
                </c:pt>
                <c:pt idx="70">
                  <c:v>-90.508838910060518</c:v>
                </c:pt>
                <c:pt idx="71">
                  <c:v>-90.746909412938948</c:v>
                </c:pt>
                <c:pt idx="72">
                  <c:v>-90.982897943637198</c:v>
                </c:pt>
                <c:pt idx="73">
                  <c:v>-93.378191538677768</c:v>
                </c:pt>
                <c:pt idx="74">
                  <c:v>-95.961309685879939</c:v>
                </c:pt>
                <c:pt idx="75">
                  <c:v>-98.676737326327611</c:v>
                </c:pt>
                <c:pt idx="76">
                  <c:v>-101.42746777438799</c:v>
                </c:pt>
                <c:pt idx="77">
                  <c:v>-104.14706372158227</c:v>
                </c:pt>
                <c:pt idx="78">
                  <c:v>-106.79800108886405</c:v>
                </c:pt>
                <c:pt idx="79">
                  <c:v>-109.36090278983966</c:v>
                </c:pt>
                <c:pt idx="80">
                  <c:v>-111.8265854155274</c:v>
                </c:pt>
                <c:pt idx="81">
                  <c:v>-114.1914293444182</c:v>
                </c:pt>
                <c:pt idx="82">
                  <c:v>-116.45488005760856</c:v>
                </c:pt>
                <c:pt idx="83">
                  <c:v>-118.61812504480741</c:v>
                </c:pt>
                <c:pt idx="84">
                  <c:v>-120.68338439023655</c:v>
                </c:pt>
                <c:pt idx="85">
                  <c:v>-122.6535157810152</c:v>
                </c:pt>
                <c:pt idx="86">
                  <c:v>-124.53178090102098</c:v>
                </c:pt>
                <c:pt idx="87">
                  <c:v>-126.32169636857355</c:v>
                </c:pt>
                <c:pt idx="88">
                  <c:v>-128.02693094247664</c:v>
                </c:pt>
                <c:pt idx="89">
                  <c:v>-129.65122993395309</c:v>
                </c:pt>
                <c:pt idx="90">
                  <c:v>-131.19835721578289</c:v>
                </c:pt>
                <c:pt idx="91">
                  <c:v>-143.1998855147371</c:v>
                </c:pt>
                <c:pt idx="92">
                  <c:v>-150.85971147858442</c:v>
                </c:pt>
                <c:pt idx="93">
                  <c:v>-156.02577059240591</c:v>
                </c:pt>
                <c:pt idx="94">
                  <c:v>-159.69674257524412</c:v>
                </c:pt>
                <c:pt idx="95">
                  <c:v>-162.4211562018655</c:v>
                </c:pt>
                <c:pt idx="96">
                  <c:v>-164.51542064899982</c:v>
                </c:pt>
                <c:pt idx="97">
                  <c:v>-166.17178702317722</c:v>
                </c:pt>
                <c:pt idx="98">
                  <c:v>-167.51270541783396</c:v>
                </c:pt>
                <c:pt idx="99">
                  <c:v>-168.61942469458663</c:v>
                </c:pt>
                <c:pt idx="100">
                  <c:v>-169.5477818592768</c:v>
                </c:pt>
                <c:pt idx="101">
                  <c:v>-170.33732391545988</c:v>
                </c:pt>
                <c:pt idx="102">
                  <c:v>-171.01679779992071</c:v>
                </c:pt>
                <c:pt idx="103">
                  <c:v>-171.60757657517237</c:v>
                </c:pt>
                <c:pt idx="104">
                  <c:v>-172.12586734237701</c:v>
                </c:pt>
                <c:pt idx="105">
                  <c:v>-172.58417499991853</c:v>
                </c:pt>
                <c:pt idx="106">
                  <c:v>-172.99229739076407</c:v>
                </c:pt>
                <c:pt idx="107">
                  <c:v>-173.35801720687164</c:v>
                </c:pt>
                <c:pt idx="108">
                  <c:v>-173.68759281232474</c:v>
                </c:pt>
                <c:pt idx="109">
                  <c:v>-175.78304381998458</c:v>
                </c:pt>
                <c:pt idx="110">
                  <c:v>-176.8349974535509</c:v>
                </c:pt>
                <c:pt idx="111">
                  <c:v>-177.46715406809656</c:v>
                </c:pt>
                <c:pt idx="112">
                  <c:v>-177.88891552927873</c:v>
                </c:pt>
                <c:pt idx="113">
                  <c:v>-178.19030489027185</c:v>
                </c:pt>
                <c:pt idx="114">
                  <c:v>-178.41640813305352</c:v>
                </c:pt>
                <c:pt idx="115">
                  <c:v>-178.59229786685728</c:v>
                </c:pt>
                <c:pt idx="116">
                  <c:v>-178.73302734747372</c:v>
                </c:pt>
                <c:pt idx="117">
                  <c:v>-178.84818016386532</c:v>
                </c:pt>
                <c:pt idx="118">
                  <c:v>-178.94414740887524</c:v>
                </c:pt>
                <c:pt idx="119">
                  <c:v>-179.02535473195167</c:v>
                </c:pt>
                <c:pt idx="120">
                  <c:v>-179.09496388261584</c:v>
                </c:pt>
                <c:pt idx="121">
                  <c:v>-179.15529380471403</c:v>
                </c:pt>
                <c:pt idx="122">
                  <c:v>-179.20808390186053</c:v>
                </c:pt>
                <c:pt idx="123">
                  <c:v>-179.25466442744974</c:v>
                </c:pt>
                <c:pt idx="124">
                  <c:v>-179.29607010044944</c:v>
                </c:pt>
                <c:pt idx="125">
                  <c:v>-179.33311785509073</c:v>
                </c:pt>
                <c:pt idx="126">
                  <c:v>-179.36646127294318</c:v>
                </c:pt>
              </c:numCache>
            </c:numRef>
          </c:yVal>
          <c:smooth val="0"/>
          <c:extLst>
            <c:ext xmlns:c16="http://schemas.microsoft.com/office/drawing/2014/chart" uri="{C3380CC4-5D6E-409C-BE32-E72D297353CC}">
              <c16:uniqueId val="{00000001-55D2-4FEE-BB76-5018E39DA72B}"/>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zh-TW"/>
          </a:p>
        </c:txPr>
        <c:crossAx val="80978688"/>
        <c:crossesAt val="-40"/>
        <c:crossBetween val="midCat"/>
        <c:majorUnit val="10"/>
        <c:minorUnit val="10"/>
      </c:valAx>
      <c:valAx>
        <c:axId val="80978688"/>
        <c:scaling>
          <c:orientation val="minMax"/>
          <c:max val="6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zh-TW"/>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zh-TW"/>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zh-TW"/>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VOUT2COMP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Bode!$AC$11</c:f>
              <c:strCache>
                <c:ptCount val="1"/>
                <c:pt idx="0">
                  <c:v>VOUT2COMP_GAIN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Bode!$AC$12:$AC$138</c:f>
              <c:numCache>
                <c:formatCode>General</c:formatCode>
                <c:ptCount val="127"/>
                <c:pt idx="0">
                  <c:v>47.006296357091031</c:v>
                </c:pt>
                <c:pt idx="1">
                  <c:v>43.487201916938588</c:v>
                </c:pt>
                <c:pt idx="2">
                  <c:v>40.989388761530542</c:v>
                </c:pt>
                <c:pt idx="3">
                  <c:v>39.0516395840462</c:v>
                </c:pt>
                <c:pt idx="4">
                  <c:v>37.468266015495928</c:v>
                </c:pt>
                <c:pt idx="5">
                  <c:v>36.129488352034699</c:v>
                </c:pt>
                <c:pt idx="6">
                  <c:v>34.969758813317412</c:v>
                </c:pt>
                <c:pt idx="7">
                  <c:v>33.946790295033765</c:v>
                </c:pt>
                <c:pt idx="8">
                  <c:v>33.031706141322587</c:v>
                </c:pt>
                <c:pt idx="9">
                  <c:v>32.20390817526544</c:v>
                </c:pt>
                <c:pt idx="10">
                  <c:v>31.448186596197445</c:v>
                </c:pt>
                <c:pt idx="11">
                  <c:v>30.752990422630287</c:v>
                </c:pt>
                <c:pt idx="12">
                  <c:v>30.109340601936523</c:v>
                </c:pt>
                <c:pt idx="13">
                  <c:v>29.510118949336423</c:v>
                </c:pt>
                <c:pt idx="14">
                  <c:v>28.949587009109951</c:v>
                </c:pt>
                <c:pt idx="15">
                  <c:v>28.423051018393906</c:v>
                </c:pt>
                <c:pt idx="16">
                  <c:v>27.92662277030421</c:v>
                </c:pt>
                <c:pt idx="17">
                  <c:v>27.457045213082957</c:v>
                </c:pt>
                <c:pt idx="18">
                  <c:v>27.011562831850682</c:v>
                </c:pt>
                <c:pt idx="19">
                  <c:v>23.490280389968071</c:v>
                </c:pt>
                <c:pt idx="20">
                  <c:v>20.992236748210999</c:v>
                </c:pt>
                <c:pt idx="21">
                  <c:v>19.054968429250664</c:v>
                </c:pt>
                <c:pt idx="22">
                  <c:v>17.472479277996484</c:v>
                </c:pt>
                <c:pt idx="23">
                  <c:v>16.134883987912232</c:v>
                </c:pt>
                <c:pt idx="24">
                  <c:v>14.9765905384895</c:v>
                </c:pt>
                <c:pt idx="25">
                  <c:v>13.955290560563959</c:v>
                </c:pt>
                <c:pt idx="26">
                  <c:v>13.042096064982289</c:v>
                </c:pt>
                <c:pt idx="27">
                  <c:v>12.216402308511814</c:v>
                </c:pt>
                <c:pt idx="28">
                  <c:v>11.462995400937555</c:v>
                </c:pt>
                <c:pt idx="29">
                  <c:v>10.770321639295339</c:v>
                </c:pt>
                <c:pt idx="30">
                  <c:v>10.129400041872174</c:v>
                </c:pt>
                <c:pt idx="31">
                  <c:v>9.5331109706210206</c:v>
                </c:pt>
                <c:pt idx="32">
                  <c:v>8.9757148097614312</c:v>
                </c:pt>
                <c:pt idx="33">
                  <c:v>8.4525168198921534</c:v>
                </c:pt>
                <c:pt idx="34">
                  <c:v>7.9596279329155131</c:v>
                </c:pt>
                <c:pt idx="35">
                  <c:v>7.4937903075011825</c:v>
                </c:pt>
                <c:pt idx="36">
                  <c:v>7.0522476821292415</c:v>
                </c:pt>
                <c:pt idx="37">
                  <c:v>3.5811938983486513</c:v>
                </c:pt>
                <c:pt idx="38">
                  <c:v>1.1525161545104368</c:v>
                </c:pt>
                <c:pt idx="39">
                  <c:v>-0.69719076298945026</c:v>
                </c:pt>
                <c:pt idx="40">
                  <c:v>-2.1750502341816365</c:v>
                </c:pt>
                <c:pt idx="41">
                  <c:v>-3.3922234773429132</c:v>
                </c:pt>
                <c:pt idx="42">
                  <c:v>-4.4156826546573988</c:v>
                </c:pt>
                <c:pt idx="43">
                  <c:v>-5.2891763431548</c:v>
                </c:pt>
                <c:pt idx="44">
                  <c:v>-6.0430521156043788</c:v>
                </c:pt>
                <c:pt idx="45">
                  <c:v>-6.6993583038486051</c:v>
                </c:pt>
                <c:pt idx="46">
                  <c:v>-7.2747073158996187</c:v>
                </c:pt>
                <c:pt idx="47">
                  <c:v>-7.7819838022500782</c:v>
                </c:pt>
                <c:pt idx="48">
                  <c:v>-8.2314159504622975</c:v>
                </c:pt>
                <c:pt idx="49">
                  <c:v>-8.6312764084558928</c:v>
                </c:pt>
                <c:pt idx="50">
                  <c:v>-8.9883580489555133</c:v>
                </c:pt>
                <c:pt idx="51">
                  <c:v>-9.3083075539509839</c:v>
                </c:pt>
                <c:pt idx="52">
                  <c:v>-9.5958661639085783</c:v>
                </c:pt>
                <c:pt idx="53">
                  <c:v>-9.8550479556446273</c:v>
                </c:pt>
                <c:pt idx="54">
                  <c:v>-10.089274903384737</c:v>
                </c:pt>
                <c:pt idx="55">
                  <c:v>-11.54605187382746</c:v>
                </c:pt>
                <c:pt idx="56">
                  <c:v>-12.198645188011442</c:v>
                </c:pt>
                <c:pt idx="57">
                  <c:v>-12.537624713493008</c:v>
                </c:pt>
                <c:pt idx="58">
                  <c:v>-12.733676079962651</c:v>
                </c:pt>
                <c:pt idx="59">
                  <c:v>-12.856512751632726</c:v>
                </c:pt>
                <c:pt idx="60">
                  <c:v>-12.938348670209297</c:v>
                </c:pt>
                <c:pt idx="61">
                  <c:v>-12.995576997262731</c:v>
                </c:pt>
                <c:pt idx="62">
                  <c:v>-13.037203127254729</c:v>
                </c:pt>
                <c:pt idx="63">
                  <c:v>-13.068488905769506</c:v>
                </c:pt>
                <c:pt idx="64">
                  <c:v>-13.09266840407588</c:v>
                </c:pt>
                <c:pt idx="65">
                  <c:v>-13.111814926850489</c:v>
                </c:pt>
                <c:pt idx="66">
                  <c:v>-13.127305775174854</c:v>
                </c:pt>
                <c:pt idx="67">
                  <c:v>-13.140084139610533</c:v>
                </c:pt>
                <c:pt idx="68">
                  <c:v>-13.15081311417903</c:v>
                </c:pt>
                <c:pt idx="69">
                  <c:v>-13.159969672690178</c:v>
                </c:pt>
                <c:pt idx="70">
                  <c:v>-13.16790388607291</c:v>
                </c:pt>
                <c:pt idx="71">
                  <c:v>-13.174877307635922</c:v>
                </c:pt>
                <c:pt idx="72">
                  <c:v>-13.181088486141995</c:v>
                </c:pt>
                <c:pt idx="73">
                  <c:v>-13.223252668777182</c:v>
                </c:pt>
                <c:pt idx="74">
                  <c:v>-13.255726814630048</c:v>
                </c:pt>
                <c:pt idx="75">
                  <c:v>-13.289999489207398</c:v>
                </c:pt>
                <c:pt idx="76">
                  <c:v>-13.328807593595686</c:v>
                </c:pt>
                <c:pt idx="77">
                  <c:v>-13.372972348236903</c:v>
                </c:pt>
                <c:pt idx="78">
                  <c:v>-13.422717040615098</c:v>
                </c:pt>
                <c:pt idx="79">
                  <c:v>-13.478029562297699</c:v>
                </c:pt>
                <c:pt idx="80">
                  <c:v>-13.538787993010555</c:v>
                </c:pt>
                <c:pt idx="81">
                  <c:v>-13.604812368363872</c:v>
                </c:pt>
                <c:pt idx="82">
                  <c:v>-13.675889400566767</c:v>
                </c:pt>
                <c:pt idx="83">
                  <c:v>-13.75178594447511</c:v>
                </c:pt>
                <c:pt idx="84">
                  <c:v>-13.83225723476677</c:v>
                </c:pt>
                <c:pt idx="85">
                  <c:v>-13.91705242513471</c:v>
                </c:pt>
                <c:pt idx="86">
                  <c:v>-14.005918581408555</c:v>
                </c:pt>
                <c:pt idx="87">
                  <c:v>-14.098603693024369</c:v>
                </c:pt>
                <c:pt idx="88">
                  <c:v>-14.19485900114744</c:v>
                </c:pt>
                <c:pt idx="89">
                  <c:v>-14.29444081488446</c:v>
                </c:pt>
                <c:pt idx="90">
                  <c:v>-14.397111923630565</c:v>
                </c:pt>
                <c:pt idx="91">
                  <c:v>-15.547663989537323</c:v>
                </c:pt>
                <c:pt idx="92">
                  <c:v>-16.812175849018011</c:v>
                </c:pt>
                <c:pt idx="93">
                  <c:v>-18.092399838284468</c:v>
                </c:pt>
                <c:pt idx="94">
                  <c:v>-19.342865972200798</c:v>
                </c:pt>
                <c:pt idx="95">
                  <c:v>-20.545758527028678</c:v>
                </c:pt>
                <c:pt idx="96">
                  <c:v>-21.696232081669326</c:v>
                </c:pt>
                <c:pt idx="97">
                  <c:v>-22.795014909448454</c:v>
                </c:pt>
                <c:pt idx="98">
                  <c:v>-23.844952084643172</c:v>
                </c:pt>
                <c:pt idx="99">
                  <c:v>-24.849477590506162</c:v>
                </c:pt>
                <c:pt idx="100">
                  <c:v>-25.811985002781121</c:v>
                </c:pt>
                <c:pt idx="101">
                  <c:v>-26.73560156379796</c:v>
                </c:pt>
                <c:pt idx="102">
                  <c:v>-27.623135083924634</c:v>
                </c:pt>
                <c:pt idx="103">
                  <c:v>-28.477088870556361</c:v>
                </c:pt>
                <c:pt idx="104">
                  <c:v>-29.299698561104716</c:v>
                </c:pt>
                <c:pt idx="105">
                  <c:v>-30.092971709506443</c:v>
                </c:pt>
                <c:pt idx="106">
                  <c:v>-30.858723102080916</c:v>
                </c:pt>
                <c:pt idx="107">
                  <c:v>-31.59860400802507</c:v>
                </c:pt>
                <c:pt idx="108">
                  <c:v>-32.314125643038913</c:v>
                </c:pt>
                <c:pt idx="109">
                  <c:v>-38.390370503704432</c:v>
                </c:pt>
                <c:pt idx="110">
                  <c:v>-43.081512789135104</c:v>
                </c:pt>
                <c:pt idx="111">
                  <c:v>-46.898762101527815</c:v>
                </c:pt>
                <c:pt idx="112">
                  <c:v>-50.126550961835221</c:v>
                </c:pt>
                <c:pt idx="113">
                  <c:v>-52.934238337745754</c:v>
                </c:pt>
                <c:pt idx="114">
                  <c:v>-55.428804707631038</c:v>
                </c:pt>
                <c:pt idx="115">
                  <c:v>-57.681236548877749</c:v>
                </c:pt>
                <c:pt idx="116">
                  <c:v>-59.740598418017179</c:v>
                </c:pt>
                <c:pt idx="117">
                  <c:v>-61.641990924759661</c:v>
                </c:pt>
                <c:pt idx="118">
                  <c:v>-63.411283308542075</c:v>
                </c:pt>
                <c:pt idx="119">
                  <c:v>-65.06804859068825</c:v>
                </c:pt>
                <c:pt idx="120">
                  <c:v>-66.62744850210143</c:v>
                </c:pt>
                <c:pt idx="121">
                  <c:v>-68.101479756387704</c:v>
                </c:pt>
                <c:pt idx="122">
                  <c:v>-69.499818756641218</c:v>
                </c:pt>
                <c:pt idx="123">
                  <c:v>-70.830406650820777</c:v>
                </c:pt>
                <c:pt idx="124">
                  <c:v>-72.09986248103047</c:v>
                </c:pt>
                <c:pt idx="125">
                  <c:v>-73.313780179694504</c:v>
                </c:pt>
                <c:pt idx="126">
                  <c:v>-74.476945663595657</c:v>
                </c:pt>
              </c:numCache>
            </c:numRef>
          </c:yVal>
          <c:smooth val="0"/>
          <c:extLst>
            <c:ext xmlns:c16="http://schemas.microsoft.com/office/drawing/2014/chart" uri="{C3380CC4-5D6E-409C-BE32-E72D297353CC}">
              <c16:uniqueId val="{00000000-9FD4-4197-B07B-C471AA1A7BD7}"/>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Bode!$AD$11</c:f>
              <c:strCache>
                <c:ptCount val="1"/>
                <c:pt idx="0">
                  <c:v>VOUT2COMP_PHASE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Bode!$AD$12:$AD$138</c:f>
              <c:numCache>
                <c:formatCode>General</c:formatCode>
                <c:ptCount val="127"/>
                <c:pt idx="0">
                  <c:v>-88.018776462997522</c:v>
                </c:pt>
                <c:pt idx="1">
                  <c:v>-88.63271705711297</c:v>
                </c:pt>
                <c:pt idx="2">
                  <c:v>-88.925956868590148</c:v>
                </c:pt>
                <c:pt idx="3">
                  <c:v>-89.090841976976847</c:v>
                </c:pt>
                <c:pt idx="4">
                  <c:v>-89.191534458487737</c:v>
                </c:pt>
                <c:pt idx="5">
                  <c:v>-89.255540981317552</c:v>
                </c:pt>
                <c:pt idx="6">
                  <c:v>-89.296617178327082</c:v>
                </c:pt>
                <c:pt idx="7">
                  <c:v>-89.322405837149176</c:v>
                </c:pt>
                <c:pt idx="8">
                  <c:v>-89.337492933189338</c:v>
                </c:pt>
                <c:pt idx="9">
                  <c:v>-89.344796949483353</c:v>
                </c:pt>
                <c:pt idx="10">
                  <c:v>-89.346263608173146</c:v>
                </c:pt>
                <c:pt idx="11">
                  <c:v>-89.343239983833655</c:v>
                </c:pt>
                <c:pt idx="12">
                  <c:v>-89.336688293888784</c:v>
                </c:pt>
                <c:pt idx="13">
                  <c:v>-89.327314178020586</c:v>
                </c:pt>
                <c:pt idx="14">
                  <c:v>-89.315646875300743</c:v>
                </c:pt>
                <c:pt idx="15">
                  <c:v>-89.302091104792083</c:v>
                </c:pt>
                <c:pt idx="16">
                  <c:v>-89.286961653304502</c:v>
                </c:pt>
                <c:pt idx="17">
                  <c:v>-89.27050704108693</c:v>
                </c:pt>
                <c:pt idx="18">
                  <c:v>-89.252926088035125</c:v>
                </c:pt>
                <c:pt idx="19">
                  <c:v>-89.039955526344997</c:v>
                </c:pt>
                <c:pt idx="20">
                  <c:v>-88.794916404652668</c:v>
                </c:pt>
                <c:pt idx="21">
                  <c:v>-88.537086869000504</c:v>
                </c:pt>
                <c:pt idx="22">
                  <c:v>-88.272901821894706</c:v>
                </c:pt>
                <c:pt idx="23">
                  <c:v>-88.005126621701706</c:v>
                </c:pt>
                <c:pt idx="24">
                  <c:v>-87.735150526970045</c:v>
                </c:pt>
                <c:pt idx="25">
                  <c:v>-87.463751178799811</c:v>
                </c:pt>
                <c:pt idx="26">
                  <c:v>-87.191400392334558</c:v>
                </c:pt>
                <c:pt idx="27">
                  <c:v>-86.918403151110709</c:v>
                </c:pt>
                <c:pt idx="28">
                  <c:v>-86.644967102487286</c:v>
                </c:pt>
                <c:pt idx="29">
                  <c:v>-86.371239976628232</c:v>
                </c:pt>
                <c:pt idx="30">
                  <c:v>-86.097330967262153</c:v>
                </c:pt>
                <c:pt idx="31">
                  <c:v>-85.823323558734444</c:v>
                </c:pt>
                <c:pt idx="32">
                  <c:v>-85.549283541612112</c:v>
                </c:pt>
                <c:pt idx="33">
                  <c:v>-85.275264198041015</c:v>
                </c:pt>
                <c:pt idx="34">
                  <c:v>-85.001309757522819</c:v>
                </c:pt>
                <c:pt idx="35">
                  <c:v>-84.727457760342205</c:v>
                </c:pt>
                <c:pt idx="36">
                  <c:v>-84.453740710982345</c:v>
                </c:pt>
                <c:pt idx="37">
                  <c:v>-81.729194662128677</c:v>
                </c:pt>
                <c:pt idx="38">
                  <c:v>-79.03947662793351</c:v>
                </c:pt>
                <c:pt idx="39">
                  <c:v>-76.397586869633358</c:v>
                </c:pt>
                <c:pt idx="40">
                  <c:v>-73.81400172054785</c:v>
                </c:pt>
                <c:pt idx="41">
                  <c:v>-71.297432762034404</c:v>
                </c:pt>
                <c:pt idx="42">
                  <c:v>-68.854972939312432</c:v>
                </c:pt>
                <c:pt idx="43">
                  <c:v>-66.492159814428987</c:v>
                </c:pt>
                <c:pt idx="44">
                  <c:v>-64.21305310721786</c:v>
                </c:pt>
                <c:pt idx="45">
                  <c:v>-62.020342905589736</c:v>
                </c:pt>
                <c:pt idx="46">
                  <c:v>-59.91548446343819</c:v>
                </c:pt>
                <c:pt idx="47">
                  <c:v>-57.898850086582229</c:v>
                </c:pt>
                <c:pt idx="48">
                  <c:v>-55.969888122636881</c:v>
                </c:pt>
                <c:pt idx="49">
                  <c:v>-54.127280456854578</c:v>
                </c:pt>
                <c:pt idx="50">
                  <c:v>-52.369091951723284</c:v>
                </c:pt>
                <c:pt idx="51">
                  <c:v>-50.692907368027569</c:v>
                </c:pt>
                <c:pt idx="52">
                  <c:v>-49.095953176997277</c:v>
                </c:pt>
                <c:pt idx="53">
                  <c:v>-47.57520319011067</c:v>
                </c:pt>
                <c:pt idx="54">
                  <c:v>-46.127468067279722</c:v>
                </c:pt>
                <c:pt idx="55">
                  <c:v>-34.959767131372374</c:v>
                </c:pt>
                <c:pt idx="56">
                  <c:v>-27.940342704468318</c:v>
                </c:pt>
                <c:pt idx="57">
                  <c:v>-23.290547801135435</c:v>
                </c:pt>
                <c:pt idx="58">
                  <c:v>-20.052774155039359</c:v>
                </c:pt>
                <c:pt idx="59">
                  <c:v>-17.705012935228439</c:v>
                </c:pt>
                <c:pt idx="60">
                  <c:v>-15.947930409573887</c:v>
                </c:pt>
                <c:pt idx="61">
                  <c:v>-14.600422543604029</c:v>
                </c:pt>
                <c:pt idx="62">
                  <c:v>-13.547491137404467</c:v>
                </c:pt>
                <c:pt idx="63">
                  <c:v>-12.713002320639752</c:v>
                </c:pt>
                <c:pt idx="64">
                  <c:v>-12.04472164021467</c:v>
                </c:pt>
                <c:pt idx="65">
                  <c:v>-11.505700674081821</c:v>
                </c:pt>
                <c:pt idx="66">
                  <c:v>-11.069107837661916</c:v>
                </c:pt>
                <c:pt idx="67">
                  <c:v>-10.715009490430701</c:v>
                </c:pt>
                <c:pt idx="68">
                  <c:v>-10.428299239633203</c:v>
                </c:pt>
                <c:pt idx="69">
                  <c:v>-10.197327082092997</c:v>
                </c:pt>
                <c:pt idx="70">
                  <c:v>-10.0129684851814</c:v>
                </c:pt>
                <c:pt idx="71">
                  <c:v>-9.8679777522688248</c:v>
                </c:pt>
                <c:pt idx="72">
                  <c:v>-9.7565296761205484</c:v>
                </c:pt>
                <c:pt idx="73">
                  <c:v>-9.7539778125194623</c:v>
                </c:pt>
                <c:pt idx="74">
                  <c:v>-10.713085777151873</c:v>
                </c:pt>
                <c:pt idx="75">
                  <c:v>-12.05224372119099</c:v>
                </c:pt>
                <c:pt idx="76">
                  <c:v>-13.574833116490783</c:v>
                </c:pt>
                <c:pt idx="77">
                  <c:v>-15.195203920491426</c:v>
                </c:pt>
                <c:pt idx="78">
                  <c:v>-16.869559546044187</c:v>
                </c:pt>
                <c:pt idx="79">
                  <c:v>-18.57282991479736</c:v>
                </c:pt>
                <c:pt idx="80">
                  <c:v>-20.289403027324433</c:v>
                </c:pt>
                <c:pt idx="81">
                  <c:v>-22.008907142503233</c:v>
                </c:pt>
                <c:pt idx="82">
                  <c:v>-23.724099078967644</c:v>
                </c:pt>
                <c:pt idx="83">
                  <c:v>-25.429724254120114</c:v>
                </c:pt>
                <c:pt idx="84">
                  <c:v>-27.121861932819169</c:v>
                </c:pt>
                <c:pt idx="85">
                  <c:v>-28.797528680302005</c:v>
                </c:pt>
                <c:pt idx="86">
                  <c:v>-30.454426661077015</c:v>
                </c:pt>
                <c:pt idx="87">
                  <c:v>-32.090776925768871</c:v>
                </c:pt>
                <c:pt idx="88">
                  <c:v>-33.705204566972128</c:v>
                </c:pt>
                <c:pt idx="89">
                  <c:v>-35.29665667722665</c:v>
                </c:pt>
                <c:pt idx="90">
                  <c:v>-36.86434174800668</c:v>
                </c:pt>
                <c:pt idx="91">
                  <c:v>-51.177090627660974</c:v>
                </c:pt>
                <c:pt idx="92">
                  <c:v>-63.145677833106831</c:v>
                </c:pt>
                <c:pt idx="93">
                  <c:v>-73.189399581712308</c:v>
                </c:pt>
                <c:pt idx="94">
                  <c:v>-81.737833346092685</c:v>
                </c:pt>
                <c:pt idx="95">
                  <c:v>-89.131183251334335</c:v>
                </c:pt>
                <c:pt idx="96">
                  <c:v>-95.619640068023003</c:v>
                </c:pt>
                <c:pt idx="97">
                  <c:v>-101.3842389266343</c:v>
                </c:pt>
                <c:pt idx="98">
                  <c:v>-106.55712241119838</c:v>
                </c:pt>
                <c:pt idx="99">
                  <c:v>-111.23670268020439</c:v>
                </c:pt>
                <c:pt idx="100">
                  <c:v>-115.4980917969939</c:v>
                </c:pt>
                <c:pt idx="101">
                  <c:v>-119.40007193200584</c:v>
                </c:pt>
                <c:pt idx="102">
                  <c:v>-122.98973053112505</c:v>
                </c:pt>
                <c:pt idx="103">
                  <c:v>-126.30556700007189</c:v>
                </c:pt>
                <c:pt idx="104">
                  <c:v>-129.37960764155011</c:v>
                </c:pt>
                <c:pt idx="105">
                  <c:v>-132.23887542672298</c:v>
                </c:pt>
                <c:pt idx="106">
                  <c:v>-134.90643597576647</c:v>
                </c:pt>
                <c:pt idx="107">
                  <c:v>-137.40216102679545</c:v>
                </c:pt>
                <c:pt idx="108">
                  <c:v>-139.7433000328752</c:v>
                </c:pt>
                <c:pt idx="109">
                  <c:v>-157.23447975499582</c:v>
                </c:pt>
                <c:pt idx="110">
                  <c:v>-168.58982652387604</c:v>
                </c:pt>
                <c:pt idx="111">
                  <c:v>-176.96780173070516</c:v>
                </c:pt>
                <c:pt idx="112">
                  <c:v>-183.66291567934815</c:v>
                </c:pt>
                <c:pt idx="113">
                  <c:v>-189.287378784156</c:v>
                </c:pt>
                <c:pt idx="114">
                  <c:v>-194.16451571865244</c:v>
                </c:pt>
                <c:pt idx="115">
                  <c:v>-198.48114813208576</c:v>
                </c:pt>
                <c:pt idx="116">
                  <c:v>-202.35390317253245</c:v>
                </c:pt>
                <c:pt idx="117">
                  <c:v>-205.8607750109293</c:v>
                </c:pt>
                <c:pt idx="118">
                  <c:v>-209.05722651842075</c:v>
                </c:pt>
                <c:pt idx="119">
                  <c:v>-211.98486539048983</c:v>
                </c:pt>
                <c:pt idx="120">
                  <c:v>-214.67633356322403</c:v>
                </c:pt>
                <c:pt idx="121">
                  <c:v>-217.15817276485075</c:v>
                </c:pt>
                <c:pt idx="122">
                  <c:v>-219.45256719869968</c:v>
                </c:pt>
                <c:pt idx="123">
                  <c:v>-221.57844371123747</c:v>
                </c:pt>
                <c:pt idx="124">
                  <c:v>-223.55219418019786</c:v>
                </c:pt>
                <c:pt idx="125">
                  <c:v>-225.38816993057495</c:v>
                </c:pt>
                <c:pt idx="126">
                  <c:v>-227.0990348168811</c:v>
                </c:pt>
              </c:numCache>
            </c:numRef>
          </c:yVal>
          <c:smooth val="0"/>
          <c:extLst>
            <c:ext xmlns:c16="http://schemas.microsoft.com/office/drawing/2014/chart" uri="{C3380CC4-5D6E-409C-BE32-E72D297353CC}">
              <c16:uniqueId val="{00000001-9FD4-4197-B07B-C471AA1A7BD7}"/>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zh-TW"/>
          </a:p>
        </c:txPr>
        <c:crossAx val="80978688"/>
        <c:crossesAt val="-40"/>
        <c:crossBetween val="midCat"/>
        <c:majorUnit val="10"/>
        <c:minorUnit val="10"/>
      </c:valAx>
      <c:valAx>
        <c:axId val="80978688"/>
        <c:scaling>
          <c:orientation val="minMax"/>
          <c:max val="6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zh-TW"/>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zh-TW"/>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zh-TW"/>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OPENLOOP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Bode!$AE$11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Bode!$AE$12:$AE$138</c:f>
              <c:numCache>
                <c:formatCode>_(* #,##0.00_);_(* \(#,##0.00\);_(* "-"??_);_(@_)</c:formatCode>
                <c:ptCount val="127"/>
                <c:pt idx="0">
                  <c:v>74.278132571704575</c:v>
                </c:pt>
                <c:pt idx="1">
                  <c:v>70.758941047911662</c:v>
                </c:pt>
                <c:pt idx="2">
                  <c:v>68.260991979053131</c:v>
                </c:pt>
                <c:pt idx="3">
                  <c:v>66.323068061953904</c:v>
                </c:pt>
                <c:pt idx="4">
                  <c:v>64.739480932311167</c:v>
                </c:pt>
                <c:pt idx="5">
                  <c:v>63.400450892007356</c:v>
                </c:pt>
                <c:pt idx="6">
                  <c:v>62.240430167464915</c:v>
                </c:pt>
                <c:pt idx="7">
                  <c:v>61.217131662180677</c:v>
                </c:pt>
                <c:pt idx="8">
                  <c:v>60.301678729139397</c:v>
                </c:pt>
                <c:pt idx="9">
                  <c:v>59.473473201306717</c:v>
                </c:pt>
                <c:pt idx="10">
                  <c:v>58.717305288938846</c:v>
                </c:pt>
                <c:pt idx="11">
                  <c:v>58.021624022504874</c:v>
                </c:pt>
                <c:pt idx="12">
                  <c:v>57.377450362369885</c:v>
                </c:pt>
                <c:pt idx="13">
                  <c:v>56.777666137780514</c:v>
                </c:pt>
                <c:pt idx="14">
                  <c:v>56.216532908076033</c:v>
                </c:pt>
                <c:pt idx="15">
                  <c:v>55.689356926483654</c:v>
                </c:pt>
                <c:pt idx="16">
                  <c:v>55.192250003239891</c:v>
                </c:pt>
                <c:pt idx="17">
                  <c:v>54.721955104735699</c:v>
                </c:pt>
                <c:pt idx="18">
                  <c:v>54.275716735267352</c:v>
                </c:pt>
                <c:pt idx="19">
                  <c:v>50.744753777737571</c:v>
                </c:pt>
                <c:pt idx="20">
                  <c:v>48.23319356520831</c:v>
                </c:pt>
                <c:pt idx="21">
                  <c:v>46.278608387193927</c:v>
                </c:pt>
                <c:pt idx="22">
                  <c:v>44.675047533545964</c:v>
                </c:pt>
                <c:pt idx="23">
                  <c:v>43.312680428725464</c:v>
                </c:pt>
                <c:pt idx="24">
                  <c:v>42.125978604806633</c:v>
                </c:pt>
                <c:pt idx="25">
                  <c:v>41.07270553799971</c:v>
                </c:pt>
                <c:pt idx="26">
                  <c:v>40.124052793169639</c:v>
                </c:pt>
                <c:pt idx="27">
                  <c:v>39.259502259828352</c:v>
                </c:pt>
                <c:pt idx="28">
                  <c:v>38.463933093489125</c:v>
                </c:pt>
                <c:pt idx="29">
                  <c:v>37.725890358380482</c:v>
                </c:pt>
                <c:pt idx="30">
                  <c:v>37.036496854066129</c:v>
                </c:pt>
                <c:pt idx="31">
                  <c:v>36.38874102418194</c:v>
                </c:pt>
                <c:pt idx="32">
                  <c:v>35.776994924083354</c:v>
                </c:pt>
                <c:pt idx="33">
                  <c:v>35.196678375052102</c:v>
                </c:pt>
                <c:pt idx="34">
                  <c:v>34.644019077861415</c:v>
                </c:pt>
                <c:pt idx="35">
                  <c:v>34.115877512013355</c:v>
                </c:pt>
                <c:pt idx="36">
                  <c:v>33.609616663309552</c:v>
                </c:pt>
                <c:pt idx="37">
                  <c:v>29.384434501326744</c:v>
                </c:pt>
                <c:pt idx="38">
                  <c:v>26.080914438049753</c:v>
                </c:pt>
                <c:pt idx="39">
                  <c:v>23.316048827868091</c:v>
                </c:pt>
                <c:pt idx="40">
                  <c:v>20.931312121070331</c:v>
                </c:pt>
                <c:pt idx="41">
                  <c:v>18.840891246092696</c:v>
                </c:pt>
                <c:pt idx="42">
                  <c:v>16.988995647503462</c:v>
                </c:pt>
                <c:pt idx="43">
                  <c:v>15.335242287544659</c:v>
                </c:pt>
                <c:pt idx="44">
                  <c:v>13.848636509434957</c:v>
                </c:pt>
                <c:pt idx="45">
                  <c:v>12.50458784287235</c:v>
                </c:pt>
                <c:pt idx="46">
                  <c:v>11.283177290796662</c:v>
                </c:pt>
                <c:pt idx="47">
                  <c:v>10.168032177166449</c:v>
                </c:pt>
                <c:pt idx="48">
                  <c:v>9.1455418879623362</c:v>
                </c:pt>
                <c:pt idx="49">
                  <c:v>8.204286606078778</c:v>
                </c:pt>
                <c:pt idx="50">
                  <c:v>7.3346089545411228</c:v>
                </c:pt>
                <c:pt idx="51">
                  <c:v>6.5282860073345663</c:v>
                </c:pt>
                <c:pt idx="52">
                  <c:v>5.7782739779186247</c:v>
                </c:pt>
                <c:pt idx="53">
                  <c:v>5.0785067193557829</c:v>
                </c:pt>
                <c:pt idx="54">
                  <c:v>4.4237347810610839</c:v>
                </c:pt>
                <c:pt idx="55">
                  <c:v>-0.42251850380211486</c:v>
                </c:pt>
                <c:pt idx="56">
                  <c:v>-3.5238599000374329</c:v>
                </c:pt>
                <c:pt idx="57">
                  <c:v>-5.7747121859144936</c:v>
                </c:pt>
                <c:pt idx="58">
                  <c:v>-7.5369079047092002</c:v>
                </c:pt>
                <c:pt idx="59">
                  <c:v>-8.9849253642151545</c:v>
                </c:pt>
                <c:pt idx="60">
                  <c:v>-10.214447601563275</c:v>
                </c:pt>
                <c:pt idx="61">
                  <c:v>-11.283187604949333</c:v>
                </c:pt>
                <c:pt idx="62">
                  <c:v>-12.228545763233294</c:v>
                </c:pt>
                <c:pt idx="63">
                  <c:v>-13.076136508181607</c:v>
                </c:pt>
                <c:pt idx="64">
                  <c:v>-13.844282705772089</c:v>
                </c:pt>
                <c:pt idx="65">
                  <c:v>-14.546557717015798</c:v>
                </c:pt>
                <c:pt idx="66">
                  <c:v>-15.193308341324581</c:v>
                </c:pt>
                <c:pt idx="67">
                  <c:v>-15.792611648690583</c:v>
                </c:pt>
                <c:pt idx="68">
                  <c:v>-16.350900555540093</c:v>
                </c:pt>
                <c:pt idx="69">
                  <c:v>-16.873386856798291</c:v>
                </c:pt>
                <c:pt idx="70">
                  <c:v>-17.364355677298427</c:v>
                </c:pt>
                <c:pt idx="71">
                  <c:v>-17.827375612957027</c:v>
                </c:pt>
                <c:pt idx="72">
                  <c:v>-18.265452013713983</c:v>
                </c:pt>
                <c:pt idx="73">
                  <c:v>-21.698375636216628</c:v>
                </c:pt>
                <c:pt idx="74">
                  <c:v>-24.131660346086932</c:v>
                </c:pt>
                <c:pt idx="75">
                  <c:v>-26.052980490802675</c:v>
                </c:pt>
                <c:pt idx="76">
                  <c:v>-27.669811710646805</c:v>
                </c:pt>
                <c:pt idx="77">
                  <c:v>-29.086474975468004</c:v>
                </c:pt>
                <c:pt idx="78">
                  <c:v>-30.361880421301194</c:v>
                </c:pt>
                <c:pt idx="79">
                  <c:v>-31.532348066794214</c:v>
                </c:pt>
                <c:pt idx="80">
                  <c:v>-32.621798450928864</c:v>
                </c:pt>
                <c:pt idx="81">
                  <c:v>-33.646777264699729</c:v>
                </c:pt>
                <c:pt idx="82">
                  <c:v>-34.619155377104875</c:v>
                </c:pt>
                <c:pt idx="83">
                  <c:v>-35.547690716820512</c:v>
                </c:pt>
                <c:pt idx="84">
                  <c:v>-36.438988831246412</c:v>
                </c:pt>
                <c:pt idx="85">
                  <c:v>-37.298123603314551</c:v>
                </c:pt>
                <c:pt idx="86">
                  <c:v>-38.129054422841662</c:v>
                </c:pt>
                <c:pt idx="87">
                  <c:v>-38.934915345489017</c:v>
                </c:pt>
                <c:pt idx="88">
                  <c:v>-39.718220433876184</c:v>
                </c:pt>
                <c:pt idx="89">
                  <c:v>-40.481012389790493</c:v>
                </c:pt>
                <c:pt idx="90">
                  <c:v>-41.224971791594882</c:v>
                </c:pt>
                <c:pt idx="91">
                  <c:v>-47.856419844800129</c:v>
                </c:pt>
                <c:pt idx="92">
                  <c:v>-53.411195519180332</c:v>
                </c:pt>
                <c:pt idx="93">
                  <c:v>-58.198191411179891</c:v>
                </c:pt>
                <c:pt idx="94">
                  <c:v>-62.401473435016435</c:v>
                </c:pt>
                <c:pt idx="95">
                  <c:v>-66.147761431292651</c:v>
                </c:pt>
                <c:pt idx="96">
                  <c:v>-69.52840404514626</c:v>
                </c:pt>
                <c:pt idx="97">
                  <c:v>-72.610862126116047</c:v>
                </c:pt>
                <c:pt idx="98">
                  <c:v>-75.445901859582392</c:v>
                </c:pt>
                <c:pt idx="99">
                  <c:v>-78.072395493734518</c:v>
                </c:pt>
                <c:pt idx="100">
                  <c:v>-80.520611118483714</c:v>
                </c:pt>
                <c:pt idx="101">
                  <c:v>-82.814502303510693</c:v>
                </c:pt>
                <c:pt idx="102">
                  <c:v>-84.973321723900881</c:v>
                </c:pt>
                <c:pt idx="103">
                  <c:v>-87.012771934086757</c:v>
                </c:pt>
                <c:pt idx="104">
                  <c:v>-88.945835868330008</c:v>
                </c:pt>
                <c:pt idx="105">
                  <c:v>-90.783383491395284</c:v>
                </c:pt>
                <c:pt idx="106">
                  <c:v>-92.534620415026922</c:v>
                </c:pt>
                <c:pt idx="107">
                  <c:v>-94.207423799393325</c:v>
                </c:pt>
                <c:pt idx="108">
                  <c:v>-95.808597018216517</c:v>
                </c:pt>
                <c:pt idx="109">
                  <c:v>-108.90059698163124</c:v>
                </c:pt>
                <c:pt idx="110">
                  <c:v>-118.57948381898471</c:v>
                </c:pt>
                <c:pt idx="111">
                  <c:v>-126.26858803343737</c:v>
                </c:pt>
                <c:pt idx="112">
                  <c:v>-132.66115555788386</c:v>
                </c:pt>
                <c:pt idx="113">
                  <c:v>-138.14522381144502</c:v>
                </c:pt>
                <c:pt idx="114">
                  <c:v>-142.95850026583031</c:v>
                </c:pt>
                <c:pt idx="115">
                  <c:v>-147.25636936619378</c:v>
                </c:pt>
                <c:pt idx="116">
                  <c:v>-151.1455560999521</c:v>
                </c:pt>
                <c:pt idx="117">
                  <c:v>-154.70230471324069</c:v>
                </c:pt>
                <c:pt idx="118">
                  <c:v>-157.98287232168198</c:v>
                </c:pt>
                <c:pt idx="119">
                  <c:v>-161.02991389013607</c:v>
                </c:pt>
                <c:pt idx="120">
                  <c:v>-163.87653611635443</c:v>
                </c:pt>
                <c:pt idx="121">
                  <c:v>-166.54896317150957</c:v>
                </c:pt>
                <c:pt idx="122">
                  <c:v>-169.06834215218964</c:v>
                </c:pt>
                <c:pt idx="123">
                  <c:v>-171.45199728688374</c:v>
                </c:pt>
                <c:pt idx="124">
                  <c:v>-173.71432078537885</c:v>
                </c:pt>
                <c:pt idx="125">
                  <c:v>-175.86741826842859</c:v>
                </c:pt>
                <c:pt idx="126">
                  <c:v>-177.92158485553841</c:v>
                </c:pt>
              </c:numCache>
            </c:numRef>
          </c:yVal>
          <c:smooth val="0"/>
          <c:extLst>
            <c:ext xmlns:c16="http://schemas.microsoft.com/office/drawing/2014/chart" uri="{C3380CC4-5D6E-409C-BE32-E72D297353CC}">
              <c16:uniqueId val="{00000000-A218-4A08-82CA-AD8A269DABD4}"/>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Bode!$AF$11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Bode!$AF$12:$AF$138</c:f>
              <c:numCache>
                <c:formatCode>_(* #,##0.00_);_(* \(#,##0.00\);_(* "-"??_);_(@_)</c:formatCode>
                <c:ptCount val="127"/>
                <c:pt idx="0">
                  <c:v>-88.26125103408107</c:v>
                </c:pt>
                <c:pt idx="1">
                  <c:v>-88.996426205406038</c:v>
                </c:pt>
                <c:pt idx="2">
                  <c:v>-89.410897344256739</c:v>
                </c:pt>
                <c:pt idx="3">
                  <c:v>-89.697009447173542</c:v>
                </c:pt>
                <c:pt idx="4">
                  <c:v>-89.918923507596077</c:v>
                </c:pt>
                <c:pt idx="5">
                  <c:v>-90.104145111234502</c:v>
                </c:pt>
                <c:pt idx="6">
                  <c:v>-90.266428808813515</c:v>
                </c:pt>
                <c:pt idx="7">
                  <c:v>-90.413416306236286</c:v>
                </c:pt>
                <c:pt idx="8">
                  <c:v>-90.549692497643022</c:v>
                </c:pt>
                <c:pt idx="9">
                  <c:v>-90.678174785326334</c:v>
                </c:pt>
                <c:pt idx="10">
                  <c:v>-90.80080781126496</c:v>
                </c:pt>
                <c:pt idx="11">
                  <c:v>-90.918937570508319</c:v>
                </c:pt>
                <c:pt idx="12">
                  <c:v>-91.033525201650008</c:v>
                </c:pt>
                <c:pt idx="13">
                  <c:v>-91.145275266294618</c:v>
                </c:pt>
                <c:pt idx="14">
                  <c:v>-91.254715926246476</c:v>
                </c:pt>
                <c:pt idx="15">
                  <c:v>-91.362250824168683</c:v>
                </c:pt>
                <c:pt idx="16">
                  <c:v>-91.468193671395994</c:v>
                </c:pt>
                <c:pt idx="17">
                  <c:v>-91.572791913684028</c:v>
                </c:pt>
                <c:pt idx="18">
                  <c:v>-91.676243297473931</c:v>
                </c:pt>
                <c:pt idx="19">
                  <c:v>-92.672232328597673</c:v>
                </c:pt>
                <c:pt idx="20">
                  <c:v>-93.632930111216723</c:v>
                </c:pt>
                <c:pt idx="21">
                  <c:v>-94.576567208612687</c:v>
                </c:pt>
                <c:pt idx="22">
                  <c:v>-95.508553327398047</c:v>
                </c:pt>
                <c:pt idx="23">
                  <c:v>-96.430656060251678</c:v>
                </c:pt>
                <c:pt idx="24">
                  <c:v>-97.343299024488601</c:v>
                </c:pt>
                <c:pt idx="25">
                  <c:v>-98.246330638590962</c:v>
                </c:pt>
                <c:pt idx="26">
                  <c:v>-99.139333765834976</c:v>
                </c:pt>
                <c:pt idx="27">
                  <c:v>-100.02176808647006</c:v>
                </c:pt>
                <c:pt idx="28">
                  <c:v>-100.89304247431942</c:v>
                </c:pt>
                <c:pt idx="29">
                  <c:v>-101.7525547878152</c:v>
                </c:pt>
                <c:pt idx="30">
                  <c:v>-102.59971511078631</c:v>
                </c:pt>
                <c:pt idx="31">
                  <c:v>-103.43395993357866</c:v>
                </c:pt>
                <c:pt idx="32">
                  <c:v>-104.2547610309957</c:v>
                </c:pt>
                <c:pt idx="33">
                  <c:v>-105.06163103968397</c:v>
                </c:pt>
                <c:pt idx="34">
                  <c:v>-105.85412686317099</c:v>
                </c:pt>
                <c:pt idx="35">
                  <c:v>-106.63185157429483</c:v>
                </c:pt>
                <c:pt idx="36">
                  <c:v>-107.39445523366889</c:v>
                </c:pt>
                <c:pt idx="37">
                  <c:v>-114.14400786252754</c:v>
                </c:pt>
                <c:pt idx="38">
                  <c:v>-119.2984316260513</c:v>
                </c:pt>
                <c:pt idx="39">
                  <c:v>-123.03463857611622</c:v>
                </c:pt>
                <c:pt idx="40">
                  <c:v>-125.62013898838305</c:v>
                </c:pt>
                <c:pt idx="41">
                  <c:v>-127.31440482711184</c:v>
                </c:pt>
                <c:pt idx="42">
                  <c:v>-128.33407108031676</c:v>
                </c:pt>
                <c:pt idx="43">
                  <c:v>-128.8489118973751</c:v>
                </c:pt>
                <c:pt idx="44">
                  <c:v>-128.98846257426294</c:v>
                </c:pt>
                <c:pt idx="45">
                  <c:v>-128.85060386284295</c:v>
                </c:pt>
                <c:pt idx="46">
                  <c:v>-128.5091748230538</c:v>
                </c:pt>
                <c:pt idx="47">
                  <c:v>-128.01997867760963</c:v>
                </c:pt>
                <c:pt idx="48">
                  <c:v>-127.42530982813963</c:v>
                </c:pt>
                <c:pt idx="49">
                  <c:v>-126.75730988013132</c:v>
                </c:pt>
                <c:pt idx="50">
                  <c:v>-126.04044790237521</c:v>
                </c:pt>
                <c:pt idx="51">
                  <c:v>-125.29335986988818</c:v>
                </c:pt>
                <c:pt idx="52">
                  <c:v>-124.53022178438798</c:v>
                </c:pt>
                <c:pt idx="53">
                  <c:v>-123.76178254394821</c:v>
                </c:pt>
                <c:pt idx="54">
                  <c:v>-122.99614687070907</c:v>
                </c:pt>
                <c:pt idx="55">
                  <c:v>-116.26159585343956</c:v>
                </c:pt>
                <c:pt idx="56">
                  <c:v>-111.54716582439421</c:v>
                </c:pt>
                <c:pt idx="57">
                  <c:v>-108.32853699143547</c:v>
                </c:pt>
                <c:pt idx="58">
                  <c:v>-106.08149313239169</c:v>
                </c:pt>
                <c:pt idx="59">
                  <c:v>-104.47289205106622</c:v>
                </c:pt>
                <c:pt idx="60">
                  <c:v>-103.29881359914936</c:v>
                </c:pt>
                <c:pt idx="61">
                  <c:v>-102.43158319635982</c:v>
                </c:pt>
                <c:pt idx="62">
                  <c:v>-101.78848703222869</c:v>
                </c:pt>
                <c:pt idx="63">
                  <c:v>-101.31407430275581</c:v>
                </c:pt>
                <c:pt idx="64">
                  <c:v>-100.96998815870326</c:v>
                </c:pt>
                <c:pt idx="65">
                  <c:v>-100.72894403437628</c:v>
                </c:pt>
                <c:pt idx="66">
                  <c:v>-100.57104569832903</c:v>
                </c:pt>
                <c:pt idx="67">
                  <c:v>-100.48145988336731</c:v>
                </c:pt>
                <c:pt idx="68">
                  <c:v>-100.44890567803731</c:v>
                </c:pt>
                <c:pt idx="69">
                  <c:v>-100.46464740741244</c:v>
                </c:pt>
                <c:pt idx="70">
                  <c:v>-100.52180739524192</c:v>
                </c:pt>
                <c:pt idx="71">
                  <c:v>-100.61488716520778</c:v>
                </c:pt>
                <c:pt idx="72">
                  <c:v>-100.73942761975775</c:v>
                </c:pt>
                <c:pt idx="73">
                  <c:v>-103.13216935119723</c:v>
                </c:pt>
                <c:pt idx="74">
                  <c:v>-106.67439546303181</c:v>
                </c:pt>
                <c:pt idx="75">
                  <c:v>-110.7289810475186</c:v>
                </c:pt>
                <c:pt idx="76">
                  <c:v>-115.00230089087877</c:v>
                </c:pt>
                <c:pt idx="77">
                  <c:v>-119.34226764207369</c:v>
                </c:pt>
                <c:pt idx="78">
                  <c:v>-123.66756063490824</c:v>
                </c:pt>
                <c:pt idx="79">
                  <c:v>-127.93373270463701</c:v>
                </c:pt>
                <c:pt idx="80">
                  <c:v>-132.11598844285183</c:v>
                </c:pt>
                <c:pt idx="81">
                  <c:v>-136.20033648692143</c:v>
                </c:pt>
                <c:pt idx="82">
                  <c:v>-140.1789791365762</c:v>
                </c:pt>
                <c:pt idx="83">
                  <c:v>-144.04784929892753</c:v>
                </c:pt>
                <c:pt idx="84">
                  <c:v>-147.80524632305571</c:v>
                </c:pt>
                <c:pt idx="85">
                  <c:v>-151.4510444613172</c:v>
                </c:pt>
                <c:pt idx="86">
                  <c:v>-154.986207562098</c:v>
                </c:pt>
                <c:pt idx="87">
                  <c:v>-158.41247329434242</c:v>
                </c:pt>
                <c:pt idx="88">
                  <c:v>-161.73213550944877</c:v>
                </c:pt>
                <c:pt idx="89">
                  <c:v>-164.94788661117974</c:v>
                </c:pt>
                <c:pt idx="90">
                  <c:v>-168.06269896378956</c:v>
                </c:pt>
                <c:pt idx="91">
                  <c:v>-194.37697614239806</c:v>
                </c:pt>
                <c:pt idx="92">
                  <c:v>-214.00538931169126</c:v>
                </c:pt>
                <c:pt idx="93">
                  <c:v>-229.21517017411821</c:v>
                </c:pt>
                <c:pt idx="94">
                  <c:v>-241.4345759213368</c:v>
                </c:pt>
                <c:pt idx="95">
                  <c:v>-251.55233945319983</c:v>
                </c:pt>
                <c:pt idx="96">
                  <c:v>-260.13506071702284</c:v>
                </c:pt>
                <c:pt idx="97">
                  <c:v>-267.5560259498115</c:v>
                </c:pt>
                <c:pt idx="98">
                  <c:v>-274.06982782903231</c:v>
                </c:pt>
                <c:pt idx="99">
                  <c:v>-279.85612737479101</c:v>
                </c:pt>
                <c:pt idx="100">
                  <c:v>-285.04587365627071</c:v>
                </c:pt>
                <c:pt idx="101">
                  <c:v>-289.73739584746573</c:v>
                </c:pt>
                <c:pt idx="102">
                  <c:v>-294.00652833104573</c:v>
                </c:pt>
                <c:pt idx="103">
                  <c:v>-297.91314357524425</c:v>
                </c:pt>
                <c:pt idx="104">
                  <c:v>-301.50547498392712</c:v>
                </c:pt>
                <c:pt idx="105">
                  <c:v>-304.82305042664154</c:v>
                </c:pt>
                <c:pt idx="106">
                  <c:v>-307.89873336653056</c:v>
                </c:pt>
                <c:pt idx="107">
                  <c:v>-310.76017823366709</c:v>
                </c:pt>
                <c:pt idx="108">
                  <c:v>-313.43089284519993</c:v>
                </c:pt>
                <c:pt idx="109">
                  <c:v>-333.01752357498037</c:v>
                </c:pt>
                <c:pt idx="110">
                  <c:v>-345.42482397742697</c:v>
                </c:pt>
                <c:pt idx="111">
                  <c:v>-354.43495579880175</c:v>
                </c:pt>
                <c:pt idx="112">
                  <c:v>-361.55183120862688</c:v>
                </c:pt>
                <c:pt idx="113">
                  <c:v>-367.47768367442785</c:v>
                </c:pt>
                <c:pt idx="114">
                  <c:v>-372.58092385170596</c:v>
                </c:pt>
                <c:pt idx="115">
                  <c:v>-377.07344599894304</c:v>
                </c:pt>
                <c:pt idx="116">
                  <c:v>-381.08693052000615</c:v>
                </c:pt>
                <c:pt idx="117">
                  <c:v>-384.7089551747946</c:v>
                </c:pt>
                <c:pt idx="118">
                  <c:v>-388.00137392729596</c:v>
                </c:pt>
                <c:pt idx="119">
                  <c:v>-391.01022012244152</c:v>
                </c:pt>
                <c:pt idx="120">
                  <c:v>-393.77129744583988</c:v>
                </c:pt>
                <c:pt idx="121">
                  <c:v>-396.31346656956475</c:v>
                </c:pt>
                <c:pt idx="122">
                  <c:v>-398.66065110056024</c:v>
                </c:pt>
                <c:pt idx="123">
                  <c:v>-400.83310813868718</c:v>
                </c:pt>
                <c:pt idx="124">
                  <c:v>-402.8482642806473</c:v>
                </c:pt>
                <c:pt idx="125">
                  <c:v>-404.72128778566571</c:v>
                </c:pt>
                <c:pt idx="126">
                  <c:v>-406.46549608982428</c:v>
                </c:pt>
              </c:numCache>
            </c:numRef>
          </c:yVal>
          <c:smooth val="0"/>
          <c:extLst>
            <c:ext xmlns:c16="http://schemas.microsoft.com/office/drawing/2014/chart" uri="{C3380CC4-5D6E-409C-BE32-E72D297353CC}">
              <c16:uniqueId val="{00000001-A218-4A08-82CA-AD8A269DABD4}"/>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zh-TW"/>
          </a:p>
        </c:txPr>
        <c:crossAx val="80978688"/>
        <c:crossesAt val="-40"/>
        <c:crossBetween val="midCat"/>
        <c:majorUnit val="10"/>
        <c:minorUnit val="10"/>
      </c:valAx>
      <c:valAx>
        <c:axId val="80978688"/>
        <c:scaling>
          <c:orientation val="minMax"/>
          <c:max val="80"/>
          <c:min val="-6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zh-TW"/>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27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zh-TW"/>
          </a:p>
        </c:txPr>
        <c:crossAx val="80980608"/>
        <c:crosses val="max"/>
        <c:crossBetween val="midCat"/>
        <c:majorUnit val="22.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zh-TW"/>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CS2IMON</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Bode!$AZ$11</c:f>
              <c:strCache>
                <c:ptCount val="1"/>
                <c:pt idx="0">
                  <c:v>CS2IMON_GAIN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Bode!$AZ$12:$AZ$138</c:f>
              <c:numCache>
                <c:formatCode>General</c:formatCode>
                <c:ptCount val="127"/>
                <c:pt idx="0">
                  <c:v>8.0963945394758134</c:v>
                </c:pt>
                <c:pt idx="1">
                  <c:v>8.0960448236705567</c:v>
                </c:pt>
                <c:pt idx="2">
                  <c:v>8.0955552688517738</c:v>
                </c:pt>
                <c:pt idx="3">
                  <c:v>8.0949259223099652</c:v>
                </c:pt>
                <c:pt idx="4">
                  <c:v>8.0941568448211338</c:v>
                </c:pt>
                <c:pt idx="5">
                  <c:v>8.093248110626913</c:v>
                </c:pt>
                <c:pt idx="6">
                  <c:v>8.0921998074111823</c:v>
                </c:pt>
                <c:pt idx="7">
                  <c:v>8.0910120362715876</c:v>
                </c:pt>
                <c:pt idx="8">
                  <c:v>8.0896849116870921</c:v>
                </c:pt>
                <c:pt idx="9">
                  <c:v>8.088218561481451</c:v>
                </c:pt>
                <c:pt idx="10">
                  <c:v>8.0866131267821384</c:v>
                </c:pt>
                <c:pt idx="11">
                  <c:v>8.0848687619751551</c:v>
                </c:pt>
                <c:pt idx="12">
                  <c:v>8.0829856346555964</c:v>
                </c:pt>
                <c:pt idx="13">
                  <c:v>8.080963925574526</c:v>
                </c:pt>
                <c:pt idx="14">
                  <c:v>8.0788038285809485</c:v>
                </c:pt>
                <c:pt idx="15">
                  <c:v>8.0765055505604018</c:v>
                </c:pt>
                <c:pt idx="16">
                  <c:v>8.0740693113691222</c:v>
                </c:pt>
                <c:pt idx="17">
                  <c:v>8.0714953437645089</c:v>
                </c:pt>
                <c:pt idx="18">
                  <c:v>8.0687838933311742</c:v>
                </c:pt>
                <c:pt idx="19">
                  <c:v>8.0341708671511345</c:v>
                </c:pt>
                <c:pt idx="20">
                  <c:v>7.9861714862487716</c:v>
                </c:pt>
                <c:pt idx="21">
                  <c:v>7.9252274525019075</c:v>
                </c:pt>
                <c:pt idx="22">
                  <c:v>7.8518834025250204</c:v>
                </c:pt>
                <c:pt idx="23">
                  <c:v>7.7667714823543772</c:v>
                </c:pt>
                <c:pt idx="24">
                  <c:v>7.6705944772234336</c:v>
                </c:pt>
                <c:pt idx="25">
                  <c:v>7.564108362941802</c:v>
                </c:pt>
                <c:pt idx="26">
                  <c:v>7.4481050773965904</c:v>
                </c:pt>
                <c:pt idx="27">
                  <c:v>7.3233961912788246</c:v>
                </c:pt>
                <c:pt idx="28">
                  <c:v>7.1907980062755659</c:v>
                </c:pt>
                <c:pt idx="29">
                  <c:v>7.0511184464329784</c:v>
                </c:pt>
                <c:pt idx="30">
                  <c:v>6.9051459510788575</c:v>
                </c:pt>
                <c:pt idx="31">
                  <c:v>6.7536404380899375</c:v>
                </c:pt>
                <c:pt idx="32">
                  <c:v>6.597326291987347</c:v>
                </c:pt>
                <c:pt idx="33">
                  <c:v>6.4368872454472461</c:v>
                </c:pt>
                <c:pt idx="34">
                  <c:v>6.2729629648295919</c:v>
                </c:pt>
                <c:pt idx="35">
                  <c:v>6.1061471172974811</c:v>
                </c:pt>
                <c:pt idx="36">
                  <c:v>5.9369866846777857</c:v>
                </c:pt>
                <c:pt idx="37">
                  <c:v>4.2058466119564013</c:v>
                </c:pt>
                <c:pt idx="38">
                  <c:v>2.5616765486456861</c:v>
                </c:pt>
                <c:pt idx="39">
                  <c:v>1.0843503268102681</c:v>
                </c:pt>
                <c:pt idx="40">
                  <c:v>-0.22665891735816535</c:v>
                </c:pt>
                <c:pt idx="41">
                  <c:v>-1.3924086400371969</c:v>
                </c:pt>
                <c:pt idx="42">
                  <c:v>-2.4358865023721537</c:v>
                </c:pt>
                <c:pt idx="43">
                  <c:v>-3.3771694009117619</c:v>
                </c:pt>
                <c:pt idx="44">
                  <c:v>-4.2327171452362586</c:v>
                </c:pt>
                <c:pt idx="45">
                  <c:v>-5.0157804767012149</c:v>
                </c:pt>
                <c:pt idx="46">
                  <c:v>-5.7370107217929114</c:v>
                </c:pt>
                <c:pt idx="47">
                  <c:v>-6.4050155812850296</c:v>
                </c:pt>
                <c:pt idx="48">
                  <c:v>-7.0268079983087528</c:v>
                </c:pt>
                <c:pt idx="49">
                  <c:v>-7.6081538063601597</c:v>
                </c:pt>
                <c:pt idx="50">
                  <c:v>-8.1538373324829578</c:v>
                </c:pt>
                <c:pt idx="51">
                  <c:v>-8.6678640208105211</c:v>
                </c:pt>
                <c:pt idx="52">
                  <c:v>-9.1536156694330533</c:v>
                </c:pt>
                <c:pt idx="53">
                  <c:v>-9.6139701978767551</c:v>
                </c:pt>
                <c:pt idx="54">
                  <c:v>-10.051394814488731</c:v>
                </c:pt>
                <c:pt idx="55">
                  <c:v>-13.52417482348438</c:v>
                </c:pt>
                <c:pt idx="56">
                  <c:v>-15.99315188480846</c:v>
                </c:pt>
                <c:pt idx="57">
                  <c:v>-17.903849461349488</c:v>
                </c:pt>
                <c:pt idx="58">
                  <c:v>-19.458105823419412</c:v>
                </c:pt>
                <c:pt idx="59">
                  <c:v>-20.764436240120542</c:v>
                </c:pt>
                <c:pt idx="60">
                  <c:v>-21.88792090064705</c:v>
                </c:pt>
                <c:pt idx="61">
                  <c:v>-22.870685693998404</c:v>
                </c:pt>
                <c:pt idx="62">
                  <c:v>-23.741584647767247</c:v>
                </c:pt>
                <c:pt idx="63">
                  <c:v>-24.521264648915384</c:v>
                </c:pt>
                <c:pt idx="64">
                  <c:v>-25.225025012043446</c:v>
                </c:pt>
                <c:pt idx="65">
                  <c:v>-25.864531602420186</c:v>
                </c:pt>
                <c:pt idx="66">
                  <c:v>-26.44889511444012</c:v>
                </c:pt>
                <c:pt idx="67">
                  <c:v>-26.985376853998698</c:v>
                </c:pt>
                <c:pt idx="68">
                  <c:v>-27.479866344999657</c:v>
                </c:pt>
                <c:pt idx="69">
                  <c:v>-27.9372138120365</c:v>
                </c:pt>
                <c:pt idx="70">
                  <c:v>-28.361467351935801</c:v>
                </c:pt>
                <c:pt idx="71">
                  <c:v>-28.756045750063386</c:v>
                </c:pt>
                <c:pt idx="72">
                  <c:v>-29.123866780401197</c:v>
                </c:pt>
                <c:pt idx="73">
                  <c:v>-31.756369342143071</c:v>
                </c:pt>
                <c:pt idx="74">
                  <c:v>-33.254280636258699</c:v>
                </c:pt>
                <c:pt idx="75">
                  <c:v>-34.172863261861686</c:v>
                </c:pt>
                <c:pt idx="76">
                  <c:v>-34.767462630931561</c:v>
                </c:pt>
                <c:pt idx="77">
                  <c:v>-35.169765676856997</c:v>
                </c:pt>
                <c:pt idx="78">
                  <c:v>-35.452351339102833</c:v>
                </c:pt>
                <c:pt idx="79">
                  <c:v>-35.657294667105347</c:v>
                </c:pt>
                <c:pt idx="80">
                  <c:v>-35.810059456951159</c:v>
                </c:pt>
                <c:pt idx="81">
                  <c:v>-35.926650952142531</c:v>
                </c:pt>
                <c:pt idx="82">
                  <c:v>-36.017472632245443</c:v>
                </c:pt>
                <c:pt idx="83">
                  <c:v>-36.089491446241432</c:v>
                </c:pt>
                <c:pt idx="84">
                  <c:v>-36.147498348288309</c:v>
                </c:pt>
                <c:pt idx="85">
                  <c:v>-36.194866705997875</c:v>
                </c:pt>
                <c:pt idx="86">
                  <c:v>-36.234022437184976</c:v>
                </c:pt>
                <c:pt idx="87">
                  <c:v>-36.266743455148685</c:v>
                </c:pt>
                <c:pt idx="88">
                  <c:v>-36.294355147010364</c:v>
                </c:pt>
                <c:pt idx="89">
                  <c:v>-36.317860869084285</c:v>
                </c:pt>
                <c:pt idx="90">
                  <c:v>-36.338030854396109</c:v>
                </c:pt>
                <c:pt idx="91">
                  <c:v>-36.443259950461822</c:v>
                </c:pt>
                <c:pt idx="92">
                  <c:v>-36.480700927390004</c:v>
                </c:pt>
                <c:pt idx="93">
                  <c:v>-36.498140643930185</c:v>
                </c:pt>
                <c:pt idx="94">
                  <c:v>-36.507643507782682</c:v>
                </c:pt>
                <c:pt idx="95">
                  <c:v>-36.513383500662194</c:v>
                </c:pt>
                <c:pt idx="96">
                  <c:v>-36.517113041052738</c:v>
                </c:pt>
                <c:pt idx="97">
                  <c:v>-36.519671853677629</c:v>
                </c:pt>
                <c:pt idx="98">
                  <c:v>-36.521503082683161</c:v>
                </c:pt>
                <c:pt idx="99">
                  <c:v>-36.522858482257512</c:v>
                </c:pt>
                <c:pt idx="100">
                  <c:v>-36.52388965810394</c:v>
                </c:pt>
                <c:pt idx="101">
                  <c:v>-36.524692324846768</c:v>
                </c:pt>
                <c:pt idx="102">
                  <c:v>-36.525329321915251</c:v>
                </c:pt>
                <c:pt idx="103">
                  <c:v>-36.525843286750373</c:v>
                </c:pt>
                <c:pt idx="104">
                  <c:v>-36.526263974575983</c:v>
                </c:pt>
                <c:pt idx="105">
                  <c:v>-36.526612661239533</c:v>
                </c:pt>
                <c:pt idx="106">
                  <c:v>-36.526904885618414</c:v>
                </c:pt>
                <c:pt idx="107">
                  <c:v>-36.527152210462617</c:v>
                </c:pt>
                <c:pt idx="108">
                  <c:v>-36.527363383551489</c:v>
                </c:pt>
                <c:pt idx="109">
                  <c:v>-36.5284494928448</c:v>
                </c:pt>
                <c:pt idx="110">
                  <c:v>-36.528829695281409</c:v>
                </c:pt>
                <c:pt idx="111">
                  <c:v>-36.529005685964748</c:v>
                </c:pt>
                <c:pt idx="112">
                  <c:v>-36.529101288831633</c:v>
                </c:pt>
                <c:pt idx="113">
                  <c:v>-36.529158935362233</c:v>
                </c:pt>
                <c:pt idx="114">
                  <c:v>-36.529196350587256</c:v>
                </c:pt>
                <c:pt idx="115">
                  <c:v>-36.52922200252862</c:v>
                </c:pt>
                <c:pt idx="116">
                  <c:v>-36.52924035130436</c:v>
                </c:pt>
                <c:pt idx="117">
                  <c:v>-36.529253927373205</c:v>
                </c:pt>
                <c:pt idx="118">
                  <c:v>-36.529264253115315</c:v>
                </c:pt>
                <c:pt idx="119">
                  <c:v>-36.529272288987698</c:v>
                </c:pt>
                <c:pt idx="120">
                  <c:v>-36.529278665217035</c:v>
                </c:pt>
                <c:pt idx="121">
                  <c:v>-36.529283809240354</c:v>
                </c:pt>
                <c:pt idx="122">
                  <c:v>-36.529288019250991</c:v>
                </c:pt>
                <c:pt idx="123">
                  <c:v>-36.529291508407901</c:v>
                </c:pt>
                <c:pt idx="124">
                  <c:v>-36.52929443235751</c:v>
                </c:pt>
                <c:pt idx="125">
                  <c:v>-36.529296906897471</c:v>
                </c:pt>
                <c:pt idx="126">
                  <c:v>-36.529299019620645</c:v>
                </c:pt>
              </c:numCache>
            </c:numRef>
          </c:yVal>
          <c:smooth val="0"/>
          <c:extLst>
            <c:ext xmlns:c16="http://schemas.microsoft.com/office/drawing/2014/chart" uri="{C3380CC4-5D6E-409C-BE32-E72D297353CC}">
              <c16:uniqueId val="{00000000-85CD-408B-9CB0-37853C0C575C}"/>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Bode!$BA$11</c:f>
              <c:strCache>
                <c:ptCount val="1"/>
                <c:pt idx="0">
                  <c:v>CS2IMON_PHASE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Bode!$BA$12:$BA$138</c:f>
              <c:numCache>
                <c:formatCode>General</c:formatCode>
                <c:ptCount val="127"/>
                <c:pt idx="0">
                  <c:v>-0.45719012341848714</c:v>
                </c:pt>
                <c:pt idx="1">
                  <c:v>-0.68576666814794962</c:v>
                </c:pt>
                <c:pt idx="2">
                  <c:v>-0.91432099650941778</c:v>
                </c:pt>
                <c:pt idx="3">
                  <c:v>-1.1428457097244185</c:v>
                </c:pt>
                <c:pt idx="4">
                  <c:v>-1.3713334147338718</c:v>
                </c:pt>
                <c:pt idx="5">
                  <c:v>-1.5997767256228577</c:v>
                </c:pt>
                <c:pt idx="6">
                  <c:v>-1.8281682650417568</c:v>
                </c:pt>
                <c:pt idx="7">
                  <c:v>-2.0565006656234237</c:v>
                </c:pt>
                <c:pt idx="8">
                  <c:v>-2.2847665713954601</c:v>
                </c:pt>
                <c:pt idx="9">
                  <c:v>-2.5129586391870502</c:v>
                </c:pt>
                <c:pt idx="10">
                  <c:v>-2.7410695400295899</c:v>
                </c:pt>
                <c:pt idx="11">
                  <c:v>-2.9690919605505037</c:v>
                </c:pt>
                <c:pt idx="12">
                  <c:v>-3.1970186043598914</c:v>
                </c:pt>
                <c:pt idx="13">
                  <c:v>-3.4248421934283351</c:v>
                </c:pt>
                <c:pt idx="14">
                  <c:v>-3.6525554694568423</c:v>
                </c:pt>
                <c:pt idx="15">
                  <c:v>-3.8801511952365817</c:v>
                </c:pt>
                <c:pt idx="16">
                  <c:v>-4.1076221559992252</c:v>
                </c:pt>
                <c:pt idx="17">
                  <c:v>-4.3349611607561291</c:v>
                </c:pt>
                <c:pt idx="18">
                  <c:v>-4.5621610436266709</c:v>
                </c:pt>
                <c:pt idx="19">
                  <c:v>-6.82495222289438</c:v>
                </c:pt>
                <c:pt idx="20">
                  <c:v>-9.066184060385492</c:v>
                </c:pt>
                <c:pt idx="21">
                  <c:v>-11.279297141402081</c:v>
                </c:pt>
                <c:pt idx="22">
                  <c:v>-13.458232421140941</c:v>
                </c:pt>
                <c:pt idx="23">
                  <c:v>-15.597513642751879</c:v>
                </c:pt>
                <c:pt idx="24">
                  <c:v>-17.692306487408523</c:v>
                </c:pt>
                <c:pt idx="25">
                  <c:v>-19.738454110341294</c:v>
                </c:pt>
                <c:pt idx="26">
                  <c:v>-21.732490150236288</c:v>
                </c:pt>
                <c:pt idx="27">
                  <c:v>-23.671631446333659</c:v>
                </c:pt>
                <c:pt idx="28">
                  <c:v>-25.553753496292622</c:v>
                </c:pt>
                <c:pt idx="29">
                  <c:v>-27.377352128876108</c:v>
                </c:pt>
                <c:pt idx="30">
                  <c:v>-29.141494981267801</c:v>
                </c:pt>
                <c:pt idx="31">
                  <c:v>-30.845766221594072</c:v>
                </c:pt>
                <c:pt idx="32">
                  <c:v>-32.490207616281893</c:v>
                </c:pt>
                <c:pt idx="33">
                  <c:v>-34.075258582946972</c:v>
                </c:pt>
                <c:pt idx="34">
                  <c:v>-35.601697357931087</c:v>
                </c:pt>
                <c:pt idx="35">
                  <c:v>-37.070584895355928</c:v>
                </c:pt>
                <c:pt idx="36">
                  <c:v>-38.483212638631834</c:v>
                </c:pt>
                <c:pt idx="37">
                  <c:v>-49.88354310318956</c:v>
                </c:pt>
                <c:pt idx="38">
                  <c:v>-57.540599122019913</c:v>
                </c:pt>
                <c:pt idx="39">
                  <c:v>-62.836471912097906</c:v>
                </c:pt>
                <c:pt idx="40">
                  <c:v>-66.638071714367811</c:v>
                </c:pt>
                <c:pt idx="41">
                  <c:v>-69.461818744214924</c:v>
                </c:pt>
                <c:pt idx="42">
                  <c:v>-71.620531429728814</c:v>
                </c:pt>
                <c:pt idx="43">
                  <c:v>-73.310371206295514</c:v>
                </c:pt>
                <c:pt idx="44">
                  <c:v>-74.658988361349941</c:v>
                </c:pt>
                <c:pt idx="45">
                  <c:v>-75.752381115631579</c:v>
                </c:pt>
                <c:pt idx="46">
                  <c:v>-76.650314388373587</c:v>
                </c:pt>
                <c:pt idx="47">
                  <c:v>-77.395475841407745</c:v>
                </c:pt>
                <c:pt idx="48">
                  <c:v>-78.019098574519163</c:v>
                </c:pt>
                <c:pt idx="49">
                  <c:v>-78.54452406695745</c:v>
                </c:pt>
                <c:pt idx="50">
                  <c:v>-78.9895255192273</c:v>
                </c:pt>
                <c:pt idx="51">
                  <c:v>-79.36786262449931</c:v>
                </c:pt>
                <c:pt idx="52">
                  <c:v>-79.690346597476307</c:v>
                </c:pt>
                <c:pt idx="53">
                  <c:v>-79.965585251060588</c:v>
                </c:pt>
                <c:pt idx="54">
                  <c:v>-80.20051424990713</c:v>
                </c:pt>
                <c:pt idx="55">
                  <c:v>-81.208914139157088</c:v>
                </c:pt>
                <c:pt idx="56">
                  <c:v>-81.051483197614061</c:v>
                </c:pt>
                <c:pt idx="57">
                  <c:v>-80.428113152454685</c:v>
                </c:pt>
                <c:pt idx="58">
                  <c:v>-79.575345711314682</c:v>
                </c:pt>
                <c:pt idx="59">
                  <c:v>-78.595742766837873</c:v>
                </c:pt>
                <c:pt idx="60">
                  <c:v>-77.541323388407847</c:v>
                </c:pt>
                <c:pt idx="61">
                  <c:v>-76.441542081229073</c:v>
                </c:pt>
                <c:pt idx="62">
                  <c:v>-75.314514996167674</c:v>
                </c:pt>
                <c:pt idx="63">
                  <c:v>-74.172131270027506</c:v>
                </c:pt>
                <c:pt idx="64">
                  <c:v>-73.02261080119618</c:v>
                </c:pt>
                <c:pt idx="65">
                  <c:v>-71.871882020682975</c:v>
                </c:pt>
                <c:pt idx="66">
                  <c:v>-70.724369433574253</c:v>
                </c:pt>
                <c:pt idx="67">
                  <c:v>-69.583466508852112</c:v>
                </c:pt>
                <c:pt idx="68">
                  <c:v>-68.45183181330593</c:v>
                </c:pt>
                <c:pt idx="69">
                  <c:v>-67.331581412816149</c:v>
                </c:pt>
                <c:pt idx="70">
                  <c:v>-66.224418095527</c:v>
                </c:pt>
                <c:pt idx="71">
                  <c:v>-65.131720868786289</c:v>
                </c:pt>
                <c:pt idx="72">
                  <c:v>-64.054608769682702</c:v>
                </c:pt>
                <c:pt idx="73">
                  <c:v>-54.269256178241228</c:v>
                </c:pt>
                <c:pt idx="74">
                  <c:v>-46.339308459840048</c:v>
                </c:pt>
                <c:pt idx="75">
                  <c:v>-40.03996811868268</c:v>
                </c:pt>
                <c:pt idx="76">
                  <c:v>-35.035959374308419</c:v>
                </c:pt>
                <c:pt idx="77">
                  <c:v>-31.024690895429501</c:v>
                </c:pt>
                <c:pt idx="78">
                  <c:v>-27.768246314734114</c:v>
                </c:pt>
                <c:pt idx="79">
                  <c:v>-25.088554205056958</c:v>
                </c:pt>
                <c:pt idx="80">
                  <c:v>-22.854255233040142</c:v>
                </c:pt>
                <c:pt idx="81">
                  <c:v>-20.968343979499785</c:v>
                </c:pt>
                <c:pt idx="82">
                  <c:v>-19.358588733044986</c:v>
                </c:pt>
                <c:pt idx="83">
                  <c:v>-17.970584633885835</c:v>
                </c:pt>
                <c:pt idx="84">
                  <c:v>-16.762833348380024</c:v>
                </c:pt>
                <c:pt idx="85">
                  <c:v>-15.703274659841632</c:v>
                </c:pt>
                <c:pt idx="86">
                  <c:v>-14.766831269399157</c:v>
                </c:pt>
                <c:pt idx="87">
                  <c:v>-13.933655824455741</c:v>
                </c:pt>
                <c:pt idx="88">
                  <c:v>-13.1878658832574</c:v>
                </c:pt>
                <c:pt idx="89">
                  <c:v>-12.516620404666698</c:v>
                </c:pt>
                <c:pt idx="90">
                  <c:v>-11.90943761495152</c:v>
                </c:pt>
                <c:pt idx="91">
                  <c:v>-8.0046750330852152</c:v>
                </c:pt>
                <c:pt idx="92">
                  <c:v>-6.0209226582073034</c:v>
                </c:pt>
                <c:pt idx="93">
                  <c:v>-4.8232362999947327</c:v>
                </c:pt>
                <c:pt idx="94">
                  <c:v>-4.0223161195724826</c:v>
                </c:pt>
                <c:pt idx="95">
                  <c:v>-3.4492287088312614</c:v>
                </c:pt>
                <c:pt idx="96">
                  <c:v>-3.0189446907228565</c:v>
                </c:pt>
                <c:pt idx="97">
                  <c:v>-2.6840367854823373</c:v>
                </c:pt>
                <c:pt idx="98">
                  <c:v>-2.4159747628871018</c:v>
                </c:pt>
                <c:pt idx="99">
                  <c:v>-2.1965706008941268</c:v>
                </c:pt>
                <c:pt idx="100">
                  <c:v>-2.0136833951381115</c:v>
                </c:pt>
                <c:pt idx="101">
                  <c:v>-1.8588998883177643</c:v>
                </c:pt>
                <c:pt idx="102">
                  <c:v>-1.7262062320103562</c:v>
                </c:pt>
                <c:pt idx="103">
                  <c:v>-1.6111897588782131</c:v>
                </c:pt>
                <c:pt idx="104">
                  <c:v>-1.5105394666430936</c:v>
                </c:pt>
                <c:pt idx="105">
                  <c:v>-1.4217224819492569</c:v>
                </c:pt>
                <c:pt idx="106">
                  <c:v>-1.3427681976030899</c:v>
                </c:pt>
                <c:pt idx="107">
                  <c:v>-1.2721204806608688</c:v>
                </c:pt>
                <c:pt idx="108">
                  <c:v>-1.2085341621685153</c:v>
                </c:pt>
                <c:pt idx="109">
                  <c:v>-0.80575701006217948</c:v>
                </c:pt>
                <c:pt idx="110">
                  <c:v>-0.6043354979021367</c:v>
                </c:pt>
                <c:pt idx="111">
                  <c:v>-0.483474967826727</c:v>
                </c:pt>
                <c:pt idx="112">
                  <c:v>-0.40289878048387351</c:v>
                </c:pt>
                <c:pt idx="113">
                  <c:v>-0.3453433489087599</c:v>
                </c:pt>
                <c:pt idx="114">
                  <c:v>-0.30217630321939404</c:v>
                </c:pt>
                <c:pt idx="115">
                  <c:v>-0.26860169039874437</c:v>
                </c:pt>
                <c:pt idx="116">
                  <c:v>-0.24174186383186871</c:v>
                </c:pt>
                <c:pt idx="117">
                  <c:v>-0.21976556111297832</c:v>
                </c:pt>
                <c:pt idx="118">
                  <c:v>-0.20145192495884598</c:v>
                </c:pt>
                <c:pt idx="119">
                  <c:v>-0.18595573841339139</c:v>
                </c:pt>
                <c:pt idx="120">
                  <c:v>-0.17267327067683866</c:v>
                </c:pt>
                <c:pt idx="121">
                  <c:v>-0.16116178330603784</c:v>
                </c:pt>
                <c:pt idx="122">
                  <c:v>-0.15108922096094965</c:v>
                </c:pt>
                <c:pt idx="123">
                  <c:v>-0.14220165803617513</c:v>
                </c:pt>
                <c:pt idx="124">
                  <c:v>-0.13430159624226193</c:v>
                </c:pt>
                <c:pt idx="125">
                  <c:v>-0.12723311548556143</c:v>
                </c:pt>
                <c:pt idx="126">
                  <c:v>-0.12087147942793608</c:v>
                </c:pt>
              </c:numCache>
            </c:numRef>
          </c:yVal>
          <c:smooth val="0"/>
          <c:extLst>
            <c:ext xmlns:c16="http://schemas.microsoft.com/office/drawing/2014/chart" uri="{C3380CC4-5D6E-409C-BE32-E72D297353CC}">
              <c16:uniqueId val="{00000001-85CD-408B-9CB0-37853C0C575C}"/>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zh-TW"/>
          </a:p>
        </c:txPr>
        <c:crossAx val="80978688"/>
        <c:crossesAt val="-40"/>
        <c:crossBetween val="midCat"/>
        <c:majorUnit val="10"/>
        <c:minorUnit val="10"/>
      </c:valAx>
      <c:valAx>
        <c:axId val="80978688"/>
        <c:scaling>
          <c:orientation val="minMax"/>
          <c:max val="60"/>
          <c:min val="-10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zh-TW"/>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zh-TW"/>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zh-TW"/>
    </a:p>
  </c:txPr>
  <c:printSettings>
    <c:headerFooter alignWithMargins="0"/>
    <c:pageMargins b="1" l="0.75000000000000167" r="0.75000000000000167" t="1" header="0.5" footer="0.5"/>
    <c:pageSetup/>
  </c:printSettings>
</c:chartSpace>
</file>

<file path=xl/ctrlProps/ctrlProp1.xml><?xml version="1.0" encoding="utf-8"?>
<formControlPr xmlns="http://schemas.microsoft.com/office/spreadsheetml/2009/9/main" objectType="Drop" dropStyle="combo" dx="22" fmlaRange="$1:$1048576" noThreeD="1" sel="0" val="0"/>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5.png"/><Relationship Id="rId7" Type="http://schemas.openxmlformats.org/officeDocument/2006/relationships/image" Target="../media/image9.emf"/><Relationship Id="rId2" Type="http://schemas.openxmlformats.org/officeDocument/2006/relationships/image" Target="../media/image4.jpg"/><Relationship Id="rId1" Type="http://schemas.openxmlformats.org/officeDocument/2006/relationships/image" Target="../media/image3.png"/><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1.emf"/><Relationship Id="rId5" Type="http://schemas.openxmlformats.org/officeDocument/2006/relationships/image" Target="../media/image15.emf"/><Relationship Id="rId4" Type="http://schemas.openxmlformats.org/officeDocument/2006/relationships/image" Target="../media/image14.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16</xdr:row>
      <xdr:rowOff>57151</xdr:rowOff>
    </xdr:from>
    <xdr:to>
      <xdr:col>4</xdr:col>
      <xdr:colOff>512445</xdr:colOff>
      <xdr:row>29</xdr:row>
      <xdr:rowOff>56177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57225" y="3124201"/>
          <a:ext cx="2748915" cy="2227876"/>
        </a:xfrm>
        <a:prstGeom prst="rect">
          <a:avLst/>
        </a:prstGeom>
        <a:ln w="12700">
          <a:solidFill>
            <a:schemeClr val="bg1">
              <a:lumMod val="65000"/>
            </a:schemeClr>
          </a:solidFill>
        </a:ln>
      </xdr:spPr>
    </xdr:pic>
    <xdr:clientData/>
  </xdr:twoCellAnchor>
  <xdr:twoCellAnchor editAs="oneCell">
    <xdr:from>
      <xdr:col>1</xdr:col>
      <xdr:colOff>0</xdr:colOff>
      <xdr:row>44</xdr:row>
      <xdr:rowOff>76200</xdr:rowOff>
    </xdr:from>
    <xdr:to>
      <xdr:col>3</xdr:col>
      <xdr:colOff>285750</xdr:colOff>
      <xdr:row>54</xdr:row>
      <xdr:rowOff>95335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609600" y="8105775"/>
          <a:ext cx="1952625" cy="1726015"/>
        </a:xfrm>
        <a:prstGeom prst="rect">
          <a:avLst/>
        </a:prstGeom>
        <a:ln w="12700">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604630</xdr:colOff>
      <xdr:row>0</xdr:row>
      <xdr:rowOff>505239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19050"/>
          <a:ext cx="9060925" cy="48809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solidFill>
                <a:schemeClr val="bg1"/>
              </a:solidFill>
              <a:latin typeface="+mn-lt"/>
            </a:rPr>
            <a:t>     LM(2)5190(-Q1)</a:t>
          </a:r>
          <a:r>
            <a:rPr lang="en-US" sz="2400" baseline="0">
              <a:solidFill>
                <a:schemeClr val="bg1"/>
              </a:solidFill>
              <a:latin typeface="+mn-lt"/>
            </a:rPr>
            <a:t> </a:t>
          </a:r>
          <a:r>
            <a:rPr lang="en-US" sz="2400">
              <a:solidFill>
                <a:schemeClr val="bg1"/>
              </a:solidFill>
              <a:latin typeface="+mn-lt"/>
            </a:rPr>
            <a:t>CCCV Buck Converter Design Tool</a:t>
          </a:r>
        </a:p>
      </xdr:txBody>
    </xdr:sp>
    <xdr:clientData/>
  </xdr:twoCellAnchor>
  <mc:AlternateContent xmlns:mc="http://schemas.openxmlformats.org/markup-compatibility/2006">
    <mc:Choice xmlns:a14="http://schemas.microsoft.com/office/drawing/2010/main" Requires="a14">
      <xdr:twoCellAnchor editAs="oneCell">
        <xdr:from>
          <xdr:col>13</xdr:col>
          <xdr:colOff>276225</xdr:colOff>
          <xdr:row>1</xdr:row>
          <xdr:rowOff>352425</xdr:rowOff>
        </xdr:from>
        <xdr:to>
          <xdr:col>14</xdr:col>
          <xdr:colOff>209550</xdr:colOff>
          <xdr:row>2</xdr:row>
          <xdr:rowOff>66675</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15</xdr:col>
      <xdr:colOff>493572</xdr:colOff>
      <xdr:row>0</xdr:row>
      <xdr:rowOff>45719</xdr:rowOff>
    </xdr:from>
    <xdr:to>
      <xdr:col>18</xdr:col>
      <xdr:colOff>131622</xdr:colOff>
      <xdr:row>4</xdr:row>
      <xdr:rowOff>1483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747" y="47624"/>
          <a:ext cx="1480185" cy="973034"/>
        </a:xfrm>
        <a:prstGeom prst="rect">
          <a:avLst/>
        </a:prstGeom>
      </xdr:spPr>
    </xdr:pic>
    <xdr:clientData/>
  </xdr:twoCellAnchor>
  <xdr:twoCellAnchor>
    <xdr:from>
      <xdr:col>12</xdr:col>
      <xdr:colOff>46811</xdr:colOff>
      <xdr:row>0</xdr:row>
      <xdr:rowOff>35837</xdr:rowOff>
    </xdr:from>
    <xdr:to>
      <xdr:col>15</xdr:col>
      <xdr:colOff>484338</xdr:colOff>
      <xdr:row>2</xdr:row>
      <xdr:rowOff>143862</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8605704" y="35837"/>
          <a:ext cx="2213259" cy="788382"/>
          <a:chOff x="12832760" y="60287"/>
          <a:chExt cx="2305218" cy="902590"/>
        </a:xfrm>
      </xdr:grpSpPr>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834797" y="60287"/>
            <a:ext cx="2303181" cy="671944"/>
          </a:xfrm>
          <a:prstGeom prst="rect">
            <a:avLst/>
          </a:prstGeom>
        </xdr:spPr>
      </xdr:pic>
      <xdr:pic>
        <xdr:nvPicPr>
          <xdr:cNvPr id="7" name="Picture 6">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832760" y="609649"/>
            <a:ext cx="2305086" cy="353228"/>
          </a:xfrm>
          <a:prstGeom prst="rect">
            <a:avLst/>
          </a:prstGeom>
          <a:noFill/>
          <a:ln>
            <a:noFill/>
          </a:ln>
        </xdr:spPr>
      </xdr:pic>
    </xdr:grpSp>
    <xdr:clientData/>
  </xdr:twoCellAnchor>
  <mc:AlternateContent xmlns:mc="http://schemas.openxmlformats.org/markup-compatibility/2006">
    <mc:Choice xmlns:a14="http://schemas.microsoft.com/office/drawing/2010/main" Requires="a14">
      <xdr:twoCellAnchor editAs="oneCell">
        <xdr:from>
          <xdr:col>8</xdr:col>
          <xdr:colOff>495004</xdr:colOff>
          <xdr:row>120</xdr:row>
          <xdr:rowOff>19793</xdr:rowOff>
        </xdr:from>
        <xdr:to>
          <xdr:col>21</xdr:col>
          <xdr:colOff>3199</xdr:colOff>
          <xdr:row>141</xdr:row>
          <xdr:rowOff>172902</xdr:rowOff>
        </xdr:to>
        <xdr:pic>
          <xdr:nvPicPr>
            <xdr:cNvPr id="13" name="Picture 12">
              <a:extLst>
                <a:ext uri="{FF2B5EF4-FFF2-40B4-BE49-F238E27FC236}">
                  <a16:creationId xmlns:a16="http://schemas.microsoft.com/office/drawing/2014/main" id="{00000000-0008-0000-0100-00000D000000}"/>
                </a:ext>
              </a:extLst>
            </xdr:cNvPr>
            <xdr:cNvPicPr>
              <a:picLocks noChangeAspect="1"/>
              <a:extLst>
                <a:ext uri="{84589F7E-364E-4C9E-8A38-B11213B215E9}">
                  <a14:cameraTool cellRange="EfficiencyChart" spid="_x0000_s46416"/>
                </a:ext>
              </a:extLst>
            </xdr:cNvPicPr>
          </xdr:nvPicPr>
          <xdr:blipFill>
            <a:blip xmlns:r="http://schemas.openxmlformats.org/officeDocument/2006/relationships" r:embed="rId4"/>
            <a:stretch>
              <a:fillRect/>
            </a:stretch>
          </xdr:blipFill>
          <xdr:spPr>
            <a:xfrm>
              <a:off x="6087540" y="23573757"/>
              <a:ext cx="7461169" cy="4333042"/>
            </a:xfrm>
            <a:prstGeom prst="rect">
              <a:avLst/>
            </a:prstGeom>
            <a:noFill/>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15514</xdr:colOff>
          <xdr:row>5</xdr:row>
          <xdr:rowOff>174989</xdr:rowOff>
        </xdr:from>
        <xdr:to>
          <xdr:col>21</xdr:col>
          <xdr:colOff>136708</xdr:colOff>
          <xdr:row>30</xdr:row>
          <xdr:rowOff>425</xdr:rowOff>
        </xdr:to>
        <xdr:pic>
          <xdr:nvPicPr>
            <xdr:cNvPr id="14" name="Picture 13">
              <a:extLst>
                <a:ext uri="{FF2B5EF4-FFF2-40B4-BE49-F238E27FC236}">
                  <a16:creationId xmlns:a16="http://schemas.microsoft.com/office/drawing/2014/main" id="{00000000-0008-0000-0100-00000E000000}"/>
                </a:ext>
              </a:extLst>
            </xdr:cNvPr>
            <xdr:cNvPicPr>
              <a:picLocks noChangeAspect="1"/>
              <a:extLst>
                <a:ext uri="{84589F7E-364E-4C9E-8A38-B11213B215E9}">
                  <a14:cameraTool cellRange="SCHEMATIC_LINK" spid="_x0000_s46417"/>
                </a:ext>
              </a:extLst>
            </xdr:cNvPicPr>
          </xdr:nvPicPr>
          <xdr:blipFill>
            <a:blip xmlns:r="http://schemas.openxmlformats.org/officeDocument/2006/relationships" r:embed="rId5"/>
            <a:stretch>
              <a:fillRect/>
            </a:stretch>
          </xdr:blipFill>
          <xdr:spPr>
            <a:xfrm>
              <a:off x="6220371" y="1426846"/>
              <a:ext cx="7468416" cy="4710400"/>
            </a:xfrm>
            <a:prstGeom prst="rect">
              <a:avLst/>
            </a:prstGeom>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544174</xdr:colOff>
          <xdr:row>74</xdr:row>
          <xdr:rowOff>122656</xdr:rowOff>
        </xdr:from>
        <xdr:to>
          <xdr:col>21</xdr:col>
          <xdr:colOff>58500</xdr:colOff>
          <xdr:row>96</xdr:row>
          <xdr:rowOff>169865</xdr:rowOff>
        </xdr:to>
        <xdr:pic>
          <xdr:nvPicPr>
            <xdr:cNvPr id="12" name="Picture 11">
              <a:extLst>
                <a:ext uri="{FF2B5EF4-FFF2-40B4-BE49-F238E27FC236}">
                  <a16:creationId xmlns:a16="http://schemas.microsoft.com/office/drawing/2014/main" id="{00000000-0008-0000-0100-00000C000000}"/>
                </a:ext>
              </a:extLst>
            </xdr:cNvPr>
            <xdr:cNvPicPr>
              <a:picLocks noChangeAspect="1"/>
              <a:extLst>
                <a:ext uri="{84589F7E-364E-4C9E-8A38-B11213B215E9}">
                  <a14:cameraTool cellRange="CV_LOOP" spid="_x0000_s46418"/>
                </a:ext>
              </a:extLst>
            </xdr:cNvPicPr>
          </xdr:nvPicPr>
          <xdr:blipFill>
            <a:blip xmlns:r="http://schemas.openxmlformats.org/officeDocument/2006/relationships" r:embed="rId6"/>
            <a:stretch>
              <a:fillRect/>
            </a:stretch>
          </xdr:blipFill>
          <xdr:spPr>
            <a:xfrm>
              <a:off x="6136710" y="14614263"/>
              <a:ext cx="7461169" cy="4343256"/>
            </a:xfrm>
            <a:prstGeom prst="rect">
              <a:avLst/>
            </a:prstGeom>
            <a:noFill/>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530679</xdr:colOff>
          <xdr:row>97</xdr:row>
          <xdr:rowOff>149679</xdr:rowOff>
        </xdr:from>
        <xdr:to>
          <xdr:col>21</xdr:col>
          <xdr:colOff>22781</xdr:colOff>
          <xdr:row>119</xdr:row>
          <xdr:rowOff>111436</xdr:rowOff>
        </xdr:to>
        <xdr:pic>
          <xdr:nvPicPr>
            <xdr:cNvPr id="15" name="Picture 14">
              <a:extLst>
                <a:ext uri="{FF2B5EF4-FFF2-40B4-BE49-F238E27FC236}">
                  <a16:creationId xmlns:a16="http://schemas.microsoft.com/office/drawing/2014/main" id="{00000000-0008-0000-0100-00000F000000}"/>
                </a:ext>
              </a:extLst>
            </xdr:cNvPr>
            <xdr:cNvPicPr>
              <a:picLocks noChangeAspect="1"/>
              <a:extLst>
                <a:ext uri="{84589F7E-364E-4C9E-8A38-B11213B215E9}">
                  <a14:cameraTool cellRange="CC_LOOP" spid="_x0000_s46419"/>
                </a:ext>
              </a:extLst>
            </xdr:cNvPicPr>
          </xdr:nvPicPr>
          <xdr:blipFill>
            <a:blip xmlns:r="http://schemas.openxmlformats.org/officeDocument/2006/relationships" r:embed="rId7"/>
            <a:stretch>
              <a:fillRect/>
            </a:stretch>
          </xdr:blipFill>
          <xdr:spPr>
            <a:xfrm>
              <a:off x="6123215" y="19145250"/>
              <a:ext cx="7461170" cy="4343256"/>
            </a:xfrm>
            <a:prstGeom prst="rect">
              <a:avLst/>
            </a:prstGeom>
            <a:noFill/>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3808</xdr:colOff>
          <xdr:row>34</xdr:row>
          <xdr:rowOff>62322</xdr:rowOff>
        </xdr:from>
        <xdr:to>
          <xdr:col>21</xdr:col>
          <xdr:colOff>211364</xdr:colOff>
          <xdr:row>59</xdr:row>
          <xdr:rowOff>15508</xdr:rowOff>
        </xdr:to>
        <xdr:pic>
          <xdr:nvPicPr>
            <xdr:cNvPr id="16" name="Picture 15">
              <a:extLst>
                <a:ext uri="{FF2B5EF4-FFF2-40B4-BE49-F238E27FC236}">
                  <a16:creationId xmlns:a16="http://schemas.microsoft.com/office/drawing/2014/main" id="{00000000-0008-0000-0100-000010000000}"/>
                </a:ext>
              </a:extLst>
            </xdr:cNvPr>
            <xdr:cNvPicPr>
              <a:picLocks noChangeAspect="1"/>
              <a:extLst>
                <a:ext uri="{84589F7E-364E-4C9E-8A38-B11213B215E9}">
                  <a14:cameraTool cellRange="PCB_TYPICAL1" spid="_x0000_s46420"/>
                </a:ext>
              </a:extLst>
            </xdr:cNvPicPr>
          </xdr:nvPicPr>
          <xdr:blipFill>
            <a:blip xmlns:r="http://schemas.openxmlformats.org/officeDocument/2006/relationships" r:embed="rId8"/>
            <a:stretch>
              <a:fillRect/>
            </a:stretch>
          </xdr:blipFill>
          <xdr:spPr>
            <a:xfrm>
              <a:off x="6208665" y="6961143"/>
              <a:ext cx="7559223" cy="4777740"/>
            </a:xfrm>
            <a:prstGeom prst="rect">
              <a:avLst/>
            </a:prstGeom>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148</xdr:row>
          <xdr:rowOff>95250</xdr:rowOff>
        </xdr:from>
        <xdr:to>
          <xdr:col>12</xdr:col>
          <xdr:colOff>476250</xdr:colOff>
          <xdr:row>151</xdr:row>
          <xdr:rowOff>28575</xdr:rowOff>
        </xdr:to>
        <xdr:sp macro="" textlink="">
          <xdr:nvSpPr>
            <xdr:cNvPr id="19955" name="Button 2547" hidden="1">
              <a:extLst>
                <a:ext uri="{63B3BB69-23CF-44E3-9099-C40C66FF867C}">
                  <a14:compatExt spid="_x0000_s19955"/>
                </a:ext>
                <a:ext uri="{FF2B5EF4-FFF2-40B4-BE49-F238E27FC236}">
                  <a16:creationId xmlns:a16="http://schemas.microsoft.com/office/drawing/2014/main" id="{00000000-0008-0000-0100-0000F34D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zh-TW" altLang="en-US" sz="1000" b="1" i="0" u="none" strike="noStrike" baseline="0">
                  <a:solidFill>
                    <a:srgbClr val="000000"/>
                  </a:solidFill>
                  <a:latin typeface="Arial"/>
                  <a:cs typeface="Arial"/>
                </a:rPr>
                <a:t>MORE INFOMATION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523875</xdr:colOff>
          <xdr:row>148</xdr:row>
          <xdr:rowOff>85725</xdr:rowOff>
        </xdr:from>
        <xdr:to>
          <xdr:col>10</xdr:col>
          <xdr:colOff>323850</xdr:colOff>
          <xdr:row>150</xdr:row>
          <xdr:rowOff>104775</xdr:rowOff>
        </xdr:to>
        <xdr:sp macro="" textlink="">
          <xdr:nvSpPr>
            <xdr:cNvPr id="19956" name="Button 2548" hidden="1">
              <a:extLst>
                <a:ext uri="{63B3BB69-23CF-44E3-9099-C40C66FF867C}">
                  <a14:compatExt spid="_x0000_s19956"/>
                </a:ext>
                <a:ext uri="{FF2B5EF4-FFF2-40B4-BE49-F238E27FC236}">
                  <a16:creationId xmlns:a16="http://schemas.microsoft.com/office/drawing/2014/main" id="{00000000-0008-0000-0100-0000F44D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zh-TW" altLang="en-US" sz="1000" b="1" i="0" u="none" strike="noStrike" baseline="0">
                  <a:solidFill>
                    <a:srgbClr val="000000"/>
                  </a:solidFill>
                  <a:latin typeface="Arial"/>
                  <a:cs typeface="Arial"/>
                </a:rPr>
                <a:t>PRINT NOW</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240457</xdr:colOff>
      <xdr:row>22</xdr:row>
      <xdr:rowOff>130925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1820952" cy="41161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76200</xdr:rowOff>
        </xdr:from>
        <xdr:to>
          <xdr:col>0</xdr:col>
          <xdr:colOff>7200900</xdr:colOff>
          <xdr:row>0</xdr:row>
          <xdr:rowOff>4943475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xdr:row>
          <xdr:rowOff>57150</xdr:rowOff>
        </xdr:from>
        <xdr:to>
          <xdr:col>0</xdr:col>
          <xdr:colOff>7181850</xdr:colOff>
          <xdr:row>1</xdr:row>
          <xdr:rowOff>4352925</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513262</xdr:colOff>
      <xdr:row>0</xdr:row>
      <xdr:rowOff>132262</xdr:rowOff>
    </xdr:from>
    <xdr:to>
      <xdr:col>7</xdr:col>
      <xdr:colOff>834391</xdr:colOff>
      <xdr:row>0</xdr:row>
      <xdr:rowOff>3789862</xdr:rowOff>
    </xdr:to>
    <xdr:graphicFrame macro="">
      <xdr:nvGraphicFramePr>
        <xdr:cNvPr id="2" name="Chart 1029">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0</xdr:row>
      <xdr:rowOff>68035</xdr:rowOff>
    </xdr:from>
    <xdr:to>
      <xdr:col>0</xdr:col>
      <xdr:colOff>7728190</xdr:colOff>
      <xdr:row>0</xdr:row>
      <xdr:rowOff>4699610</xdr:rowOff>
    </xdr:to>
    <xdr:graphicFrame macro="">
      <xdr:nvGraphicFramePr>
        <xdr:cNvPr id="3" name="Chart 1029">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40821</xdr:colOff>
      <xdr:row>0</xdr:row>
      <xdr:rowOff>149678</xdr:rowOff>
    </xdr:from>
    <xdr:to>
      <xdr:col>11</xdr:col>
      <xdr:colOff>856161</xdr:colOff>
      <xdr:row>0</xdr:row>
      <xdr:rowOff>3807278</xdr:rowOff>
    </xdr:to>
    <xdr:graphicFrame macro="">
      <xdr:nvGraphicFramePr>
        <xdr:cNvPr id="4" name="Chart 1029">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74023</xdr:colOff>
      <xdr:row>0</xdr:row>
      <xdr:rowOff>163287</xdr:rowOff>
    </xdr:from>
    <xdr:to>
      <xdr:col>16</xdr:col>
      <xdr:colOff>626473</xdr:colOff>
      <xdr:row>0</xdr:row>
      <xdr:rowOff>3820887</xdr:rowOff>
    </xdr:to>
    <xdr:graphicFrame macro="">
      <xdr:nvGraphicFramePr>
        <xdr:cNvPr id="5" name="Chart 1029">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834736</xdr:colOff>
      <xdr:row>0</xdr:row>
      <xdr:rowOff>134735</xdr:rowOff>
    </xdr:from>
    <xdr:to>
      <xdr:col>22</xdr:col>
      <xdr:colOff>206086</xdr:colOff>
      <xdr:row>0</xdr:row>
      <xdr:rowOff>3792335</xdr:rowOff>
    </xdr:to>
    <xdr:graphicFrame macro="">
      <xdr:nvGraphicFramePr>
        <xdr:cNvPr id="6" name="Chart 1029">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419101</xdr:colOff>
      <xdr:row>0</xdr:row>
      <xdr:rowOff>126274</xdr:rowOff>
    </xdr:from>
    <xdr:to>
      <xdr:col>28</xdr:col>
      <xdr:colOff>742951</xdr:colOff>
      <xdr:row>0</xdr:row>
      <xdr:rowOff>3783874</xdr:rowOff>
    </xdr:to>
    <xdr:graphicFrame macro="">
      <xdr:nvGraphicFramePr>
        <xdr:cNvPr id="8" name="Chart 1029">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xdr:col>
      <xdr:colOff>964474</xdr:colOff>
      <xdr:row>0</xdr:row>
      <xdr:rowOff>66947</xdr:rowOff>
    </xdr:from>
    <xdr:to>
      <xdr:col>32</xdr:col>
      <xdr:colOff>516799</xdr:colOff>
      <xdr:row>0</xdr:row>
      <xdr:rowOff>3724547</xdr:rowOff>
    </xdr:to>
    <xdr:graphicFrame macro="">
      <xdr:nvGraphicFramePr>
        <xdr:cNvPr id="9" name="Chart 1029">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33</xdr:col>
      <xdr:colOff>38100</xdr:colOff>
      <xdr:row>0</xdr:row>
      <xdr:rowOff>76200</xdr:rowOff>
    </xdr:from>
    <xdr:to>
      <xdr:col>41</xdr:col>
      <xdr:colOff>285750</xdr:colOff>
      <xdr:row>0</xdr:row>
      <xdr:rowOff>3733800</xdr:rowOff>
    </xdr:to>
    <xdr:graphicFrame macro="">
      <xdr:nvGraphicFramePr>
        <xdr:cNvPr id="10" name="Chart 1029">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0</xdr:col>
      <xdr:colOff>5598722</xdr:colOff>
      <xdr:row>0</xdr:row>
      <xdr:rowOff>4091668</xdr:rowOff>
    </xdr:from>
    <xdr:ext cx="1877886" cy="311496"/>
    <xdr:sp macro="" textlink="AJ3">
      <xdr:nvSpPr>
        <xdr:cNvPr id="13" name="TextBox 12">
          <a:extLst>
            <a:ext uri="{FF2B5EF4-FFF2-40B4-BE49-F238E27FC236}">
              <a16:creationId xmlns:a16="http://schemas.microsoft.com/office/drawing/2014/main" id="{00000000-0008-0000-0600-00000D000000}"/>
            </a:ext>
          </a:extLst>
        </xdr:cNvPr>
        <xdr:cNvSpPr txBox="1"/>
      </xdr:nvSpPr>
      <xdr:spPr>
        <a:xfrm>
          <a:off x="5598722" y="4091668"/>
          <a:ext cx="187788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06E26DD-B31F-43D5-897F-A3BFA40A8662}" type="TxLink">
            <a:rPr lang="en-US" sz="1400" b="1" i="0" u="none" strike="noStrike">
              <a:solidFill>
                <a:srgbClr val="000000"/>
              </a:solidFill>
              <a:latin typeface="Arial"/>
              <a:cs typeface="Arial"/>
            </a:rPr>
            <a:pPr/>
            <a:t>Phase Margin = 63 °</a:t>
          </a:fld>
          <a:endParaRPr lang="en-US" sz="1100"/>
        </a:p>
      </xdr:txBody>
    </xdr:sp>
    <xdr:clientData/>
  </xdr:oneCellAnchor>
  <xdr:oneCellAnchor>
    <xdr:from>
      <xdr:col>0</xdr:col>
      <xdr:colOff>5581898</xdr:colOff>
      <xdr:row>0</xdr:row>
      <xdr:rowOff>4356586</xdr:rowOff>
    </xdr:from>
    <xdr:ext cx="2065181" cy="311496"/>
    <xdr:sp macro="" textlink="AO3">
      <xdr:nvSpPr>
        <xdr:cNvPr id="14" name="TextBox 13">
          <a:extLst>
            <a:ext uri="{FF2B5EF4-FFF2-40B4-BE49-F238E27FC236}">
              <a16:creationId xmlns:a16="http://schemas.microsoft.com/office/drawing/2014/main" id="{00000000-0008-0000-0600-00000E000000}"/>
            </a:ext>
          </a:extLst>
        </xdr:cNvPr>
        <xdr:cNvSpPr txBox="1"/>
      </xdr:nvSpPr>
      <xdr:spPr>
        <a:xfrm>
          <a:off x="5581898" y="4356586"/>
          <a:ext cx="206518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2A12C8C-E88B-4B4F-ABB4-625F95085B6D}" type="TxLink">
            <a:rPr lang="en-US" sz="1400" b="1" i="0" u="none" strike="noStrike">
              <a:solidFill>
                <a:srgbClr val="000000"/>
              </a:solidFill>
              <a:latin typeface="Arial"/>
              <a:cs typeface="Arial"/>
            </a:rPr>
            <a:pPr/>
            <a:t>Gain Margin = 44.2 dB</a:t>
          </a:fld>
          <a:endParaRPr lang="en-US" sz="1100"/>
        </a:p>
      </xdr:txBody>
    </xdr:sp>
    <xdr:clientData/>
  </xdr:oneCellAnchor>
  <xdr:twoCellAnchor>
    <xdr:from>
      <xdr:col>47</xdr:col>
      <xdr:colOff>0</xdr:colOff>
      <xdr:row>0</xdr:row>
      <xdr:rowOff>0</xdr:rowOff>
    </xdr:from>
    <xdr:to>
      <xdr:col>52</xdr:col>
      <xdr:colOff>238670</xdr:colOff>
      <xdr:row>0</xdr:row>
      <xdr:rowOff>3657600</xdr:rowOff>
    </xdr:to>
    <xdr:graphicFrame macro="">
      <xdr:nvGraphicFramePr>
        <xdr:cNvPr id="15" name="Chart 1029">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53</xdr:col>
      <xdr:colOff>0</xdr:colOff>
      <xdr:row>0</xdr:row>
      <xdr:rowOff>0</xdr:rowOff>
    </xdr:from>
    <xdr:to>
      <xdr:col>56</xdr:col>
      <xdr:colOff>1031421</xdr:colOff>
      <xdr:row>0</xdr:row>
      <xdr:rowOff>3657600</xdr:rowOff>
    </xdr:to>
    <xdr:graphicFrame macro="">
      <xdr:nvGraphicFramePr>
        <xdr:cNvPr id="16" name="Chart 1029">
          <a:extLst>
            <a:ext uri="{FF2B5EF4-FFF2-40B4-BE49-F238E27FC236}">
              <a16:creationId xmlns:a16="http://schemas.microsoft.com/office/drawing/2014/main" id="{00000000-0008-0000-0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57</xdr:col>
      <xdr:colOff>0</xdr:colOff>
      <xdr:row>0</xdr:row>
      <xdr:rowOff>0</xdr:rowOff>
    </xdr:from>
    <xdr:to>
      <xdr:col>60</xdr:col>
      <xdr:colOff>525780</xdr:colOff>
      <xdr:row>0</xdr:row>
      <xdr:rowOff>3657600</xdr:rowOff>
    </xdr:to>
    <xdr:graphicFrame macro="">
      <xdr:nvGraphicFramePr>
        <xdr:cNvPr id="17" name="Chart 1029">
          <a:extLst>
            <a:ext uri="{FF2B5EF4-FFF2-40B4-BE49-F238E27FC236}">
              <a16:creationId xmlns:a16="http://schemas.microsoft.com/office/drawing/2014/main" id="{00000000-0008-0000-0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61</xdr:col>
      <xdr:colOff>0</xdr:colOff>
      <xdr:row>0</xdr:row>
      <xdr:rowOff>0</xdr:rowOff>
    </xdr:from>
    <xdr:to>
      <xdr:col>70</xdr:col>
      <xdr:colOff>533400</xdr:colOff>
      <xdr:row>0</xdr:row>
      <xdr:rowOff>3657600</xdr:rowOff>
    </xdr:to>
    <xdr:graphicFrame macro="">
      <xdr:nvGraphicFramePr>
        <xdr:cNvPr id="18" name="Chart 1029">
          <a:extLst>
            <a:ext uri="{FF2B5EF4-FFF2-40B4-BE49-F238E27FC236}">
              <a16:creationId xmlns:a16="http://schemas.microsoft.com/office/drawing/2014/main" id="{00000000-0008-0000-06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72</xdr:col>
      <xdr:colOff>0</xdr:colOff>
      <xdr:row>0</xdr:row>
      <xdr:rowOff>0</xdr:rowOff>
    </xdr:from>
    <xdr:to>
      <xdr:col>81</xdr:col>
      <xdr:colOff>533400</xdr:colOff>
      <xdr:row>0</xdr:row>
      <xdr:rowOff>3657600</xdr:rowOff>
    </xdr:to>
    <xdr:graphicFrame macro="">
      <xdr:nvGraphicFramePr>
        <xdr:cNvPr id="19" name="Chart 1029">
          <a:extLst>
            <a:ext uri="{FF2B5EF4-FFF2-40B4-BE49-F238E27FC236}">
              <a16:creationId xmlns:a16="http://schemas.microsoft.com/office/drawing/2014/main"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82</xdr:col>
      <xdr:colOff>0</xdr:colOff>
      <xdr:row>0</xdr:row>
      <xdr:rowOff>0</xdr:rowOff>
    </xdr:from>
    <xdr:to>
      <xdr:col>82</xdr:col>
      <xdr:colOff>7683558</xdr:colOff>
      <xdr:row>0</xdr:row>
      <xdr:rowOff>4643005</xdr:rowOff>
    </xdr:to>
    <xdr:graphicFrame macro="">
      <xdr:nvGraphicFramePr>
        <xdr:cNvPr id="20" name="Chart 1029">
          <a:extLst>
            <a:ext uri="{FF2B5EF4-FFF2-40B4-BE49-F238E27FC236}">
              <a16:creationId xmlns:a16="http://schemas.microsoft.com/office/drawing/2014/main" id="{00000000-0008-0000-06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oneCellAnchor>
    <xdr:from>
      <xdr:col>82</xdr:col>
      <xdr:colOff>5581239</xdr:colOff>
      <xdr:row>0</xdr:row>
      <xdr:rowOff>4018643</xdr:rowOff>
    </xdr:from>
    <xdr:ext cx="1877886" cy="311496"/>
    <xdr:sp macro="" textlink="BM3">
      <xdr:nvSpPr>
        <xdr:cNvPr id="21" name="TextBox 20">
          <a:extLst>
            <a:ext uri="{FF2B5EF4-FFF2-40B4-BE49-F238E27FC236}">
              <a16:creationId xmlns:a16="http://schemas.microsoft.com/office/drawing/2014/main" id="{00000000-0008-0000-0600-000015000000}"/>
            </a:ext>
          </a:extLst>
        </xdr:cNvPr>
        <xdr:cNvSpPr txBox="1"/>
      </xdr:nvSpPr>
      <xdr:spPr>
        <a:xfrm>
          <a:off x="87441810" y="4018643"/>
          <a:ext cx="187788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7D73E8A-95A9-43DE-B789-5F7AF2A61424}" type="TxLink">
            <a:rPr lang="en-US" sz="1400" b="1" i="0" u="none" strike="noStrike">
              <a:solidFill>
                <a:srgbClr val="000000"/>
              </a:solidFill>
              <a:latin typeface="Arial"/>
              <a:cs typeface="Arial"/>
            </a:rPr>
            <a:pPr/>
            <a:t>Phase Margin = 61 °</a:t>
          </a:fld>
          <a:endParaRPr lang="en-US" sz="1100"/>
        </a:p>
      </xdr:txBody>
    </xdr:sp>
    <xdr:clientData/>
  </xdr:oneCellAnchor>
  <xdr:oneCellAnchor>
    <xdr:from>
      <xdr:col>82</xdr:col>
      <xdr:colOff>5551715</xdr:colOff>
      <xdr:row>0</xdr:row>
      <xdr:rowOff>4282291</xdr:rowOff>
    </xdr:from>
    <xdr:ext cx="2065181" cy="311496"/>
    <xdr:sp macro="" textlink="BR3">
      <xdr:nvSpPr>
        <xdr:cNvPr id="22" name="TextBox 21">
          <a:extLst>
            <a:ext uri="{FF2B5EF4-FFF2-40B4-BE49-F238E27FC236}">
              <a16:creationId xmlns:a16="http://schemas.microsoft.com/office/drawing/2014/main" id="{00000000-0008-0000-0600-000016000000}"/>
            </a:ext>
          </a:extLst>
        </xdr:cNvPr>
        <xdr:cNvSpPr txBox="1"/>
      </xdr:nvSpPr>
      <xdr:spPr>
        <a:xfrm>
          <a:off x="87412286" y="4282291"/>
          <a:ext cx="206518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A5034F0-61FD-4F50-8CAD-9A7F4576F990}" type="TxLink">
            <a:rPr lang="en-US" sz="1400" b="1" i="0" u="none" strike="noStrike">
              <a:solidFill>
                <a:srgbClr val="000000"/>
              </a:solidFill>
              <a:latin typeface="Arial"/>
              <a:cs typeface="Arial"/>
            </a:rPr>
            <a:pPr/>
            <a:t>Gain Margin = 41.5 dB</a:t>
          </a:fld>
          <a:endParaRPr lang="en-US" sz="1100"/>
        </a:p>
      </xdr:txBody>
    </xdr:sp>
    <xdr:clientData/>
  </xdr:oneCellAnchor>
  <xdr:twoCellAnchor>
    <xdr:from>
      <xdr:col>20</xdr:col>
      <xdr:colOff>324972</xdr:colOff>
      <xdr:row>0</xdr:row>
      <xdr:rowOff>3843618</xdr:rowOff>
    </xdr:from>
    <xdr:to>
      <xdr:col>25</xdr:col>
      <xdr:colOff>255831</xdr:colOff>
      <xdr:row>8</xdr:row>
      <xdr:rowOff>165175</xdr:rowOff>
    </xdr:to>
    <xdr:graphicFrame macro="">
      <xdr:nvGraphicFramePr>
        <xdr:cNvPr id="23" name="Chart 1029">
          <a:extLst>
            <a:ext uri="{FF2B5EF4-FFF2-40B4-BE49-F238E27FC236}">
              <a16:creationId xmlns:a16="http://schemas.microsoft.com/office/drawing/2014/main" id="{00000000-0008-0000-06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53340</xdr:colOff>
      <xdr:row>0</xdr:row>
      <xdr:rowOff>53341</xdr:rowOff>
    </xdr:from>
    <xdr:to>
      <xdr:col>0</xdr:col>
      <xdr:colOff>7608570</xdr:colOff>
      <xdr:row>0</xdr:row>
      <xdr:rowOff>4683051</xdr:rowOff>
    </xdr:to>
    <xdr:graphicFrame macro="">
      <xdr:nvGraphicFramePr>
        <xdr:cNvPr id="7" name="Chart 253">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5150447</xdr:colOff>
      <xdr:row>0</xdr:row>
      <xdr:rowOff>4397637</xdr:rowOff>
    </xdr:from>
    <xdr:ext cx="1841914" cy="248851"/>
    <xdr:sp macro="" textlink="D6">
      <xdr:nvSpPr>
        <xdr:cNvPr id="9" name="TextBox 8">
          <a:extLst>
            <a:ext uri="{FF2B5EF4-FFF2-40B4-BE49-F238E27FC236}">
              <a16:creationId xmlns:a16="http://schemas.microsoft.com/office/drawing/2014/main" id="{00000000-0008-0000-0700-000009000000}"/>
            </a:ext>
          </a:extLst>
        </xdr:cNvPr>
        <xdr:cNvSpPr txBox="1"/>
      </xdr:nvSpPr>
      <xdr:spPr>
        <a:xfrm>
          <a:off x="5150447" y="4397637"/>
          <a:ext cx="1841914" cy="2488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3F7679-4691-4C33-8573-9490F9441F36}" type="TxLink">
            <a:rPr lang="en-US" sz="1000" b="0" i="0" u="none" strike="noStrike">
              <a:solidFill>
                <a:srgbClr val="000000"/>
              </a:solidFill>
              <a:latin typeface="Arial"/>
              <a:cs typeface="Arial"/>
            </a:rPr>
            <a:pPr/>
            <a:t>Full Load Efficiency = 96.5 %</a:t>
          </a:fld>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ti.com/po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18.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package" Target="../embeddings/Microsoft_Visio_Drawing1.vsdx"/><Relationship Id="rId5" Type="http://schemas.openxmlformats.org/officeDocument/2006/relationships/image" Target="../media/image17.emf"/><Relationship Id="rId4" Type="http://schemas.openxmlformats.org/officeDocument/2006/relationships/package" Target="../embeddings/Microsoft_Visio_Drawing.vsdx"/></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B44"/>
  <sheetViews>
    <sheetView topLeftCell="A19" workbookViewId="0">
      <selection activeCell="E35" sqref="E35"/>
    </sheetView>
  </sheetViews>
  <sheetFormatPr defaultRowHeight="12.75" x14ac:dyDescent="0.2"/>
  <cols>
    <col min="2" max="2" width="15.42578125" bestFit="1" customWidth="1"/>
  </cols>
  <sheetData>
    <row r="2" spans="2:2" ht="23.25" x14ac:dyDescent="0.35">
      <c r="B2" s="159" t="s">
        <v>517</v>
      </c>
    </row>
    <row r="3" spans="2:2" ht="18" x14ac:dyDescent="0.25">
      <c r="B3" s="160" t="s">
        <v>516</v>
      </c>
    </row>
    <row r="4" spans="2:2" x14ac:dyDescent="0.2">
      <c r="B4" s="51" t="s">
        <v>540</v>
      </c>
    </row>
    <row r="5" spans="2:2" x14ac:dyDescent="0.2">
      <c r="B5" t="s">
        <v>536</v>
      </c>
    </row>
    <row r="6" spans="2:2" x14ac:dyDescent="0.2">
      <c r="B6" t="s">
        <v>537</v>
      </c>
    </row>
    <row r="7" spans="2:2" x14ac:dyDescent="0.2">
      <c r="B7" t="s">
        <v>519</v>
      </c>
    </row>
    <row r="9" spans="2:2" ht="23.25" x14ac:dyDescent="0.35">
      <c r="B9" s="159" t="s">
        <v>518</v>
      </c>
    </row>
    <row r="10" spans="2:2" ht="18" x14ac:dyDescent="0.25">
      <c r="B10" s="160" t="s">
        <v>541</v>
      </c>
    </row>
    <row r="11" spans="2:2" x14ac:dyDescent="0.2">
      <c r="B11" s="51" t="s">
        <v>526</v>
      </c>
    </row>
    <row r="12" spans="2:2" x14ac:dyDescent="0.2">
      <c r="B12" t="s">
        <v>536</v>
      </c>
    </row>
    <row r="13" spans="2:2" x14ac:dyDescent="0.2">
      <c r="B13" t="s">
        <v>537</v>
      </c>
    </row>
    <row r="14" spans="2:2" x14ac:dyDescent="0.2">
      <c r="B14" t="s">
        <v>538</v>
      </c>
    </row>
    <row r="15" spans="2:2" x14ac:dyDescent="0.2">
      <c r="B15" t="s">
        <v>539</v>
      </c>
    </row>
    <row r="16" spans="2:2" x14ac:dyDescent="0.2">
      <c r="B16" t="s">
        <v>523</v>
      </c>
    </row>
    <row r="31" spans="2:2" ht="23.25" x14ac:dyDescent="0.35">
      <c r="B31" s="159" t="s">
        <v>520</v>
      </c>
    </row>
    <row r="32" spans="2:2" ht="18" x14ac:dyDescent="0.25">
      <c r="B32" s="160" t="s">
        <v>522</v>
      </c>
    </row>
    <row r="33" spans="2:2" x14ac:dyDescent="0.2">
      <c r="B33" s="51" t="s">
        <v>526</v>
      </c>
    </row>
    <row r="34" spans="2:2" x14ac:dyDescent="0.2">
      <c r="B34" t="s">
        <v>535</v>
      </c>
    </row>
    <row r="35" spans="2:2" x14ac:dyDescent="0.2">
      <c r="B35" t="s">
        <v>525</v>
      </c>
    </row>
    <row r="36" spans="2:2" ht="15.75" x14ac:dyDescent="0.3">
      <c r="B36" t="s">
        <v>528</v>
      </c>
    </row>
    <row r="37" spans="2:2" ht="15.75" x14ac:dyDescent="0.3">
      <c r="B37" t="s">
        <v>529</v>
      </c>
    </row>
    <row r="38" spans="2:2" ht="15.75" x14ac:dyDescent="0.3">
      <c r="B38" t="s">
        <v>530</v>
      </c>
    </row>
    <row r="39" spans="2:2" x14ac:dyDescent="0.2">
      <c r="B39" t="s">
        <v>527</v>
      </c>
    </row>
    <row r="40" spans="2:2" ht="15.75" x14ac:dyDescent="0.3">
      <c r="B40" t="s">
        <v>531</v>
      </c>
    </row>
    <row r="41" spans="2:2" ht="15.75" x14ac:dyDescent="0.3">
      <c r="B41" t="s">
        <v>534</v>
      </c>
    </row>
    <row r="42" spans="2:2" ht="15.75" x14ac:dyDescent="0.3">
      <c r="B42" t="s">
        <v>532</v>
      </c>
    </row>
    <row r="43" spans="2:2" ht="15.75" x14ac:dyDescent="0.3">
      <c r="B43" t="s">
        <v>533</v>
      </c>
    </row>
    <row r="44" spans="2:2" x14ac:dyDescent="0.2">
      <c r="B44" t="s">
        <v>524</v>
      </c>
    </row>
  </sheetData>
  <phoneticPr fontId="48"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2F75B5"/>
  </sheetPr>
  <dimension ref="A1:AB153"/>
  <sheetViews>
    <sheetView tabSelected="1" topLeftCell="A43" zoomScale="140" zoomScaleNormal="140" zoomScaleSheetLayoutView="25" workbookViewId="0">
      <selection activeCell="G56" sqref="G56"/>
    </sheetView>
  </sheetViews>
  <sheetFormatPr defaultColWidth="8.85546875" defaultRowHeight="12.75" x14ac:dyDescent="0.2"/>
  <cols>
    <col min="1" max="1" width="26.28515625" style="1" customWidth="1"/>
    <col min="2" max="6" width="8.85546875" style="1"/>
    <col min="7" max="7" width="13.28515625" style="1" customWidth="1"/>
    <col min="8" max="16384" width="8.85546875" style="1"/>
  </cols>
  <sheetData>
    <row r="1" spans="1:28" ht="40.9" customHeight="1" x14ac:dyDescent="0.2">
      <c r="A1" s="5"/>
      <c r="B1" s="5"/>
      <c r="C1" s="5"/>
      <c r="D1" s="5"/>
      <c r="E1" s="5"/>
      <c r="F1" s="5"/>
      <c r="G1" s="5"/>
      <c r="H1" s="5"/>
      <c r="I1" s="6"/>
      <c r="J1" s="6"/>
      <c r="K1" s="6"/>
      <c r="L1" s="6"/>
      <c r="M1" s="6"/>
      <c r="N1" s="6"/>
      <c r="O1" s="6"/>
      <c r="P1" s="6"/>
      <c r="Q1" s="6"/>
      <c r="R1" s="6"/>
      <c r="S1" s="6"/>
      <c r="T1" s="6"/>
      <c r="U1" s="6"/>
      <c r="V1" s="6"/>
      <c r="W1" s="130"/>
      <c r="X1" s="130"/>
      <c r="Y1" s="130"/>
      <c r="Z1" s="130"/>
      <c r="AA1" s="130"/>
      <c r="AB1" s="130"/>
    </row>
    <row r="2" spans="1:28" x14ac:dyDescent="0.2">
      <c r="A2" s="5"/>
      <c r="B2" s="5"/>
      <c r="C2" s="5"/>
      <c r="D2" s="5"/>
      <c r="E2" s="5"/>
      <c r="F2" s="5"/>
      <c r="G2" s="5"/>
      <c r="H2" s="5"/>
      <c r="I2" s="6"/>
      <c r="J2" s="6"/>
      <c r="K2" s="6"/>
      <c r="L2" s="6"/>
      <c r="M2" s="6"/>
      <c r="N2" s="6"/>
      <c r="O2" s="6"/>
      <c r="P2" s="6"/>
      <c r="Q2" s="6"/>
      <c r="R2" s="6"/>
      <c r="S2" s="6"/>
      <c r="T2" s="6"/>
      <c r="U2" s="6"/>
      <c r="V2" s="6"/>
      <c r="W2" s="130"/>
      <c r="X2" s="130"/>
      <c r="Y2" s="130"/>
      <c r="Z2" s="130"/>
      <c r="AA2" s="130"/>
      <c r="AB2" s="130"/>
    </row>
    <row r="3" spans="1:28" ht="15.75" x14ac:dyDescent="0.25">
      <c r="A3" s="7" t="s">
        <v>10</v>
      </c>
      <c r="B3" s="7"/>
      <c r="C3" s="8" t="s">
        <v>11</v>
      </c>
      <c r="D3" s="9"/>
      <c r="E3" s="10"/>
      <c r="F3" s="10"/>
      <c r="G3" s="25"/>
      <c r="H3" s="11" t="s">
        <v>12</v>
      </c>
      <c r="I3" s="12"/>
      <c r="J3" s="13"/>
      <c r="K3" s="163" t="s">
        <v>13</v>
      </c>
      <c r="L3" s="163"/>
      <c r="M3" s="14"/>
      <c r="N3" s="14"/>
      <c r="O3" s="6"/>
      <c r="P3" s="6"/>
      <c r="Q3" s="6"/>
      <c r="R3" s="6"/>
      <c r="S3" s="6"/>
      <c r="T3" s="6"/>
      <c r="U3" s="6"/>
      <c r="V3" s="6"/>
      <c r="W3" s="130"/>
      <c r="X3" s="130"/>
      <c r="Y3" s="130"/>
      <c r="Z3" s="130"/>
      <c r="AA3" s="130"/>
      <c r="AB3" s="130"/>
    </row>
    <row r="4" spans="1:28" x14ac:dyDescent="0.2">
      <c r="A4" s="143"/>
      <c r="B4" s="143"/>
      <c r="C4" s="143"/>
      <c r="D4" s="143"/>
      <c r="E4" s="143"/>
    </row>
    <row r="5" spans="1:28" x14ac:dyDescent="0.2">
      <c r="A5" s="143"/>
      <c r="B5" s="143"/>
      <c r="C5" s="143"/>
      <c r="D5" s="143"/>
      <c r="E5" s="143"/>
    </row>
    <row r="6" spans="1:28" ht="15.75" x14ac:dyDescent="0.2">
      <c r="A6" s="143"/>
      <c r="B6" s="144" t="s">
        <v>0</v>
      </c>
      <c r="C6" s="143"/>
      <c r="D6" s="143"/>
      <c r="E6" s="143"/>
    </row>
    <row r="7" spans="1:28" ht="14.25" x14ac:dyDescent="0.2">
      <c r="A7" s="143"/>
      <c r="B7" s="143"/>
      <c r="C7" s="143"/>
      <c r="D7" s="143"/>
      <c r="E7" s="143"/>
      <c r="F7" s="2" t="s">
        <v>14</v>
      </c>
      <c r="G7" s="43">
        <v>13</v>
      </c>
      <c r="H7" s="3" t="s">
        <v>6</v>
      </c>
    </row>
    <row r="8" spans="1:28" ht="14.25" x14ac:dyDescent="0.2">
      <c r="A8" s="143"/>
      <c r="B8" s="143"/>
      <c r="C8" s="143"/>
      <c r="D8" s="143"/>
      <c r="E8" s="143"/>
      <c r="F8" s="2" t="s">
        <v>1</v>
      </c>
      <c r="G8" s="43">
        <v>16</v>
      </c>
      <c r="H8" s="3" t="s">
        <v>6</v>
      </c>
    </row>
    <row r="9" spans="1:28" ht="14.25" x14ac:dyDescent="0.2">
      <c r="A9" s="143"/>
      <c r="B9" s="143"/>
      <c r="C9" s="143"/>
      <c r="D9" s="143"/>
      <c r="E9" s="143"/>
      <c r="F9" s="2" t="s">
        <v>2</v>
      </c>
      <c r="G9" s="43">
        <v>20</v>
      </c>
      <c r="H9" s="3" t="s">
        <v>6</v>
      </c>
    </row>
    <row r="10" spans="1:28" ht="14.25" x14ac:dyDescent="0.2">
      <c r="A10" s="143"/>
      <c r="B10" s="143"/>
      <c r="C10" s="143"/>
      <c r="D10" s="143"/>
      <c r="E10" s="143"/>
      <c r="F10" s="2" t="s">
        <v>15</v>
      </c>
      <c r="G10" s="43">
        <v>12</v>
      </c>
      <c r="H10" s="3" t="s">
        <v>6</v>
      </c>
    </row>
    <row r="11" spans="1:28" ht="14.25" x14ac:dyDescent="0.2">
      <c r="A11" s="143"/>
      <c r="B11" s="143"/>
      <c r="C11" s="143"/>
      <c r="D11" s="143"/>
      <c r="E11" s="143"/>
      <c r="F11" s="2" t="s">
        <v>521</v>
      </c>
      <c r="G11" s="43">
        <v>10</v>
      </c>
      <c r="H11" s="3" t="s">
        <v>7</v>
      </c>
    </row>
    <row r="12" spans="1:28" ht="14.25" x14ac:dyDescent="0.2">
      <c r="A12" s="143"/>
      <c r="B12" s="143"/>
      <c r="C12" s="143"/>
      <c r="D12" s="143"/>
      <c r="E12" s="143"/>
      <c r="F12" s="2" t="s">
        <v>3</v>
      </c>
      <c r="G12" s="43">
        <v>100</v>
      </c>
      <c r="H12" s="3" t="s">
        <v>8</v>
      </c>
    </row>
    <row r="13" spans="1:28" x14ac:dyDescent="0.2">
      <c r="A13" s="146"/>
      <c r="B13" s="143"/>
      <c r="C13" s="143"/>
      <c r="D13" s="143"/>
      <c r="E13" s="143"/>
      <c r="F13" s="2" t="s">
        <v>5</v>
      </c>
      <c r="G13" s="44" t="s">
        <v>16</v>
      </c>
      <c r="H13" s="17"/>
    </row>
    <row r="14" spans="1:28" x14ac:dyDescent="0.2">
      <c r="A14" s="143"/>
      <c r="B14" s="143"/>
      <c r="C14" s="143"/>
      <c r="D14" s="143"/>
      <c r="E14" s="143"/>
      <c r="F14" s="2" t="s">
        <v>17</v>
      </c>
      <c r="G14" s="44" t="s">
        <v>130</v>
      </c>
      <c r="H14" s="3"/>
    </row>
    <row r="15" spans="1:28" ht="15.75" x14ac:dyDescent="0.2">
      <c r="A15" s="143"/>
      <c r="B15" s="143"/>
      <c r="C15" s="143"/>
      <c r="D15" s="143"/>
      <c r="E15" s="143"/>
      <c r="F15" s="15" t="s">
        <v>4</v>
      </c>
      <c r="G15" s="149">
        <f>Calc!C24</f>
        <v>237.00000000000003</v>
      </c>
      <c r="H15" s="17" t="s">
        <v>9</v>
      </c>
    </row>
    <row r="16" spans="1:28" x14ac:dyDescent="0.2">
      <c r="A16" s="143"/>
      <c r="B16" s="143"/>
      <c r="C16" s="143"/>
      <c r="D16" s="143"/>
      <c r="E16" s="143"/>
    </row>
    <row r="17" spans="1:8" x14ac:dyDescent="0.2">
      <c r="A17" s="143"/>
      <c r="B17" s="143"/>
      <c r="C17" s="143"/>
      <c r="D17" s="143"/>
      <c r="E17" s="143"/>
      <c r="H17" s="3"/>
    </row>
    <row r="18" spans="1:8" ht="15.75" x14ac:dyDescent="0.2">
      <c r="A18" s="143"/>
      <c r="B18" s="144" t="s">
        <v>19</v>
      </c>
      <c r="C18" s="143"/>
      <c r="D18" s="143"/>
      <c r="E18" s="143"/>
      <c r="H18" s="3"/>
    </row>
    <row r="19" spans="1:8" ht="14.25" x14ac:dyDescent="0.25">
      <c r="A19" s="143"/>
      <c r="B19" s="143"/>
      <c r="C19" s="143"/>
      <c r="D19" s="143"/>
      <c r="E19" s="143"/>
      <c r="F19" s="20" t="s">
        <v>508</v>
      </c>
      <c r="G19" s="43">
        <v>16</v>
      </c>
      <c r="H19" s="3" t="s">
        <v>23</v>
      </c>
    </row>
    <row r="20" spans="1:8" x14ac:dyDescent="0.2">
      <c r="A20" s="143"/>
      <c r="B20" s="143"/>
      <c r="C20" s="143"/>
      <c r="D20" s="143"/>
      <c r="E20" s="143"/>
      <c r="F20" s="19" t="s">
        <v>30</v>
      </c>
      <c r="G20" s="149">
        <f>R.s_desired*1000</f>
        <v>3.375</v>
      </c>
      <c r="H20" s="17" t="s">
        <v>18</v>
      </c>
    </row>
    <row r="21" spans="1:8" ht="14.25" x14ac:dyDescent="0.25">
      <c r="A21" s="143"/>
      <c r="B21" s="143"/>
      <c r="C21" s="143"/>
      <c r="D21" s="143"/>
      <c r="E21" s="143"/>
      <c r="F21" s="20" t="s">
        <v>26</v>
      </c>
      <c r="G21" s="43">
        <v>2.6</v>
      </c>
      <c r="H21" s="3" t="s">
        <v>18</v>
      </c>
    </row>
    <row r="22" spans="1:8" ht="15.75" x14ac:dyDescent="0.3">
      <c r="A22" s="143"/>
      <c r="B22" s="143"/>
      <c r="C22" s="143"/>
      <c r="D22" s="143"/>
      <c r="E22" s="143"/>
      <c r="F22" s="21" t="s">
        <v>27</v>
      </c>
      <c r="G22" s="150">
        <f>P.rs</f>
        <v>0.66560000000000008</v>
      </c>
      <c r="H22" s="17" t="s">
        <v>24</v>
      </c>
    </row>
    <row r="23" spans="1:8" x14ac:dyDescent="0.2">
      <c r="A23" s="143"/>
      <c r="B23" s="143"/>
      <c r="C23" s="143"/>
      <c r="D23" s="143"/>
      <c r="E23" s="143"/>
    </row>
    <row r="24" spans="1:8" x14ac:dyDescent="0.2">
      <c r="A24" s="143"/>
      <c r="B24" s="143"/>
      <c r="C24" s="143"/>
      <c r="D24" s="143"/>
      <c r="E24" s="143"/>
    </row>
    <row r="25" spans="1:8" ht="15.75" x14ac:dyDescent="0.2">
      <c r="A25" s="143"/>
      <c r="B25" s="144" t="s">
        <v>20</v>
      </c>
      <c r="C25" s="143"/>
      <c r="D25" s="143"/>
      <c r="E25" s="143"/>
    </row>
    <row r="26" spans="1:8" ht="15.75" x14ac:dyDescent="0.3">
      <c r="A26" s="143"/>
      <c r="B26" s="143"/>
      <c r="C26" s="143"/>
      <c r="D26" s="143"/>
      <c r="E26" s="143"/>
      <c r="F26" s="21" t="s">
        <v>496</v>
      </c>
      <c r="G26" s="150">
        <f>L.out_desired*10^6</f>
        <v>7.5</v>
      </c>
      <c r="H26" s="17" t="s">
        <v>21</v>
      </c>
    </row>
    <row r="27" spans="1:8" x14ac:dyDescent="0.2">
      <c r="A27" s="143"/>
      <c r="B27" s="143"/>
      <c r="C27" s="143"/>
      <c r="D27" s="143"/>
      <c r="E27" s="143"/>
      <c r="F27" s="21" t="s">
        <v>22</v>
      </c>
      <c r="G27" s="150">
        <f>L.smalest*10^6</f>
        <v>0.42857142857142866</v>
      </c>
      <c r="H27" s="17" t="s">
        <v>21</v>
      </c>
    </row>
    <row r="28" spans="1:8" ht="14.25" x14ac:dyDescent="0.25">
      <c r="A28" s="143"/>
      <c r="B28" s="143"/>
      <c r="C28" s="143"/>
      <c r="D28" s="143"/>
      <c r="E28" s="143"/>
      <c r="F28" s="20" t="s">
        <v>25</v>
      </c>
      <c r="G28" s="49">
        <v>10</v>
      </c>
      <c r="H28" s="3" t="s">
        <v>21</v>
      </c>
    </row>
    <row r="29" spans="1:8" ht="15.75" x14ac:dyDescent="0.3">
      <c r="A29" s="143"/>
      <c r="B29" s="143"/>
      <c r="C29" s="143"/>
      <c r="D29" s="143"/>
      <c r="E29" s="143"/>
      <c r="F29" s="21" t="s">
        <v>465</v>
      </c>
      <c r="G29" s="149">
        <f>Ipeak_atvinmax</f>
        <v>12.4</v>
      </c>
      <c r="H29" s="17" t="s">
        <v>23</v>
      </c>
    </row>
    <row r="30" spans="1:8" ht="15.75" x14ac:dyDescent="0.3">
      <c r="A30" s="143"/>
      <c r="B30" s="143"/>
      <c r="C30" s="143"/>
      <c r="D30" s="143"/>
      <c r="E30" s="143"/>
      <c r="F30" s="21" t="s">
        <v>457</v>
      </c>
      <c r="G30" s="149">
        <f>I.peak_tblank</f>
        <v>25.444615384615382</v>
      </c>
      <c r="H30" s="17" t="s">
        <v>23</v>
      </c>
    </row>
    <row r="31" spans="1:8" ht="15.75" x14ac:dyDescent="0.3">
      <c r="A31" s="143"/>
      <c r="B31" s="143"/>
      <c r="C31" s="143"/>
      <c r="D31" s="143"/>
      <c r="E31" s="143"/>
      <c r="F31" s="21" t="s">
        <v>514</v>
      </c>
      <c r="G31" s="151" t="str">
        <f>IF(T.on_min_ideal/1.1&lt;T.onmin_IC,"can happen", "doesn't happen")</f>
        <v>doesn't happen</v>
      </c>
      <c r="H31" s="3"/>
    </row>
    <row r="32" spans="1:8" ht="15.75" x14ac:dyDescent="0.3">
      <c r="A32" s="143"/>
      <c r="B32" s="143"/>
      <c r="C32" s="143"/>
      <c r="D32" s="143"/>
      <c r="E32" s="143"/>
      <c r="F32" s="21" t="s">
        <v>29</v>
      </c>
      <c r="G32" s="151" t="str">
        <f>IF(T.off_min_150/1.1&lt;T.offmin_IC,"can happen", "doesn't happen")</f>
        <v>doesn't happen</v>
      </c>
      <c r="H32" s="3"/>
    </row>
    <row r="33" spans="1:8" x14ac:dyDescent="0.2">
      <c r="A33" s="143"/>
      <c r="B33" s="143"/>
      <c r="C33" s="143"/>
      <c r="D33" s="143"/>
      <c r="E33" s="143"/>
      <c r="F33" s="21"/>
      <c r="G33" s="18"/>
      <c r="H33" s="3"/>
    </row>
    <row r="34" spans="1:8" x14ac:dyDescent="0.2">
      <c r="A34" s="143"/>
      <c r="B34" s="143"/>
      <c r="C34" s="143"/>
      <c r="D34" s="143"/>
      <c r="E34" s="143"/>
      <c r="F34" s="21"/>
      <c r="G34" s="18"/>
      <c r="H34" s="3"/>
    </row>
    <row r="35" spans="1:8" ht="18.75" x14ac:dyDescent="0.2">
      <c r="A35" s="143"/>
      <c r="B35" s="144" t="s">
        <v>500</v>
      </c>
      <c r="C35" s="143"/>
      <c r="D35" s="143"/>
      <c r="E35" s="143"/>
      <c r="F35" s="21"/>
      <c r="G35" s="18"/>
      <c r="H35" s="3"/>
    </row>
    <row r="36" spans="1:8" ht="15.75" x14ac:dyDescent="0.3">
      <c r="A36" s="143"/>
      <c r="B36" s="144"/>
      <c r="C36" s="143"/>
      <c r="D36" s="143"/>
      <c r="E36" s="143"/>
      <c r="F36" s="21" t="s">
        <v>32</v>
      </c>
      <c r="G36" s="149">
        <f>MAX(MinCvcc2,MAX(MinCvcc*10^6,2.2))</f>
        <v>2.2000000000000002</v>
      </c>
      <c r="H36" s="17" t="s">
        <v>33</v>
      </c>
    </row>
    <row r="37" spans="1:8" ht="15.75" x14ac:dyDescent="0.3">
      <c r="A37" s="143"/>
      <c r="B37" s="144"/>
      <c r="C37" s="143"/>
      <c r="D37" s="143"/>
      <c r="E37" s="143"/>
      <c r="F37" s="21" t="s">
        <v>35</v>
      </c>
      <c r="G37" s="152">
        <f>MAX(MinCboot*10^9,100)</f>
        <v>100</v>
      </c>
      <c r="H37" s="17" t="s">
        <v>34</v>
      </c>
    </row>
    <row r="38" spans="1:8" ht="15.75" x14ac:dyDescent="0.3">
      <c r="A38" s="143"/>
      <c r="B38" s="144"/>
      <c r="C38" s="143"/>
      <c r="D38" s="143"/>
      <c r="E38" s="143"/>
      <c r="F38" s="21" t="s">
        <v>36</v>
      </c>
      <c r="G38" s="152">
        <v>220</v>
      </c>
      <c r="H38" s="17" t="s">
        <v>34</v>
      </c>
    </row>
    <row r="39" spans="1:8" ht="15.75" x14ac:dyDescent="0.3">
      <c r="A39" s="143"/>
      <c r="B39" s="144"/>
      <c r="C39" s="143"/>
      <c r="D39" s="143"/>
      <c r="E39" s="143"/>
      <c r="F39" s="21" t="s">
        <v>133</v>
      </c>
      <c r="G39" s="152">
        <v>100</v>
      </c>
      <c r="H39" s="17" t="s">
        <v>9</v>
      </c>
    </row>
    <row r="40" spans="1:8" ht="15.75" x14ac:dyDescent="0.3">
      <c r="A40" s="143"/>
      <c r="B40" s="144"/>
      <c r="C40" s="143"/>
      <c r="D40" s="143"/>
      <c r="E40" s="143"/>
      <c r="F40" s="21" t="s">
        <v>494</v>
      </c>
      <c r="G40" s="150">
        <v>2.75</v>
      </c>
      <c r="H40" s="17" t="s">
        <v>37</v>
      </c>
    </row>
    <row r="41" spans="1:8" x14ac:dyDescent="0.2">
      <c r="A41" s="143"/>
      <c r="B41" s="143"/>
      <c r="C41" s="143"/>
      <c r="D41" s="143"/>
      <c r="E41" s="143"/>
      <c r="F41" s="21"/>
      <c r="G41" s="18"/>
      <c r="H41" s="3"/>
    </row>
    <row r="42" spans="1:8" x14ac:dyDescent="0.2">
      <c r="A42" s="143"/>
      <c r="B42" s="143"/>
      <c r="C42" s="143"/>
      <c r="D42" s="143"/>
      <c r="E42" s="143"/>
      <c r="F42" s="21"/>
      <c r="G42" s="18"/>
      <c r="H42" s="3"/>
    </row>
    <row r="43" spans="1:8" ht="15.75" x14ac:dyDescent="0.2">
      <c r="A43" s="143"/>
      <c r="B43" s="144" t="s">
        <v>31</v>
      </c>
      <c r="C43" s="143"/>
      <c r="D43" s="143"/>
      <c r="E43" s="143"/>
    </row>
    <row r="44" spans="1:8" x14ac:dyDescent="0.2">
      <c r="A44" s="143"/>
      <c r="B44" s="143"/>
      <c r="C44" s="143"/>
      <c r="D44" s="143"/>
      <c r="E44" s="143"/>
      <c r="F44" s="22" t="s">
        <v>510</v>
      </c>
      <c r="G44" s="43">
        <v>14</v>
      </c>
      <c r="H44" s="3" t="s">
        <v>6</v>
      </c>
    </row>
    <row r="45" spans="1:8" ht="14.25" x14ac:dyDescent="0.25">
      <c r="A45" s="143"/>
      <c r="B45" s="143"/>
      <c r="C45" s="143"/>
      <c r="D45" s="143"/>
      <c r="E45" s="143"/>
      <c r="F45" s="20" t="s">
        <v>59</v>
      </c>
      <c r="G45" s="43">
        <v>100</v>
      </c>
      <c r="H45" s="3" t="s">
        <v>9</v>
      </c>
    </row>
    <row r="46" spans="1:8" ht="15.75" x14ac:dyDescent="0.3">
      <c r="A46" s="143"/>
      <c r="B46" s="143"/>
      <c r="C46" s="143"/>
      <c r="D46" s="143"/>
      <c r="E46" s="143"/>
      <c r="F46" s="21" t="s">
        <v>60</v>
      </c>
      <c r="G46" s="150">
        <f>R.enb/1000</f>
        <v>8.1081081081081088</v>
      </c>
      <c r="H46" s="17" t="s">
        <v>9</v>
      </c>
    </row>
    <row r="47" spans="1:8" x14ac:dyDescent="0.2">
      <c r="A47" s="143"/>
      <c r="B47" s="143"/>
      <c r="C47" s="143"/>
      <c r="D47" s="143"/>
      <c r="E47" s="143"/>
      <c r="F47" s="21" t="s">
        <v>509</v>
      </c>
      <c r="G47" s="149">
        <f>Vshutdown</f>
        <v>12.666666666666666</v>
      </c>
      <c r="H47" s="17" t="s">
        <v>6</v>
      </c>
    </row>
    <row r="48" spans="1:8" x14ac:dyDescent="0.2">
      <c r="A48" s="143"/>
      <c r="B48" s="143"/>
      <c r="C48" s="143"/>
      <c r="D48" s="143"/>
      <c r="E48" s="143"/>
    </row>
    <row r="49" spans="1:8" x14ac:dyDescent="0.2">
      <c r="A49" s="143"/>
      <c r="B49" s="143"/>
      <c r="C49" s="143"/>
      <c r="D49" s="143"/>
      <c r="E49" s="143"/>
    </row>
    <row r="50" spans="1:8" ht="15.75" x14ac:dyDescent="0.2">
      <c r="A50" s="143"/>
      <c r="B50" s="144" t="s">
        <v>38</v>
      </c>
      <c r="C50" s="143"/>
      <c r="D50" s="143"/>
      <c r="E50" s="143"/>
    </row>
    <row r="51" spans="1:8" x14ac:dyDescent="0.2">
      <c r="A51" s="143"/>
      <c r="B51" s="143"/>
      <c r="C51" s="143"/>
      <c r="D51" s="143"/>
      <c r="E51" s="143"/>
      <c r="F51" s="22" t="s">
        <v>463</v>
      </c>
      <c r="G51" s="43">
        <v>5</v>
      </c>
      <c r="H51" s="3" t="s">
        <v>39</v>
      </c>
    </row>
    <row r="52" spans="1:8" ht="14.25" x14ac:dyDescent="0.2">
      <c r="A52" s="143"/>
      <c r="B52" s="143"/>
      <c r="C52" s="143"/>
      <c r="D52" s="143"/>
      <c r="E52" s="143"/>
      <c r="F52" s="22" t="s">
        <v>464</v>
      </c>
      <c r="G52" s="43">
        <v>10</v>
      </c>
      <c r="H52" s="3" t="s">
        <v>8</v>
      </c>
    </row>
    <row r="53" spans="1:8" x14ac:dyDescent="0.2">
      <c r="A53" s="143"/>
      <c r="B53" s="143"/>
      <c r="C53" s="143"/>
      <c r="D53" s="143"/>
      <c r="E53" s="143"/>
      <c r="F53" s="23" t="s">
        <v>40</v>
      </c>
      <c r="G53" s="149">
        <f>C.outb_derated_min*10^6</f>
        <v>132.62914683595662</v>
      </c>
      <c r="H53" s="17" t="s">
        <v>33</v>
      </c>
    </row>
    <row r="54" spans="1:8" x14ac:dyDescent="0.2">
      <c r="A54" s="143"/>
      <c r="B54" s="143"/>
      <c r="C54" s="143"/>
      <c r="D54" s="143"/>
      <c r="E54" s="143"/>
      <c r="F54" s="23"/>
      <c r="G54" s="16"/>
      <c r="H54" s="17"/>
    </row>
    <row r="55" spans="1:8" ht="14.25" x14ac:dyDescent="0.2">
      <c r="A55" s="143"/>
      <c r="B55" s="143"/>
      <c r="C55" s="143"/>
      <c r="D55" s="143"/>
      <c r="E55" s="143"/>
      <c r="F55" s="22" t="s">
        <v>61</v>
      </c>
      <c r="G55" s="48">
        <v>1120</v>
      </c>
      <c r="H55" s="3" t="s">
        <v>33</v>
      </c>
    </row>
    <row r="56" spans="1:8" x14ac:dyDescent="0.2">
      <c r="A56" s="143"/>
      <c r="B56" s="143"/>
      <c r="C56" s="143"/>
      <c r="D56" s="143"/>
      <c r="E56" s="143"/>
      <c r="F56" s="22" t="s">
        <v>42</v>
      </c>
      <c r="G56" s="43">
        <v>1</v>
      </c>
      <c r="H56" s="3"/>
    </row>
    <row r="57" spans="1:8" x14ac:dyDescent="0.2">
      <c r="A57" s="143"/>
      <c r="B57" s="143"/>
      <c r="C57" s="143"/>
      <c r="D57" s="143"/>
      <c r="E57" s="143"/>
      <c r="F57" s="23" t="s">
        <v>43</v>
      </c>
      <c r="G57" s="149">
        <f>C.outb_derated*10^6</f>
        <v>1120</v>
      </c>
      <c r="H57" s="17" t="s">
        <v>33</v>
      </c>
    </row>
    <row r="58" spans="1:8" ht="14.25" x14ac:dyDescent="0.2">
      <c r="A58" s="143"/>
      <c r="B58" s="143"/>
      <c r="C58" s="143"/>
      <c r="D58" s="143"/>
      <c r="E58" s="143"/>
      <c r="F58" s="22" t="s">
        <v>62</v>
      </c>
      <c r="G58" s="48">
        <v>7</v>
      </c>
      <c r="H58" s="3" t="s">
        <v>18</v>
      </c>
    </row>
    <row r="59" spans="1:8" x14ac:dyDescent="0.2">
      <c r="A59" s="143"/>
      <c r="B59" s="143"/>
      <c r="C59" s="143"/>
      <c r="D59" s="143"/>
      <c r="E59" s="143"/>
      <c r="F59" s="22"/>
      <c r="G59" s="4"/>
      <c r="H59" s="3"/>
    </row>
    <row r="60" spans="1:8" ht="14.25" x14ac:dyDescent="0.2">
      <c r="A60" s="143"/>
      <c r="B60" s="143"/>
      <c r="C60" s="143"/>
      <c r="D60" s="143"/>
      <c r="E60" s="143"/>
      <c r="F60" s="22" t="s">
        <v>515</v>
      </c>
      <c r="G60" s="43">
        <v>1</v>
      </c>
      <c r="H60" s="3" t="s">
        <v>33</v>
      </c>
    </row>
    <row r="61" spans="1:8" x14ac:dyDescent="0.2">
      <c r="A61" s="143"/>
      <c r="B61" s="143"/>
      <c r="C61" s="143"/>
      <c r="D61" s="143"/>
      <c r="E61" s="143"/>
      <c r="F61" s="22" t="s">
        <v>44</v>
      </c>
      <c r="G61" s="43">
        <v>0.7</v>
      </c>
      <c r="H61" s="3"/>
    </row>
    <row r="62" spans="1:8" x14ac:dyDescent="0.2">
      <c r="A62" s="143"/>
      <c r="B62" s="143"/>
      <c r="C62" s="143"/>
      <c r="D62" s="143"/>
      <c r="E62" s="143"/>
      <c r="F62" s="23" t="s">
        <v>45</v>
      </c>
      <c r="G62" s="149">
        <f>C.outhf_derated*10^6</f>
        <v>0.7</v>
      </c>
      <c r="H62" s="17" t="s">
        <v>33</v>
      </c>
    </row>
    <row r="63" spans="1:8" ht="14.25" x14ac:dyDescent="0.2">
      <c r="A63" s="143"/>
      <c r="B63" s="143"/>
      <c r="C63" s="143"/>
      <c r="D63" s="143"/>
      <c r="E63" s="143"/>
      <c r="F63" s="22" t="s">
        <v>63</v>
      </c>
      <c r="G63" s="48">
        <v>1</v>
      </c>
      <c r="H63" s="3" t="s">
        <v>18</v>
      </c>
    </row>
    <row r="64" spans="1:8" x14ac:dyDescent="0.2">
      <c r="A64" s="143"/>
      <c r="B64" s="143"/>
      <c r="C64" s="143"/>
      <c r="D64" s="143"/>
      <c r="E64" s="143"/>
      <c r="F64" s="22"/>
      <c r="G64" s="4"/>
      <c r="H64" s="3"/>
    </row>
    <row r="65" spans="1:8" x14ac:dyDescent="0.2">
      <c r="A65" s="143"/>
      <c r="B65" s="143"/>
      <c r="C65" s="143"/>
      <c r="D65" s="143"/>
      <c r="E65" s="143"/>
      <c r="F65" s="23" t="s">
        <v>46</v>
      </c>
      <c r="G65" s="149">
        <f>C.outtotal_derated*10^6</f>
        <v>1120.6999999999998</v>
      </c>
      <c r="H65" s="17" t="s">
        <v>33</v>
      </c>
    </row>
    <row r="66" spans="1:8" ht="15.75" x14ac:dyDescent="0.2">
      <c r="A66" s="143"/>
      <c r="B66" s="143"/>
      <c r="C66" s="143"/>
      <c r="D66" s="143"/>
      <c r="E66" s="143"/>
      <c r="F66" s="23" t="s">
        <v>460</v>
      </c>
      <c r="G66" s="153">
        <f>dV.out_max_rms*1000</f>
        <v>47.144845187827748</v>
      </c>
      <c r="H66" s="17" t="s">
        <v>41</v>
      </c>
    </row>
    <row r="67" spans="1:8" x14ac:dyDescent="0.2">
      <c r="A67" s="143"/>
      <c r="B67" s="143"/>
      <c r="C67" s="143"/>
      <c r="D67" s="143"/>
      <c r="E67" s="143"/>
      <c r="F67" s="23" t="s">
        <v>461</v>
      </c>
      <c r="G67" s="149">
        <f>V.overshoot_calc1/V.load*100</f>
        <v>0.30934771983606169</v>
      </c>
      <c r="H67" s="17" t="s">
        <v>39</v>
      </c>
    </row>
    <row r="68" spans="1:8" x14ac:dyDescent="0.2">
      <c r="A68" s="143"/>
      <c r="B68" s="143"/>
      <c r="C68" s="143"/>
      <c r="D68" s="143"/>
      <c r="E68" s="143"/>
      <c r="F68" s="23" t="s">
        <v>462</v>
      </c>
      <c r="G68" s="149">
        <f>V.undershoot_calc/V.load*100</f>
        <v>8.1258094330974284</v>
      </c>
      <c r="H68" s="17" t="s">
        <v>39</v>
      </c>
    </row>
    <row r="69" spans="1:8" x14ac:dyDescent="0.2">
      <c r="A69" s="143"/>
      <c r="B69" s="143"/>
      <c r="C69" s="143"/>
      <c r="D69" s="143"/>
      <c r="E69" s="143"/>
    </row>
    <row r="70" spans="1:8" x14ac:dyDescent="0.2">
      <c r="A70" s="146"/>
      <c r="B70" s="143"/>
      <c r="C70" s="143"/>
      <c r="D70" s="143"/>
      <c r="E70" s="143"/>
    </row>
    <row r="71" spans="1:8" ht="15.75" x14ac:dyDescent="0.2">
      <c r="A71" s="143"/>
      <c r="B71" s="144" t="s">
        <v>49</v>
      </c>
      <c r="C71" s="143"/>
      <c r="D71" s="143"/>
      <c r="E71" s="143"/>
    </row>
    <row r="72" spans="1:8" ht="14.25" x14ac:dyDescent="0.2">
      <c r="A72" s="146"/>
      <c r="B72" s="143"/>
      <c r="C72" s="143"/>
      <c r="D72" s="143"/>
      <c r="E72" s="143"/>
      <c r="F72" s="22" t="s">
        <v>495</v>
      </c>
      <c r="G72" s="43">
        <v>100</v>
      </c>
      <c r="H72" s="3" t="s">
        <v>9</v>
      </c>
    </row>
    <row r="73" spans="1:8" ht="15.75" x14ac:dyDescent="0.2">
      <c r="A73" s="143"/>
      <c r="B73" s="143"/>
      <c r="C73" s="143"/>
      <c r="D73" s="143"/>
      <c r="E73" s="143"/>
      <c r="F73" s="23" t="s">
        <v>48</v>
      </c>
      <c r="G73" s="150">
        <f>R.fbb/1000</f>
        <v>7.1428571428571432</v>
      </c>
      <c r="H73" s="17" t="s">
        <v>9</v>
      </c>
    </row>
    <row r="74" spans="1:8" x14ac:dyDescent="0.2">
      <c r="A74" s="143"/>
      <c r="B74" s="143"/>
      <c r="C74" s="143"/>
      <c r="D74" s="143"/>
      <c r="E74" s="143"/>
    </row>
    <row r="75" spans="1:8" x14ac:dyDescent="0.2">
      <c r="A75" s="143"/>
      <c r="B75" s="143"/>
      <c r="C75" s="143"/>
      <c r="D75" s="143"/>
      <c r="E75" s="143"/>
    </row>
    <row r="76" spans="1:8" ht="15.75" x14ac:dyDescent="0.2">
      <c r="A76" s="143"/>
      <c r="B76" s="144" t="s">
        <v>50</v>
      </c>
      <c r="C76" s="143"/>
      <c r="D76" s="143"/>
      <c r="E76" s="143"/>
    </row>
    <row r="77" spans="1:8" ht="15.75" x14ac:dyDescent="0.2">
      <c r="A77" s="143"/>
      <c r="B77" s="144"/>
      <c r="C77" s="143"/>
      <c r="D77" s="143"/>
      <c r="E77" s="143"/>
      <c r="F77" s="23" t="s">
        <v>64</v>
      </c>
      <c r="G77" s="149">
        <f>Bode!AM8/1000</f>
        <v>0.23716661269547845</v>
      </c>
      <c r="H77" s="17" t="s">
        <v>8</v>
      </c>
    </row>
    <row r="78" spans="1:8" ht="15.75" x14ac:dyDescent="0.2">
      <c r="A78" s="143"/>
      <c r="B78" s="144"/>
      <c r="C78" s="143"/>
      <c r="D78" s="143"/>
      <c r="E78" s="143"/>
      <c r="F78" s="23" t="s">
        <v>65</v>
      </c>
      <c r="G78" s="152">
        <f>Bode!AO8/1000</f>
        <v>19.84129254631149</v>
      </c>
      <c r="H78" s="17" t="s">
        <v>8</v>
      </c>
    </row>
    <row r="79" spans="1:8" ht="15.75" x14ac:dyDescent="0.2">
      <c r="A79" s="143"/>
      <c r="B79" s="144"/>
      <c r="C79" s="143"/>
      <c r="D79" s="143"/>
      <c r="E79" s="143"/>
      <c r="F79" s="23"/>
      <c r="G79" s="26"/>
      <c r="H79" s="17"/>
    </row>
    <row r="80" spans="1:8" ht="15.75" x14ac:dyDescent="0.2">
      <c r="A80" s="143"/>
      <c r="B80" s="143"/>
      <c r="C80" s="143"/>
      <c r="D80" s="143"/>
      <c r="E80" s="143"/>
      <c r="F80" s="23" t="s">
        <v>69</v>
      </c>
      <c r="G80" s="150">
        <f>R.comp_desired/1000</f>
        <v>27.462100804319999</v>
      </c>
      <c r="H80" s="17" t="s">
        <v>9</v>
      </c>
    </row>
    <row r="81" spans="1:8" ht="15.75" x14ac:dyDescent="0.2">
      <c r="A81" s="143"/>
      <c r="B81" s="143"/>
      <c r="C81" s="143"/>
      <c r="D81" s="143"/>
      <c r="E81" s="143"/>
      <c r="F81" s="23" t="s">
        <v>70</v>
      </c>
      <c r="G81" s="149">
        <f>C.comp_desired*10^9</f>
        <v>5.7954406815851343</v>
      </c>
      <c r="H81" s="17" t="s">
        <v>34</v>
      </c>
    </row>
    <row r="82" spans="1:8" ht="15.75" x14ac:dyDescent="0.2">
      <c r="A82" s="143"/>
      <c r="B82" s="143"/>
      <c r="C82" s="143"/>
      <c r="D82" s="143"/>
      <c r="E82" s="143"/>
      <c r="F82" s="23" t="s">
        <v>71</v>
      </c>
      <c r="G82" s="152">
        <f>C.hf_desired*10^12</f>
        <v>285.48435008172089</v>
      </c>
      <c r="H82" s="17" t="s">
        <v>47</v>
      </c>
    </row>
    <row r="83" spans="1:8" x14ac:dyDescent="0.2">
      <c r="A83" s="143"/>
      <c r="B83" s="143"/>
      <c r="C83" s="143"/>
      <c r="D83" s="143"/>
      <c r="E83" s="143"/>
      <c r="F83" s="23" t="s">
        <v>56</v>
      </c>
      <c r="G83" s="150">
        <f>f.z_err_desired/1000</f>
        <v>1</v>
      </c>
      <c r="H83" s="17" t="s">
        <v>8</v>
      </c>
    </row>
    <row r="84" spans="1:8" x14ac:dyDescent="0.2">
      <c r="A84" s="143"/>
      <c r="B84" s="143"/>
      <c r="C84" s="143"/>
      <c r="D84" s="143"/>
      <c r="E84" s="143"/>
      <c r="F84" s="23" t="s">
        <v>57</v>
      </c>
      <c r="G84" s="152">
        <f>f.p_err_desired/1000</f>
        <v>21.300379617748462</v>
      </c>
      <c r="H84" s="17" t="s">
        <v>8</v>
      </c>
    </row>
    <row r="85" spans="1:8" x14ac:dyDescent="0.2">
      <c r="A85" s="143"/>
      <c r="B85" s="143"/>
      <c r="C85" s="143"/>
      <c r="D85" s="143"/>
      <c r="E85" s="143"/>
      <c r="F85" s="23"/>
      <c r="G85" s="26"/>
      <c r="H85" s="17"/>
    </row>
    <row r="86" spans="1:8" ht="14.25" x14ac:dyDescent="0.2">
      <c r="A86" s="143"/>
      <c r="B86" s="143"/>
      <c r="C86" s="143"/>
      <c r="D86" s="143"/>
      <c r="E86" s="143"/>
      <c r="F86" s="22" t="s">
        <v>72</v>
      </c>
      <c r="G86" s="49">
        <v>3.3</v>
      </c>
      <c r="H86" s="3" t="s">
        <v>9</v>
      </c>
    </row>
    <row r="87" spans="1:8" ht="14.25" x14ac:dyDescent="0.2">
      <c r="A87" s="143"/>
      <c r="B87" s="143"/>
      <c r="C87" s="143"/>
      <c r="D87" s="143"/>
      <c r="E87" s="143"/>
      <c r="F87" s="22" t="s">
        <v>73</v>
      </c>
      <c r="G87" s="49">
        <v>47</v>
      </c>
      <c r="H87" s="3" t="s">
        <v>34</v>
      </c>
    </row>
    <row r="88" spans="1:8" ht="14.25" x14ac:dyDescent="0.2">
      <c r="A88" s="143"/>
      <c r="B88" s="143"/>
      <c r="C88" s="143"/>
      <c r="D88" s="143"/>
      <c r="E88" s="143"/>
      <c r="F88" s="22" t="s">
        <v>74</v>
      </c>
      <c r="G88" s="48">
        <v>330</v>
      </c>
      <c r="H88" s="3" t="s">
        <v>47</v>
      </c>
    </row>
    <row r="89" spans="1:8" ht="15.75" x14ac:dyDescent="0.2">
      <c r="A89" s="143"/>
      <c r="B89" s="143"/>
      <c r="C89" s="143"/>
      <c r="D89" s="143"/>
      <c r="E89" s="143"/>
      <c r="F89" s="23" t="s">
        <v>66</v>
      </c>
      <c r="G89" s="150">
        <f>f.z_err/1000</f>
        <v>1.0261442695238425</v>
      </c>
      <c r="H89" s="1" t="s">
        <v>8</v>
      </c>
    </row>
    <row r="90" spans="1:8" ht="15.75" x14ac:dyDescent="0.2">
      <c r="A90" s="143"/>
      <c r="B90" s="143"/>
      <c r="C90" s="143"/>
      <c r="D90" s="143"/>
      <c r="E90" s="143"/>
      <c r="F90" s="23" t="s">
        <v>68</v>
      </c>
      <c r="G90" s="152">
        <f>f.p_err/1000</f>
        <v>147.17396447443474</v>
      </c>
      <c r="H90" s="1" t="s">
        <v>8</v>
      </c>
    </row>
    <row r="91" spans="1:8" x14ac:dyDescent="0.2">
      <c r="A91" s="143"/>
      <c r="B91" s="143"/>
      <c r="C91" s="143"/>
      <c r="D91" s="143"/>
      <c r="E91" s="143"/>
    </row>
    <row r="92" spans="1:8" ht="14.25" x14ac:dyDescent="0.2">
      <c r="A92" s="143"/>
      <c r="B92" s="143"/>
      <c r="C92" s="143"/>
      <c r="D92" s="143"/>
      <c r="E92" s="143"/>
      <c r="F92" s="22" t="s">
        <v>75</v>
      </c>
      <c r="G92" s="48">
        <v>10</v>
      </c>
      <c r="H92" s="3" t="s">
        <v>47</v>
      </c>
    </row>
    <row r="93" spans="1:8" ht="14.25" x14ac:dyDescent="0.2">
      <c r="A93" s="143"/>
      <c r="B93" s="143"/>
      <c r="C93" s="143"/>
      <c r="D93" s="143"/>
      <c r="E93" s="143"/>
      <c r="F93" s="22" t="s">
        <v>76</v>
      </c>
      <c r="G93" s="48">
        <v>3.3</v>
      </c>
      <c r="H93" s="3" t="s">
        <v>9</v>
      </c>
    </row>
    <row r="94" spans="1:8" ht="15.75" x14ac:dyDescent="0.2">
      <c r="A94" s="143"/>
      <c r="B94" s="143"/>
      <c r="C94" s="143"/>
      <c r="D94" s="143"/>
      <c r="E94" s="143"/>
      <c r="F94" s="23" t="s">
        <v>67</v>
      </c>
      <c r="G94" s="152">
        <f>f.z_cff/1000</f>
        <v>159.15497620314795</v>
      </c>
      <c r="H94" s="17" t="s">
        <v>8</v>
      </c>
    </row>
    <row r="95" spans="1:8" x14ac:dyDescent="0.2">
      <c r="A95" s="143"/>
      <c r="B95" s="143"/>
      <c r="C95" s="143"/>
      <c r="D95" s="143"/>
      <c r="E95" s="143"/>
      <c r="F95" s="23"/>
      <c r="G95" s="16"/>
      <c r="H95" s="17"/>
    </row>
    <row r="96" spans="1:8" x14ac:dyDescent="0.2">
      <c r="A96" s="143"/>
      <c r="B96" s="143"/>
      <c r="C96" s="143"/>
      <c r="D96" s="143"/>
      <c r="E96" s="143"/>
    </row>
    <row r="97" spans="1:8" ht="15.75" x14ac:dyDescent="0.2">
      <c r="A97" s="143"/>
      <c r="B97" s="144" t="s">
        <v>52</v>
      </c>
      <c r="C97" s="143"/>
      <c r="D97" s="143"/>
      <c r="E97" s="143"/>
    </row>
    <row r="98" spans="1:8" ht="15.75" x14ac:dyDescent="0.25">
      <c r="A98" s="146"/>
      <c r="B98" s="144"/>
      <c r="C98" s="143"/>
      <c r="D98" s="143"/>
      <c r="E98" s="143"/>
      <c r="F98" s="20" t="s">
        <v>77</v>
      </c>
      <c r="G98" s="161">
        <v>1</v>
      </c>
      <c r="H98" s="27" t="s">
        <v>6</v>
      </c>
    </row>
    <row r="99" spans="1:8" ht="15.75" x14ac:dyDescent="0.3">
      <c r="A99" s="143"/>
      <c r="B99" s="144"/>
      <c r="C99" s="143"/>
      <c r="D99" s="143"/>
      <c r="E99" s="143"/>
      <c r="F99" s="19" t="s">
        <v>78</v>
      </c>
      <c r="G99" s="154" t="str">
        <f>IF(V.iset_desired&lt;1,R.iset/1000, "OPEN or 120")</f>
        <v>OPEN or 120</v>
      </c>
      <c r="H99" s="17" t="s">
        <v>9</v>
      </c>
    </row>
    <row r="100" spans="1:8" ht="15.75" x14ac:dyDescent="0.25">
      <c r="A100" s="143"/>
      <c r="B100" s="144"/>
      <c r="C100" s="143"/>
      <c r="D100" s="143"/>
      <c r="E100" s="143"/>
      <c r="F100" s="20" t="s">
        <v>80</v>
      </c>
      <c r="G100" s="48">
        <v>1</v>
      </c>
      <c r="H100" s="3" t="s">
        <v>34</v>
      </c>
    </row>
    <row r="101" spans="1:8" ht="15.75" x14ac:dyDescent="0.3">
      <c r="A101" s="143"/>
      <c r="B101" s="144"/>
      <c r="C101" s="143"/>
      <c r="D101" s="143"/>
      <c r="E101" s="143"/>
      <c r="F101" s="19" t="s">
        <v>79</v>
      </c>
      <c r="G101" s="149">
        <f>T.sscc*1000</f>
        <v>0.10000000000000002</v>
      </c>
      <c r="H101" s="17" t="s">
        <v>37</v>
      </c>
    </row>
    <row r="102" spans="1:8" ht="15.75" x14ac:dyDescent="0.2">
      <c r="A102" s="143"/>
      <c r="B102" s="144"/>
      <c r="C102" s="143"/>
      <c r="D102" s="143"/>
      <c r="E102" s="143"/>
    </row>
    <row r="103" spans="1:8" ht="15.75" x14ac:dyDescent="0.2">
      <c r="A103" s="143"/>
      <c r="B103" s="144"/>
      <c r="C103" s="143"/>
      <c r="D103" s="143"/>
      <c r="E103" s="143"/>
    </row>
    <row r="104" spans="1:8" ht="15.75" x14ac:dyDescent="0.2">
      <c r="A104" s="143"/>
      <c r="B104" s="144" t="s">
        <v>51</v>
      </c>
      <c r="C104" s="143"/>
      <c r="D104" s="143"/>
      <c r="E104" s="143"/>
    </row>
    <row r="105" spans="1:8" ht="15.75" x14ac:dyDescent="0.2">
      <c r="A105" s="143"/>
      <c r="B105" s="144"/>
      <c r="C105" s="143"/>
      <c r="D105" s="143"/>
      <c r="E105" s="143"/>
      <c r="F105" s="23" t="s">
        <v>82</v>
      </c>
      <c r="G105" s="150">
        <f>R.imon_desired/1000</f>
        <v>12.987012987012987</v>
      </c>
      <c r="H105" s="17" t="s">
        <v>9</v>
      </c>
    </row>
    <row r="106" spans="1:8" ht="15.75" x14ac:dyDescent="0.2">
      <c r="A106" s="143"/>
      <c r="B106" s="144"/>
      <c r="C106" s="143"/>
      <c r="D106" s="143"/>
      <c r="E106" s="143"/>
      <c r="F106" s="23" t="s">
        <v>81</v>
      </c>
      <c r="G106" s="150">
        <f>C.imon_desired*10^9</f>
        <v>103.55267999999998</v>
      </c>
      <c r="H106" s="17" t="s">
        <v>34</v>
      </c>
    </row>
    <row r="107" spans="1:8" ht="15.75" x14ac:dyDescent="0.2">
      <c r="A107" s="143"/>
      <c r="B107" s="144"/>
      <c r="C107" s="143"/>
      <c r="D107" s="143"/>
      <c r="E107" s="143"/>
      <c r="F107" s="23" t="s">
        <v>83</v>
      </c>
      <c r="G107" s="150">
        <f>R.imonhf_desired</f>
        <v>75.710256847046367</v>
      </c>
      <c r="H107" s="17" t="s">
        <v>90</v>
      </c>
    </row>
    <row r="108" spans="1:8" ht="15.75" x14ac:dyDescent="0.2">
      <c r="A108" s="143"/>
      <c r="B108" s="144"/>
      <c r="C108" s="143"/>
      <c r="D108" s="143"/>
      <c r="E108" s="143"/>
      <c r="F108" s="23" t="s">
        <v>245</v>
      </c>
      <c r="G108" s="149">
        <f>f.p_imon_desired/1000</f>
        <v>0.11834491553132566</v>
      </c>
      <c r="H108" s="1" t="s">
        <v>8</v>
      </c>
    </row>
    <row r="109" spans="1:8" ht="15.75" x14ac:dyDescent="0.2">
      <c r="A109" s="143"/>
      <c r="B109" s="144"/>
      <c r="C109" s="143"/>
      <c r="D109" s="143"/>
      <c r="E109" s="143"/>
      <c r="F109" s="23" t="s">
        <v>244</v>
      </c>
      <c r="G109" s="152">
        <f>f.z_imon_desired/1000</f>
        <v>20.300379617748465</v>
      </c>
      <c r="H109" s="1" t="s">
        <v>8</v>
      </c>
    </row>
    <row r="110" spans="1:8" x14ac:dyDescent="0.2">
      <c r="A110" s="143"/>
      <c r="B110" s="143"/>
      <c r="C110" s="143"/>
      <c r="D110" s="143"/>
      <c r="E110" s="143"/>
      <c r="F110" s="23"/>
      <c r="G110" s="26"/>
      <c r="H110" s="17"/>
    </row>
    <row r="111" spans="1:8" ht="14.25" x14ac:dyDescent="0.2">
      <c r="A111" s="143"/>
      <c r="B111" s="143"/>
      <c r="C111" s="143"/>
      <c r="D111" s="143"/>
      <c r="E111" s="143"/>
      <c r="F111" s="22" t="s">
        <v>84</v>
      </c>
      <c r="G111" s="49">
        <v>12.7</v>
      </c>
      <c r="H111" s="3" t="s">
        <v>9</v>
      </c>
    </row>
    <row r="112" spans="1:8" ht="14.25" x14ac:dyDescent="0.2">
      <c r="A112" s="143"/>
      <c r="B112" s="143"/>
      <c r="C112" s="143"/>
      <c r="D112" s="143"/>
      <c r="E112" s="143"/>
      <c r="F112" s="22" t="s">
        <v>86</v>
      </c>
      <c r="G112" s="49">
        <v>100</v>
      </c>
      <c r="H112" s="3" t="s">
        <v>34</v>
      </c>
    </row>
    <row r="113" spans="1:8" ht="14.25" x14ac:dyDescent="0.2">
      <c r="A113" s="143"/>
      <c r="B113" s="143"/>
      <c r="C113" s="143"/>
      <c r="D113" s="143"/>
      <c r="E113" s="143"/>
      <c r="F113" s="22" t="s">
        <v>85</v>
      </c>
      <c r="G113" s="141">
        <v>75</v>
      </c>
      <c r="H113" s="3" t="s">
        <v>90</v>
      </c>
    </row>
    <row r="114" spans="1:8" ht="15.75" x14ac:dyDescent="0.2">
      <c r="A114" s="143"/>
      <c r="B114" s="143"/>
      <c r="C114" s="143"/>
      <c r="D114" s="143"/>
      <c r="E114" s="143"/>
      <c r="F114" s="23" t="s">
        <v>88</v>
      </c>
      <c r="G114" s="149">
        <f>f.p_imon/1000</f>
        <v>0.12531887890011645</v>
      </c>
      <c r="H114" s="1" t="s">
        <v>8</v>
      </c>
    </row>
    <row r="115" spans="1:8" ht="15.75" x14ac:dyDescent="0.2">
      <c r="A115" s="143"/>
      <c r="B115" s="143"/>
      <c r="C115" s="143"/>
      <c r="D115" s="143"/>
      <c r="E115" s="143"/>
      <c r="F115" s="23" t="s">
        <v>87</v>
      </c>
      <c r="G115" s="157">
        <f>IF(f.z_imon/1000&lt;=2000,f.z_imon/1000,"&gt;2000")</f>
        <v>21.220663493753058</v>
      </c>
      <c r="H115" s="1" t="s">
        <v>8</v>
      </c>
    </row>
    <row r="116" spans="1:8" x14ac:dyDescent="0.2">
      <c r="A116" s="143"/>
      <c r="B116" s="143"/>
      <c r="C116" s="143"/>
      <c r="D116" s="143"/>
      <c r="E116" s="143"/>
    </row>
    <row r="117" spans="1:8" x14ac:dyDescent="0.2">
      <c r="A117" s="143"/>
      <c r="B117" s="143"/>
      <c r="C117" s="143"/>
      <c r="D117" s="143"/>
      <c r="E117" s="143"/>
    </row>
    <row r="118" spans="1:8" x14ac:dyDescent="0.2">
      <c r="A118" s="146"/>
      <c r="B118" s="143"/>
      <c r="C118" s="143"/>
      <c r="D118" s="143"/>
      <c r="E118" s="143"/>
    </row>
    <row r="119" spans="1:8" ht="15.75" x14ac:dyDescent="0.2">
      <c r="A119" s="143"/>
      <c r="B119" s="144" t="s">
        <v>53</v>
      </c>
      <c r="C119" s="143"/>
      <c r="D119" s="143"/>
      <c r="E119" s="143"/>
    </row>
    <row r="120" spans="1:8" x14ac:dyDescent="0.2">
      <c r="A120" s="143"/>
      <c r="B120" s="143"/>
      <c r="C120" s="143"/>
      <c r="D120" s="143"/>
      <c r="E120" s="145" t="s">
        <v>147</v>
      </c>
    </row>
    <row r="121" spans="1:8" ht="14.25" x14ac:dyDescent="0.25">
      <c r="A121" s="146"/>
      <c r="B121" s="143"/>
      <c r="C121" s="143"/>
      <c r="D121" s="143"/>
      <c r="E121" s="143"/>
      <c r="F121" s="20" t="s">
        <v>58</v>
      </c>
      <c r="G121" s="43">
        <v>11</v>
      </c>
      <c r="H121" s="3" t="s">
        <v>18</v>
      </c>
    </row>
    <row r="122" spans="1:8" ht="14.25" x14ac:dyDescent="0.25">
      <c r="A122" s="143"/>
      <c r="B122" s="143"/>
      <c r="C122" s="143"/>
      <c r="D122" s="143"/>
      <c r="E122" s="143"/>
      <c r="F122" s="20" t="s">
        <v>28</v>
      </c>
      <c r="G122" s="43">
        <v>1.6</v>
      </c>
      <c r="H122" s="3" t="s">
        <v>24</v>
      </c>
    </row>
    <row r="123" spans="1:8" x14ac:dyDescent="0.2">
      <c r="A123" s="143"/>
      <c r="B123" s="143"/>
      <c r="C123" s="143"/>
      <c r="D123" s="143"/>
      <c r="E123" s="145" t="s">
        <v>373</v>
      </c>
      <c r="F123" s="28" t="s">
        <v>94</v>
      </c>
      <c r="G123" s="28" t="s">
        <v>95</v>
      </c>
    </row>
    <row r="124" spans="1:8" ht="14.25" x14ac:dyDescent="0.2">
      <c r="A124" s="143"/>
      <c r="B124" s="143"/>
      <c r="C124" s="143"/>
      <c r="D124" s="143"/>
      <c r="E124" s="2" t="s">
        <v>466</v>
      </c>
      <c r="F124" s="43">
        <v>9.5</v>
      </c>
      <c r="G124" s="43">
        <v>9.5</v>
      </c>
      <c r="H124" s="3" t="s">
        <v>18</v>
      </c>
    </row>
    <row r="125" spans="1:8" ht="14.25" x14ac:dyDescent="0.2">
      <c r="A125" s="143"/>
      <c r="B125" s="143"/>
      <c r="C125" s="143"/>
      <c r="D125" s="143"/>
      <c r="E125" s="2" t="s">
        <v>467</v>
      </c>
      <c r="F125" s="48">
        <v>11</v>
      </c>
      <c r="G125" s="48">
        <v>11</v>
      </c>
      <c r="H125" s="3" t="s">
        <v>89</v>
      </c>
    </row>
    <row r="126" spans="1:8" ht="14.25" x14ac:dyDescent="0.2">
      <c r="A126" s="143"/>
      <c r="B126" s="143"/>
      <c r="C126" s="143"/>
      <c r="D126" s="143"/>
      <c r="E126" s="2" t="s">
        <v>468</v>
      </c>
      <c r="F126" s="48">
        <v>3</v>
      </c>
      <c r="G126" s="48">
        <v>3</v>
      </c>
      <c r="H126" s="3" t="s">
        <v>89</v>
      </c>
    </row>
    <row r="127" spans="1:8" ht="14.25" x14ac:dyDescent="0.2">
      <c r="A127" s="143"/>
      <c r="B127" s="143"/>
      <c r="C127" s="143"/>
      <c r="D127" s="143"/>
      <c r="E127" s="2" t="s">
        <v>469</v>
      </c>
      <c r="F127" s="48">
        <v>5</v>
      </c>
      <c r="G127" s="48">
        <v>5</v>
      </c>
      <c r="H127" s="3" t="s">
        <v>89</v>
      </c>
    </row>
    <row r="128" spans="1:8" ht="14.25" x14ac:dyDescent="0.2">
      <c r="A128" s="143"/>
      <c r="B128" s="143"/>
      <c r="C128" s="143"/>
      <c r="D128" s="143"/>
      <c r="E128" s="2" t="s">
        <v>470</v>
      </c>
      <c r="F128" s="24"/>
      <c r="G128" s="48">
        <v>7</v>
      </c>
      <c r="H128" s="3" t="s">
        <v>89</v>
      </c>
    </row>
    <row r="129" spans="1:8" ht="14.25" x14ac:dyDescent="0.2">
      <c r="A129" s="143"/>
      <c r="B129" s="143"/>
      <c r="C129" s="143"/>
      <c r="D129" s="143"/>
      <c r="E129" s="2" t="s">
        <v>471</v>
      </c>
      <c r="F129" s="48">
        <v>150</v>
      </c>
      <c r="G129" s="48">
        <v>150</v>
      </c>
      <c r="H129" s="3" t="s">
        <v>47</v>
      </c>
    </row>
    <row r="130" spans="1:8" ht="14.25" x14ac:dyDescent="0.2">
      <c r="A130" s="143"/>
      <c r="B130" s="143"/>
      <c r="C130" s="143"/>
      <c r="D130" s="143"/>
      <c r="E130" s="2" t="s">
        <v>472</v>
      </c>
      <c r="F130" s="43">
        <v>1</v>
      </c>
      <c r="G130" s="43">
        <v>1</v>
      </c>
      <c r="H130" s="3" t="s">
        <v>90</v>
      </c>
    </row>
    <row r="131" spans="1:8" ht="14.25" x14ac:dyDescent="0.2">
      <c r="A131" s="143"/>
      <c r="B131" s="143"/>
      <c r="C131" s="143"/>
      <c r="D131" s="143"/>
      <c r="E131" s="2" t="s">
        <v>473</v>
      </c>
      <c r="F131" s="48">
        <v>52</v>
      </c>
      <c r="G131" s="48">
        <v>52</v>
      </c>
      <c r="H131" s="3" t="s">
        <v>91</v>
      </c>
    </row>
    <row r="132" spans="1:8" ht="14.25" x14ac:dyDescent="0.2">
      <c r="A132" s="143"/>
      <c r="B132" s="143"/>
      <c r="C132" s="143"/>
      <c r="D132" s="143"/>
      <c r="E132" s="2" t="s">
        <v>474</v>
      </c>
      <c r="F132" s="43">
        <v>3.1</v>
      </c>
      <c r="G132" s="43">
        <v>3.1</v>
      </c>
      <c r="H132" s="3" t="s">
        <v>6</v>
      </c>
    </row>
    <row r="133" spans="1:8" ht="14.25" x14ac:dyDescent="0.2">
      <c r="A133" s="143"/>
      <c r="B133" s="143"/>
      <c r="C133" s="143"/>
      <c r="D133" s="143"/>
      <c r="E133" s="2" t="s">
        <v>475</v>
      </c>
      <c r="F133" s="43">
        <v>0.8</v>
      </c>
      <c r="G133" s="43">
        <v>0.8</v>
      </c>
      <c r="H133" s="3" t="s">
        <v>6</v>
      </c>
    </row>
    <row r="134" spans="1:8" ht="14.25" x14ac:dyDescent="0.2">
      <c r="A134" s="143"/>
      <c r="B134" s="143"/>
      <c r="C134" s="143"/>
      <c r="D134" s="143"/>
      <c r="E134" s="2" t="s">
        <v>476</v>
      </c>
      <c r="F134" s="24"/>
      <c r="G134" s="48">
        <v>41</v>
      </c>
      <c r="H134" s="3" t="s">
        <v>89</v>
      </c>
    </row>
    <row r="135" spans="1:8" ht="14.25" x14ac:dyDescent="0.2">
      <c r="A135" s="143"/>
      <c r="B135" s="143"/>
      <c r="C135" s="143"/>
      <c r="D135" s="143"/>
      <c r="E135" s="2" t="s">
        <v>477</v>
      </c>
      <c r="F135" s="48">
        <v>41</v>
      </c>
      <c r="G135" s="48">
        <v>41</v>
      </c>
      <c r="H135" s="3" t="s">
        <v>92</v>
      </c>
    </row>
    <row r="136" spans="1:8" x14ac:dyDescent="0.2">
      <c r="A136" s="143"/>
      <c r="B136" s="143"/>
      <c r="C136" s="143"/>
      <c r="D136" s="143"/>
      <c r="E136" s="2" t="s">
        <v>93</v>
      </c>
      <c r="G136" s="28" t="s">
        <v>95</v>
      </c>
    </row>
    <row r="137" spans="1:8" ht="14.25" x14ac:dyDescent="0.2">
      <c r="A137" s="143"/>
      <c r="B137" s="143"/>
      <c r="C137" s="143"/>
      <c r="D137" s="143"/>
      <c r="E137" s="2" t="s">
        <v>478</v>
      </c>
      <c r="G137" s="43">
        <v>0</v>
      </c>
      <c r="H137" s="27" t="s">
        <v>6</v>
      </c>
    </row>
    <row r="138" spans="1:8" ht="14.25" x14ac:dyDescent="0.2">
      <c r="A138" s="143"/>
      <c r="B138" s="143"/>
      <c r="C138" s="143"/>
      <c r="D138" s="143"/>
      <c r="E138" s="2" t="s">
        <v>479</v>
      </c>
      <c r="G138" s="48">
        <v>0</v>
      </c>
      <c r="H138" s="27" t="s">
        <v>89</v>
      </c>
    </row>
    <row r="139" spans="1:8" x14ac:dyDescent="0.2">
      <c r="A139" s="143"/>
      <c r="B139" s="143"/>
      <c r="C139" s="143"/>
      <c r="D139" s="143"/>
      <c r="E139" s="143"/>
    </row>
    <row r="140" spans="1:8" x14ac:dyDescent="0.2">
      <c r="A140" s="143"/>
      <c r="B140" s="143"/>
      <c r="C140" s="143"/>
      <c r="D140" s="143"/>
      <c r="E140" s="143"/>
    </row>
    <row r="141" spans="1:8" ht="15.75" x14ac:dyDescent="0.2">
      <c r="A141" s="143"/>
      <c r="B141" s="144" t="s">
        <v>54</v>
      </c>
      <c r="C141" s="143"/>
      <c r="D141" s="143"/>
      <c r="E141" s="143"/>
    </row>
    <row r="142" spans="1:8" ht="14.25" x14ac:dyDescent="0.2">
      <c r="A142" s="143"/>
      <c r="B142" s="143"/>
      <c r="C142" s="143"/>
      <c r="D142" s="143"/>
      <c r="E142" s="143"/>
      <c r="F142" s="22" t="s">
        <v>359</v>
      </c>
      <c r="G142" s="162" t="s">
        <v>284</v>
      </c>
    </row>
    <row r="143" spans="1:8" ht="14.25" x14ac:dyDescent="0.2">
      <c r="A143" s="143"/>
      <c r="B143" s="143"/>
      <c r="C143" s="143"/>
      <c r="D143" s="143"/>
      <c r="E143" s="143"/>
      <c r="F143" s="22" t="s">
        <v>325</v>
      </c>
      <c r="G143" s="162">
        <v>25</v>
      </c>
      <c r="H143" s="1" t="s">
        <v>96</v>
      </c>
    </row>
    <row r="144" spans="1:8" ht="15.75" x14ac:dyDescent="0.3">
      <c r="A144" s="143"/>
      <c r="B144" s="143"/>
      <c r="C144" s="143"/>
      <c r="D144" s="143"/>
      <c r="E144" s="143"/>
      <c r="F144" s="19" t="s">
        <v>98</v>
      </c>
      <c r="G144" s="147">
        <f>Efficiency!AY112</f>
        <v>3.7184000000000002E-2</v>
      </c>
      <c r="H144" s="1" t="s">
        <v>24</v>
      </c>
    </row>
    <row r="145" spans="1:8" ht="15.75" x14ac:dyDescent="0.3">
      <c r="A145" s="143"/>
      <c r="B145" s="143"/>
      <c r="C145" s="143"/>
      <c r="D145" s="143"/>
      <c r="E145" s="143"/>
      <c r="F145" s="19" t="s">
        <v>324</v>
      </c>
      <c r="G145" s="29">
        <f>G143+G144*44.8</f>
        <v>26.665843200000001</v>
      </c>
      <c r="H145" s="1" t="s">
        <v>96</v>
      </c>
    </row>
    <row r="146" spans="1:8" x14ac:dyDescent="0.2">
      <c r="A146" s="143"/>
      <c r="B146" s="143"/>
      <c r="C146" s="143"/>
      <c r="D146" s="143"/>
      <c r="E146" s="143"/>
      <c r="F146" s="19" t="s">
        <v>498</v>
      </c>
      <c r="G146" s="1">
        <f>IVCC*1000</f>
        <v>2.2000000000000002</v>
      </c>
      <c r="H146" s="1" t="s">
        <v>499</v>
      </c>
    </row>
    <row r="147" spans="1:8" x14ac:dyDescent="0.2">
      <c r="A147" s="143"/>
      <c r="B147" s="143"/>
      <c r="C147" s="143"/>
      <c r="D147" s="143"/>
      <c r="E147" s="143"/>
    </row>
    <row r="148" spans="1:8" ht="15.75" x14ac:dyDescent="0.2">
      <c r="A148" s="143"/>
      <c r="B148" s="144" t="s">
        <v>55</v>
      </c>
      <c r="C148" s="143"/>
      <c r="D148" s="143"/>
      <c r="E148" s="143"/>
    </row>
    <row r="149" spans="1:8" x14ac:dyDescent="0.2">
      <c r="A149" s="143"/>
      <c r="B149" s="143"/>
      <c r="C149" s="143"/>
      <c r="D149" s="143"/>
      <c r="E149" s="143"/>
      <c r="F149" s="22" t="s">
        <v>99</v>
      </c>
      <c r="G149" s="162">
        <v>50</v>
      </c>
      <c r="H149" s="27" t="s">
        <v>41</v>
      </c>
    </row>
    <row r="150" spans="1:8" ht="15.75" x14ac:dyDescent="0.3">
      <c r="A150" s="143"/>
      <c r="B150" s="143"/>
      <c r="C150" s="143"/>
      <c r="D150" s="143"/>
      <c r="E150" s="143"/>
      <c r="F150" s="19" t="s">
        <v>103</v>
      </c>
      <c r="G150" s="29">
        <f>Calc!C229*1000000</f>
        <v>500</v>
      </c>
      <c r="H150" s="1" t="s">
        <v>33</v>
      </c>
    </row>
    <row r="151" spans="1:8" x14ac:dyDescent="0.2">
      <c r="A151" s="143"/>
      <c r="B151" s="143"/>
      <c r="C151" s="143"/>
      <c r="D151" s="143"/>
      <c r="E151" s="143"/>
      <c r="F151" s="19" t="s">
        <v>100</v>
      </c>
      <c r="G151" s="29">
        <f>Calc!C232</f>
        <v>5</v>
      </c>
      <c r="H151" s="1" t="s">
        <v>101</v>
      </c>
    </row>
    <row r="152" spans="1:8" x14ac:dyDescent="0.2">
      <c r="A152" s="143"/>
      <c r="B152" s="143"/>
      <c r="C152" s="143"/>
      <c r="D152" s="143"/>
      <c r="E152" s="143"/>
      <c r="F152" s="19" t="s">
        <v>102</v>
      </c>
      <c r="G152" s="30">
        <f>Calc!C234*1000</f>
        <v>5</v>
      </c>
      <c r="H152" s="1" t="s">
        <v>18</v>
      </c>
    </row>
    <row r="153" spans="1:8" x14ac:dyDescent="0.2">
      <c r="A153" s="143"/>
      <c r="B153" s="143"/>
      <c r="C153" s="143"/>
      <c r="D153" s="143"/>
      <c r="E153" s="143"/>
    </row>
  </sheetData>
  <sheetProtection algorithmName="SHA-512" hashValue="xiaVwYnrtR4Ym4JZhSYMefv44Mzx6OBot6HSRBU6BGIFTR/WrUZr/A2woEwhsPYGcUn8mDx4jadRM1FbMBMUSA==" saltValue="Er7KSrJ2H/oNhNln+l0GKw==" spinCount="100000" sheet="1" selectLockedCells="1"/>
  <mergeCells count="1">
    <mergeCell ref="K3:L3"/>
  </mergeCells>
  <phoneticPr fontId="48" type="noConversion"/>
  <conditionalFormatting sqref="G7">
    <cfRule type="cellIs" dxfId="22" priority="24" operator="notBetween">
      <formula>5</formula>
      <formula>$G$8</formula>
    </cfRule>
  </conditionalFormatting>
  <conditionalFormatting sqref="G8">
    <cfRule type="cellIs" dxfId="21" priority="23" operator="notBetween">
      <formula>$G$7</formula>
      <formula>$G$9</formula>
    </cfRule>
  </conditionalFormatting>
  <conditionalFormatting sqref="G9">
    <cfRule type="cellIs" dxfId="20" priority="22" operator="notBetween">
      <formula>$G$8</formula>
      <formula>MaxOperatinvVIN</formula>
    </cfRule>
  </conditionalFormatting>
  <conditionalFormatting sqref="G10">
    <cfRule type="cellIs" dxfId="19" priority="21" operator="notBetween">
      <formula>0.8</formula>
      <formula>$G$7</formula>
    </cfRule>
  </conditionalFormatting>
  <conditionalFormatting sqref="G12">
    <cfRule type="cellIs" dxfId="18" priority="20" operator="notBetween">
      <formula>100</formula>
      <formula>2200</formula>
    </cfRule>
  </conditionalFormatting>
  <conditionalFormatting sqref="G11">
    <cfRule type="cellIs" dxfId="17" priority="19" operator="lessThanOrEqual">
      <formula>0</formula>
    </cfRule>
  </conditionalFormatting>
  <conditionalFormatting sqref="G19">
    <cfRule type="cellIs" dxfId="16" priority="17" operator="lessThan">
      <formula>Ipeak_atvinmax</formula>
    </cfRule>
    <cfRule type="cellIs" dxfId="15" priority="18" operator="lessThan">
      <formula>Ipeak_atvinmax*1.15</formula>
    </cfRule>
  </conditionalFormatting>
  <conditionalFormatting sqref="G21">
    <cfRule type="cellIs" dxfId="14" priority="16" operator="greaterThan">
      <formula>$G$20+0.1</formula>
    </cfRule>
  </conditionalFormatting>
  <conditionalFormatting sqref="G44">
    <cfRule type="cellIs" dxfId="13" priority="15" operator="lessThan">
      <formula>V.sp_max</formula>
    </cfRule>
  </conditionalFormatting>
  <conditionalFormatting sqref="G47">
    <cfRule type="cellIs" dxfId="12" priority="14" operator="lessThan">
      <formula>V.sp_max</formula>
    </cfRule>
  </conditionalFormatting>
  <conditionalFormatting sqref="G51">
    <cfRule type="cellIs" dxfId="11" priority="13" operator="greaterThan">
      <formula>6</formula>
    </cfRule>
  </conditionalFormatting>
  <conditionalFormatting sqref="G52">
    <cfRule type="cellIs" dxfId="10" priority="12" operator="greaterThan">
      <formula>f.sw/1000/10</formula>
    </cfRule>
  </conditionalFormatting>
  <conditionalFormatting sqref="G53">
    <cfRule type="cellIs" dxfId="9" priority="11" operator="greaterThan">
      <formula>$G$57+$G$62</formula>
    </cfRule>
  </conditionalFormatting>
  <conditionalFormatting sqref="G67">
    <cfRule type="cellIs" dxfId="8" priority="9" operator="greaterThan">
      <formula>6</formula>
    </cfRule>
  </conditionalFormatting>
  <conditionalFormatting sqref="G68">
    <cfRule type="cellIs" dxfId="7" priority="8" operator="greaterThan">
      <formula>8</formula>
    </cfRule>
  </conditionalFormatting>
  <conditionalFormatting sqref="G72">
    <cfRule type="cellIs" dxfId="6" priority="7" operator="lessThan">
      <formula>R.fbt_min/1000</formula>
    </cfRule>
  </conditionalFormatting>
  <conditionalFormatting sqref="G98">
    <cfRule type="cellIs" dxfId="5" priority="6" operator="between">
      <formula>0.801</formula>
      <formula>0.99</formula>
    </cfRule>
  </conditionalFormatting>
  <conditionalFormatting sqref="G86">
    <cfRule type="cellIs" dxfId="4" priority="5" operator="greaterThan">
      <formula>$G$80*1.2</formula>
    </cfRule>
  </conditionalFormatting>
  <conditionalFormatting sqref="G87">
    <cfRule type="cellIs" dxfId="3" priority="4" operator="lessThan">
      <formula>$G$81*0.8</formula>
    </cfRule>
  </conditionalFormatting>
  <conditionalFormatting sqref="G146">
    <cfRule type="cellIs" dxfId="2" priority="3" operator="greaterThan">
      <formula>130</formula>
    </cfRule>
  </conditionalFormatting>
  <conditionalFormatting sqref="G36">
    <cfRule type="cellIs" dxfId="1" priority="2" operator="notEqual">
      <formula>2.2</formula>
    </cfRule>
  </conditionalFormatting>
  <conditionalFormatting sqref="G37">
    <cfRule type="cellIs" dxfId="0" priority="1" operator="notEqual">
      <formula>100</formula>
    </cfRule>
  </conditionalFormatting>
  <hyperlinks>
    <hyperlink ref="C3" r:id="rId1"/>
  </hyperlinks>
  <pageMargins left="0.7" right="0.7" top="0.75" bottom="0.75" header="0.3" footer="0.3"/>
  <pageSetup scale="42" orientation="portrait" r:id="rId2"/>
  <rowBreaks count="1" manualBreakCount="1">
    <brk id="7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13</xdr:col>
                    <xdr:colOff>276225</xdr:colOff>
                    <xdr:row>1</xdr:row>
                    <xdr:rowOff>352425</xdr:rowOff>
                  </from>
                  <to>
                    <xdr:col>14</xdr:col>
                    <xdr:colOff>209550</xdr:colOff>
                    <xdr:row>2</xdr:row>
                    <xdr:rowOff>66675</xdr:rowOff>
                  </to>
                </anchor>
              </controlPr>
            </control>
          </mc:Choice>
        </mc:AlternateContent>
        <mc:AlternateContent xmlns:mc="http://schemas.openxmlformats.org/markup-compatibility/2006">
          <mc:Choice Requires="x14">
            <control shapeId="19955" r:id="rId6" name="Button 2547">
              <controlPr defaultSize="0" print="0" autoFill="0" autoPict="0" macro="[0]!OPEN_PF">
                <anchor moveWithCells="1" sizeWithCells="1">
                  <from>
                    <xdr:col>11</xdr:col>
                    <xdr:colOff>133350</xdr:colOff>
                    <xdr:row>148</xdr:row>
                    <xdr:rowOff>95250</xdr:rowOff>
                  </from>
                  <to>
                    <xdr:col>12</xdr:col>
                    <xdr:colOff>476250</xdr:colOff>
                    <xdr:row>151</xdr:row>
                    <xdr:rowOff>28575</xdr:rowOff>
                  </to>
                </anchor>
              </controlPr>
            </control>
          </mc:Choice>
        </mc:AlternateContent>
        <mc:AlternateContent xmlns:mc="http://schemas.openxmlformats.org/markup-compatibility/2006">
          <mc:Choice Requires="x14">
            <control shapeId="19956" r:id="rId7" name="Button 2548">
              <controlPr defaultSize="0" print="0" autoFill="0" autoPict="0" macro="[0]!PRINT_NOW">
                <anchor moveWithCells="1" sizeWithCells="1">
                  <from>
                    <xdr:col>8</xdr:col>
                    <xdr:colOff>523875</xdr:colOff>
                    <xdr:row>148</xdr:row>
                    <xdr:rowOff>85725</xdr:rowOff>
                  </from>
                  <to>
                    <xdr:col>10</xdr:col>
                    <xdr:colOff>323850</xdr:colOff>
                    <xdr:row>150</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STD_VAL!$C$7:$C$8</xm:f>
          </x14:formula1>
          <xm:sqref>G13</xm:sqref>
        </x14:dataValidation>
        <x14:dataValidation type="list" allowBlank="1" showInputMessage="1" showErrorMessage="1">
          <x14:formula1>
            <xm:f>STD_VAL!$C$3:$C$4</xm:f>
          </x14:formula1>
          <xm:sqref>G14</xm:sqref>
        </x14:dataValidation>
        <x14:dataValidation type="list" allowBlank="1" showInputMessage="1" showErrorMessage="1">
          <x14:formula1>
            <xm:f>STD_VAL!$C$11:$C$12</xm:f>
          </x14:formula1>
          <xm:sqref>G142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
  <sheetViews>
    <sheetView zoomScaleNormal="100" workbookViewId="0">
      <selection activeCell="G25" sqref="G25"/>
    </sheetView>
  </sheetViews>
  <sheetFormatPr defaultColWidth="8.85546875" defaultRowHeight="15.75" x14ac:dyDescent="0.25"/>
  <cols>
    <col min="1" max="16384" width="8.85546875" style="31"/>
  </cols>
  <sheetData/>
  <phoneticPr fontId="48"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X247"/>
  <sheetViews>
    <sheetView topLeftCell="A162" zoomScaleNormal="100" workbookViewId="0">
      <selection activeCell="D196" sqref="D195:D196"/>
    </sheetView>
  </sheetViews>
  <sheetFormatPr defaultRowHeight="12.75" x14ac:dyDescent="0.2"/>
  <cols>
    <col min="1" max="1" width="41.7109375" bestFit="1" customWidth="1"/>
    <col min="2" max="2" width="19" customWidth="1"/>
    <col min="3" max="3" width="12.28515625" bestFit="1" customWidth="1"/>
    <col min="4" max="4" width="31" bestFit="1" customWidth="1"/>
    <col min="5" max="5" width="12" bestFit="1" customWidth="1"/>
    <col min="6" max="6" width="11.28515625" customWidth="1"/>
    <col min="19" max="19" width="10.85546875" bestFit="1" customWidth="1"/>
    <col min="20" max="20" width="8.28515625" bestFit="1" customWidth="1"/>
    <col min="21" max="21" width="15.5703125" bestFit="1" customWidth="1"/>
    <col min="22" max="22" width="15.5703125" style="58" bestFit="1" customWidth="1"/>
    <col min="23" max="23" width="12.85546875" style="58" customWidth="1"/>
    <col min="24" max="24" width="7.42578125" bestFit="1" customWidth="1"/>
    <col min="25" max="25" width="11.28515625" bestFit="1" customWidth="1"/>
  </cols>
  <sheetData>
    <row r="1" spans="1:7" ht="27.75" x14ac:dyDescent="0.4">
      <c r="A1" s="35" t="s">
        <v>106</v>
      </c>
      <c r="G1" s="36"/>
    </row>
    <row r="2" spans="1:7" x14ac:dyDescent="0.2">
      <c r="C2" s="46"/>
      <c r="D2" t="s">
        <v>107</v>
      </c>
      <c r="G2" s="36"/>
    </row>
    <row r="3" spans="1:7" x14ac:dyDescent="0.2">
      <c r="C3" s="37"/>
      <c r="D3" t="s">
        <v>108</v>
      </c>
      <c r="G3" s="36"/>
    </row>
    <row r="4" spans="1:7" x14ac:dyDescent="0.2">
      <c r="C4" s="38"/>
      <c r="D4" t="s">
        <v>109</v>
      </c>
      <c r="G4" s="36"/>
    </row>
    <row r="5" spans="1:7" x14ac:dyDescent="0.2">
      <c r="C5" s="39"/>
      <c r="G5" s="36"/>
    </row>
    <row r="6" spans="1:7" x14ac:dyDescent="0.2">
      <c r="A6" s="40" t="s">
        <v>110</v>
      </c>
      <c r="G6" s="36"/>
    </row>
    <row r="7" spans="1:7" ht="15.75" x14ac:dyDescent="0.25">
      <c r="B7" s="32" t="s">
        <v>111</v>
      </c>
      <c r="C7" s="32" t="s">
        <v>112</v>
      </c>
      <c r="D7" s="32" t="s">
        <v>113</v>
      </c>
      <c r="E7" s="32" t="s">
        <v>114</v>
      </c>
      <c r="F7" s="32" t="s">
        <v>105</v>
      </c>
      <c r="G7" s="41" t="s">
        <v>115</v>
      </c>
    </row>
    <row r="8" spans="1:7" x14ac:dyDescent="0.2">
      <c r="B8" s="38" t="s">
        <v>116</v>
      </c>
      <c r="C8" s="39"/>
      <c r="D8" s="39"/>
      <c r="F8">
        <v>3.1415920000000002</v>
      </c>
      <c r="G8" s="36"/>
    </row>
    <row r="9" spans="1:7" x14ac:dyDescent="0.2">
      <c r="B9" s="38" t="s">
        <v>334</v>
      </c>
      <c r="C9" s="39"/>
      <c r="D9" s="39"/>
      <c r="F9">
        <v>7</v>
      </c>
      <c r="G9" s="36"/>
    </row>
    <row r="10" spans="1:7" x14ac:dyDescent="0.2">
      <c r="B10" s="38" t="s">
        <v>358</v>
      </c>
      <c r="C10" s="39"/>
      <c r="D10" s="39"/>
      <c r="F10">
        <f>124*10^-6</f>
        <v>1.2400000000000001E-4</v>
      </c>
      <c r="G10" s="36"/>
    </row>
    <row r="11" spans="1:7" x14ac:dyDescent="0.2">
      <c r="A11" s="40" t="s">
        <v>140</v>
      </c>
    </row>
    <row r="12" spans="1:7" x14ac:dyDescent="0.2">
      <c r="B12" s="42" t="s">
        <v>111</v>
      </c>
      <c r="C12" s="42" t="s">
        <v>112</v>
      </c>
      <c r="D12" s="42" t="s">
        <v>113</v>
      </c>
      <c r="E12" s="42" t="s">
        <v>114</v>
      </c>
      <c r="F12" s="42" t="s">
        <v>105</v>
      </c>
      <c r="G12" s="42" t="s">
        <v>115</v>
      </c>
    </row>
    <row r="13" spans="1:7" x14ac:dyDescent="0.2">
      <c r="A13" t="s">
        <v>117</v>
      </c>
      <c r="B13" s="46" t="s">
        <v>118</v>
      </c>
      <c r="C13">
        <f>Design!G7</f>
        <v>13</v>
      </c>
      <c r="E13">
        <v>1</v>
      </c>
      <c r="F13">
        <f>C13*E13</f>
        <v>13</v>
      </c>
    </row>
    <row r="14" spans="1:7" x14ac:dyDescent="0.2">
      <c r="B14" s="46" t="s">
        <v>119</v>
      </c>
      <c r="C14">
        <f>Design!G8</f>
        <v>16</v>
      </c>
      <c r="E14">
        <v>1</v>
      </c>
      <c r="F14">
        <f t="shared" ref="F14:F24" si="0">C14*E14</f>
        <v>16</v>
      </c>
    </row>
    <row r="15" spans="1:7" x14ac:dyDescent="0.2">
      <c r="A15" t="s">
        <v>120</v>
      </c>
      <c r="B15" s="46" t="s">
        <v>121</v>
      </c>
      <c r="C15">
        <f>Design!G9</f>
        <v>20</v>
      </c>
      <c r="E15">
        <v>1</v>
      </c>
      <c r="F15">
        <f t="shared" si="0"/>
        <v>20</v>
      </c>
    </row>
    <row r="16" spans="1:7" x14ac:dyDescent="0.2">
      <c r="A16" t="s">
        <v>122</v>
      </c>
      <c r="B16" s="46" t="s">
        <v>123</v>
      </c>
      <c r="C16">
        <f>Design!G10</f>
        <v>12</v>
      </c>
      <c r="E16">
        <v>1</v>
      </c>
      <c r="F16">
        <f t="shared" si="0"/>
        <v>12</v>
      </c>
    </row>
    <row r="17" spans="1:6" x14ac:dyDescent="0.2">
      <c r="A17" t="s">
        <v>124</v>
      </c>
      <c r="B17" s="46" t="s">
        <v>129</v>
      </c>
      <c r="C17">
        <f>Design!G11</f>
        <v>10</v>
      </c>
      <c r="E17">
        <v>1</v>
      </c>
      <c r="F17">
        <f t="shared" si="0"/>
        <v>10</v>
      </c>
    </row>
    <row r="18" spans="1:6" x14ac:dyDescent="0.2">
      <c r="A18" t="s">
        <v>125</v>
      </c>
      <c r="B18" s="46" t="s">
        <v>126</v>
      </c>
      <c r="C18">
        <f>Design!G12</f>
        <v>100</v>
      </c>
      <c r="D18" t="s">
        <v>8</v>
      </c>
      <c r="E18">
        <v>1000</v>
      </c>
      <c r="F18">
        <f t="shared" si="0"/>
        <v>100000</v>
      </c>
    </row>
    <row r="19" spans="1:6" x14ac:dyDescent="0.2">
      <c r="A19" t="s">
        <v>128</v>
      </c>
      <c r="B19" s="46" t="s">
        <v>16</v>
      </c>
      <c r="C19">
        <f>IF(Design!G13=STD_VAL!C7,STD_VAL!D7,IF(Design!G13=STD_VAL!C8,STD_VAL!D8,444))</f>
        <v>1</v>
      </c>
      <c r="E19">
        <v>1</v>
      </c>
      <c r="F19">
        <f t="shared" si="0"/>
        <v>1</v>
      </c>
    </row>
    <row r="20" spans="1:6" x14ac:dyDescent="0.2">
      <c r="B20" s="46" t="s">
        <v>138</v>
      </c>
      <c r="C20">
        <f>IF(Design!G14=STD_VAL!C3,STD_VAL!D3,IF(Design!G14=STD_VAL!C4,STD_VAL!D4,444))</f>
        <v>0</v>
      </c>
      <c r="E20">
        <v>1</v>
      </c>
      <c r="F20">
        <f t="shared" si="0"/>
        <v>0</v>
      </c>
    </row>
    <row r="21" spans="1:6" x14ac:dyDescent="0.2">
      <c r="B21" t="s">
        <v>127</v>
      </c>
      <c r="C21">
        <f>V.load*I.load</f>
        <v>120</v>
      </c>
      <c r="E21">
        <v>1</v>
      </c>
      <c r="F21">
        <f t="shared" si="0"/>
        <v>120</v>
      </c>
    </row>
    <row r="22" spans="1:6" x14ac:dyDescent="0.2">
      <c r="B22" t="s">
        <v>135</v>
      </c>
      <c r="C22">
        <f>C16/C17</f>
        <v>1.2</v>
      </c>
      <c r="E22">
        <v>1</v>
      </c>
      <c r="F22">
        <f t="shared" si="0"/>
        <v>1.2</v>
      </c>
    </row>
    <row r="23" spans="1:6" x14ac:dyDescent="0.2">
      <c r="B23" s="39" t="s">
        <v>136</v>
      </c>
      <c r="C23">
        <f>(10^6/(f.sw/1000)-59)/41*1000</f>
        <v>242463.41463414635</v>
      </c>
      <c r="E23">
        <v>1</v>
      </c>
      <c r="F23">
        <f t="shared" si="0"/>
        <v>242463.41463414635</v>
      </c>
    </row>
    <row r="24" spans="1:6" x14ac:dyDescent="0.2">
      <c r="B24" s="45" t="s">
        <v>137</v>
      </c>
      <c r="C24">
        <f>IF(ISNUMBER(R.t_calc/1000),INDEX(STD_VAL!$A$1:$A$769,MATCH(R.t_calc/1000,STD_VAL!$A$1:$A$769)),R.t_calc/1000)</f>
        <v>237.00000000000003</v>
      </c>
      <c r="E24">
        <v>1000</v>
      </c>
      <c r="F24">
        <f t="shared" si="0"/>
        <v>237000.00000000003</v>
      </c>
    </row>
    <row r="25" spans="1:6" x14ac:dyDescent="0.2">
      <c r="B25" s="39" t="s">
        <v>491</v>
      </c>
      <c r="F25">
        <f>IF(DEVICE=0,42,80)</f>
        <v>42</v>
      </c>
    </row>
    <row r="27" spans="1:6" x14ac:dyDescent="0.2">
      <c r="A27" s="40" t="s">
        <v>139</v>
      </c>
    </row>
    <row r="28" spans="1:6" x14ac:dyDescent="0.2">
      <c r="A28" s="39"/>
      <c r="B28" s="38" t="s">
        <v>144</v>
      </c>
      <c r="C28">
        <v>0.06</v>
      </c>
      <c r="E28">
        <v>1</v>
      </c>
      <c r="F28">
        <f t="shared" ref="F28:F34" si="1">C28*E28</f>
        <v>0.06</v>
      </c>
    </row>
    <row r="29" spans="1:6" x14ac:dyDescent="0.2">
      <c r="A29" s="39"/>
      <c r="B29" s="38" t="s">
        <v>145</v>
      </c>
      <c r="C29">
        <f>C28*0.9</f>
        <v>5.3999999999999999E-2</v>
      </c>
      <c r="E29">
        <v>1</v>
      </c>
      <c r="F29">
        <f t="shared" si="1"/>
        <v>5.3999999999999999E-2</v>
      </c>
    </row>
    <row r="30" spans="1:6" x14ac:dyDescent="0.2">
      <c r="A30" s="39"/>
      <c r="B30" s="38" t="s">
        <v>146</v>
      </c>
      <c r="C30">
        <f>C28*1.1</f>
        <v>6.6000000000000003E-2</v>
      </c>
      <c r="E30">
        <v>1</v>
      </c>
      <c r="F30">
        <f t="shared" si="1"/>
        <v>6.6000000000000003E-2</v>
      </c>
    </row>
    <row r="31" spans="1:6" x14ac:dyDescent="0.2">
      <c r="A31" s="39"/>
      <c r="B31" s="46" t="s">
        <v>167</v>
      </c>
      <c r="C31">
        <f>Design!G19</f>
        <v>16</v>
      </c>
      <c r="E31">
        <v>1</v>
      </c>
      <c r="F31">
        <f t="shared" si="1"/>
        <v>16</v>
      </c>
    </row>
    <row r="32" spans="1:6" x14ac:dyDescent="0.2">
      <c r="A32" s="39"/>
      <c r="B32" s="37" t="s">
        <v>141</v>
      </c>
      <c r="C32">
        <f>V.pcl_min/I.peakcl</f>
        <v>3.375E-3</v>
      </c>
      <c r="E32">
        <v>1</v>
      </c>
      <c r="F32">
        <f t="shared" si="1"/>
        <v>3.375E-3</v>
      </c>
    </row>
    <row r="33" spans="1:6" x14ac:dyDescent="0.2">
      <c r="A33" s="39"/>
      <c r="B33" s="46" t="s">
        <v>142</v>
      </c>
      <c r="C33">
        <f>Design!G21</f>
        <v>2.6</v>
      </c>
      <c r="E33">
        <v>1E-3</v>
      </c>
      <c r="F33">
        <f t="shared" si="1"/>
        <v>2.6000000000000003E-3</v>
      </c>
    </row>
    <row r="34" spans="1:6" x14ac:dyDescent="0.2">
      <c r="B34" s="37" t="s">
        <v>143</v>
      </c>
      <c r="C34" s="47">
        <f>I.peakcl^2*R.s</f>
        <v>0.66560000000000008</v>
      </c>
      <c r="E34">
        <v>1</v>
      </c>
      <c r="F34">
        <f t="shared" si="1"/>
        <v>0.66560000000000008</v>
      </c>
    </row>
    <row r="37" spans="1:6" x14ac:dyDescent="0.2">
      <c r="A37" s="40" t="s">
        <v>147</v>
      </c>
    </row>
    <row r="38" spans="1:6" x14ac:dyDescent="0.2">
      <c r="B38" s="38" t="s">
        <v>149</v>
      </c>
      <c r="C38">
        <v>0.4</v>
      </c>
      <c r="E38">
        <v>1</v>
      </c>
      <c r="F38">
        <v>0.4</v>
      </c>
    </row>
    <row r="39" spans="1:6" x14ac:dyDescent="0.2">
      <c r="B39" s="45" t="s">
        <v>148</v>
      </c>
      <c r="C39">
        <f>(V.supply_typ-V.load)/RR.typ/I.load*(V.load/V.supply_typ/f.sw)</f>
        <v>7.5000000000000002E-6</v>
      </c>
      <c r="E39">
        <v>1</v>
      </c>
      <c r="F39">
        <f>C39*E39</f>
        <v>7.5000000000000002E-6</v>
      </c>
    </row>
    <row r="40" spans="1:6" x14ac:dyDescent="0.2">
      <c r="B40" s="38" t="s">
        <v>150</v>
      </c>
      <c r="C40">
        <v>0.45</v>
      </c>
      <c r="E40">
        <v>1</v>
      </c>
      <c r="F40">
        <f>C40*E40</f>
        <v>0.45</v>
      </c>
    </row>
    <row r="41" spans="1:6" x14ac:dyDescent="0.2">
      <c r="B41" s="38" t="s">
        <v>151</v>
      </c>
      <c r="C41">
        <f>V.slope_typ*0.9</f>
        <v>0.40500000000000003</v>
      </c>
      <c r="E41">
        <v>1</v>
      </c>
      <c r="F41">
        <f t="shared" ref="F41:F48" si="2">C41*E41</f>
        <v>0.40500000000000003</v>
      </c>
    </row>
    <row r="42" spans="1:6" x14ac:dyDescent="0.2">
      <c r="B42" s="38" t="s">
        <v>152</v>
      </c>
      <c r="C42">
        <f>V.slope_typ*1.1</f>
        <v>0.49500000000000005</v>
      </c>
      <c r="E42">
        <v>1</v>
      </c>
      <c r="F42">
        <f t="shared" si="2"/>
        <v>0.49500000000000005</v>
      </c>
    </row>
    <row r="43" spans="1:6" x14ac:dyDescent="0.2">
      <c r="B43" s="38" t="s">
        <v>153</v>
      </c>
      <c r="C43">
        <v>10</v>
      </c>
      <c r="E43">
        <v>1</v>
      </c>
      <c r="F43">
        <f t="shared" si="2"/>
        <v>10</v>
      </c>
    </row>
    <row r="44" spans="1:6" x14ac:dyDescent="0.2">
      <c r="B44" s="38" t="s">
        <v>154</v>
      </c>
      <c r="C44">
        <f>A.s_typ*0.9</f>
        <v>9</v>
      </c>
      <c r="E44">
        <v>1</v>
      </c>
      <c r="F44">
        <f t="shared" si="2"/>
        <v>9</v>
      </c>
    </row>
    <row r="45" spans="1:6" x14ac:dyDescent="0.2">
      <c r="B45" s="38" t="s">
        <v>155</v>
      </c>
      <c r="C45">
        <f>A.s_typ*1.1</f>
        <v>11</v>
      </c>
      <c r="E45">
        <v>1</v>
      </c>
      <c r="F45">
        <f t="shared" si="2"/>
        <v>11</v>
      </c>
    </row>
    <row r="46" spans="1:6" x14ac:dyDescent="0.2">
      <c r="B46" s="38" t="s">
        <v>156</v>
      </c>
      <c r="C46">
        <v>1.2</v>
      </c>
      <c r="E46">
        <v>1</v>
      </c>
      <c r="F46">
        <f t="shared" si="2"/>
        <v>1.2</v>
      </c>
    </row>
    <row r="47" spans="1:6" x14ac:dyDescent="0.2">
      <c r="B47" s="39" t="s">
        <v>157</v>
      </c>
      <c r="C47">
        <f>R.s*A.s_typ*V.load/f.sw/2*L.margin/V.slope_min</f>
        <v>4.6222222222222224E-6</v>
      </c>
      <c r="E47">
        <v>1</v>
      </c>
      <c r="F47">
        <f t="shared" si="2"/>
        <v>4.6222222222222224E-6</v>
      </c>
    </row>
    <row r="48" spans="1:6" x14ac:dyDescent="0.2">
      <c r="B48" s="39" t="s">
        <v>158</v>
      </c>
      <c r="C48">
        <f>(V.supply_max-V.load)/2/I.load*(V.load/V.supply_max/f.sw)</f>
        <v>2.4000000000000003E-6</v>
      </c>
      <c r="E48">
        <v>1</v>
      </c>
      <c r="F48">
        <f t="shared" si="2"/>
        <v>2.4000000000000003E-6</v>
      </c>
    </row>
    <row r="49" spans="2:8" x14ac:dyDescent="0.2">
      <c r="B49" s="38" t="s">
        <v>159</v>
      </c>
      <c r="C49">
        <f>0.03*0.95</f>
        <v>2.8499999999999998E-2</v>
      </c>
      <c r="E49">
        <v>1</v>
      </c>
      <c r="F49">
        <f t="shared" ref="F49:F57" si="3">C49*E49</f>
        <v>2.8499999999999998E-2</v>
      </c>
    </row>
    <row r="50" spans="2:8" x14ac:dyDescent="0.2">
      <c r="B50" s="39" t="s">
        <v>160</v>
      </c>
      <c r="C50">
        <f>(V.supply_max-V.load)/2*(V.load/V.supply_max/f.sw*R.s/V.ncl_max)</f>
        <v>2.1894736842105264E-6</v>
      </c>
      <c r="E50">
        <v>1</v>
      </c>
      <c r="F50">
        <f t="shared" si="3"/>
        <v>2.1894736842105264E-6</v>
      </c>
    </row>
    <row r="51" spans="2:8" x14ac:dyDescent="0.2">
      <c r="B51" s="39" t="s">
        <v>161</v>
      </c>
      <c r="C51">
        <f>(V.supply_min-V.load)/2*V.load/V.supply_min/f.sw/(V.pcl_min/R.s-I.load)</f>
        <v>4.2857142857142867E-7</v>
      </c>
      <c r="E51">
        <v>1</v>
      </c>
      <c r="F51">
        <f t="shared" si="3"/>
        <v>4.2857142857142867E-7</v>
      </c>
    </row>
    <row r="52" spans="2:8" x14ac:dyDescent="0.2">
      <c r="B52" s="37" t="s">
        <v>162</v>
      </c>
      <c r="C52">
        <f>IF(FPWM=0,MIN(C51,100,C48,C47),MIN(C51,C50,C48,C47))</f>
        <v>4.2857142857142867E-7</v>
      </c>
      <c r="E52">
        <v>1</v>
      </c>
      <c r="F52">
        <f t="shared" si="3"/>
        <v>4.2857142857142867E-7</v>
      </c>
    </row>
    <row r="53" spans="2:8" x14ac:dyDescent="0.2">
      <c r="B53" s="46" t="s">
        <v>163</v>
      </c>
      <c r="C53">
        <f>Design!G28</f>
        <v>10</v>
      </c>
      <c r="E53">
        <f>10^-6</f>
        <v>9.9999999999999995E-7</v>
      </c>
      <c r="F53">
        <f t="shared" si="3"/>
        <v>9.9999999999999991E-6</v>
      </c>
    </row>
    <row r="54" spans="2:8" x14ac:dyDescent="0.2">
      <c r="B54" s="37" t="s">
        <v>458</v>
      </c>
      <c r="C54">
        <f>I.load+0.5*(V.supply_min-V.load)/L.out*V.load/V.supply_min/f.sw</f>
        <v>10.461538461538462</v>
      </c>
      <c r="E54">
        <v>1</v>
      </c>
      <c r="F54">
        <f t="shared" si="3"/>
        <v>10.461538461538462</v>
      </c>
    </row>
    <row r="55" spans="2:8" x14ac:dyDescent="0.2">
      <c r="B55" s="37" t="s">
        <v>165</v>
      </c>
      <c r="C55">
        <f>I.load+0.5*(V.supply_max-V.load)/L.out*V.load/V.supply_max/f.sw</f>
        <v>12.4</v>
      </c>
      <c r="E55">
        <v>1</v>
      </c>
      <c r="F55">
        <f t="shared" si="3"/>
        <v>12.4</v>
      </c>
    </row>
    <row r="56" spans="2:8" x14ac:dyDescent="0.2">
      <c r="B56" s="38" t="s">
        <v>166</v>
      </c>
      <c r="C56">
        <f>75*10^-9</f>
        <v>7.500000000000001E-8</v>
      </c>
      <c r="E56">
        <v>1</v>
      </c>
      <c r="F56">
        <f t="shared" si="3"/>
        <v>7.500000000000001E-8</v>
      </c>
    </row>
    <row r="57" spans="2:8" x14ac:dyDescent="0.2">
      <c r="B57" s="37" t="s">
        <v>164</v>
      </c>
      <c r="C57">
        <f>V.pcl_max/R.s+t.blank_max*(V.supply_max-V.load)/L.out</f>
        <v>25.444615384615382</v>
      </c>
      <c r="E57">
        <v>1</v>
      </c>
      <c r="F57">
        <f t="shared" si="3"/>
        <v>25.444615384615382</v>
      </c>
    </row>
    <row r="58" spans="2:8" x14ac:dyDescent="0.2">
      <c r="B58" s="39"/>
    </row>
    <row r="59" spans="2:8" x14ac:dyDescent="0.2">
      <c r="B59" s="46" t="s">
        <v>173</v>
      </c>
      <c r="C59">
        <f>Design!G121</f>
        <v>11</v>
      </c>
      <c r="E59">
        <v>1E-3</v>
      </c>
      <c r="F59">
        <f t="shared" ref="F59:F71" si="4">C59*E59</f>
        <v>1.0999999999999999E-2</v>
      </c>
    </row>
    <row r="60" spans="2:8" x14ac:dyDescent="0.2">
      <c r="B60" s="39" t="s">
        <v>172</v>
      </c>
      <c r="C60">
        <f>R.dcr25*((150+275)/300)^1.2</f>
        <v>1.6707593320288257E-2</v>
      </c>
      <c r="E60">
        <v>1</v>
      </c>
      <c r="F60">
        <f t="shared" si="4"/>
        <v>1.6707593320288257E-2</v>
      </c>
    </row>
    <row r="61" spans="2:8" x14ac:dyDescent="0.2">
      <c r="B61" s="46" t="s">
        <v>174</v>
      </c>
      <c r="C61">
        <f>Design!G122</f>
        <v>1.6</v>
      </c>
      <c r="E61">
        <v>1</v>
      </c>
      <c r="F61">
        <f t="shared" si="4"/>
        <v>1.6</v>
      </c>
      <c r="H61" t="s">
        <v>175</v>
      </c>
    </row>
    <row r="62" spans="2:8" x14ac:dyDescent="0.2">
      <c r="B62" s="39" t="s">
        <v>171</v>
      </c>
      <c r="C62">
        <f>V.load/V.supply_max</f>
        <v>0.6</v>
      </c>
      <c r="E62">
        <v>1</v>
      </c>
      <c r="F62" s="51">
        <f t="shared" si="4"/>
        <v>0.6</v>
      </c>
    </row>
    <row r="63" spans="2:8" x14ac:dyDescent="0.2">
      <c r="B63" s="39" t="s">
        <v>168</v>
      </c>
      <c r="C63">
        <f>D.on_min_ideal/f.sw</f>
        <v>6.0000000000000002E-6</v>
      </c>
      <c r="E63">
        <v>1</v>
      </c>
      <c r="F63" s="42">
        <f t="shared" si="4"/>
        <v>6.0000000000000002E-6</v>
      </c>
    </row>
    <row r="64" spans="2:8" x14ac:dyDescent="0.2">
      <c r="B64" s="39" t="s">
        <v>170</v>
      </c>
      <c r="C64">
        <f>(V.load+I.load*(R.ls150+R.dcr150+R.s))/(V.supply_max+I.load*(R.ls150-R.hs150))</f>
        <v>0.62023680803424919</v>
      </c>
      <c r="E64">
        <v>1</v>
      </c>
      <c r="F64">
        <f t="shared" si="4"/>
        <v>0.62023680803424919</v>
      </c>
    </row>
    <row r="65" spans="1:6" x14ac:dyDescent="0.2">
      <c r="B65" t="s">
        <v>180</v>
      </c>
      <c r="C65">
        <f>D.on_min_150/f.sw</f>
        <v>6.2023680803424922E-6</v>
      </c>
      <c r="E65">
        <v>1</v>
      </c>
      <c r="F65">
        <f t="shared" si="4"/>
        <v>6.2023680803424922E-6</v>
      </c>
    </row>
    <row r="66" spans="1:6" x14ac:dyDescent="0.2">
      <c r="B66" t="s">
        <v>181</v>
      </c>
      <c r="C66">
        <f>1-V.load/V.supply_min</f>
        <v>7.6923076923076872E-2</v>
      </c>
      <c r="E66">
        <v>1</v>
      </c>
      <c r="F66">
        <f t="shared" si="4"/>
        <v>7.6923076923076872E-2</v>
      </c>
    </row>
    <row r="67" spans="1:6" x14ac:dyDescent="0.2">
      <c r="B67" t="s">
        <v>182</v>
      </c>
      <c r="C67">
        <f>D.off_min_ideal/f.sw</f>
        <v>7.6923076923076872E-7</v>
      </c>
      <c r="E67">
        <v>1</v>
      </c>
      <c r="F67" s="50">
        <f t="shared" si="4"/>
        <v>7.6923076923076872E-7</v>
      </c>
    </row>
    <row r="68" spans="1:6" x14ac:dyDescent="0.2">
      <c r="B68" t="s">
        <v>183</v>
      </c>
      <c r="C68">
        <f>1-(V.load+I.load*(R.ls150+R.dcr150+R.s))/(V.supply_min+I.load*(R.ls150-R.hs150))</f>
        <v>4.5789526101155165E-2</v>
      </c>
      <c r="E68">
        <v>1</v>
      </c>
      <c r="F68">
        <f t="shared" si="4"/>
        <v>4.5789526101155165E-2</v>
      </c>
    </row>
    <row r="69" spans="1:6" x14ac:dyDescent="0.2">
      <c r="B69" t="s">
        <v>169</v>
      </c>
      <c r="C69">
        <f>D.off_min_150/f.sw</f>
        <v>4.5789526101155163E-7</v>
      </c>
      <c r="E69">
        <v>1</v>
      </c>
      <c r="F69" s="42">
        <f t="shared" si="4"/>
        <v>4.5789526101155163E-7</v>
      </c>
    </row>
    <row r="70" spans="1:6" x14ac:dyDescent="0.2">
      <c r="B70" s="38" t="s">
        <v>184</v>
      </c>
      <c r="C70">
        <f>50*10^-9</f>
        <v>5.0000000000000004E-8</v>
      </c>
      <c r="E70">
        <v>1</v>
      </c>
      <c r="F70" s="50">
        <f t="shared" si="4"/>
        <v>5.0000000000000004E-8</v>
      </c>
    </row>
    <row r="71" spans="1:6" x14ac:dyDescent="0.2">
      <c r="B71" s="38" t="s">
        <v>185</v>
      </c>
      <c r="C71">
        <f>125*10^-9</f>
        <v>1.2500000000000002E-7</v>
      </c>
      <c r="E71">
        <v>1</v>
      </c>
      <c r="F71">
        <f t="shared" si="4"/>
        <v>1.2500000000000002E-7</v>
      </c>
    </row>
    <row r="74" spans="1:6" x14ac:dyDescent="0.2">
      <c r="A74" s="40" t="s">
        <v>186</v>
      </c>
    </row>
    <row r="75" spans="1:6" x14ac:dyDescent="0.2">
      <c r="B75" s="38" t="s">
        <v>187</v>
      </c>
      <c r="C75">
        <v>1.05</v>
      </c>
      <c r="E75">
        <v>1</v>
      </c>
      <c r="F75">
        <f t="shared" ref="F75:F80" si="5">C75*E75</f>
        <v>1.05</v>
      </c>
    </row>
    <row r="76" spans="1:6" x14ac:dyDescent="0.2">
      <c r="B76" s="38" t="s">
        <v>188</v>
      </c>
      <c r="C76">
        <f>C75-0.1</f>
        <v>0.95000000000000007</v>
      </c>
      <c r="E76">
        <v>1</v>
      </c>
      <c r="F76">
        <f t="shared" si="5"/>
        <v>0.95000000000000007</v>
      </c>
    </row>
    <row r="77" spans="1:6" x14ac:dyDescent="0.2">
      <c r="B77" s="46" t="s">
        <v>189</v>
      </c>
      <c r="C77">
        <f>Design!G44</f>
        <v>14</v>
      </c>
      <c r="E77">
        <v>1</v>
      </c>
      <c r="F77">
        <f t="shared" si="5"/>
        <v>14</v>
      </c>
    </row>
    <row r="78" spans="1:6" x14ac:dyDescent="0.2">
      <c r="B78" s="46" t="s">
        <v>190</v>
      </c>
      <c r="C78">
        <f>Design!G45</f>
        <v>100</v>
      </c>
      <c r="E78">
        <v>1000</v>
      </c>
      <c r="F78">
        <f t="shared" si="5"/>
        <v>100000</v>
      </c>
    </row>
    <row r="79" spans="1:6" x14ac:dyDescent="0.2">
      <c r="B79" s="39" t="s">
        <v>191</v>
      </c>
      <c r="C79">
        <f>R.ent*V.enrising_max/(V.startup-V.enrising_max)</f>
        <v>8108.1081081081084</v>
      </c>
      <c r="E79">
        <v>1</v>
      </c>
      <c r="F79">
        <f t="shared" si="5"/>
        <v>8108.1081081081084</v>
      </c>
    </row>
    <row r="80" spans="1:6" x14ac:dyDescent="0.2">
      <c r="B80" s="37" t="s">
        <v>192</v>
      </c>
      <c r="C80">
        <f>V.enfalling_max*(R.ent+R.enb)/R.enb</f>
        <v>12.666666666666666</v>
      </c>
      <c r="E80">
        <v>1</v>
      </c>
      <c r="F80">
        <f t="shared" si="5"/>
        <v>12.666666666666666</v>
      </c>
    </row>
    <row r="83" spans="1:6" x14ac:dyDescent="0.2">
      <c r="A83" s="40" t="s">
        <v>193</v>
      </c>
    </row>
    <row r="84" spans="1:6" x14ac:dyDescent="0.2">
      <c r="B84" s="38" t="s">
        <v>194</v>
      </c>
      <c r="C84">
        <f>V.load*0.08</f>
        <v>0.96</v>
      </c>
      <c r="E84">
        <v>1</v>
      </c>
      <c r="F84">
        <f t="shared" ref="F84:F94" si="6">C84*E84</f>
        <v>0.96</v>
      </c>
    </row>
    <row r="85" spans="1:6" x14ac:dyDescent="0.2">
      <c r="B85" s="46" t="s">
        <v>195</v>
      </c>
      <c r="C85">
        <f>V.load*(Design!G51/100)</f>
        <v>0.60000000000000009</v>
      </c>
      <c r="E85">
        <v>1</v>
      </c>
      <c r="F85">
        <f t="shared" si="6"/>
        <v>0.60000000000000009</v>
      </c>
    </row>
    <row r="86" spans="1:6" x14ac:dyDescent="0.2">
      <c r="B86" s="46" t="s">
        <v>200</v>
      </c>
      <c r="C86" s="52">
        <f>Design!G52</f>
        <v>10</v>
      </c>
      <c r="E86">
        <v>1000</v>
      </c>
      <c r="F86">
        <f t="shared" si="6"/>
        <v>10000</v>
      </c>
    </row>
    <row r="87" spans="1:6" x14ac:dyDescent="0.2">
      <c r="B87" s="39" t="s">
        <v>197</v>
      </c>
      <c r="C87">
        <f>I.load^2*L.out/(2*V.load*V.overshoot+V.overshoot^2)</f>
        <v>4.1733440170940172E-5</v>
      </c>
      <c r="E87">
        <v>1</v>
      </c>
      <c r="F87">
        <f t="shared" si="6"/>
        <v>4.1733440170940172E-5</v>
      </c>
    </row>
    <row r="88" spans="1:6" x14ac:dyDescent="0.2">
      <c r="B88" s="39" t="s">
        <v>198</v>
      </c>
      <c r="C88">
        <f>I.load^2*L.out*(1/f.sw-T.offmin_IC)*f.sw/(2*V.load*V.overshoot+V.overshoot^2)</f>
        <v>4.1211772168803421E-5</v>
      </c>
      <c r="E88">
        <v>1</v>
      </c>
      <c r="F88">
        <f t="shared" si="6"/>
        <v>4.1211772168803421E-5</v>
      </c>
    </row>
    <row r="89" spans="1:6" x14ac:dyDescent="0.2">
      <c r="B89" s="39" t="s">
        <v>199</v>
      </c>
      <c r="C89">
        <f>(I.load/2)/(2*PI*f.cross_desired*V.undershoot)</f>
        <v>1.3262914683595661E-4</v>
      </c>
      <c r="E89">
        <v>1</v>
      </c>
      <c r="F89">
        <f t="shared" si="6"/>
        <v>1.3262914683595661E-4</v>
      </c>
    </row>
    <row r="90" spans="1:6" x14ac:dyDescent="0.2">
      <c r="B90" s="37" t="s">
        <v>196</v>
      </c>
      <c r="C90">
        <f>MAX(F87:F89)</f>
        <v>1.3262914683595661E-4</v>
      </c>
      <c r="E90">
        <v>1</v>
      </c>
      <c r="F90">
        <f t="shared" si="6"/>
        <v>1.3262914683595661E-4</v>
      </c>
    </row>
    <row r="91" spans="1:6" x14ac:dyDescent="0.2">
      <c r="B91" s="46" t="s">
        <v>201</v>
      </c>
      <c r="C91" s="52">
        <f>Design!G55</f>
        <v>1120</v>
      </c>
      <c r="E91">
        <f>10^-6</f>
        <v>9.9999999999999995E-7</v>
      </c>
      <c r="F91">
        <f t="shared" si="6"/>
        <v>1.1199999999999999E-3</v>
      </c>
    </row>
    <row r="92" spans="1:6" x14ac:dyDescent="0.2">
      <c r="B92" s="46" t="s">
        <v>204</v>
      </c>
      <c r="C92">
        <f>Design!G56</f>
        <v>1</v>
      </c>
      <c r="E92">
        <v>1</v>
      </c>
      <c r="F92">
        <f t="shared" si="6"/>
        <v>1</v>
      </c>
    </row>
    <row r="93" spans="1:6" x14ac:dyDescent="0.2">
      <c r="B93" t="s">
        <v>202</v>
      </c>
      <c r="C93">
        <f>C.outb_rated*C.outb_derating_factor</f>
        <v>1.1199999999999999E-3</v>
      </c>
      <c r="E93">
        <v>1</v>
      </c>
      <c r="F93">
        <f t="shared" si="6"/>
        <v>1.1199999999999999E-3</v>
      </c>
    </row>
    <row r="94" spans="1:6" x14ac:dyDescent="0.2">
      <c r="B94" s="46" t="s">
        <v>203</v>
      </c>
      <c r="C94" s="52">
        <f>Design!G58</f>
        <v>7</v>
      </c>
      <c r="E94">
        <v>1E-3</v>
      </c>
      <c r="F94">
        <f t="shared" si="6"/>
        <v>7.0000000000000001E-3</v>
      </c>
    </row>
    <row r="96" spans="1:6" x14ac:dyDescent="0.2">
      <c r="B96" s="46" t="s">
        <v>206</v>
      </c>
      <c r="C96" s="52">
        <f>Design!G60</f>
        <v>1</v>
      </c>
      <c r="E96">
        <f>10^-6</f>
        <v>9.9999999999999995E-7</v>
      </c>
      <c r="F96">
        <f>C96*E96</f>
        <v>9.9999999999999995E-7</v>
      </c>
    </row>
    <row r="97" spans="2:6" x14ac:dyDescent="0.2">
      <c r="B97" s="46" t="s">
        <v>205</v>
      </c>
      <c r="C97">
        <f>Design!G61</f>
        <v>0.7</v>
      </c>
      <c r="E97">
        <v>1</v>
      </c>
      <c r="F97">
        <f>C97*E97</f>
        <v>0.7</v>
      </c>
    </row>
    <row r="98" spans="2:6" x14ac:dyDescent="0.2">
      <c r="B98" s="39" t="s">
        <v>207</v>
      </c>
      <c r="C98">
        <f>C.outhf_rated*C.outhf_derating_factor</f>
        <v>6.9999999999999997E-7</v>
      </c>
      <c r="E98">
        <v>1</v>
      </c>
      <c r="F98">
        <f>C98*E98</f>
        <v>6.9999999999999997E-7</v>
      </c>
    </row>
    <row r="99" spans="2:6" x14ac:dyDescent="0.2">
      <c r="B99" s="46" t="s">
        <v>208</v>
      </c>
      <c r="C99" s="52">
        <f>Design!G63</f>
        <v>1</v>
      </c>
      <c r="E99">
        <v>1E-3</v>
      </c>
      <c r="F99">
        <f>C99*E99</f>
        <v>1E-3</v>
      </c>
    </row>
    <row r="100" spans="2:6" x14ac:dyDescent="0.2">
      <c r="B100" s="39"/>
    </row>
    <row r="101" spans="2:6" x14ac:dyDescent="0.2">
      <c r="B101" s="39" t="s">
        <v>209</v>
      </c>
      <c r="C101">
        <f>C.outb_derated+C.outhf_derated</f>
        <v>1.1206999999999999E-3</v>
      </c>
      <c r="E101">
        <v>1</v>
      </c>
      <c r="F101">
        <f>C101*E101</f>
        <v>1.1206999999999999E-3</v>
      </c>
    </row>
    <row r="102" spans="2:6" x14ac:dyDescent="0.2">
      <c r="B102" s="39" t="s">
        <v>210</v>
      </c>
      <c r="C102">
        <f>(V.supply_max-V.load)/L.out*V.load/V.supply_max/f.sw</f>
        <v>4.8000000000000016</v>
      </c>
      <c r="E102">
        <v>1</v>
      </c>
      <c r="F102">
        <f>C102*E102</f>
        <v>4.8000000000000016</v>
      </c>
    </row>
    <row r="103" spans="2:6" x14ac:dyDescent="0.2">
      <c r="B103" s="39" t="s">
        <v>212</v>
      </c>
      <c r="C103">
        <f>dI.out_max/SQRT(12)</f>
        <v>1.3856406460551023</v>
      </c>
      <c r="E103">
        <v>1</v>
      </c>
      <c r="F103">
        <f>C103*E103</f>
        <v>1.3856406460551023</v>
      </c>
    </row>
    <row r="105" spans="2:6" x14ac:dyDescent="0.2">
      <c r="B105" s="39" t="s">
        <v>211</v>
      </c>
      <c r="C105">
        <f>(V.supply_max-V.load)/L.out*V.load/V.supply_max/f.sw*SQRT((1/8/f.sw/C.outtotal_derated)^2+(R.esrb)^2)*dI.out_max_rms</f>
        <v>4.7144845187827751E-2</v>
      </c>
      <c r="E105">
        <v>1</v>
      </c>
      <c r="F105">
        <f>C105*E105</f>
        <v>4.7144845187827751E-2</v>
      </c>
    </row>
    <row r="107" spans="2:6" x14ac:dyDescent="0.2">
      <c r="B107" t="s">
        <v>215</v>
      </c>
      <c r="C107">
        <f>(-2*V.load+SQRT((2*V.load)^2+4*(L.out*I.load^2/(C.outtotal_derated))))/2</f>
        <v>3.7121726380327402E-2</v>
      </c>
      <c r="E107">
        <v>1</v>
      </c>
      <c r="F107">
        <f>C107*E107</f>
        <v>3.7121726380327402E-2</v>
      </c>
    </row>
    <row r="108" spans="2:6" x14ac:dyDescent="0.2">
      <c r="B108" t="s">
        <v>216</v>
      </c>
      <c r="C108">
        <f>L.out*I.load^2/(2*V.load*C.outtotal_derated)</f>
        <v>3.7179143987388835E-2</v>
      </c>
      <c r="E108">
        <v>1</v>
      </c>
      <c r="F108">
        <f>C108*E108</f>
        <v>3.7179143987388835E-2</v>
      </c>
    </row>
    <row r="109" spans="2:6" x14ac:dyDescent="0.2">
      <c r="B109" t="s">
        <v>213</v>
      </c>
      <c r="C109">
        <f>MAX(C107:C108)</f>
        <v>3.7179143987388835E-2</v>
      </c>
      <c r="E109">
        <v>1</v>
      </c>
      <c r="F109">
        <f>C109*E109</f>
        <v>3.7179143987388835E-2</v>
      </c>
    </row>
    <row r="110" spans="2:6" x14ac:dyDescent="0.2">
      <c r="B110" s="39" t="s">
        <v>214</v>
      </c>
      <c r="C110">
        <f>I.load/(2*PI*FCROSSOVER_FOUND_CV*C.outtotal_derated)</f>
        <v>0.97509713197169157</v>
      </c>
      <c r="E110">
        <v>1</v>
      </c>
      <c r="F110">
        <f>C110*E110</f>
        <v>0.97509713197169157</v>
      </c>
    </row>
    <row r="113" spans="1:8" x14ac:dyDescent="0.2">
      <c r="A113" s="40" t="s">
        <v>217</v>
      </c>
    </row>
    <row r="114" spans="1:8" x14ac:dyDescent="0.2">
      <c r="B114" s="46" t="s">
        <v>219</v>
      </c>
      <c r="C114" s="47">
        <v>0</v>
      </c>
      <c r="E114">
        <v>1000</v>
      </c>
      <c r="F114">
        <f>C114*E114</f>
        <v>0</v>
      </c>
    </row>
    <row r="115" spans="1:8" x14ac:dyDescent="0.2">
      <c r="B115" s="46" t="s">
        <v>218</v>
      </c>
      <c r="C115">
        <f>Design!G72</f>
        <v>100</v>
      </c>
      <c r="E115">
        <v>1000</v>
      </c>
      <c r="F115">
        <f>C115*E115</f>
        <v>100000</v>
      </c>
    </row>
    <row r="116" spans="1:8" x14ac:dyDescent="0.2">
      <c r="B116" s="38" t="s">
        <v>221</v>
      </c>
      <c r="C116">
        <v>0.8</v>
      </c>
      <c r="E116">
        <v>1</v>
      </c>
      <c r="F116">
        <f>C116*E116</f>
        <v>0.8</v>
      </c>
    </row>
    <row r="117" spans="1:8" x14ac:dyDescent="0.2">
      <c r="B117" s="37" t="s">
        <v>220</v>
      </c>
      <c r="C117">
        <f>V.vref*(R.fbt+R.lp)/(V.load-V.vref)</f>
        <v>7142.8571428571431</v>
      </c>
      <c r="E117">
        <v>1</v>
      </c>
      <c r="F117">
        <f>C117*E117</f>
        <v>7142.8571428571431</v>
      </c>
    </row>
    <row r="118" spans="1:8" x14ac:dyDescent="0.2">
      <c r="B118" s="38" t="s">
        <v>409</v>
      </c>
      <c r="C118" s="50">
        <v>1.9999999999999999E-11</v>
      </c>
      <c r="E118">
        <v>1</v>
      </c>
      <c r="F118">
        <f>C118*E118</f>
        <v>1.9999999999999999E-11</v>
      </c>
      <c r="G118" t="s">
        <v>410</v>
      </c>
      <c r="H118" t="s">
        <v>542</v>
      </c>
    </row>
    <row r="119" spans="1:8" x14ac:dyDescent="0.2">
      <c r="B119" t="s">
        <v>480</v>
      </c>
      <c r="C119">
        <f>IF(C117=5000,0,(5000*C117)/(C117-5000))</f>
        <v>16666.666666666664</v>
      </c>
      <c r="E119">
        <v>1</v>
      </c>
      <c r="F119">
        <f>IF(C119*E119&gt;0,C119*E119,10000000)</f>
        <v>16666.666666666664</v>
      </c>
    </row>
    <row r="120" spans="1:8" x14ac:dyDescent="0.2">
      <c r="A120" s="40" t="s">
        <v>222</v>
      </c>
    </row>
    <row r="121" spans="1:8" x14ac:dyDescent="0.2">
      <c r="A121" s="39"/>
      <c r="B121" s="38" t="s">
        <v>419</v>
      </c>
      <c r="C121">
        <f>100000000</f>
        <v>100000000</v>
      </c>
      <c r="E121">
        <v>1</v>
      </c>
      <c r="F121">
        <f>C121*E121</f>
        <v>100000000</v>
      </c>
    </row>
    <row r="122" spans="1:8" x14ac:dyDescent="0.2">
      <c r="A122" s="39"/>
      <c r="B122" s="38" t="s">
        <v>420</v>
      </c>
      <c r="C122">
        <f>0.000000000002</f>
        <v>2E-12</v>
      </c>
      <c r="E122">
        <v>1</v>
      </c>
      <c r="F122">
        <f>C122*E122</f>
        <v>2E-12</v>
      </c>
    </row>
    <row r="123" spans="1:8" x14ac:dyDescent="0.2">
      <c r="B123" s="38" t="s">
        <v>224</v>
      </c>
      <c r="C123">
        <v>1E-3</v>
      </c>
      <c r="E123">
        <v>1</v>
      </c>
      <c r="F123">
        <f t="shared" ref="F123:F132" si="7">C123*E123</f>
        <v>1E-3</v>
      </c>
    </row>
    <row r="124" spans="1:8" x14ac:dyDescent="0.2">
      <c r="B124" s="37" t="s">
        <v>223</v>
      </c>
      <c r="C124">
        <f>f.cross_desired/(V.vref/V.load*GM/R.s/A.s_typ/2/PI/C.outtotal_derated)</f>
        <v>27462.100804319998</v>
      </c>
      <c r="E124">
        <v>1</v>
      </c>
      <c r="F124">
        <f t="shared" si="7"/>
        <v>27462.100804319998</v>
      </c>
    </row>
    <row r="125" spans="1:8" x14ac:dyDescent="0.2">
      <c r="B125" s="37" t="s">
        <v>225</v>
      </c>
      <c r="C125">
        <f>1/(2*PI*f.cross_desired*R.comp_desired/10)</f>
        <v>5.7954406815851346E-9</v>
      </c>
      <c r="E125">
        <v>1</v>
      </c>
      <c r="F125">
        <f t="shared" si="7"/>
        <v>5.7954406815851346E-9</v>
      </c>
    </row>
    <row r="126" spans="1:8" x14ac:dyDescent="0.2">
      <c r="B126" s="37" t="s">
        <v>226</v>
      </c>
      <c r="C126">
        <f>C.outb_derated*R.esrb/R.comp_desired</f>
        <v>2.8548435008172092E-10</v>
      </c>
      <c r="E126">
        <v>1</v>
      </c>
      <c r="F126">
        <f t="shared" si="7"/>
        <v>2.8548435008172092E-10</v>
      </c>
    </row>
    <row r="127" spans="1:8" x14ac:dyDescent="0.2">
      <c r="B127" s="37" t="s">
        <v>227</v>
      </c>
      <c r="C127">
        <f>1/(2*PI*R.comp_desired*C.comp_desired)</f>
        <v>1000</v>
      </c>
      <c r="E127">
        <v>1</v>
      </c>
      <c r="F127">
        <f t="shared" si="7"/>
        <v>1000</v>
      </c>
    </row>
    <row r="128" spans="1:8" x14ac:dyDescent="0.2">
      <c r="B128" s="37" t="s">
        <v>228</v>
      </c>
      <c r="C128">
        <f>1/(2*PI*R.comp_desired*C.comp_desired*C.hf_desired/(C.comp_desired+C.hf_desired))</f>
        <v>21300.379617748462</v>
      </c>
      <c r="E128">
        <v>1</v>
      </c>
      <c r="F128">
        <f t="shared" si="7"/>
        <v>21300.379617748462</v>
      </c>
    </row>
    <row r="129" spans="1:6" x14ac:dyDescent="0.2">
      <c r="B129" s="39"/>
    </row>
    <row r="130" spans="1:6" x14ac:dyDescent="0.2">
      <c r="B130" s="46" t="s">
        <v>229</v>
      </c>
      <c r="C130" s="47">
        <f>Design!G86</f>
        <v>3.3</v>
      </c>
      <c r="E130">
        <v>1000</v>
      </c>
      <c r="F130">
        <f t="shared" si="7"/>
        <v>3300</v>
      </c>
    </row>
    <row r="131" spans="1:6" x14ac:dyDescent="0.2">
      <c r="B131" s="46" t="s">
        <v>230</v>
      </c>
      <c r="C131" s="47">
        <f>Design!G87</f>
        <v>47</v>
      </c>
      <c r="E131">
        <f>10^-9</f>
        <v>1.0000000000000001E-9</v>
      </c>
      <c r="F131">
        <f t="shared" si="7"/>
        <v>4.7000000000000004E-8</v>
      </c>
    </row>
    <row r="132" spans="1:6" x14ac:dyDescent="0.2">
      <c r="B132" s="46" t="s">
        <v>231</v>
      </c>
      <c r="C132" s="52">
        <f>Design!G88</f>
        <v>330</v>
      </c>
      <c r="E132">
        <f>10^-12</f>
        <v>9.9999999999999998E-13</v>
      </c>
      <c r="F132">
        <f t="shared" si="7"/>
        <v>3.3E-10</v>
      </c>
    </row>
    <row r="133" spans="1:6" x14ac:dyDescent="0.2">
      <c r="B133" s="37" t="s">
        <v>232</v>
      </c>
      <c r="C133">
        <f>1/(2*PI*R.comp*C.comp)</f>
        <v>1026.1442695238425</v>
      </c>
      <c r="E133">
        <v>1</v>
      </c>
      <c r="F133">
        <f>C133*E133</f>
        <v>1026.1442695238425</v>
      </c>
    </row>
    <row r="134" spans="1:6" x14ac:dyDescent="0.2">
      <c r="B134" s="37" t="s">
        <v>233</v>
      </c>
      <c r="C134">
        <f>1/(2*PI*R.comp*C.comp*C.hf/(C.comp+C.hf))</f>
        <v>147173.96447443473</v>
      </c>
      <c r="E134">
        <v>1</v>
      </c>
      <c r="F134">
        <f>C134*E134</f>
        <v>147173.96447443473</v>
      </c>
    </row>
    <row r="135" spans="1:6" x14ac:dyDescent="0.2">
      <c r="B135" s="39"/>
    </row>
    <row r="136" spans="1:6" x14ac:dyDescent="0.2">
      <c r="B136" s="46" t="s">
        <v>234</v>
      </c>
      <c r="C136" s="52">
        <f>Design!G92</f>
        <v>10</v>
      </c>
      <c r="E136">
        <f>10^-12</f>
        <v>9.9999999999999998E-13</v>
      </c>
      <c r="F136">
        <f>C136*E136</f>
        <v>9.9999999999999994E-12</v>
      </c>
    </row>
    <row r="137" spans="1:6" x14ac:dyDescent="0.2">
      <c r="B137" s="46" t="s">
        <v>235</v>
      </c>
      <c r="C137" s="47">
        <f>Design!G93</f>
        <v>3.3</v>
      </c>
      <c r="E137">
        <v>1000</v>
      </c>
      <c r="F137">
        <f>C137*E137</f>
        <v>3300</v>
      </c>
    </row>
    <row r="138" spans="1:6" x14ac:dyDescent="0.2">
      <c r="B138" s="37" t="s">
        <v>236</v>
      </c>
      <c r="C138">
        <f>1/(2*PI*R.fbt*C.ff)</f>
        <v>159154.97620314796</v>
      </c>
      <c r="E138">
        <v>1</v>
      </c>
      <c r="F138">
        <f>C138*E138</f>
        <v>159154.97620314796</v>
      </c>
    </row>
    <row r="141" spans="1:6" x14ac:dyDescent="0.2">
      <c r="A141" s="40" t="s">
        <v>237</v>
      </c>
    </row>
    <row r="142" spans="1:6" x14ac:dyDescent="0.2">
      <c r="B142" s="38" t="s">
        <v>239</v>
      </c>
      <c r="C142">
        <f>10*10^-6</f>
        <v>9.9999999999999991E-6</v>
      </c>
      <c r="E142">
        <v>1</v>
      </c>
      <c r="F142">
        <f>C142*E142</f>
        <v>9.9999999999999991E-6</v>
      </c>
    </row>
    <row r="143" spans="1:6" x14ac:dyDescent="0.2">
      <c r="B143" s="46" t="s">
        <v>238</v>
      </c>
      <c r="C143" s="47">
        <f>Design!G98</f>
        <v>1</v>
      </c>
      <c r="E143">
        <v>1</v>
      </c>
      <c r="F143">
        <f>C143*E143</f>
        <v>1</v>
      </c>
    </row>
    <row r="144" spans="1:6" x14ac:dyDescent="0.2">
      <c r="B144" s="37" t="s">
        <v>240</v>
      </c>
      <c r="C144">
        <f>V.iset_desired/I.iset</f>
        <v>100000.00000000001</v>
      </c>
      <c r="E144">
        <v>1</v>
      </c>
      <c r="F144">
        <f>C144*E144</f>
        <v>100000.00000000001</v>
      </c>
    </row>
    <row r="145" spans="1:6" x14ac:dyDescent="0.2">
      <c r="B145" s="46" t="s">
        <v>241</v>
      </c>
      <c r="C145" s="47">
        <f>Design!G100</f>
        <v>1</v>
      </c>
      <c r="E145">
        <f>10^-9</f>
        <v>1.0000000000000001E-9</v>
      </c>
      <c r="F145">
        <f>C145*E145</f>
        <v>1.0000000000000001E-9</v>
      </c>
    </row>
    <row r="146" spans="1:6" x14ac:dyDescent="0.2">
      <c r="B146" s="37" t="s">
        <v>242</v>
      </c>
      <c r="C146">
        <f>C.iset/I.iset</f>
        <v>1.0000000000000002E-4</v>
      </c>
      <c r="E146">
        <v>1</v>
      </c>
      <c r="F146">
        <f>C146*E146</f>
        <v>1.0000000000000002E-4</v>
      </c>
    </row>
    <row r="149" spans="1:6" x14ac:dyDescent="0.2">
      <c r="A149" s="40" t="s">
        <v>243</v>
      </c>
    </row>
    <row r="150" spans="1:6" x14ac:dyDescent="0.2">
      <c r="B150" s="38" t="s">
        <v>256</v>
      </c>
      <c r="C150">
        <f>25*10^-6</f>
        <v>2.4999999999999998E-5</v>
      </c>
      <c r="E150">
        <v>1</v>
      </c>
      <c r="F150">
        <f t="shared" ref="F150:F156" si="8">C150*E150</f>
        <v>2.4999999999999998E-5</v>
      </c>
    </row>
    <row r="151" spans="1:6" x14ac:dyDescent="0.2">
      <c r="B151" s="38" t="s">
        <v>257</v>
      </c>
      <c r="C151">
        <v>2E-3</v>
      </c>
      <c r="E151">
        <v>1</v>
      </c>
      <c r="F151">
        <f t="shared" si="8"/>
        <v>2E-3</v>
      </c>
    </row>
    <row r="152" spans="1:6" x14ac:dyDescent="0.2">
      <c r="B152" s="37" t="s">
        <v>246</v>
      </c>
      <c r="C152">
        <f>V.iset_desired/(I.load*R.s*GM.imon+I.imon)</f>
        <v>12987.012987012988</v>
      </c>
      <c r="E152">
        <v>1</v>
      </c>
      <c r="F152">
        <f t="shared" si="8"/>
        <v>12987.012987012988</v>
      </c>
    </row>
    <row r="153" spans="1:6" x14ac:dyDescent="0.2">
      <c r="B153" s="37" t="s">
        <v>247</v>
      </c>
      <c r="C153">
        <f>R.load*C.outtotal_derated/R.imon_desired</f>
        <v>1.0355267999999998E-7</v>
      </c>
      <c r="E153">
        <v>1</v>
      </c>
      <c r="F153">
        <f t="shared" si="8"/>
        <v>1.0355267999999998E-7</v>
      </c>
    </row>
    <row r="154" spans="1:6" x14ac:dyDescent="0.2">
      <c r="B154" s="37" t="s">
        <v>248</v>
      </c>
      <c r="C154">
        <f>R.esrb*C.outb_derated/C.imon_desired</f>
        <v>75.710256847046367</v>
      </c>
      <c r="E154">
        <v>1</v>
      </c>
      <c r="F154">
        <f t="shared" si="8"/>
        <v>75.710256847046367</v>
      </c>
    </row>
    <row r="155" spans="1:6" x14ac:dyDescent="0.2">
      <c r="B155" s="37" t="s">
        <v>250</v>
      </c>
      <c r="C155">
        <f>1/(2*PI*R.imon_desired*C.imon_desired)</f>
        <v>118.34491553132565</v>
      </c>
      <c r="E155">
        <v>1</v>
      </c>
      <c r="F155">
        <f t="shared" si="8"/>
        <v>118.34491553132565</v>
      </c>
    </row>
    <row r="156" spans="1:6" x14ac:dyDescent="0.2">
      <c r="B156" s="37" t="s">
        <v>249</v>
      </c>
      <c r="C156">
        <f>1/(2*PI*R.imonhf_desired*C.imon_desired)</f>
        <v>20300.379617748466</v>
      </c>
      <c r="E156">
        <v>1</v>
      </c>
      <c r="F156">
        <f t="shared" si="8"/>
        <v>20300.379617748466</v>
      </c>
    </row>
    <row r="158" spans="1:6" x14ac:dyDescent="0.2">
      <c r="B158" s="46" t="s">
        <v>251</v>
      </c>
      <c r="C158" s="47">
        <f>Design!G111</f>
        <v>12.7</v>
      </c>
      <c r="E158">
        <v>1000</v>
      </c>
      <c r="F158">
        <f t="shared" ref="F158:F164" si="9">C158*E158</f>
        <v>12700</v>
      </c>
    </row>
    <row r="159" spans="1:6" x14ac:dyDescent="0.2">
      <c r="B159" s="46" t="s">
        <v>252</v>
      </c>
      <c r="C159" s="47">
        <f>Design!G112</f>
        <v>100</v>
      </c>
      <c r="E159">
        <f>10^-9</f>
        <v>1.0000000000000001E-9</v>
      </c>
      <c r="F159">
        <f t="shared" si="9"/>
        <v>1.0000000000000001E-7</v>
      </c>
    </row>
    <row r="160" spans="1:6" x14ac:dyDescent="0.2">
      <c r="B160" s="46" t="s">
        <v>253</v>
      </c>
      <c r="C160" s="84">
        <f>IF(Design!G113=0,0.001,Design!G113)</f>
        <v>75</v>
      </c>
      <c r="E160">
        <v>1</v>
      </c>
      <c r="F160">
        <f t="shared" si="9"/>
        <v>75</v>
      </c>
    </row>
    <row r="161" spans="1:6" x14ac:dyDescent="0.2">
      <c r="B161" s="37" t="s">
        <v>255</v>
      </c>
      <c r="C161">
        <f>1/(2*PI*R.imon*C.imon)</f>
        <v>125.31887890011646</v>
      </c>
      <c r="E161">
        <v>1</v>
      </c>
      <c r="F161">
        <f t="shared" si="9"/>
        <v>125.31887890011646</v>
      </c>
    </row>
    <row r="162" spans="1:6" x14ac:dyDescent="0.2">
      <c r="B162" s="37" t="s">
        <v>254</v>
      </c>
      <c r="C162">
        <f>1/(2*PI*R.imonhf*C.imon)</f>
        <v>21220.663493753058</v>
      </c>
      <c r="E162">
        <v>1</v>
      </c>
      <c r="F162">
        <f t="shared" si="9"/>
        <v>21220.663493753058</v>
      </c>
    </row>
    <row r="164" spans="1:6" x14ac:dyDescent="0.2">
      <c r="B164" t="s">
        <v>259</v>
      </c>
      <c r="C164">
        <f>R.imon*I.imon</f>
        <v>0.31749999999999995</v>
      </c>
      <c r="E164">
        <v>1</v>
      </c>
      <c r="F164">
        <f t="shared" si="9"/>
        <v>0.31749999999999995</v>
      </c>
    </row>
    <row r="166" spans="1:6" x14ac:dyDescent="0.2">
      <c r="A166" s="40" t="s">
        <v>258</v>
      </c>
    </row>
    <row r="167" spans="1:6" x14ac:dyDescent="0.2">
      <c r="A167" s="39"/>
      <c r="B167" s="38" t="s">
        <v>337</v>
      </c>
      <c r="C167">
        <v>3</v>
      </c>
      <c r="E167">
        <v>1</v>
      </c>
      <c r="F167">
        <f t="shared" ref="F167:F172" si="10">C167*E167</f>
        <v>3</v>
      </c>
    </row>
    <row r="168" spans="1:6" x14ac:dyDescent="0.2">
      <c r="A168" s="39"/>
      <c r="B168" s="38" t="s">
        <v>338</v>
      </c>
      <c r="C168">
        <v>0.75</v>
      </c>
      <c r="E168">
        <v>1</v>
      </c>
      <c r="F168">
        <f t="shared" si="10"/>
        <v>0.75</v>
      </c>
    </row>
    <row r="169" spans="1:6" x14ac:dyDescent="0.2">
      <c r="A169" s="39"/>
      <c r="B169" s="38" t="s">
        <v>339</v>
      </c>
      <c r="C169">
        <v>3</v>
      </c>
      <c r="E169">
        <v>1</v>
      </c>
      <c r="F169">
        <f t="shared" si="10"/>
        <v>3</v>
      </c>
    </row>
    <row r="170" spans="1:6" x14ac:dyDescent="0.2">
      <c r="A170" s="39"/>
      <c r="B170" s="38" t="s">
        <v>340</v>
      </c>
      <c r="C170">
        <v>0.75</v>
      </c>
      <c r="E170">
        <v>1</v>
      </c>
      <c r="F170">
        <f t="shared" si="10"/>
        <v>0.75</v>
      </c>
    </row>
    <row r="171" spans="1:6" x14ac:dyDescent="0.2">
      <c r="A171" s="39"/>
      <c r="B171" s="38" t="s">
        <v>341</v>
      </c>
      <c r="C171">
        <f>25*10^-9</f>
        <v>2.5000000000000002E-8</v>
      </c>
      <c r="E171">
        <v>1</v>
      </c>
      <c r="F171">
        <f t="shared" si="10"/>
        <v>2.5000000000000002E-8</v>
      </c>
    </row>
    <row r="172" spans="1:6" x14ac:dyDescent="0.2">
      <c r="A172" s="39"/>
      <c r="B172" s="38" t="s">
        <v>342</v>
      </c>
      <c r="C172">
        <f>35*10^-9</f>
        <v>3.5000000000000002E-8</v>
      </c>
      <c r="E172">
        <v>1</v>
      </c>
      <c r="F172">
        <f t="shared" si="10"/>
        <v>3.5000000000000002E-8</v>
      </c>
    </row>
    <row r="173" spans="1:6" x14ac:dyDescent="0.2">
      <c r="B173" s="46" t="s">
        <v>178</v>
      </c>
      <c r="C173">
        <f>Design!F124</f>
        <v>9.5</v>
      </c>
      <c r="E173">
        <v>1E-3</v>
      </c>
      <c r="F173">
        <f>C173*E173</f>
        <v>9.4999999999999998E-3</v>
      </c>
    </row>
    <row r="174" spans="1:6" x14ac:dyDescent="0.2">
      <c r="B174" t="s">
        <v>179</v>
      </c>
      <c r="C174">
        <f>R.hs25*((150+275)/300)^2.3</f>
        <v>2.1166022748210066E-2</v>
      </c>
      <c r="E174">
        <v>1</v>
      </c>
      <c r="F174">
        <f>C174*E174</f>
        <v>2.1166022748210066E-2</v>
      </c>
    </row>
    <row r="175" spans="1:6" x14ac:dyDescent="0.2">
      <c r="B175" s="46" t="s">
        <v>260</v>
      </c>
      <c r="C175" s="52">
        <f>Design!F125</f>
        <v>11</v>
      </c>
      <c r="E175">
        <f>10^-9</f>
        <v>1.0000000000000001E-9</v>
      </c>
      <c r="F175">
        <f t="shared" ref="F175:F187" si="11">C175*E175</f>
        <v>1.1000000000000001E-8</v>
      </c>
    </row>
    <row r="176" spans="1:6" x14ac:dyDescent="0.2">
      <c r="B176" s="46" t="s">
        <v>261</v>
      </c>
      <c r="C176" s="52">
        <f>Design!F126</f>
        <v>3</v>
      </c>
      <c r="E176">
        <f>10^-9</f>
        <v>1.0000000000000001E-9</v>
      </c>
      <c r="F176">
        <f t="shared" si="11"/>
        <v>3.0000000000000004E-9</v>
      </c>
    </row>
    <row r="177" spans="2:6" x14ac:dyDescent="0.2">
      <c r="B177" s="46" t="s">
        <v>262</v>
      </c>
      <c r="C177" s="52">
        <f>Design!F127</f>
        <v>5</v>
      </c>
      <c r="E177">
        <f>10^-9</f>
        <v>1.0000000000000001E-9</v>
      </c>
      <c r="F177">
        <f t="shared" si="11"/>
        <v>5.0000000000000001E-9</v>
      </c>
    </row>
    <row r="178" spans="2:6" x14ac:dyDescent="0.2">
      <c r="B178" s="53" t="s">
        <v>263</v>
      </c>
      <c r="C178" s="54">
        <f>Design!F128</f>
        <v>0</v>
      </c>
      <c r="E178">
        <f>10^-9</f>
        <v>1.0000000000000001E-9</v>
      </c>
      <c r="F178">
        <f t="shared" si="11"/>
        <v>0</v>
      </c>
    </row>
    <row r="179" spans="2:6" x14ac:dyDescent="0.2">
      <c r="B179" s="46" t="s">
        <v>264</v>
      </c>
      <c r="C179" s="52">
        <f>Design!F129</f>
        <v>150</v>
      </c>
      <c r="E179">
        <f>10^-12</f>
        <v>9.9999999999999998E-13</v>
      </c>
      <c r="F179">
        <f t="shared" si="11"/>
        <v>1.5E-10</v>
      </c>
    </row>
    <row r="180" spans="2:6" x14ac:dyDescent="0.2">
      <c r="B180" s="46" t="s">
        <v>265</v>
      </c>
      <c r="C180" s="52">
        <f>Design!F130</f>
        <v>1</v>
      </c>
      <c r="E180">
        <v>1</v>
      </c>
      <c r="F180">
        <f t="shared" si="11"/>
        <v>1</v>
      </c>
    </row>
    <row r="181" spans="2:6" x14ac:dyDescent="0.2">
      <c r="B181" s="46" t="s">
        <v>266</v>
      </c>
      <c r="C181" s="52">
        <f>Design!F131</f>
        <v>52</v>
      </c>
      <c r="E181">
        <v>1</v>
      </c>
      <c r="F181">
        <f t="shared" si="11"/>
        <v>52</v>
      </c>
    </row>
    <row r="182" spans="2:6" x14ac:dyDescent="0.2">
      <c r="B182" s="46" t="s">
        <v>267</v>
      </c>
      <c r="C182" s="47">
        <f>Design!F132</f>
        <v>3.1</v>
      </c>
      <c r="E182">
        <v>1</v>
      </c>
      <c r="F182">
        <f t="shared" si="11"/>
        <v>3.1</v>
      </c>
    </row>
    <row r="183" spans="2:6" x14ac:dyDescent="0.2">
      <c r="B183" s="1" t="s">
        <v>335</v>
      </c>
      <c r="C183" s="47">
        <f>V.th_hs+I.load/g.fs_hs</f>
        <v>3.2923076923076926</v>
      </c>
      <c r="E183">
        <v>1</v>
      </c>
      <c r="F183">
        <f t="shared" si="11"/>
        <v>3.2923076923076926</v>
      </c>
    </row>
    <row r="184" spans="2:6" x14ac:dyDescent="0.2">
      <c r="B184" s="46" t="s">
        <v>268</v>
      </c>
      <c r="C184" s="52">
        <f>Design!F133</f>
        <v>0.8</v>
      </c>
      <c r="E184">
        <v>1</v>
      </c>
      <c r="F184">
        <f t="shared" si="11"/>
        <v>0.8</v>
      </c>
    </row>
    <row r="185" spans="2:6" x14ac:dyDescent="0.2">
      <c r="B185" s="53" t="s">
        <v>269</v>
      </c>
      <c r="C185" s="54">
        <f>Design!F134</f>
        <v>0</v>
      </c>
      <c r="E185">
        <f>10^-9</f>
        <v>1.0000000000000001E-9</v>
      </c>
      <c r="F185">
        <f t="shared" si="11"/>
        <v>0</v>
      </c>
    </row>
    <row r="186" spans="2:6" x14ac:dyDescent="0.2">
      <c r="B186" s="46" t="s">
        <v>270</v>
      </c>
      <c r="C186" s="52">
        <f>Design!F135</f>
        <v>41</v>
      </c>
      <c r="D186" t="s">
        <v>348</v>
      </c>
      <c r="E186">
        <v>1</v>
      </c>
      <c r="F186">
        <f t="shared" si="11"/>
        <v>41</v>
      </c>
    </row>
    <row r="187" spans="2:6" x14ac:dyDescent="0.2">
      <c r="B187" s="38" t="s">
        <v>346</v>
      </c>
      <c r="C187" s="84">
        <v>4.0000000000000001E-3</v>
      </c>
      <c r="D187" t="s">
        <v>347</v>
      </c>
      <c r="E187">
        <v>1</v>
      </c>
      <c r="F187">
        <f t="shared" si="11"/>
        <v>4.0000000000000001E-3</v>
      </c>
    </row>
    <row r="188" spans="2:6" x14ac:dyDescent="0.2">
      <c r="B188" s="39"/>
      <c r="C188" s="52"/>
    </row>
    <row r="189" spans="2:6" x14ac:dyDescent="0.2">
      <c r="B189" s="46" t="s">
        <v>176</v>
      </c>
      <c r="C189">
        <f>Design!G124</f>
        <v>9.5</v>
      </c>
      <c r="E189">
        <v>1E-3</v>
      </c>
      <c r="F189">
        <f>C189*E189</f>
        <v>9.4999999999999998E-3</v>
      </c>
    </row>
    <row r="190" spans="2:6" x14ac:dyDescent="0.2">
      <c r="B190" t="s">
        <v>177</v>
      </c>
      <c r="C190">
        <f>R.ls25*((150+275)/300)^2.3</f>
        <v>2.1166022748210066E-2</v>
      </c>
      <c r="E190">
        <v>1</v>
      </c>
      <c r="F190">
        <f>C190*E190</f>
        <v>2.1166022748210066E-2</v>
      </c>
    </row>
    <row r="191" spans="2:6" x14ac:dyDescent="0.2">
      <c r="B191" s="46" t="s">
        <v>271</v>
      </c>
      <c r="C191" s="52">
        <f>Design!G125</f>
        <v>11</v>
      </c>
      <c r="E191">
        <f>10^-9</f>
        <v>1.0000000000000001E-9</v>
      </c>
      <c r="F191">
        <f t="shared" ref="F191:F209" si="12">C191*E191</f>
        <v>1.1000000000000001E-8</v>
      </c>
    </row>
    <row r="192" spans="2:6" x14ac:dyDescent="0.2">
      <c r="B192" s="46" t="s">
        <v>272</v>
      </c>
      <c r="C192" s="52">
        <f>Design!G126</f>
        <v>3</v>
      </c>
      <c r="E192">
        <f>10^-9</f>
        <v>1.0000000000000001E-9</v>
      </c>
      <c r="F192">
        <f t="shared" si="12"/>
        <v>3.0000000000000004E-9</v>
      </c>
    </row>
    <row r="193" spans="2:6" x14ac:dyDescent="0.2">
      <c r="B193" s="46" t="s">
        <v>273</v>
      </c>
      <c r="C193" s="52">
        <f>Design!G127</f>
        <v>5</v>
      </c>
      <c r="E193">
        <f>10^-9</f>
        <v>1.0000000000000001E-9</v>
      </c>
      <c r="F193">
        <f t="shared" si="12"/>
        <v>5.0000000000000001E-9</v>
      </c>
    </row>
    <row r="194" spans="2:6" x14ac:dyDescent="0.2">
      <c r="B194" s="46" t="s">
        <v>274</v>
      </c>
      <c r="C194" s="52">
        <f>Design!G128</f>
        <v>7</v>
      </c>
      <c r="E194">
        <f>10^-9</f>
        <v>1.0000000000000001E-9</v>
      </c>
      <c r="F194">
        <f t="shared" si="12"/>
        <v>7.0000000000000006E-9</v>
      </c>
    </row>
    <row r="195" spans="2:6" x14ac:dyDescent="0.2">
      <c r="B195" s="46" t="s">
        <v>275</v>
      </c>
      <c r="C195" s="52">
        <f>Design!G129</f>
        <v>150</v>
      </c>
      <c r="E195">
        <f>10^-12</f>
        <v>9.9999999999999998E-13</v>
      </c>
      <c r="F195">
        <f t="shared" si="12"/>
        <v>1.5E-10</v>
      </c>
    </row>
    <row r="196" spans="2:6" x14ac:dyDescent="0.2">
      <c r="B196" s="46" t="s">
        <v>276</v>
      </c>
      <c r="C196" s="52">
        <f>Design!G130</f>
        <v>1</v>
      </c>
      <c r="E196">
        <v>1</v>
      </c>
      <c r="F196">
        <f t="shared" si="12"/>
        <v>1</v>
      </c>
    </row>
    <row r="197" spans="2:6" x14ac:dyDescent="0.2">
      <c r="B197" s="46" t="s">
        <v>277</v>
      </c>
      <c r="C197" s="52">
        <f>Design!G131</f>
        <v>52</v>
      </c>
      <c r="E197">
        <v>1</v>
      </c>
      <c r="F197">
        <f t="shared" si="12"/>
        <v>52</v>
      </c>
    </row>
    <row r="198" spans="2:6" x14ac:dyDescent="0.2">
      <c r="B198" s="46" t="s">
        <v>278</v>
      </c>
      <c r="C198" s="47">
        <f>Design!G132</f>
        <v>3.1</v>
      </c>
      <c r="E198">
        <v>1</v>
      </c>
      <c r="F198">
        <f t="shared" si="12"/>
        <v>3.1</v>
      </c>
    </row>
    <row r="199" spans="2:6" x14ac:dyDescent="0.2">
      <c r="B199" s="39" t="s">
        <v>336</v>
      </c>
      <c r="C199" s="47">
        <f>V.th_ls+I.load/g.fs_ls</f>
        <v>3.2923076923076926</v>
      </c>
      <c r="E199">
        <v>1</v>
      </c>
      <c r="F199">
        <f t="shared" si="12"/>
        <v>3.2923076923076926</v>
      </c>
    </row>
    <row r="200" spans="2:6" x14ac:dyDescent="0.2">
      <c r="B200" s="46" t="s">
        <v>279</v>
      </c>
      <c r="C200" s="52">
        <f>Design!G133</f>
        <v>0.8</v>
      </c>
      <c r="E200">
        <v>1</v>
      </c>
      <c r="F200">
        <f t="shared" si="12"/>
        <v>0.8</v>
      </c>
    </row>
    <row r="201" spans="2:6" x14ac:dyDescent="0.2">
      <c r="B201" s="46" t="s">
        <v>280</v>
      </c>
      <c r="C201" s="52">
        <f>Design!G134</f>
        <v>41</v>
      </c>
      <c r="E201">
        <f>10^-9</f>
        <v>1.0000000000000001E-9</v>
      </c>
      <c r="F201">
        <f t="shared" si="12"/>
        <v>4.1000000000000003E-8</v>
      </c>
    </row>
    <row r="202" spans="2:6" x14ac:dyDescent="0.2">
      <c r="B202" s="46" t="s">
        <v>281</v>
      </c>
      <c r="C202" s="52">
        <f>Design!G135</f>
        <v>41</v>
      </c>
      <c r="E202">
        <v>1</v>
      </c>
      <c r="F202">
        <f t="shared" si="12"/>
        <v>41</v>
      </c>
    </row>
    <row r="203" spans="2:6" x14ac:dyDescent="0.2">
      <c r="B203" s="38" t="s">
        <v>349</v>
      </c>
      <c r="C203" s="84">
        <v>4.0000000000000001E-3</v>
      </c>
      <c r="D203" t="s">
        <v>347</v>
      </c>
      <c r="E203">
        <v>1</v>
      </c>
      <c r="F203">
        <f t="shared" si="12"/>
        <v>4.0000000000000001E-3</v>
      </c>
    </row>
    <row r="205" spans="2:6" x14ac:dyDescent="0.2">
      <c r="B205" s="46" t="s">
        <v>283</v>
      </c>
      <c r="C205">
        <f>Design!G137</f>
        <v>0</v>
      </c>
      <c r="E205">
        <v>1</v>
      </c>
      <c r="F205">
        <f>IF(C205*E205=0,4444,C205*E205)</f>
        <v>4444</v>
      </c>
    </row>
    <row r="206" spans="2:6" x14ac:dyDescent="0.2">
      <c r="B206" s="46" t="s">
        <v>282</v>
      </c>
      <c r="C206">
        <f>Design!G138</f>
        <v>0</v>
      </c>
      <c r="E206">
        <f>10^-9</f>
        <v>1.0000000000000001E-9</v>
      </c>
      <c r="F206">
        <f>IF(C206*E206=0, 4444, C206*E206)</f>
        <v>4444</v>
      </c>
    </row>
    <row r="207" spans="2:6" x14ac:dyDescent="0.2">
      <c r="B207" s="46" t="s">
        <v>360</v>
      </c>
      <c r="C207">
        <f>IF(Design!G142=STD_VAL!C11,STD_VAL!D11,IF(Design!G142=STD_VAL!C12,STD_VAL!D12,444))</f>
        <v>0</v>
      </c>
      <c r="E207">
        <v>1</v>
      </c>
      <c r="F207">
        <f>IF(C207*E207=0, 4444, C207*E207)</f>
        <v>4444</v>
      </c>
    </row>
    <row r="208" spans="2:6" x14ac:dyDescent="0.2">
      <c r="B208" s="46" t="s">
        <v>326</v>
      </c>
      <c r="C208">
        <f>Design!G143</f>
        <v>25</v>
      </c>
      <c r="E208">
        <v>1</v>
      </c>
      <c r="F208">
        <f t="shared" si="12"/>
        <v>25</v>
      </c>
    </row>
    <row r="209" spans="1:6" x14ac:dyDescent="0.2">
      <c r="B209" s="39" t="s">
        <v>497</v>
      </c>
      <c r="C209">
        <f>f.sw*(Q.g_ls+Q.g_hs)</f>
        <v>2.2000000000000001E-3</v>
      </c>
      <c r="E209">
        <v>1</v>
      </c>
      <c r="F209">
        <f t="shared" si="12"/>
        <v>2.2000000000000001E-3</v>
      </c>
    </row>
    <row r="210" spans="1:6" x14ac:dyDescent="0.2">
      <c r="B210" s="46" t="s">
        <v>370</v>
      </c>
      <c r="F210">
        <v>1.7</v>
      </c>
    </row>
    <row r="211" spans="1:6" x14ac:dyDescent="0.2">
      <c r="B211" s="39" t="s">
        <v>332</v>
      </c>
      <c r="C211">
        <f>(Q.gd_hs+Q.gs_hs/2)*(R.drv_hs_source+R.g_hs)/(VCC-V.sp_hs)*Trf_CorrectionFactor</f>
        <v>1.0087136929460582E-8</v>
      </c>
      <c r="E211">
        <v>1</v>
      </c>
      <c r="F211">
        <f>C211*E211</f>
        <v>1.0087136929460582E-8</v>
      </c>
    </row>
    <row r="212" spans="1:6" x14ac:dyDescent="0.2">
      <c r="B212" s="39" t="s">
        <v>333</v>
      </c>
      <c r="C212">
        <f>(Q.gd_hs+Q.gs_hs/2)*(R.drv_hs_sink+R.g_hs)/(V.sp_hs)*Trf_CorrectionFactor</f>
        <v>4.9699182242990653E-9</v>
      </c>
      <c r="E212">
        <v>1</v>
      </c>
      <c r="F212">
        <f>C212*E212</f>
        <v>4.9699182242990653E-9</v>
      </c>
    </row>
    <row r="214" spans="1:6" x14ac:dyDescent="0.2">
      <c r="B214" s="39" t="s">
        <v>459</v>
      </c>
      <c r="C214" s="47">
        <f>MAX(V.sp_ls,V.sp_hs)</f>
        <v>3.2923076923076926</v>
      </c>
      <c r="E214">
        <v>1</v>
      </c>
      <c r="F214">
        <f>C214*E214</f>
        <v>3.2923076923076926</v>
      </c>
    </row>
    <row r="215" spans="1:6" x14ac:dyDescent="0.2">
      <c r="B215" s="39" t="s">
        <v>505</v>
      </c>
      <c r="C215" s="47">
        <f>V.th_hs+100/g.fs_hs</f>
        <v>5.023076923076923</v>
      </c>
      <c r="E215">
        <v>1</v>
      </c>
      <c r="F215">
        <f>C215*E215</f>
        <v>5.023076923076923</v>
      </c>
    </row>
    <row r="216" spans="1:6" x14ac:dyDescent="0.2">
      <c r="B216" s="39" t="s">
        <v>506</v>
      </c>
      <c r="C216" s="47">
        <f>V.th_ls+100/g.fs_ls</f>
        <v>5.023076923076923</v>
      </c>
      <c r="E216">
        <v>1</v>
      </c>
      <c r="F216">
        <f>C216*E216</f>
        <v>5.023076923076923</v>
      </c>
    </row>
    <row r="217" spans="1:6" x14ac:dyDescent="0.2">
      <c r="B217" s="39" t="s">
        <v>507</v>
      </c>
      <c r="C217" s="47">
        <f>MAX(V.sp_hs_100A,V.sp_ls_100A)</f>
        <v>5.023076923076923</v>
      </c>
      <c r="E217">
        <v>1</v>
      </c>
      <c r="F217">
        <f>C217*E217</f>
        <v>5.023076923076923</v>
      </c>
    </row>
    <row r="218" spans="1:6" x14ac:dyDescent="0.2">
      <c r="B218" s="39"/>
      <c r="C218" s="47"/>
    </row>
    <row r="219" spans="1:6" x14ac:dyDescent="0.2">
      <c r="A219" t="s">
        <v>503</v>
      </c>
      <c r="B219" s="39" t="s">
        <v>501</v>
      </c>
      <c r="C219" s="47">
        <f>C175</f>
        <v>11</v>
      </c>
      <c r="E219">
        <f>10^-9</f>
        <v>1.0000000000000001E-9</v>
      </c>
      <c r="F219">
        <f>C219*E219</f>
        <v>1.1000000000000001E-8</v>
      </c>
    </row>
    <row r="220" spans="1:6" x14ac:dyDescent="0.2">
      <c r="A220" t="s">
        <v>504</v>
      </c>
      <c r="B220" s="39" t="s">
        <v>502</v>
      </c>
      <c r="C220" s="47">
        <f>C219*10</f>
        <v>110</v>
      </c>
      <c r="E220">
        <f>10^-9</f>
        <v>1.0000000000000001E-9</v>
      </c>
      <c r="F220">
        <f>C220*E220</f>
        <v>1.1000000000000001E-7</v>
      </c>
    </row>
    <row r="221" spans="1:6" x14ac:dyDescent="0.2">
      <c r="B221" s="39" t="s">
        <v>511</v>
      </c>
      <c r="C221" s="50">
        <f>(Q.g_ls+Q.g_hs)*f.sw*10*10^-6/2</f>
        <v>1.1000000000000001E-8</v>
      </c>
      <c r="E221">
        <v>1</v>
      </c>
      <c r="F221">
        <f>C221*E221</f>
        <v>1.1000000000000001E-8</v>
      </c>
    </row>
    <row r="222" spans="1:6" x14ac:dyDescent="0.2">
      <c r="A222" s="40" t="s">
        <v>481</v>
      </c>
    </row>
    <row r="223" spans="1:6" x14ac:dyDescent="0.2">
      <c r="B223" t="s">
        <v>327</v>
      </c>
      <c r="C223">
        <f>10*10^-6</f>
        <v>9.9999999999999991E-6</v>
      </c>
      <c r="E223">
        <v>1</v>
      </c>
      <c r="F223">
        <f>C223*E223</f>
        <v>9.9999999999999991E-6</v>
      </c>
    </row>
    <row r="224" spans="1:6" x14ac:dyDescent="0.2">
      <c r="B224" t="s">
        <v>328</v>
      </c>
      <c r="C224">
        <v>1E-3</v>
      </c>
      <c r="E224">
        <v>1</v>
      </c>
      <c r="F224">
        <f>C224*E224</f>
        <v>1E-3</v>
      </c>
    </row>
    <row r="226" spans="2:6" x14ac:dyDescent="0.2">
      <c r="B226" t="s">
        <v>482</v>
      </c>
      <c r="C226">
        <f>Design!G149</f>
        <v>50</v>
      </c>
      <c r="E226" s="50">
        <v>1E-3</v>
      </c>
      <c r="F226">
        <f>C226*E226</f>
        <v>0.05</v>
      </c>
    </row>
    <row r="227" spans="2:6" x14ac:dyDescent="0.2">
      <c r="B227" t="s">
        <v>483</v>
      </c>
      <c r="C227">
        <f>I.load*D.on_min_ideal*(1-D.on_min_ideal)/(V.in_ripple_required*f.sw)</f>
        <v>4.8000000000000007E-4</v>
      </c>
    </row>
    <row r="228" spans="2:6" x14ac:dyDescent="0.2">
      <c r="B228" t="s">
        <v>484</v>
      </c>
      <c r="C228">
        <f>I.load*0.5*(1-0.5)/(V.in_ripple_required*f.sw)</f>
        <v>5.0000000000000001E-4</v>
      </c>
    </row>
    <row r="229" spans="2:6" x14ac:dyDescent="0.2">
      <c r="B229" s="39" t="s">
        <v>485</v>
      </c>
      <c r="C229" s="50">
        <f>MAX(C227,C228,0.00001)</f>
        <v>5.0000000000000001E-4</v>
      </c>
    </row>
    <row r="230" spans="2:6" x14ac:dyDescent="0.2">
      <c r="B230" s="39" t="s">
        <v>486</v>
      </c>
      <c r="C230">
        <f>I.load*SQRT(D.on_min_ideal*(1-D.on_min_ideal))</f>
        <v>4.8989794855663558</v>
      </c>
    </row>
    <row r="231" spans="2:6" x14ac:dyDescent="0.2">
      <c r="B231" s="39" t="s">
        <v>487</v>
      </c>
      <c r="C231">
        <f>I.load*SQRT(0.5*(1-0.5))</f>
        <v>5</v>
      </c>
    </row>
    <row r="232" spans="2:6" x14ac:dyDescent="0.2">
      <c r="B232" s="39" t="s">
        <v>488</v>
      </c>
      <c r="C232" s="148">
        <f>MAX(C231,C230)</f>
        <v>5</v>
      </c>
    </row>
    <row r="234" spans="2:6" x14ac:dyDescent="0.2">
      <c r="B234" s="39" t="s">
        <v>489</v>
      </c>
      <c r="C234">
        <f>V.in_ripple_required/I.load</f>
        <v>5.0000000000000001E-3</v>
      </c>
    </row>
    <row r="245" spans="19:24" x14ac:dyDescent="0.2">
      <c r="S245" s="56"/>
      <c r="T245" s="56"/>
      <c r="U245" s="56"/>
      <c r="W245" s="59"/>
      <c r="X245" s="56"/>
    </row>
    <row r="246" spans="19:24" x14ac:dyDescent="0.2">
      <c r="S246" s="39"/>
      <c r="T246" s="39"/>
      <c r="U246" s="39"/>
      <c r="W246" s="60"/>
      <c r="X246" s="39"/>
    </row>
    <row r="247" spans="19:24" x14ac:dyDescent="0.2">
      <c r="X247" s="57"/>
    </row>
  </sheetData>
  <phoneticPr fontId="48" type="noConversion"/>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769"/>
  <sheetViews>
    <sheetView workbookViewId="0">
      <selection activeCell="F4" sqref="F4"/>
    </sheetView>
  </sheetViews>
  <sheetFormatPr defaultRowHeight="12.75" x14ac:dyDescent="0.2"/>
  <cols>
    <col min="3" max="3" width="27.28515625" bestFit="1" customWidth="1"/>
  </cols>
  <sheetData>
    <row r="1" spans="1:4" x14ac:dyDescent="0.2">
      <c r="A1">
        <v>1</v>
      </c>
    </row>
    <row r="2" spans="1:4" ht="15.75" x14ac:dyDescent="0.25">
      <c r="A2">
        <v>1.02</v>
      </c>
      <c r="C2" s="32" t="s">
        <v>104</v>
      </c>
      <c r="D2" s="32" t="s">
        <v>105</v>
      </c>
    </row>
    <row r="3" spans="1:4" x14ac:dyDescent="0.2">
      <c r="A3">
        <v>1.05</v>
      </c>
      <c r="C3" t="s">
        <v>130</v>
      </c>
      <c r="D3">
        <v>0</v>
      </c>
    </row>
    <row r="4" spans="1:4" x14ac:dyDescent="0.2">
      <c r="A4">
        <v>1.0699999999999998</v>
      </c>
      <c r="C4" t="s">
        <v>132</v>
      </c>
      <c r="D4">
        <v>1</v>
      </c>
    </row>
    <row r="5" spans="1:4" x14ac:dyDescent="0.2">
      <c r="A5">
        <v>1.1000000000000001</v>
      </c>
    </row>
    <row r="6" spans="1:4" ht="15.75" x14ac:dyDescent="0.25">
      <c r="A6">
        <v>1.1300000000000001</v>
      </c>
      <c r="C6" s="34" t="s">
        <v>5</v>
      </c>
      <c r="D6" s="32" t="s">
        <v>105</v>
      </c>
    </row>
    <row r="7" spans="1:4" x14ac:dyDescent="0.2">
      <c r="A7">
        <v>1.1499999999999999</v>
      </c>
      <c r="C7" s="33" t="s">
        <v>16</v>
      </c>
      <c r="D7">
        <v>1</v>
      </c>
    </row>
    <row r="8" spans="1:4" x14ac:dyDescent="0.2">
      <c r="A8">
        <v>1.1800000000000002</v>
      </c>
      <c r="C8" s="33" t="s">
        <v>131</v>
      </c>
      <c r="D8">
        <v>0</v>
      </c>
    </row>
    <row r="9" spans="1:4" x14ac:dyDescent="0.2">
      <c r="A9">
        <v>1.21</v>
      </c>
      <c r="C9" s="33"/>
    </row>
    <row r="10" spans="1:4" x14ac:dyDescent="0.2">
      <c r="A10">
        <v>1.24</v>
      </c>
      <c r="C10" s="55" t="s">
        <v>134</v>
      </c>
      <c r="D10" s="42" t="s">
        <v>105</v>
      </c>
    </row>
    <row r="11" spans="1:4" x14ac:dyDescent="0.2">
      <c r="A11">
        <v>1.27</v>
      </c>
      <c r="C11" s="33" t="s">
        <v>97</v>
      </c>
      <c r="D11">
        <v>1</v>
      </c>
    </row>
    <row r="12" spans="1:4" x14ac:dyDescent="0.2">
      <c r="A12">
        <v>1.3</v>
      </c>
      <c r="C12" s="33" t="s">
        <v>284</v>
      </c>
      <c r="D12">
        <v>0</v>
      </c>
    </row>
    <row r="13" spans="1:4" x14ac:dyDescent="0.2">
      <c r="A13">
        <v>1.33</v>
      </c>
    </row>
    <row r="14" spans="1:4" x14ac:dyDescent="0.2">
      <c r="A14">
        <v>1.3699999999999999</v>
      </c>
    </row>
    <row r="15" spans="1:4" x14ac:dyDescent="0.2">
      <c r="A15">
        <v>1.4</v>
      </c>
    </row>
    <row r="16" spans="1:4" x14ac:dyDescent="0.2">
      <c r="A16">
        <v>1.4300000000000002</v>
      </c>
    </row>
    <row r="17" spans="1:4" ht="15.75" x14ac:dyDescent="0.25">
      <c r="A17">
        <v>1.47</v>
      </c>
      <c r="C17" s="34"/>
      <c r="D17" s="32"/>
    </row>
    <row r="18" spans="1:4" x14ac:dyDescent="0.2">
      <c r="A18">
        <v>1.5</v>
      </c>
      <c r="C18" s="33"/>
    </row>
    <row r="19" spans="1:4" x14ac:dyDescent="0.2">
      <c r="A19">
        <v>1.54</v>
      </c>
      <c r="C19" s="33"/>
    </row>
    <row r="20" spans="1:4" x14ac:dyDescent="0.2">
      <c r="A20">
        <v>1.58</v>
      </c>
    </row>
    <row r="21" spans="1:4" ht="15.75" x14ac:dyDescent="0.25">
      <c r="A21">
        <v>1.6199999999999999</v>
      </c>
      <c r="C21" s="32"/>
      <c r="D21" s="32"/>
    </row>
    <row r="22" spans="1:4" x14ac:dyDescent="0.2">
      <c r="A22">
        <v>1.65</v>
      </c>
    </row>
    <row r="23" spans="1:4" x14ac:dyDescent="0.2">
      <c r="A23">
        <v>1.69</v>
      </c>
    </row>
    <row r="24" spans="1:4" x14ac:dyDescent="0.2">
      <c r="A24">
        <v>1.7399999999999998</v>
      </c>
    </row>
    <row r="25" spans="1:4" ht="15.75" x14ac:dyDescent="0.25">
      <c r="A25">
        <v>1.78</v>
      </c>
      <c r="C25" s="32"/>
      <c r="D25" s="32"/>
    </row>
    <row r="26" spans="1:4" x14ac:dyDescent="0.2">
      <c r="A26">
        <v>1.8199999999999998</v>
      </c>
    </row>
    <row r="27" spans="1:4" x14ac:dyDescent="0.2">
      <c r="A27">
        <v>1.8699999999999999</v>
      </c>
    </row>
    <row r="28" spans="1:4" x14ac:dyDescent="0.2">
      <c r="A28">
        <v>1.9100000000000001</v>
      </c>
    </row>
    <row r="29" spans="1:4" x14ac:dyDescent="0.2">
      <c r="A29">
        <v>1.9600000000000002</v>
      </c>
    </row>
    <row r="30" spans="1:4" x14ac:dyDescent="0.2">
      <c r="A30">
        <v>2</v>
      </c>
    </row>
    <row r="31" spans="1:4" x14ac:dyDescent="0.2">
      <c r="A31">
        <v>2.0499999999999998</v>
      </c>
    </row>
    <row r="32" spans="1:4" x14ac:dyDescent="0.2">
      <c r="A32">
        <v>2.1</v>
      </c>
    </row>
    <row r="33" spans="1:1" x14ac:dyDescent="0.2">
      <c r="A33">
        <v>2.15</v>
      </c>
    </row>
    <row r="34" spans="1:1" x14ac:dyDescent="0.2">
      <c r="A34">
        <v>2.21</v>
      </c>
    </row>
    <row r="35" spans="1:1" x14ac:dyDescent="0.2">
      <c r="A35">
        <v>2.2600000000000002</v>
      </c>
    </row>
    <row r="36" spans="1:1" x14ac:dyDescent="0.2">
      <c r="A36">
        <v>2.3199999999999998</v>
      </c>
    </row>
    <row r="37" spans="1:1" x14ac:dyDescent="0.2">
      <c r="A37">
        <v>2.37</v>
      </c>
    </row>
    <row r="38" spans="1:1" x14ac:dyDescent="0.2">
      <c r="A38">
        <v>2.4300000000000002</v>
      </c>
    </row>
    <row r="39" spans="1:1" x14ac:dyDescent="0.2">
      <c r="A39">
        <v>2.4899999999999998</v>
      </c>
    </row>
    <row r="40" spans="1:1" x14ac:dyDescent="0.2">
      <c r="A40">
        <v>2.5499999999999998</v>
      </c>
    </row>
    <row r="41" spans="1:1" x14ac:dyDescent="0.2">
      <c r="A41">
        <v>2.6100000000000003</v>
      </c>
    </row>
    <row r="42" spans="1:1" x14ac:dyDescent="0.2">
      <c r="A42">
        <v>2.67</v>
      </c>
    </row>
    <row r="43" spans="1:1" x14ac:dyDescent="0.2">
      <c r="A43">
        <v>2.7399999999999998</v>
      </c>
    </row>
    <row r="44" spans="1:1" x14ac:dyDescent="0.2">
      <c r="A44">
        <v>2.8</v>
      </c>
    </row>
    <row r="45" spans="1:1" x14ac:dyDescent="0.2">
      <c r="A45">
        <v>2.87</v>
      </c>
    </row>
    <row r="46" spans="1:1" x14ac:dyDescent="0.2">
      <c r="A46">
        <v>2.94</v>
      </c>
    </row>
    <row r="47" spans="1:1" x14ac:dyDescent="0.2">
      <c r="A47">
        <v>3.0100000000000002</v>
      </c>
    </row>
    <row r="48" spans="1:1" x14ac:dyDescent="0.2">
      <c r="A48">
        <v>3.09</v>
      </c>
    </row>
    <row r="49" spans="1:1" x14ac:dyDescent="0.2">
      <c r="A49">
        <v>3.16</v>
      </c>
    </row>
    <row r="50" spans="1:1" x14ac:dyDescent="0.2">
      <c r="A50">
        <v>3.2399999999999998</v>
      </c>
    </row>
    <row r="51" spans="1:1" x14ac:dyDescent="0.2">
      <c r="A51">
        <v>3.3200000000000003</v>
      </c>
    </row>
    <row r="52" spans="1:1" x14ac:dyDescent="0.2">
      <c r="A52">
        <v>3.4</v>
      </c>
    </row>
    <row r="53" spans="1:1" x14ac:dyDescent="0.2">
      <c r="A53">
        <v>3.4799999999999995</v>
      </c>
    </row>
    <row r="54" spans="1:1" x14ac:dyDescent="0.2">
      <c r="A54">
        <v>3.5700000000000003</v>
      </c>
    </row>
    <row r="55" spans="1:1" x14ac:dyDescent="0.2">
      <c r="A55">
        <v>3.65</v>
      </c>
    </row>
    <row r="56" spans="1:1" x14ac:dyDescent="0.2">
      <c r="A56">
        <v>3.7399999999999998</v>
      </c>
    </row>
    <row r="57" spans="1:1" x14ac:dyDescent="0.2">
      <c r="A57">
        <v>3.8299999999999996</v>
      </c>
    </row>
    <row r="58" spans="1:1" x14ac:dyDescent="0.2">
      <c r="A58">
        <v>3.9200000000000004</v>
      </c>
    </row>
    <row r="59" spans="1:1" x14ac:dyDescent="0.2">
      <c r="A59">
        <v>4.0200000000000005</v>
      </c>
    </row>
    <row r="60" spans="1:1" x14ac:dyDescent="0.2">
      <c r="A60">
        <v>4.12</v>
      </c>
    </row>
    <row r="61" spans="1:1" x14ac:dyDescent="0.2">
      <c r="A61">
        <v>4.2200000000000006</v>
      </c>
    </row>
    <row r="62" spans="1:1" x14ac:dyDescent="0.2">
      <c r="A62">
        <v>4.32</v>
      </c>
    </row>
    <row r="63" spans="1:1" x14ac:dyDescent="0.2">
      <c r="A63">
        <v>4.42</v>
      </c>
    </row>
    <row r="64" spans="1:1" x14ac:dyDescent="0.2">
      <c r="A64">
        <v>4.5299999999999994</v>
      </c>
    </row>
    <row r="65" spans="1:1" x14ac:dyDescent="0.2">
      <c r="A65">
        <v>4.6399999999999997</v>
      </c>
    </row>
    <row r="66" spans="1:1" x14ac:dyDescent="0.2">
      <c r="A66">
        <v>4.75</v>
      </c>
    </row>
    <row r="67" spans="1:1" x14ac:dyDescent="0.2">
      <c r="A67">
        <v>4.87</v>
      </c>
    </row>
    <row r="68" spans="1:1" x14ac:dyDescent="0.2">
      <c r="A68">
        <v>4.99</v>
      </c>
    </row>
    <row r="69" spans="1:1" x14ac:dyDescent="0.2">
      <c r="A69">
        <v>5.1100000000000003</v>
      </c>
    </row>
    <row r="70" spans="1:1" x14ac:dyDescent="0.2">
      <c r="A70">
        <v>5.2299999999999995</v>
      </c>
    </row>
    <row r="71" spans="1:1" x14ac:dyDescent="0.2">
      <c r="A71">
        <v>5.36</v>
      </c>
    </row>
    <row r="72" spans="1:1" x14ac:dyDescent="0.2">
      <c r="A72">
        <v>5.49</v>
      </c>
    </row>
    <row r="73" spans="1:1" x14ac:dyDescent="0.2">
      <c r="A73">
        <v>5.62</v>
      </c>
    </row>
    <row r="74" spans="1:1" x14ac:dyDescent="0.2">
      <c r="A74">
        <v>5.76</v>
      </c>
    </row>
    <row r="75" spans="1:1" x14ac:dyDescent="0.2">
      <c r="A75">
        <v>5.9</v>
      </c>
    </row>
    <row r="76" spans="1:1" x14ac:dyDescent="0.2">
      <c r="A76">
        <v>6.04</v>
      </c>
    </row>
    <row r="77" spans="1:1" x14ac:dyDescent="0.2">
      <c r="A77">
        <v>6.1899999999999995</v>
      </c>
    </row>
    <row r="78" spans="1:1" x14ac:dyDescent="0.2">
      <c r="A78">
        <v>6.34</v>
      </c>
    </row>
    <row r="79" spans="1:1" x14ac:dyDescent="0.2">
      <c r="A79">
        <v>6.49</v>
      </c>
    </row>
    <row r="80" spans="1:1" x14ac:dyDescent="0.2">
      <c r="A80">
        <v>6.65</v>
      </c>
    </row>
    <row r="81" spans="1:1" x14ac:dyDescent="0.2">
      <c r="A81">
        <v>6.81</v>
      </c>
    </row>
    <row r="82" spans="1:1" x14ac:dyDescent="0.2">
      <c r="A82">
        <v>6.9799999999999995</v>
      </c>
    </row>
    <row r="83" spans="1:1" x14ac:dyDescent="0.2">
      <c r="A83">
        <v>7.15</v>
      </c>
    </row>
    <row r="84" spans="1:1" x14ac:dyDescent="0.2">
      <c r="A84">
        <v>7.32</v>
      </c>
    </row>
    <row r="85" spans="1:1" x14ac:dyDescent="0.2">
      <c r="A85">
        <v>7.5</v>
      </c>
    </row>
    <row r="86" spans="1:1" x14ac:dyDescent="0.2">
      <c r="A86">
        <v>7.68</v>
      </c>
    </row>
    <row r="87" spans="1:1" x14ac:dyDescent="0.2">
      <c r="A87">
        <v>7.87</v>
      </c>
    </row>
    <row r="88" spans="1:1" x14ac:dyDescent="0.2">
      <c r="A88">
        <v>8.0599999999999987</v>
      </c>
    </row>
    <row r="89" spans="1:1" x14ac:dyDescent="0.2">
      <c r="A89">
        <v>8.25</v>
      </c>
    </row>
    <row r="90" spans="1:1" x14ac:dyDescent="0.2">
      <c r="A90">
        <v>8.4499999999999993</v>
      </c>
    </row>
    <row r="91" spans="1:1" x14ac:dyDescent="0.2">
      <c r="A91">
        <v>8.66</v>
      </c>
    </row>
    <row r="92" spans="1:1" x14ac:dyDescent="0.2">
      <c r="A92">
        <v>8.870000000000001</v>
      </c>
    </row>
    <row r="93" spans="1:1" x14ac:dyDescent="0.2">
      <c r="A93">
        <v>9.09</v>
      </c>
    </row>
    <row r="94" spans="1:1" x14ac:dyDescent="0.2">
      <c r="A94">
        <v>9.3099999999999987</v>
      </c>
    </row>
    <row r="95" spans="1:1" x14ac:dyDescent="0.2">
      <c r="A95">
        <v>9.5299999999999994</v>
      </c>
    </row>
    <row r="96" spans="1:1" x14ac:dyDescent="0.2">
      <c r="A96">
        <v>9.76</v>
      </c>
    </row>
    <row r="97" spans="1:1" x14ac:dyDescent="0.2">
      <c r="A97">
        <f>A1*10</f>
        <v>10</v>
      </c>
    </row>
    <row r="98" spans="1:1" x14ac:dyDescent="0.2">
      <c r="A98">
        <f t="shared" ref="A98:A161" si="0">A2*10</f>
        <v>10.199999999999999</v>
      </c>
    </row>
    <row r="99" spans="1:1" x14ac:dyDescent="0.2">
      <c r="A99">
        <f t="shared" si="0"/>
        <v>10.5</v>
      </c>
    </row>
    <row r="100" spans="1:1" x14ac:dyDescent="0.2">
      <c r="A100">
        <f t="shared" si="0"/>
        <v>10.7</v>
      </c>
    </row>
    <row r="101" spans="1:1" x14ac:dyDescent="0.2">
      <c r="A101">
        <f t="shared" si="0"/>
        <v>11</v>
      </c>
    </row>
    <row r="102" spans="1:1" x14ac:dyDescent="0.2">
      <c r="A102">
        <f t="shared" si="0"/>
        <v>11.3</v>
      </c>
    </row>
    <row r="103" spans="1:1" x14ac:dyDescent="0.2">
      <c r="A103">
        <f t="shared" si="0"/>
        <v>11.5</v>
      </c>
    </row>
    <row r="104" spans="1:1" x14ac:dyDescent="0.2">
      <c r="A104">
        <f t="shared" si="0"/>
        <v>11.8</v>
      </c>
    </row>
    <row r="105" spans="1:1" x14ac:dyDescent="0.2">
      <c r="A105">
        <f t="shared" si="0"/>
        <v>12.1</v>
      </c>
    </row>
    <row r="106" spans="1:1" x14ac:dyDescent="0.2">
      <c r="A106">
        <f t="shared" si="0"/>
        <v>12.4</v>
      </c>
    </row>
    <row r="107" spans="1:1" x14ac:dyDescent="0.2">
      <c r="A107">
        <f t="shared" si="0"/>
        <v>12.7</v>
      </c>
    </row>
    <row r="108" spans="1:1" x14ac:dyDescent="0.2">
      <c r="A108">
        <f t="shared" si="0"/>
        <v>13</v>
      </c>
    </row>
    <row r="109" spans="1:1" x14ac:dyDescent="0.2">
      <c r="A109">
        <f t="shared" si="0"/>
        <v>13.3</v>
      </c>
    </row>
    <row r="110" spans="1:1" x14ac:dyDescent="0.2">
      <c r="A110">
        <f t="shared" si="0"/>
        <v>13.7</v>
      </c>
    </row>
    <row r="111" spans="1:1" x14ac:dyDescent="0.2">
      <c r="A111">
        <f t="shared" si="0"/>
        <v>14</v>
      </c>
    </row>
    <row r="112" spans="1:1" x14ac:dyDescent="0.2">
      <c r="A112">
        <f t="shared" si="0"/>
        <v>14.3</v>
      </c>
    </row>
    <row r="113" spans="1:1" x14ac:dyDescent="0.2">
      <c r="A113">
        <f t="shared" si="0"/>
        <v>14.7</v>
      </c>
    </row>
    <row r="114" spans="1:1" x14ac:dyDescent="0.2">
      <c r="A114">
        <f t="shared" si="0"/>
        <v>15</v>
      </c>
    </row>
    <row r="115" spans="1:1" x14ac:dyDescent="0.2">
      <c r="A115">
        <f t="shared" si="0"/>
        <v>15.4</v>
      </c>
    </row>
    <row r="116" spans="1:1" x14ac:dyDescent="0.2">
      <c r="A116">
        <f t="shared" si="0"/>
        <v>15.8</v>
      </c>
    </row>
    <row r="117" spans="1:1" x14ac:dyDescent="0.2">
      <c r="A117">
        <f t="shared" si="0"/>
        <v>16.2</v>
      </c>
    </row>
    <row r="118" spans="1:1" x14ac:dyDescent="0.2">
      <c r="A118">
        <f t="shared" si="0"/>
        <v>16.5</v>
      </c>
    </row>
    <row r="119" spans="1:1" x14ac:dyDescent="0.2">
      <c r="A119">
        <f t="shared" si="0"/>
        <v>16.899999999999999</v>
      </c>
    </row>
    <row r="120" spans="1:1" x14ac:dyDescent="0.2">
      <c r="A120">
        <f t="shared" si="0"/>
        <v>17.399999999999999</v>
      </c>
    </row>
    <row r="121" spans="1:1" x14ac:dyDescent="0.2">
      <c r="A121">
        <f t="shared" si="0"/>
        <v>17.8</v>
      </c>
    </row>
    <row r="122" spans="1:1" x14ac:dyDescent="0.2">
      <c r="A122">
        <f t="shared" si="0"/>
        <v>18.2</v>
      </c>
    </row>
    <row r="123" spans="1:1" x14ac:dyDescent="0.2">
      <c r="A123">
        <f t="shared" si="0"/>
        <v>18.7</v>
      </c>
    </row>
    <row r="124" spans="1:1" x14ac:dyDescent="0.2">
      <c r="A124">
        <f t="shared" si="0"/>
        <v>19.100000000000001</v>
      </c>
    </row>
    <row r="125" spans="1:1" x14ac:dyDescent="0.2">
      <c r="A125">
        <f t="shared" si="0"/>
        <v>19.600000000000001</v>
      </c>
    </row>
    <row r="126" spans="1:1" x14ac:dyDescent="0.2">
      <c r="A126">
        <f t="shared" si="0"/>
        <v>20</v>
      </c>
    </row>
    <row r="127" spans="1:1" x14ac:dyDescent="0.2">
      <c r="A127">
        <f t="shared" si="0"/>
        <v>20.5</v>
      </c>
    </row>
    <row r="128" spans="1:1" x14ac:dyDescent="0.2">
      <c r="A128">
        <f t="shared" si="0"/>
        <v>21</v>
      </c>
    </row>
    <row r="129" spans="1:1" x14ac:dyDescent="0.2">
      <c r="A129">
        <f t="shared" si="0"/>
        <v>21.5</v>
      </c>
    </row>
    <row r="130" spans="1:1" x14ac:dyDescent="0.2">
      <c r="A130">
        <f t="shared" si="0"/>
        <v>22.1</v>
      </c>
    </row>
    <row r="131" spans="1:1" x14ac:dyDescent="0.2">
      <c r="A131">
        <f t="shared" si="0"/>
        <v>22.6</v>
      </c>
    </row>
    <row r="132" spans="1:1" x14ac:dyDescent="0.2">
      <c r="A132">
        <f t="shared" si="0"/>
        <v>23.2</v>
      </c>
    </row>
    <row r="133" spans="1:1" x14ac:dyDescent="0.2">
      <c r="A133">
        <f t="shared" si="0"/>
        <v>23.700000000000003</v>
      </c>
    </row>
    <row r="134" spans="1:1" x14ac:dyDescent="0.2">
      <c r="A134">
        <f t="shared" si="0"/>
        <v>24.3</v>
      </c>
    </row>
    <row r="135" spans="1:1" x14ac:dyDescent="0.2">
      <c r="A135">
        <f t="shared" si="0"/>
        <v>24.9</v>
      </c>
    </row>
    <row r="136" spans="1:1" x14ac:dyDescent="0.2">
      <c r="A136">
        <f t="shared" si="0"/>
        <v>25.5</v>
      </c>
    </row>
    <row r="137" spans="1:1" x14ac:dyDescent="0.2">
      <c r="A137">
        <f t="shared" si="0"/>
        <v>26.1</v>
      </c>
    </row>
    <row r="138" spans="1:1" x14ac:dyDescent="0.2">
      <c r="A138">
        <f t="shared" si="0"/>
        <v>26.7</v>
      </c>
    </row>
    <row r="139" spans="1:1" x14ac:dyDescent="0.2">
      <c r="A139">
        <f t="shared" si="0"/>
        <v>27.4</v>
      </c>
    </row>
    <row r="140" spans="1:1" x14ac:dyDescent="0.2">
      <c r="A140">
        <f t="shared" si="0"/>
        <v>28</v>
      </c>
    </row>
    <row r="141" spans="1:1" x14ac:dyDescent="0.2">
      <c r="A141">
        <f t="shared" si="0"/>
        <v>28.700000000000003</v>
      </c>
    </row>
    <row r="142" spans="1:1" x14ac:dyDescent="0.2">
      <c r="A142">
        <f t="shared" si="0"/>
        <v>29.4</v>
      </c>
    </row>
    <row r="143" spans="1:1" x14ac:dyDescent="0.2">
      <c r="A143">
        <f t="shared" si="0"/>
        <v>30.1</v>
      </c>
    </row>
    <row r="144" spans="1:1" x14ac:dyDescent="0.2">
      <c r="A144">
        <f t="shared" si="0"/>
        <v>30.9</v>
      </c>
    </row>
    <row r="145" spans="1:1" x14ac:dyDescent="0.2">
      <c r="A145">
        <f t="shared" si="0"/>
        <v>31.6</v>
      </c>
    </row>
    <row r="146" spans="1:1" x14ac:dyDescent="0.2">
      <c r="A146">
        <f t="shared" si="0"/>
        <v>32.4</v>
      </c>
    </row>
    <row r="147" spans="1:1" x14ac:dyDescent="0.2">
      <c r="A147">
        <f t="shared" si="0"/>
        <v>33.200000000000003</v>
      </c>
    </row>
    <row r="148" spans="1:1" x14ac:dyDescent="0.2">
      <c r="A148">
        <f t="shared" si="0"/>
        <v>34</v>
      </c>
    </row>
    <row r="149" spans="1:1" x14ac:dyDescent="0.2">
      <c r="A149">
        <f t="shared" si="0"/>
        <v>34.799999999999997</v>
      </c>
    </row>
    <row r="150" spans="1:1" x14ac:dyDescent="0.2">
      <c r="A150">
        <f t="shared" si="0"/>
        <v>35.700000000000003</v>
      </c>
    </row>
    <row r="151" spans="1:1" x14ac:dyDescent="0.2">
      <c r="A151">
        <f t="shared" si="0"/>
        <v>36.5</v>
      </c>
    </row>
    <row r="152" spans="1:1" x14ac:dyDescent="0.2">
      <c r="A152">
        <f t="shared" si="0"/>
        <v>37.4</v>
      </c>
    </row>
    <row r="153" spans="1:1" x14ac:dyDescent="0.2">
      <c r="A153">
        <f t="shared" si="0"/>
        <v>38.299999999999997</v>
      </c>
    </row>
    <row r="154" spans="1:1" x14ac:dyDescent="0.2">
      <c r="A154">
        <f t="shared" si="0"/>
        <v>39.200000000000003</v>
      </c>
    </row>
    <row r="155" spans="1:1" x14ac:dyDescent="0.2">
      <c r="A155">
        <f t="shared" si="0"/>
        <v>40.200000000000003</v>
      </c>
    </row>
    <row r="156" spans="1:1" x14ac:dyDescent="0.2">
      <c r="A156">
        <f t="shared" si="0"/>
        <v>41.2</v>
      </c>
    </row>
    <row r="157" spans="1:1" x14ac:dyDescent="0.2">
      <c r="A157">
        <f t="shared" si="0"/>
        <v>42.2</v>
      </c>
    </row>
    <row r="158" spans="1:1" x14ac:dyDescent="0.2">
      <c r="A158">
        <f t="shared" si="0"/>
        <v>43.2</v>
      </c>
    </row>
    <row r="159" spans="1:1" x14ac:dyDescent="0.2">
      <c r="A159">
        <f t="shared" si="0"/>
        <v>44.2</v>
      </c>
    </row>
    <row r="160" spans="1:1" x14ac:dyDescent="0.2">
      <c r="A160">
        <f t="shared" si="0"/>
        <v>45.3</v>
      </c>
    </row>
    <row r="161" spans="1:1" x14ac:dyDescent="0.2">
      <c r="A161">
        <f t="shared" si="0"/>
        <v>46.4</v>
      </c>
    </row>
    <row r="162" spans="1:1" x14ac:dyDescent="0.2">
      <c r="A162">
        <f t="shared" ref="A162:A225" si="1">A66*10</f>
        <v>47.5</v>
      </c>
    </row>
    <row r="163" spans="1:1" x14ac:dyDescent="0.2">
      <c r="A163">
        <f t="shared" si="1"/>
        <v>48.7</v>
      </c>
    </row>
    <row r="164" spans="1:1" x14ac:dyDescent="0.2">
      <c r="A164">
        <f t="shared" si="1"/>
        <v>49.900000000000006</v>
      </c>
    </row>
    <row r="165" spans="1:1" x14ac:dyDescent="0.2">
      <c r="A165">
        <f t="shared" si="1"/>
        <v>51.1</v>
      </c>
    </row>
    <row r="166" spans="1:1" x14ac:dyDescent="0.2">
      <c r="A166">
        <f t="shared" si="1"/>
        <v>52.3</v>
      </c>
    </row>
    <row r="167" spans="1:1" x14ac:dyDescent="0.2">
      <c r="A167">
        <f t="shared" si="1"/>
        <v>53.6</v>
      </c>
    </row>
    <row r="168" spans="1:1" x14ac:dyDescent="0.2">
      <c r="A168">
        <f t="shared" si="1"/>
        <v>54.900000000000006</v>
      </c>
    </row>
    <row r="169" spans="1:1" x14ac:dyDescent="0.2">
      <c r="A169">
        <f t="shared" si="1"/>
        <v>56.2</v>
      </c>
    </row>
    <row r="170" spans="1:1" x14ac:dyDescent="0.2">
      <c r="A170">
        <f t="shared" si="1"/>
        <v>57.599999999999994</v>
      </c>
    </row>
    <row r="171" spans="1:1" x14ac:dyDescent="0.2">
      <c r="A171">
        <f t="shared" si="1"/>
        <v>59</v>
      </c>
    </row>
    <row r="172" spans="1:1" x14ac:dyDescent="0.2">
      <c r="A172">
        <f t="shared" si="1"/>
        <v>60.4</v>
      </c>
    </row>
    <row r="173" spans="1:1" x14ac:dyDescent="0.2">
      <c r="A173">
        <f t="shared" si="1"/>
        <v>61.899999999999991</v>
      </c>
    </row>
    <row r="174" spans="1:1" x14ac:dyDescent="0.2">
      <c r="A174">
        <f t="shared" si="1"/>
        <v>63.4</v>
      </c>
    </row>
    <row r="175" spans="1:1" x14ac:dyDescent="0.2">
      <c r="A175">
        <f t="shared" si="1"/>
        <v>64.900000000000006</v>
      </c>
    </row>
    <row r="176" spans="1:1" x14ac:dyDescent="0.2">
      <c r="A176">
        <f t="shared" si="1"/>
        <v>66.5</v>
      </c>
    </row>
    <row r="177" spans="1:1" x14ac:dyDescent="0.2">
      <c r="A177">
        <f t="shared" si="1"/>
        <v>68.099999999999994</v>
      </c>
    </row>
    <row r="178" spans="1:1" x14ac:dyDescent="0.2">
      <c r="A178">
        <f t="shared" si="1"/>
        <v>69.8</v>
      </c>
    </row>
    <row r="179" spans="1:1" x14ac:dyDescent="0.2">
      <c r="A179">
        <f t="shared" si="1"/>
        <v>71.5</v>
      </c>
    </row>
    <row r="180" spans="1:1" x14ac:dyDescent="0.2">
      <c r="A180">
        <f t="shared" si="1"/>
        <v>73.2</v>
      </c>
    </row>
    <row r="181" spans="1:1" x14ac:dyDescent="0.2">
      <c r="A181">
        <f t="shared" si="1"/>
        <v>75</v>
      </c>
    </row>
    <row r="182" spans="1:1" x14ac:dyDescent="0.2">
      <c r="A182">
        <f t="shared" si="1"/>
        <v>76.8</v>
      </c>
    </row>
    <row r="183" spans="1:1" x14ac:dyDescent="0.2">
      <c r="A183">
        <f t="shared" si="1"/>
        <v>78.7</v>
      </c>
    </row>
    <row r="184" spans="1:1" x14ac:dyDescent="0.2">
      <c r="A184">
        <f t="shared" si="1"/>
        <v>80.599999999999994</v>
      </c>
    </row>
    <row r="185" spans="1:1" x14ac:dyDescent="0.2">
      <c r="A185">
        <f t="shared" si="1"/>
        <v>82.5</v>
      </c>
    </row>
    <row r="186" spans="1:1" x14ac:dyDescent="0.2">
      <c r="A186">
        <f t="shared" si="1"/>
        <v>84.5</v>
      </c>
    </row>
    <row r="187" spans="1:1" x14ac:dyDescent="0.2">
      <c r="A187">
        <f t="shared" si="1"/>
        <v>86.6</v>
      </c>
    </row>
    <row r="188" spans="1:1" x14ac:dyDescent="0.2">
      <c r="A188">
        <f t="shared" si="1"/>
        <v>88.700000000000017</v>
      </c>
    </row>
    <row r="189" spans="1:1" x14ac:dyDescent="0.2">
      <c r="A189">
        <f t="shared" si="1"/>
        <v>90.9</v>
      </c>
    </row>
    <row r="190" spans="1:1" x14ac:dyDescent="0.2">
      <c r="A190">
        <f t="shared" si="1"/>
        <v>93.1</v>
      </c>
    </row>
    <row r="191" spans="1:1" x14ac:dyDescent="0.2">
      <c r="A191">
        <f t="shared" si="1"/>
        <v>95.3</v>
      </c>
    </row>
    <row r="192" spans="1:1" x14ac:dyDescent="0.2">
      <c r="A192">
        <f t="shared" si="1"/>
        <v>97.6</v>
      </c>
    </row>
    <row r="193" spans="1:1" x14ac:dyDescent="0.2">
      <c r="A193">
        <f t="shared" si="1"/>
        <v>100</v>
      </c>
    </row>
    <row r="194" spans="1:1" x14ac:dyDescent="0.2">
      <c r="A194">
        <f t="shared" si="1"/>
        <v>102</v>
      </c>
    </row>
    <row r="195" spans="1:1" x14ac:dyDescent="0.2">
      <c r="A195">
        <f t="shared" si="1"/>
        <v>105</v>
      </c>
    </row>
    <row r="196" spans="1:1" x14ac:dyDescent="0.2">
      <c r="A196">
        <f t="shared" si="1"/>
        <v>107</v>
      </c>
    </row>
    <row r="197" spans="1:1" x14ac:dyDescent="0.2">
      <c r="A197">
        <f t="shared" si="1"/>
        <v>110</v>
      </c>
    </row>
    <row r="198" spans="1:1" x14ac:dyDescent="0.2">
      <c r="A198">
        <f t="shared" si="1"/>
        <v>113</v>
      </c>
    </row>
    <row r="199" spans="1:1" x14ac:dyDescent="0.2">
      <c r="A199">
        <f t="shared" si="1"/>
        <v>115</v>
      </c>
    </row>
    <row r="200" spans="1:1" x14ac:dyDescent="0.2">
      <c r="A200">
        <f t="shared" si="1"/>
        <v>118</v>
      </c>
    </row>
    <row r="201" spans="1:1" x14ac:dyDescent="0.2">
      <c r="A201">
        <f t="shared" si="1"/>
        <v>121</v>
      </c>
    </row>
    <row r="202" spans="1:1" x14ac:dyDescent="0.2">
      <c r="A202">
        <f t="shared" si="1"/>
        <v>124</v>
      </c>
    </row>
    <row r="203" spans="1:1" x14ac:dyDescent="0.2">
      <c r="A203">
        <f t="shared" si="1"/>
        <v>127</v>
      </c>
    </row>
    <row r="204" spans="1:1" x14ac:dyDescent="0.2">
      <c r="A204">
        <f t="shared" si="1"/>
        <v>130</v>
      </c>
    </row>
    <row r="205" spans="1:1" x14ac:dyDescent="0.2">
      <c r="A205">
        <f t="shared" si="1"/>
        <v>133</v>
      </c>
    </row>
    <row r="206" spans="1:1" x14ac:dyDescent="0.2">
      <c r="A206">
        <f t="shared" si="1"/>
        <v>137</v>
      </c>
    </row>
    <row r="207" spans="1:1" x14ac:dyDescent="0.2">
      <c r="A207">
        <f t="shared" si="1"/>
        <v>140</v>
      </c>
    </row>
    <row r="208" spans="1:1" x14ac:dyDescent="0.2">
      <c r="A208">
        <f t="shared" si="1"/>
        <v>143</v>
      </c>
    </row>
    <row r="209" spans="1:1" x14ac:dyDescent="0.2">
      <c r="A209">
        <f t="shared" si="1"/>
        <v>147</v>
      </c>
    </row>
    <row r="210" spans="1:1" x14ac:dyDescent="0.2">
      <c r="A210">
        <f t="shared" si="1"/>
        <v>150</v>
      </c>
    </row>
    <row r="211" spans="1:1" x14ac:dyDescent="0.2">
      <c r="A211">
        <f t="shared" si="1"/>
        <v>154</v>
      </c>
    </row>
    <row r="212" spans="1:1" x14ac:dyDescent="0.2">
      <c r="A212">
        <f t="shared" si="1"/>
        <v>158</v>
      </c>
    </row>
    <row r="213" spans="1:1" x14ac:dyDescent="0.2">
      <c r="A213">
        <f t="shared" si="1"/>
        <v>162</v>
      </c>
    </row>
    <row r="214" spans="1:1" x14ac:dyDescent="0.2">
      <c r="A214">
        <f t="shared" si="1"/>
        <v>165</v>
      </c>
    </row>
    <row r="215" spans="1:1" x14ac:dyDescent="0.2">
      <c r="A215">
        <f t="shared" si="1"/>
        <v>169</v>
      </c>
    </row>
    <row r="216" spans="1:1" x14ac:dyDescent="0.2">
      <c r="A216">
        <f t="shared" si="1"/>
        <v>174</v>
      </c>
    </row>
    <row r="217" spans="1:1" x14ac:dyDescent="0.2">
      <c r="A217">
        <f t="shared" si="1"/>
        <v>178</v>
      </c>
    </row>
    <row r="218" spans="1:1" x14ac:dyDescent="0.2">
      <c r="A218">
        <f t="shared" si="1"/>
        <v>182</v>
      </c>
    </row>
    <row r="219" spans="1:1" x14ac:dyDescent="0.2">
      <c r="A219">
        <f t="shared" si="1"/>
        <v>187</v>
      </c>
    </row>
    <row r="220" spans="1:1" x14ac:dyDescent="0.2">
      <c r="A220">
        <f t="shared" si="1"/>
        <v>191</v>
      </c>
    </row>
    <row r="221" spans="1:1" x14ac:dyDescent="0.2">
      <c r="A221">
        <f t="shared" si="1"/>
        <v>196</v>
      </c>
    </row>
    <row r="222" spans="1:1" x14ac:dyDescent="0.2">
      <c r="A222">
        <f t="shared" si="1"/>
        <v>200</v>
      </c>
    </row>
    <row r="223" spans="1:1" x14ac:dyDescent="0.2">
      <c r="A223">
        <f t="shared" si="1"/>
        <v>205</v>
      </c>
    </row>
    <row r="224" spans="1:1" x14ac:dyDescent="0.2">
      <c r="A224">
        <f t="shared" si="1"/>
        <v>210</v>
      </c>
    </row>
    <row r="225" spans="1:1" x14ac:dyDescent="0.2">
      <c r="A225">
        <f t="shared" si="1"/>
        <v>215</v>
      </c>
    </row>
    <row r="226" spans="1:1" x14ac:dyDescent="0.2">
      <c r="A226">
        <f t="shared" ref="A226:A289" si="2">A130*10</f>
        <v>221</v>
      </c>
    </row>
    <row r="227" spans="1:1" x14ac:dyDescent="0.2">
      <c r="A227">
        <f t="shared" si="2"/>
        <v>226</v>
      </c>
    </row>
    <row r="228" spans="1:1" x14ac:dyDescent="0.2">
      <c r="A228">
        <f t="shared" si="2"/>
        <v>232</v>
      </c>
    </row>
    <row r="229" spans="1:1" x14ac:dyDescent="0.2">
      <c r="A229">
        <f t="shared" si="2"/>
        <v>237.00000000000003</v>
      </c>
    </row>
    <row r="230" spans="1:1" x14ac:dyDescent="0.2">
      <c r="A230">
        <f t="shared" si="2"/>
        <v>243</v>
      </c>
    </row>
    <row r="231" spans="1:1" x14ac:dyDescent="0.2">
      <c r="A231">
        <f t="shared" si="2"/>
        <v>249</v>
      </c>
    </row>
    <row r="232" spans="1:1" x14ac:dyDescent="0.2">
      <c r="A232">
        <f t="shared" si="2"/>
        <v>255</v>
      </c>
    </row>
    <row r="233" spans="1:1" x14ac:dyDescent="0.2">
      <c r="A233">
        <f t="shared" si="2"/>
        <v>261</v>
      </c>
    </row>
    <row r="234" spans="1:1" x14ac:dyDescent="0.2">
      <c r="A234">
        <f t="shared" si="2"/>
        <v>267</v>
      </c>
    </row>
    <row r="235" spans="1:1" x14ac:dyDescent="0.2">
      <c r="A235">
        <f t="shared" si="2"/>
        <v>274</v>
      </c>
    </row>
    <row r="236" spans="1:1" x14ac:dyDescent="0.2">
      <c r="A236">
        <f t="shared" si="2"/>
        <v>280</v>
      </c>
    </row>
    <row r="237" spans="1:1" x14ac:dyDescent="0.2">
      <c r="A237">
        <f t="shared" si="2"/>
        <v>287</v>
      </c>
    </row>
    <row r="238" spans="1:1" x14ac:dyDescent="0.2">
      <c r="A238">
        <f t="shared" si="2"/>
        <v>294</v>
      </c>
    </row>
    <row r="239" spans="1:1" x14ac:dyDescent="0.2">
      <c r="A239">
        <f t="shared" si="2"/>
        <v>301</v>
      </c>
    </row>
    <row r="240" spans="1:1" x14ac:dyDescent="0.2">
      <c r="A240">
        <f t="shared" si="2"/>
        <v>309</v>
      </c>
    </row>
    <row r="241" spans="1:1" x14ac:dyDescent="0.2">
      <c r="A241">
        <f t="shared" si="2"/>
        <v>316</v>
      </c>
    </row>
    <row r="242" spans="1:1" x14ac:dyDescent="0.2">
      <c r="A242">
        <f t="shared" si="2"/>
        <v>324</v>
      </c>
    </row>
    <row r="243" spans="1:1" x14ac:dyDescent="0.2">
      <c r="A243">
        <f t="shared" si="2"/>
        <v>332</v>
      </c>
    </row>
    <row r="244" spans="1:1" x14ac:dyDescent="0.2">
      <c r="A244">
        <f t="shared" si="2"/>
        <v>340</v>
      </c>
    </row>
    <row r="245" spans="1:1" x14ac:dyDescent="0.2">
      <c r="A245">
        <f t="shared" si="2"/>
        <v>348</v>
      </c>
    </row>
    <row r="246" spans="1:1" x14ac:dyDescent="0.2">
      <c r="A246">
        <f t="shared" si="2"/>
        <v>357</v>
      </c>
    </row>
    <row r="247" spans="1:1" x14ac:dyDescent="0.2">
      <c r="A247">
        <f t="shared" si="2"/>
        <v>365</v>
      </c>
    </row>
    <row r="248" spans="1:1" x14ac:dyDescent="0.2">
      <c r="A248">
        <f t="shared" si="2"/>
        <v>374</v>
      </c>
    </row>
    <row r="249" spans="1:1" x14ac:dyDescent="0.2">
      <c r="A249">
        <f t="shared" si="2"/>
        <v>383</v>
      </c>
    </row>
    <row r="250" spans="1:1" x14ac:dyDescent="0.2">
      <c r="A250">
        <f t="shared" si="2"/>
        <v>392</v>
      </c>
    </row>
    <row r="251" spans="1:1" x14ac:dyDescent="0.2">
      <c r="A251">
        <f t="shared" si="2"/>
        <v>402</v>
      </c>
    </row>
    <row r="252" spans="1:1" x14ac:dyDescent="0.2">
      <c r="A252">
        <f t="shared" si="2"/>
        <v>412</v>
      </c>
    </row>
    <row r="253" spans="1:1" x14ac:dyDescent="0.2">
      <c r="A253">
        <f t="shared" si="2"/>
        <v>422</v>
      </c>
    </row>
    <row r="254" spans="1:1" x14ac:dyDescent="0.2">
      <c r="A254">
        <f t="shared" si="2"/>
        <v>432</v>
      </c>
    </row>
    <row r="255" spans="1:1" x14ac:dyDescent="0.2">
      <c r="A255">
        <f t="shared" si="2"/>
        <v>442</v>
      </c>
    </row>
    <row r="256" spans="1:1" x14ac:dyDescent="0.2">
      <c r="A256">
        <f t="shared" si="2"/>
        <v>453</v>
      </c>
    </row>
    <row r="257" spans="1:1" x14ac:dyDescent="0.2">
      <c r="A257">
        <f t="shared" si="2"/>
        <v>464</v>
      </c>
    </row>
    <row r="258" spans="1:1" x14ac:dyDescent="0.2">
      <c r="A258">
        <f t="shared" si="2"/>
        <v>475</v>
      </c>
    </row>
    <row r="259" spans="1:1" x14ac:dyDescent="0.2">
      <c r="A259">
        <f t="shared" si="2"/>
        <v>487</v>
      </c>
    </row>
    <row r="260" spans="1:1" x14ac:dyDescent="0.2">
      <c r="A260">
        <f t="shared" si="2"/>
        <v>499.00000000000006</v>
      </c>
    </row>
    <row r="261" spans="1:1" x14ac:dyDescent="0.2">
      <c r="A261">
        <f t="shared" si="2"/>
        <v>511</v>
      </c>
    </row>
    <row r="262" spans="1:1" x14ac:dyDescent="0.2">
      <c r="A262">
        <f t="shared" si="2"/>
        <v>523</v>
      </c>
    </row>
    <row r="263" spans="1:1" x14ac:dyDescent="0.2">
      <c r="A263">
        <f t="shared" si="2"/>
        <v>536</v>
      </c>
    </row>
    <row r="264" spans="1:1" x14ac:dyDescent="0.2">
      <c r="A264">
        <f t="shared" si="2"/>
        <v>549</v>
      </c>
    </row>
    <row r="265" spans="1:1" x14ac:dyDescent="0.2">
      <c r="A265">
        <f t="shared" si="2"/>
        <v>562</v>
      </c>
    </row>
    <row r="266" spans="1:1" x14ac:dyDescent="0.2">
      <c r="A266">
        <f t="shared" si="2"/>
        <v>576</v>
      </c>
    </row>
    <row r="267" spans="1:1" x14ac:dyDescent="0.2">
      <c r="A267">
        <f t="shared" si="2"/>
        <v>590</v>
      </c>
    </row>
    <row r="268" spans="1:1" x14ac:dyDescent="0.2">
      <c r="A268">
        <f t="shared" si="2"/>
        <v>604</v>
      </c>
    </row>
    <row r="269" spans="1:1" x14ac:dyDescent="0.2">
      <c r="A269">
        <f t="shared" si="2"/>
        <v>618.99999999999989</v>
      </c>
    </row>
    <row r="270" spans="1:1" x14ac:dyDescent="0.2">
      <c r="A270">
        <f t="shared" si="2"/>
        <v>634</v>
      </c>
    </row>
    <row r="271" spans="1:1" x14ac:dyDescent="0.2">
      <c r="A271">
        <f t="shared" si="2"/>
        <v>649</v>
      </c>
    </row>
    <row r="272" spans="1:1" x14ac:dyDescent="0.2">
      <c r="A272">
        <f t="shared" si="2"/>
        <v>665</v>
      </c>
    </row>
    <row r="273" spans="1:1" x14ac:dyDescent="0.2">
      <c r="A273">
        <f t="shared" si="2"/>
        <v>681</v>
      </c>
    </row>
    <row r="274" spans="1:1" x14ac:dyDescent="0.2">
      <c r="A274">
        <f t="shared" si="2"/>
        <v>698</v>
      </c>
    </row>
    <row r="275" spans="1:1" x14ac:dyDescent="0.2">
      <c r="A275">
        <f t="shared" si="2"/>
        <v>715</v>
      </c>
    </row>
    <row r="276" spans="1:1" x14ac:dyDescent="0.2">
      <c r="A276">
        <f t="shared" si="2"/>
        <v>732</v>
      </c>
    </row>
    <row r="277" spans="1:1" x14ac:dyDescent="0.2">
      <c r="A277">
        <f t="shared" si="2"/>
        <v>750</v>
      </c>
    </row>
    <row r="278" spans="1:1" x14ac:dyDescent="0.2">
      <c r="A278">
        <f t="shared" si="2"/>
        <v>768</v>
      </c>
    </row>
    <row r="279" spans="1:1" x14ac:dyDescent="0.2">
      <c r="A279">
        <f t="shared" si="2"/>
        <v>787</v>
      </c>
    </row>
    <row r="280" spans="1:1" x14ac:dyDescent="0.2">
      <c r="A280">
        <f t="shared" si="2"/>
        <v>806</v>
      </c>
    </row>
    <row r="281" spans="1:1" x14ac:dyDescent="0.2">
      <c r="A281">
        <f t="shared" si="2"/>
        <v>825</v>
      </c>
    </row>
    <row r="282" spans="1:1" x14ac:dyDescent="0.2">
      <c r="A282">
        <f t="shared" si="2"/>
        <v>845</v>
      </c>
    </row>
    <row r="283" spans="1:1" x14ac:dyDescent="0.2">
      <c r="A283">
        <f t="shared" si="2"/>
        <v>866</v>
      </c>
    </row>
    <row r="284" spans="1:1" x14ac:dyDescent="0.2">
      <c r="A284">
        <f t="shared" si="2"/>
        <v>887.00000000000023</v>
      </c>
    </row>
    <row r="285" spans="1:1" x14ac:dyDescent="0.2">
      <c r="A285">
        <f t="shared" si="2"/>
        <v>909</v>
      </c>
    </row>
    <row r="286" spans="1:1" x14ac:dyDescent="0.2">
      <c r="A286">
        <f t="shared" si="2"/>
        <v>931</v>
      </c>
    </row>
    <row r="287" spans="1:1" x14ac:dyDescent="0.2">
      <c r="A287">
        <f t="shared" si="2"/>
        <v>953</v>
      </c>
    </row>
    <row r="288" spans="1:1" x14ac:dyDescent="0.2">
      <c r="A288">
        <f t="shared" si="2"/>
        <v>976</v>
      </c>
    </row>
    <row r="289" spans="1:1" x14ac:dyDescent="0.2">
      <c r="A289">
        <f t="shared" si="2"/>
        <v>1000</v>
      </c>
    </row>
    <row r="290" spans="1:1" x14ac:dyDescent="0.2">
      <c r="A290">
        <f t="shared" ref="A290:A353" si="3">A194*10</f>
        <v>1020</v>
      </c>
    </row>
    <row r="291" spans="1:1" x14ac:dyDescent="0.2">
      <c r="A291">
        <f t="shared" si="3"/>
        <v>1050</v>
      </c>
    </row>
    <row r="292" spans="1:1" x14ac:dyDescent="0.2">
      <c r="A292">
        <f t="shared" si="3"/>
        <v>1070</v>
      </c>
    </row>
    <row r="293" spans="1:1" x14ac:dyDescent="0.2">
      <c r="A293">
        <f t="shared" si="3"/>
        <v>1100</v>
      </c>
    </row>
    <row r="294" spans="1:1" x14ac:dyDescent="0.2">
      <c r="A294">
        <f t="shared" si="3"/>
        <v>1130</v>
      </c>
    </row>
    <row r="295" spans="1:1" x14ac:dyDescent="0.2">
      <c r="A295">
        <f t="shared" si="3"/>
        <v>1150</v>
      </c>
    </row>
    <row r="296" spans="1:1" x14ac:dyDescent="0.2">
      <c r="A296">
        <f t="shared" si="3"/>
        <v>1180</v>
      </c>
    </row>
    <row r="297" spans="1:1" x14ac:dyDescent="0.2">
      <c r="A297">
        <f t="shared" si="3"/>
        <v>1210</v>
      </c>
    </row>
    <row r="298" spans="1:1" x14ac:dyDescent="0.2">
      <c r="A298">
        <f t="shared" si="3"/>
        <v>1240</v>
      </c>
    </row>
    <row r="299" spans="1:1" x14ac:dyDescent="0.2">
      <c r="A299">
        <f t="shared" si="3"/>
        <v>1270</v>
      </c>
    </row>
    <row r="300" spans="1:1" x14ac:dyDescent="0.2">
      <c r="A300">
        <f t="shared" si="3"/>
        <v>1300</v>
      </c>
    </row>
    <row r="301" spans="1:1" x14ac:dyDescent="0.2">
      <c r="A301">
        <f t="shared" si="3"/>
        <v>1330</v>
      </c>
    </row>
    <row r="302" spans="1:1" x14ac:dyDescent="0.2">
      <c r="A302">
        <f t="shared" si="3"/>
        <v>1370</v>
      </c>
    </row>
    <row r="303" spans="1:1" x14ac:dyDescent="0.2">
      <c r="A303">
        <f t="shared" si="3"/>
        <v>1400</v>
      </c>
    </row>
    <row r="304" spans="1:1" x14ac:dyDescent="0.2">
      <c r="A304">
        <f t="shared" si="3"/>
        <v>1430</v>
      </c>
    </row>
    <row r="305" spans="1:1" x14ac:dyDescent="0.2">
      <c r="A305">
        <f t="shared" si="3"/>
        <v>1470</v>
      </c>
    </row>
    <row r="306" spans="1:1" x14ac:dyDescent="0.2">
      <c r="A306">
        <f t="shared" si="3"/>
        <v>1500</v>
      </c>
    </row>
    <row r="307" spans="1:1" x14ac:dyDescent="0.2">
      <c r="A307">
        <f t="shared" si="3"/>
        <v>1540</v>
      </c>
    </row>
    <row r="308" spans="1:1" x14ac:dyDescent="0.2">
      <c r="A308">
        <f t="shared" si="3"/>
        <v>1580</v>
      </c>
    </row>
    <row r="309" spans="1:1" x14ac:dyDescent="0.2">
      <c r="A309">
        <f t="shared" si="3"/>
        <v>1620</v>
      </c>
    </row>
    <row r="310" spans="1:1" x14ac:dyDescent="0.2">
      <c r="A310">
        <f t="shared" si="3"/>
        <v>1650</v>
      </c>
    </row>
    <row r="311" spans="1:1" x14ac:dyDescent="0.2">
      <c r="A311">
        <f t="shared" si="3"/>
        <v>1690</v>
      </c>
    </row>
    <row r="312" spans="1:1" x14ac:dyDescent="0.2">
      <c r="A312">
        <f t="shared" si="3"/>
        <v>1740</v>
      </c>
    </row>
    <row r="313" spans="1:1" x14ac:dyDescent="0.2">
      <c r="A313">
        <f t="shared" si="3"/>
        <v>1780</v>
      </c>
    </row>
    <row r="314" spans="1:1" x14ac:dyDescent="0.2">
      <c r="A314">
        <f t="shared" si="3"/>
        <v>1820</v>
      </c>
    </row>
    <row r="315" spans="1:1" x14ac:dyDescent="0.2">
      <c r="A315">
        <f t="shared" si="3"/>
        <v>1870</v>
      </c>
    </row>
    <row r="316" spans="1:1" x14ac:dyDescent="0.2">
      <c r="A316">
        <f t="shared" si="3"/>
        <v>1910</v>
      </c>
    </row>
    <row r="317" spans="1:1" x14ac:dyDescent="0.2">
      <c r="A317">
        <f t="shared" si="3"/>
        <v>1960</v>
      </c>
    </row>
    <row r="318" spans="1:1" x14ac:dyDescent="0.2">
      <c r="A318">
        <f t="shared" si="3"/>
        <v>2000</v>
      </c>
    </row>
    <row r="319" spans="1:1" x14ac:dyDescent="0.2">
      <c r="A319">
        <f t="shared" si="3"/>
        <v>2050</v>
      </c>
    </row>
    <row r="320" spans="1:1" x14ac:dyDescent="0.2">
      <c r="A320">
        <f t="shared" si="3"/>
        <v>2100</v>
      </c>
    </row>
    <row r="321" spans="1:1" x14ac:dyDescent="0.2">
      <c r="A321">
        <f t="shared" si="3"/>
        <v>2150</v>
      </c>
    </row>
    <row r="322" spans="1:1" x14ac:dyDescent="0.2">
      <c r="A322">
        <f t="shared" si="3"/>
        <v>2210</v>
      </c>
    </row>
    <row r="323" spans="1:1" x14ac:dyDescent="0.2">
      <c r="A323">
        <f t="shared" si="3"/>
        <v>2260</v>
      </c>
    </row>
    <row r="324" spans="1:1" x14ac:dyDescent="0.2">
      <c r="A324">
        <f t="shared" si="3"/>
        <v>2320</v>
      </c>
    </row>
    <row r="325" spans="1:1" x14ac:dyDescent="0.2">
      <c r="A325">
        <f t="shared" si="3"/>
        <v>2370.0000000000005</v>
      </c>
    </row>
    <row r="326" spans="1:1" x14ac:dyDescent="0.2">
      <c r="A326">
        <f t="shared" si="3"/>
        <v>2430</v>
      </c>
    </row>
    <row r="327" spans="1:1" x14ac:dyDescent="0.2">
      <c r="A327">
        <f t="shared" si="3"/>
        <v>2490</v>
      </c>
    </row>
    <row r="328" spans="1:1" x14ac:dyDescent="0.2">
      <c r="A328">
        <f t="shared" si="3"/>
        <v>2550</v>
      </c>
    </row>
    <row r="329" spans="1:1" x14ac:dyDescent="0.2">
      <c r="A329">
        <f t="shared" si="3"/>
        <v>2610</v>
      </c>
    </row>
    <row r="330" spans="1:1" x14ac:dyDescent="0.2">
      <c r="A330">
        <f t="shared" si="3"/>
        <v>2670</v>
      </c>
    </row>
    <row r="331" spans="1:1" x14ac:dyDescent="0.2">
      <c r="A331">
        <f t="shared" si="3"/>
        <v>2740</v>
      </c>
    </row>
    <row r="332" spans="1:1" x14ac:dyDescent="0.2">
      <c r="A332">
        <f t="shared" si="3"/>
        <v>2800</v>
      </c>
    </row>
    <row r="333" spans="1:1" x14ac:dyDescent="0.2">
      <c r="A333">
        <f t="shared" si="3"/>
        <v>2870</v>
      </c>
    </row>
    <row r="334" spans="1:1" x14ac:dyDescent="0.2">
      <c r="A334">
        <f t="shared" si="3"/>
        <v>2940</v>
      </c>
    </row>
    <row r="335" spans="1:1" x14ac:dyDescent="0.2">
      <c r="A335">
        <f t="shared" si="3"/>
        <v>3010</v>
      </c>
    </row>
    <row r="336" spans="1:1" x14ac:dyDescent="0.2">
      <c r="A336">
        <f t="shared" si="3"/>
        <v>3090</v>
      </c>
    </row>
    <row r="337" spans="1:1" x14ac:dyDescent="0.2">
      <c r="A337">
        <f t="shared" si="3"/>
        <v>3160</v>
      </c>
    </row>
    <row r="338" spans="1:1" x14ac:dyDescent="0.2">
      <c r="A338">
        <f t="shared" si="3"/>
        <v>3240</v>
      </c>
    </row>
    <row r="339" spans="1:1" x14ac:dyDescent="0.2">
      <c r="A339">
        <f t="shared" si="3"/>
        <v>3320</v>
      </c>
    </row>
    <row r="340" spans="1:1" x14ac:dyDescent="0.2">
      <c r="A340">
        <f t="shared" si="3"/>
        <v>3400</v>
      </c>
    </row>
    <row r="341" spans="1:1" x14ac:dyDescent="0.2">
      <c r="A341">
        <f t="shared" si="3"/>
        <v>3480</v>
      </c>
    </row>
    <row r="342" spans="1:1" x14ac:dyDescent="0.2">
      <c r="A342">
        <f t="shared" si="3"/>
        <v>3570</v>
      </c>
    </row>
    <row r="343" spans="1:1" x14ac:dyDescent="0.2">
      <c r="A343">
        <f t="shared" si="3"/>
        <v>3650</v>
      </c>
    </row>
    <row r="344" spans="1:1" x14ac:dyDescent="0.2">
      <c r="A344">
        <f t="shared" si="3"/>
        <v>3740</v>
      </c>
    </row>
    <row r="345" spans="1:1" x14ac:dyDescent="0.2">
      <c r="A345">
        <f t="shared" si="3"/>
        <v>3830</v>
      </c>
    </row>
    <row r="346" spans="1:1" x14ac:dyDescent="0.2">
      <c r="A346">
        <f t="shared" si="3"/>
        <v>3920</v>
      </c>
    </row>
    <row r="347" spans="1:1" x14ac:dyDescent="0.2">
      <c r="A347">
        <f t="shared" si="3"/>
        <v>4020</v>
      </c>
    </row>
    <row r="348" spans="1:1" x14ac:dyDescent="0.2">
      <c r="A348">
        <f t="shared" si="3"/>
        <v>4120</v>
      </c>
    </row>
    <row r="349" spans="1:1" x14ac:dyDescent="0.2">
      <c r="A349">
        <f t="shared" si="3"/>
        <v>4220</v>
      </c>
    </row>
    <row r="350" spans="1:1" x14ac:dyDescent="0.2">
      <c r="A350">
        <f t="shared" si="3"/>
        <v>4320</v>
      </c>
    </row>
    <row r="351" spans="1:1" x14ac:dyDescent="0.2">
      <c r="A351">
        <f t="shared" si="3"/>
        <v>4420</v>
      </c>
    </row>
    <row r="352" spans="1:1" x14ac:dyDescent="0.2">
      <c r="A352">
        <f t="shared" si="3"/>
        <v>4530</v>
      </c>
    </row>
    <row r="353" spans="1:1" x14ac:dyDescent="0.2">
      <c r="A353">
        <f t="shared" si="3"/>
        <v>4640</v>
      </c>
    </row>
    <row r="354" spans="1:1" x14ac:dyDescent="0.2">
      <c r="A354">
        <f t="shared" ref="A354:A417" si="4">A258*10</f>
        <v>4750</v>
      </c>
    </row>
    <row r="355" spans="1:1" x14ac:dyDescent="0.2">
      <c r="A355">
        <f t="shared" si="4"/>
        <v>4870</v>
      </c>
    </row>
    <row r="356" spans="1:1" x14ac:dyDescent="0.2">
      <c r="A356">
        <f t="shared" si="4"/>
        <v>4990.0000000000009</v>
      </c>
    </row>
    <row r="357" spans="1:1" x14ac:dyDescent="0.2">
      <c r="A357">
        <f t="shared" si="4"/>
        <v>5110</v>
      </c>
    </row>
    <row r="358" spans="1:1" x14ac:dyDescent="0.2">
      <c r="A358">
        <f t="shared" si="4"/>
        <v>5230</v>
      </c>
    </row>
    <row r="359" spans="1:1" x14ac:dyDescent="0.2">
      <c r="A359">
        <f t="shared" si="4"/>
        <v>5360</v>
      </c>
    </row>
    <row r="360" spans="1:1" x14ac:dyDescent="0.2">
      <c r="A360">
        <f t="shared" si="4"/>
        <v>5490</v>
      </c>
    </row>
    <row r="361" spans="1:1" x14ac:dyDescent="0.2">
      <c r="A361">
        <f t="shared" si="4"/>
        <v>5620</v>
      </c>
    </row>
    <row r="362" spans="1:1" x14ac:dyDescent="0.2">
      <c r="A362">
        <f t="shared" si="4"/>
        <v>5760</v>
      </c>
    </row>
    <row r="363" spans="1:1" x14ac:dyDescent="0.2">
      <c r="A363">
        <f t="shared" si="4"/>
        <v>5900</v>
      </c>
    </row>
    <row r="364" spans="1:1" x14ac:dyDescent="0.2">
      <c r="A364">
        <f t="shared" si="4"/>
        <v>6040</v>
      </c>
    </row>
    <row r="365" spans="1:1" x14ac:dyDescent="0.2">
      <c r="A365">
        <f t="shared" si="4"/>
        <v>6189.9999999999991</v>
      </c>
    </row>
    <row r="366" spans="1:1" x14ac:dyDescent="0.2">
      <c r="A366">
        <f t="shared" si="4"/>
        <v>6340</v>
      </c>
    </row>
    <row r="367" spans="1:1" x14ac:dyDescent="0.2">
      <c r="A367">
        <f t="shared" si="4"/>
        <v>6490</v>
      </c>
    </row>
    <row r="368" spans="1:1" x14ac:dyDescent="0.2">
      <c r="A368">
        <f t="shared" si="4"/>
        <v>6650</v>
      </c>
    </row>
    <row r="369" spans="1:1" x14ac:dyDescent="0.2">
      <c r="A369">
        <f t="shared" si="4"/>
        <v>6810</v>
      </c>
    </row>
    <row r="370" spans="1:1" x14ac:dyDescent="0.2">
      <c r="A370">
        <f t="shared" si="4"/>
        <v>6980</v>
      </c>
    </row>
    <row r="371" spans="1:1" x14ac:dyDescent="0.2">
      <c r="A371">
        <f t="shared" si="4"/>
        <v>7150</v>
      </c>
    </row>
    <row r="372" spans="1:1" x14ac:dyDescent="0.2">
      <c r="A372">
        <f t="shared" si="4"/>
        <v>7320</v>
      </c>
    </row>
    <row r="373" spans="1:1" x14ac:dyDescent="0.2">
      <c r="A373">
        <f t="shared" si="4"/>
        <v>7500</v>
      </c>
    </row>
    <row r="374" spans="1:1" x14ac:dyDescent="0.2">
      <c r="A374">
        <f t="shared" si="4"/>
        <v>7680</v>
      </c>
    </row>
    <row r="375" spans="1:1" x14ac:dyDescent="0.2">
      <c r="A375">
        <f t="shared" si="4"/>
        <v>7870</v>
      </c>
    </row>
    <row r="376" spans="1:1" x14ac:dyDescent="0.2">
      <c r="A376">
        <f t="shared" si="4"/>
        <v>8060</v>
      </c>
    </row>
    <row r="377" spans="1:1" x14ac:dyDescent="0.2">
      <c r="A377">
        <f t="shared" si="4"/>
        <v>8250</v>
      </c>
    </row>
    <row r="378" spans="1:1" x14ac:dyDescent="0.2">
      <c r="A378">
        <f t="shared" si="4"/>
        <v>8450</v>
      </c>
    </row>
    <row r="379" spans="1:1" x14ac:dyDescent="0.2">
      <c r="A379">
        <f t="shared" si="4"/>
        <v>8660</v>
      </c>
    </row>
    <row r="380" spans="1:1" x14ac:dyDescent="0.2">
      <c r="A380">
        <f t="shared" si="4"/>
        <v>8870.0000000000018</v>
      </c>
    </row>
    <row r="381" spans="1:1" x14ac:dyDescent="0.2">
      <c r="A381">
        <f t="shared" si="4"/>
        <v>9090</v>
      </c>
    </row>
    <row r="382" spans="1:1" x14ac:dyDescent="0.2">
      <c r="A382">
        <f t="shared" si="4"/>
        <v>9310</v>
      </c>
    </row>
    <row r="383" spans="1:1" x14ac:dyDescent="0.2">
      <c r="A383">
        <f t="shared" si="4"/>
        <v>9530</v>
      </c>
    </row>
    <row r="384" spans="1:1" x14ac:dyDescent="0.2">
      <c r="A384">
        <f t="shared" si="4"/>
        <v>9760</v>
      </c>
    </row>
    <row r="385" spans="1:1" x14ac:dyDescent="0.2">
      <c r="A385">
        <f t="shared" si="4"/>
        <v>10000</v>
      </c>
    </row>
    <row r="386" spans="1:1" x14ac:dyDescent="0.2">
      <c r="A386">
        <f t="shared" si="4"/>
        <v>10200</v>
      </c>
    </row>
    <row r="387" spans="1:1" x14ac:dyDescent="0.2">
      <c r="A387">
        <f t="shared" si="4"/>
        <v>10500</v>
      </c>
    </row>
    <row r="388" spans="1:1" x14ac:dyDescent="0.2">
      <c r="A388">
        <f t="shared" si="4"/>
        <v>10700</v>
      </c>
    </row>
    <row r="389" spans="1:1" x14ac:dyDescent="0.2">
      <c r="A389">
        <f t="shared" si="4"/>
        <v>11000</v>
      </c>
    </row>
    <row r="390" spans="1:1" x14ac:dyDescent="0.2">
      <c r="A390">
        <f t="shared" si="4"/>
        <v>11300</v>
      </c>
    </row>
    <row r="391" spans="1:1" x14ac:dyDescent="0.2">
      <c r="A391">
        <f t="shared" si="4"/>
        <v>11500</v>
      </c>
    </row>
    <row r="392" spans="1:1" x14ac:dyDescent="0.2">
      <c r="A392">
        <f t="shared" si="4"/>
        <v>11800</v>
      </c>
    </row>
    <row r="393" spans="1:1" x14ac:dyDescent="0.2">
      <c r="A393">
        <f t="shared" si="4"/>
        <v>12100</v>
      </c>
    </row>
    <row r="394" spans="1:1" x14ac:dyDescent="0.2">
      <c r="A394">
        <f t="shared" si="4"/>
        <v>12400</v>
      </c>
    </row>
    <row r="395" spans="1:1" x14ac:dyDescent="0.2">
      <c r="A395">
        <f t="shared" si="4"/>
        <v>12700</v>
      </c>
    </row>
    <row r="396" spans="1:1" x14ac:dyDescent="0.2">
      <c r="A396">
        <f t="shared" si="4"/>
        <v>13000</v>
      </c>
    </row>
    <row r="397" spans="1:1" x14ac:dyDescent="0.2">
      <c r="A397">
        <f t="shared" si="4"/>
        <v>13300</v>
      </c>
    </row>
    <row r="398" spans="1:1" x14ac:dyDescent="0.2">
      <c r="A398">
        <f t="shared" si="4"/>
        <v>13700</v>
      </c>
    </row>
    <row r="399" spans="1:1" x14ac:dyDescent="0.2">
      <c r="A399">
        <f t="shared" si="4"/>
        <v>14000</v>
      </c>
    </row>
    <row r="400" spans="1:1" x14ac:dyDescent="0.2">
      <c r="A400">
        <f t="shared" si="4"/>
        <v>14300</v>
      </c>
    </row>
    <row r="401" spans="1:1" x14ac:dyDescent="0.2">
      <c r="A401">
        <f t="shared" si="4"/>
        <v>14700</v>
      </c>
    </row>
    <row r="402" spans="1:1" x14ac:dyDescent="0.2">
      <c r="A402">
        <f t="shared" si="4"/>
        <v>15000</v>
      </c>
    </row>
    <row r="403" spans="1:1" x14ac:dyDescent="0.2">
      <c r="A403">
        <f t="shared" si="4"/>
        <v>15400</v>
      </c>
    </row>
    <row r="404" spans="1:1" x14ac:dyDescent="0.2">
      <c r="A404">
        <f t="shared" si="4"/>
        <v>15800</v>
      </c>
    </row>
    <row r="405" spans="1:1" x14ac:dyDescent="0.2">
      <c r="A405">
        <f t="shared" si="4"/>
        <v>16200</v>
      </c>
    </row>
    <row r="406" spans="1:1" x14ac:dyDescent="0.2">
      <c r="A406">
        <f t="shared" si="4"/>
        <v>16500</v>
      </c>
    </row>
    <row r="407" spans="1:1" x14ac:dyDescent="0.2">
      <c r="A407">
        <f t="shared" si="4"/>
        <v>16900</v>
      </c>
    </row>
    <row r="408" spans="1:1" x14ac:dyDescent="0.2">
      <c r="A408">
        <f t="shared" si="4"/>
        <v>17400</v>
      </c>
    </row>
    <row r="409" spans="1:1" x14ac:dyDescent="0.2">
      <c r="A409">
        <f t="shared" si="4"/>
        <v>17800</v>
      </c>
    </row>
    <row r="410" spans="1:1" x14ac:dyDescent="0.2">
      <c r="A410">
        <f t="shared" si="4"/>
        <v>18200</v>
      </c>
    </row>
    <row r="411" spans="1:1" x14ac:dyDescent="0.2">
      <c r="A411">
        <f t="shared" si="4"/>
        <v>18700</v>
      </c>
    </row>
    <row r="412" spans="1:1" x14ac:dyDescent="0.2">
      <c r="A412">
        <f t="shared" si="4"/>
        <v>19100</v>
      </c>
    </row>
    <row r="413" spans="1:1" x14ac:dyDescent="0.2">
      <c r="A413">
        <f t="shared" si="4"/>
        <v>19600</v>
      </c>
    </row>
    <row r="414" spans="1:1" x14ac:dyDescent="0.2">
      <c r="A414">
        <f t="shared" si="4"/>
        <v>20000</v>
      </c>
    </row>
    <row r="415" spans="1:1" x14ac:dyDescent="0.2">
      <c r="A415">
        <f t="shared" si="4"/>
        <v>20500</v>
      </c>
    </row>
    <row r="416" spans="1:1" x14ac:dyDescent="0.2">
      <c r="A416">
        <f t="shared" si="4"/>
        <v>21000</v>
      </c>
    </row>
    <row r="417" spans="1:1" x14ac:dyDescent="0.2">
      <c r="A417">
        <f t="shared" si="4"/>
        <v>21500</v>
      </c>
    </row>
    <row r="418" spans="1:1" x14ac:dyDescent="0.2">
      <c r="A418">
        <f t="shared" ref="A418:A481" si="5">A322*10</f>
        <v>22100</v>
      </c>
    </row>
    <row r="419" spans="1:1" x14ac:dyDescent="0.2">
      <c r="A419">
        <f t="shared" si="5"/>
        <v>22600</v>
      </c>
    </row>
    <row r="420" spans="1:1" x14ac:dyDescent="0.2">
      <c r="A420">
        <f t="shared" si="5"/>
        <v>23200</v>
      </c>
    </row>
    <row r="421" spans="1:1" x14ac:dyDescent="0.2">
      <c r="A421">
        <f t="shared" si="5"/>
        <v>23700.000000000004</v>
      </c>
    </row>
    <row r="422" spans="1:1" x14ac:dyDescent="0.2">
      <c r="A422">
        <f t="shared" si="5"/>
        <v>24300</v>
      </c>
    </row>
    <row r="423" spans="1:1" x14ac:dyDescent="0.2">
      <c r="A423">
        <f t="shared" si="5"/>
        <v>24900</v>
      </c>
    </row>
    <row r="424" spans="1:1" x14ac:dyDescent="0.2">
      <c r="A424">
        <f t="shared" si="5"/>
        <v>25500</v>
      </c>
    </row>
    <row r="425" spans="1:1" x14ac:dyDescent="0.2">
      <c r="A425">
        <f t="shared" si="5"/>
        <v>26100</v>
      </c>
    </row>
    <row r="426" spans="1:1" x14ac:dyDescent="0.2">
      <c r="A426">
        <f t="shared" si="5"/>
        <v>26700</v>
      </c>
    </row>
    <row r="427" spans="1:1" x14ac:dyDescent="0.2">
      <c r="A427">
        <f t="shared" si="5"/>
        <v>27400</v>
      </c>
    </row>
    <row r="428" spans="1:1" x14ac:dyDescent="0.2">
      <c r="A428">
        <f t="shared" si="5"/>
        <v>28000</v>
      </c>
    </row>
    <row r="429" spans="1:1" x14ac:dyDescent="0.2">
      <c r="A429">
        <f t="shared" si="5"/>
        <v>28700</v>
      </c>
    </row>
    <row r="430" spans="1:1" x14ac:dyDescent="0.2">
      <c r="A430">
        <f t="shared" si="5"/>
        <v>29400</v>
      </c>
    </row>
    <row r="431" spans="1:1" x14ac:dyDescent="0.2">
      <c r="A431">
        <f t="shared" si="5"/>
        <v>30100</v>
      </c>
    </row>
    <row r="432" spans="1:1" x14ac:dyDescent="0.2">
      <c r="A432">
        <f t="shared" si="5"/>
        <v>30900</v>
      </c>
    </row>
    <row r="433" spans="1:1" x14ac:dyDescent="0.2">
      <c r="A433">
        <f t="shared" si="5"/>
        <v>31600</v>
      </c>
    </row>
    <row r="434" spans="1:1" x14ac:dyDescent="0.2">
      <c r="A434">
        <f t="shared" si="5"/>
        <v>32400</v>
      </c>
    </row>
    <row r="435" spans="1:1" x14ac:dyDescent="0.2">
      <c r="A435">
        <f t="shared" si="5"/>
        <v>33200</v>
      </c>
    </row>
    <row r="436" spans="1:1" x14ac:dyDescent="0.2">
      <c r="A436">
        <f t="shared" si="5"/>
        <v>34000</v>
      </c>
    </row>
    <row r="437" spans="1:1" x14ac:dyDescent="0.2">
      <c r="A437">
        <f t="shared" si="5"/>
        <v>34800</v>
      </c>
    </row>
    <row r="438" spans="1:1" x14ac:dyDescent="0.2">
      <c r="A438">
        <f t="shared" si="5"/>
        <v>35700</v>
      </c>
    </row>
    <row r="439" spans="1:1" x14ac:dyDescent="0.2">
      <c r="A439">
        <f t="shared" si="5"/>
        <v>36500</v>
      </c>
    </row>
    <row r="440" spans="1:1" x14ac:dyDescent="0.2">
      <c r="A440">
        <f t="shared" si="5"/>
        <v>37400</v>
      </c>
    </row>
    <row r="441" spans="1:1" x14ac:dyDescent="0.2">
      <c r="A441">
        <f t="shared" si="5"/>
        <v>38300</v>
      </c>
    </row>
    <row r="442" spans="1:1" x14ac:dyDescent="0.2">
      <c r="A442">
        <f t="shared" si="5"/>
        <v>39200</v>
      </c>
    </row>
    <row r="443" spans="1:1" x14ac:dyDescent="0.2">
      <c r="A443">
        <f t="shared" si="5"/>
        <v>40200</v>
      </c>
    </row>
    <row r="444" spans="1:1" x14ac:dyDescent="0.2">
      <c r="A444">
        <f t="shared" si="5"/>
        <v>41200</v>
      </c>
    </row>
    <row r="445" spans="1:1" x14ac:dyDescent="0.2">
      <c r="A445">
        <f t="shared" si="5"/>
        <v>42200</v>
      </c>
    </row>
    <row r="446" spans="1:1" x14ac:dyDescent="0.2">
      <c r="A446">
        <f t="shared" si="5"/>
        <v>43200</v>
      </c>
    </row>
    <row r="447" spans="1:1" x14ac:dyDescent="0.2">
      <c r="A447">
        <f t="shared" si="5"/>
        <v>44200</v>
      </c>
    </row>
    <row r="448" spans="1:1" x14ac:dyDescent="0.2">
      <c r="A448">
        <f t="shared" si="5"/>
        <v>45300</v>
      </c>
    </row>
    <row r="449" spans="1:1" x14ac:dyDescent="0.2">
      <c r="A449">
        <f t="shared" si="5"/>
        <v>46400</v>
      </c>
    </row>
    <row r="450" spans="1:1" x14ac:dyDescent="0.2">
      <c r="A450">
        <f t="shared" si="5"/>
        <v>47500</v>
      </c>
    </row>
    <row r="451" spans="1:1" x14ac:dyDescent="0.2">
      <c r="A451">
        <f t="shared" si="5"/>
        <v>48700</v>
      </c>
    </row>
    <row r="452" spans="1:1" x14ac:dyDescent="0.2">
      <c r="A452">
        <f t="shared" si="5"/>
        <v>49900.000000000007</v>
      </c>
    </row>
    <row r="453" spans="1:1" x14ac:dyDescent="0.2">
      <c r="A453">
        <f t="shared" si="5"/>
        <v>51100</v>
      </c>
    </row>
    <row r="454" spans="1:1" x14ac:dyDescent="0.2">
      <c r="A454">
        <f t="shared" si="5"/>
        <v>52300</v>
      </c>
    </row>
    <row r="455" spans="1:1" x14ac:dyDescent="0.2">
      <c r="A455">
        <f t="shared" si="5"/>
        <v>53600</v>
      </c>
    </row>
    <row r="456" spans="1:1" x14ac:dyDescent="0.2">
      <c r="A456">
        <f t="shared" si="5"/>
        <v>54900</v>
      </c>
    </row>
    <row r="457" spans="1:1" x14ac:dyDescent="0.2">
      <c r="A457">
        <f t="shared" si="5"/>
        <v>56200</v>
      </c>
    </row>
    <row r="458" spans="1:1" x14ac:dyDescent="0.2">
      <c r="A458">
        <f t="shared" si="5"/>
        <v>57600</v>
      </c>
    </row>
    <row r="459" spans="1:1" x14ac:dyDescent="0.2">
      <c r="A459">
        <f t="shared" si="5"/>
        <v>59000</v>
      </c>
    </row>
    <row r="460" spans="1:1" x14ac:dyDescent="0.2">
      <c r="A460">
        <f t="shared" si="5"/>
        <v>60400</v>
      </c>
    </row>
    <row r="461" spans="1:1" x14ac:dyDescent="0.2">
      <c r="A461">
        <f t="shared" si="5"/>
        <v>61899.999999999993</v>
      </c>
    </row>
    <row r="462" spans="1:1" x14ac:dyDescent="0.2">
      <c r="A462">
        <f t="shared" si="5"/>
        <v>63400</v>
      </c>
    </row>
    <row r="463" spans="1:1" x14ac:dyDescent="0.2">
      <c r="A463">
        <f t="shared" si="5"/>
        <v>64900</v>
      </c>
    </row>
    <row r="464" spans="1:1" x14ac:dyDescent="0.2">
      <c r="A464">
        <f t="shared" si="5"/>
        <v>66500</v>
      </c>
    </row>
    <row r="465" spans="1:1" x14ac:dyDescent="0.2">
      <c r="A465">
        <f t="shared" si="5"/>
        <v>68100</v>
      </c>
    </row>
    <row r="466" spans="1:1" x14ac:dyDescent="0.2">
      <c r="A466">
        <f t="shared" si="5"/>
        <v>69800</v>
      </c>
    </row>
    <row r="467" spans="1:1" x14ac:dyDescent="0.2">
      <c r="A467">
        <f t="shared" si="5"/>
        <v>71500</v>
      </c>
    </row>
    <row r="468" spans="1:1" x14ac:dyDescent="0.2">
      <c r="A468">
        <f t="shared" si="5"/>
        <v>73200</v>
      </c>
    </row>
    <row r="469" spans="1:1" x14ac:dyDescent="0.2">
      <c r="A469">
        <f t="shared" si="5"/>
        <v>75000</v>
      </c>
    </row>
    <row r="470" spans="1:1" x14ac:dyDescent="0.2">
      <c r="A470">
        <f t="shared" si="5"/>
        <v>76800</v>
      </c>
    </row>
    <row r="471" spans="1:1" x14ac:dyDescent="0.2">
      <c r="A471">
        <f t="shared" si="5"/>
        <v>78700</v>
      </c>
    </row>
    <row r="472" spans="1:1" x14ac:dyDescent="0.2">
      <c r="A472">
        <f t="shared" si="5"/>
        <v>80600</v>
      </c>
    </row>
    <row r="473" spans="1:1" x14ac:dyDescent="0.2">
      <c r="A473">
        <f t="shared" si="5"/>
        <v>82500</v>
      </c>
    </row>
    <row r="474" spans="1:1" x14ac:dyDescent="0.2">
      <c r="A474">
        <f t="shared" si="5"/>
        <v>84500</v>
      </c>
    </row>
    <row r="475" spans="1:1" x14ac:dyDescent="0.2">
      <c r="A475">
        <f t="shared" si="5"/>
        <v>86600</v>
      </c>
    </row>
    <row r="476" spans="1:1" x14ac:dyDescent="0.2">
      <c r="A476">
        <f t="shared" si="5"/>
        <v>88700.000000000015</v>
      </c>
    </row>
    <row r="477" spans="1:1" x14ac:dyDescent="0.2">
      <c r="A477">
        <f t="shared" si="5"/>
        <v>90900</v>
      </c>
    </row>
    <row r="478" spans="1:1" x14ac:dyDescent="0.2">
      <c r="A478">
        <f t="shared" si="5"/>
        <v>93100</v>
      </c>
    </row>
    <row r="479" spans="1:1" x14ac:dyDescent="0.2">
      <c r="A479">
        <f t="shared" si="5"/>
        <v>95300</v>
      </c>
    </row>
    <row r="480" spans="1:1" x14ac:dyDescent="0.2">
      <c r="A480">
        <f t="shared" si="5"/>
        <v>97600</v>
      </c>
    </row>
    <row r="481" spans="1:1" x14ac:dyDescent="0.2">
      <c r="A481">
        <f t="shared" si="5"/>
        <v>100000</v>
      </c>
    </row>
    <row r="482" spans="1:1" x14ac:dyDescent="0.2">
      <c r="A482">
        <f t="shared" ref="A482:A545" si="6">A386*10</f>
        <v>102000</v>
      </c>
    </row>
    <row r="483" spans="1:1" x14ac:dyDescent="0.2">
      <c r="A483">
        <f t="shared" si="6"/>
        <v>105000</v>
      </c>
    </row>
    <row r="484" spans="1:1" x14ac:dyDescent="0.2">
      <c r="A484">
        <f t="shared" si="6"/>
        <v>107000</v>
      </c>
    </row>
    <row r="485" spans="1:1" x14ac:dyDescent="0.2">
      <c r="A485">
        <f t="shared" si="6"/>
        <v>110000</v>
      </c>
    </row>
    <row r="486" spans="1:1" x14ac:dyDescent="0.2">
      <c r="A486">
        <f t="shared" si="6"/>
        <v>113000</v>
      </c>
    </row>
    <row r="487" spans="1:1" x14ac:dyDescent="0.2">
      <c r="A487">
        <f t="shared" si="6"/>
        <v>115000</v>
      </c>
    </row>
    <row r="488" spans="1:1" x14ac:dyDescent="0.2">
      <c r="A488">
        <f t="shared" si="6"/>
        <v>118000</v>
      </c>
    </row>
    <row r="489" spans="1:1" x14ac:dyDescent="0.2">
      <c r="A489">
        <f t="shared" si="6"/>
        <v>121000</v>
      </c>
    </row>
    <row r="490" spans="1:1" x14ac:dyDescent="0.2">
      <c r="A490">
        <f t="shared" si="6"/>
        <v>124000</v>
      </c>
    </row>
    <row r="491" spans="1:1" x14ac:dyDescent="0.2">
      <c r="A491">
        <f t="shared" si="6"/>
        <v>127000</v>
      </c>
    </row>
    <row r="492" spans="1:1" x14ac:dyDescent="0.2">
      <c r="A492">
        <f t="shared" si="6"/>
        <v>130000</v>
      </c>
    </row>
    <row r="493" spans="1:1" x14ac:dyDescent="0.2">
      <c r="A493">
        <f t="shared" si="6"/>
        <v>133000</v>
      </c>
    </row>
    <row r="494" spans="1:1" x14ac:dyDescent="0.2">
      <c r="A494">
        <f t="shared" si="6"/>
        <v>137000</v>
      </c>
    </row>
    <row r="495" spans="1:1" x14ac:dyDescent="0.2">
      <c r="A495">
        <f t="shared" si="6"/>
        <v>140000</v>
      </c>
    </row>
    <row r="496" spans="1:1" x14ac:dyDescent="0.2">
      <c r="A496">
        <f t="shared" si="6"/>
        <v>143000</v>
      </c>
    </row>
    <row r="497" spans="1:1" x14ac:dyDescent="0.2">
      <c r="A497">
        <f t="shared" si="6"/>
        <v>147000</v>
      </c>
    </row>
    <row r="498" spans="1:1" x14ac:dyDescent="0.2">
      <c r="A498">
        <f t="shared" si="6"/>
        <v>150000</v>
      </c>
    </row>
    <row r="499" spans="1:1" x14ac:dyDescent="0.2">
      <c r="A499">
        <f t="shared" si="6"/>
        <v>154000</v>
      </c>
    </row>
    <row r="500" spans="1:1" x14ac:dyDescent="0.2">
      <c r="A500">
        <f t="shared" si="6"/>
        <v>158000</v>
      </c>
    </row>
    <row r="501" spans="1:1" x14ac:dyDescent="0.2">
      <c r="A501">
        <f t="shared" si="6"/>
        <v>162000</v>
      </c>
    </row>
    <row r="502" spans="1:1" x14ac:dyDescent="0.2">
      <c r="A502">
        <f t="shared" si="6"/>
        <v>165000</v>
      </c>
    </row>
    <row r="503" spans="1:1" x14ac:dyDescent="0.2">
      <c r="A503">
        <f t="shared" si="6"/>
        <v>169000</v>
      </c>
    </row>
    <row r="504" spans="1:1" x14ac:dyDescent="0.2">
      <c r="A504">
        <f t="shared" si="6"/>
        <v>174000</v>
      </c>
    </row>
    <row r="505" spans="1:1" x14ac:dyDescent="0.2">
      <c r="A505">
        <f t="shared" si="6"/>
        <v>178000</v>
      </c>
    </row>
    <row r="506" spans="1:1" x14ac:dyDescent="0.2">
      <c r="A506">
        <f t="shared" si="6"/>
        <v>182000</v>
      </c>
    </row>
    <row r="507" spans="1:1" x14ac:dyDescent="0.2">
      <c r="A507">
        <f t="shared" si="6"/>
        <v>187000</v>
      </c>
    </row>
    <row r="508" spans="1:1" x14ac:dyDescent="0.2">
      <c r="A508">
        <f t="shared" si="6"/>
        <v>191000</v>
      </c>
    </row>
    <row r="509" spans="1:1" x14ac:dyDescent="0.2">
      <c r="A509">
        <f t="shared" si="6"/>
        <v>196000</v>
      </c>
    </row>
    <row r="510" spans="1:1" x14ac:dyDescent="0.2">
      <c r="A510">
        <f t="shared" si="6"/>
        <v>200000</v>
      </c>
    </row>
    <row r="511" spans="1:1" x14ac:dyDescent="0.2">
      <c r="A511">
        <f t="shared" si="6"/>
        <v>205000</v>
      </c>
    </row>
    <row r="512" spans="1:1" x14ac:dyDescent="0.2">
      <c r="A512">
        <f t="shared" si="6"/>
        <v>210000</v>
      </c>
    </row>
    <row r="513" spans="1:1" x14ac:dyDescent="0.2">
      <c r="A513">
        <f t="shared" si="6"/>
        <v>215000</v>
      </c>
    </row>
    <row r="514" spans="1:1" x14ac:dyDescent="0.2">
      <c r="A514">
        <f t="shared" si="6"/>
        <v>221000</v>
      </c>
    </row>
    <row r="515" spans="1:1" x14ac:dyDescent="0.2">
      <c r="A515">
        <f t="shared" si="6"/>
        <v>226000</v>
      </c>
    </row>
    <row r="516" spans="1:1" x14ac:dyDescent="0.2">
      <c r="A516">
        <f t="shared" si="6"/>
        <v>232000</v>
      </c>
    </row>
    <row r="517" spans="1:1" x14ac:dyDescent="0.2">
      <c r="A517">
        <f t="shared" si="6"/>
        <v>237000.00000000003</v>
      </c>
    </row>
    <row r="518" spans="1:1" x14ac:dyDescent="0.2">
      <c r="A518">
        <f t="shared" si="6"/>
        <v>243000</v>
      </c>
    </row>
    <row r="519" spans="1:1" x14ac:dyDescent="0.2">
      <c r="A519">
        <f t="shared" si="6"/>
        <v>249000</v>
      </c>
    </row>
    <row r="520" spans="1:1" x14ac:dyDescent="0.2">
      <c r="A520">
        <f t="shared" si="6"/>
        <v>255000</v>
      </c>
    </row>
    <row r="521" spans="1:1" x14ac:dyDescent="0.2">
      <c r="A521">
        <f t="shared" si="6"/>
        <v>261000</v>
      </c>
    </row>
    <row r="522" spans="1:1" x14ac:dyDescent="0.2">
      <c r="A522">
        <f t="shared" si="6"/>
        <v>267000</v>
      </c>
    </row>
    <row r="523" spans="1:1" x14ac:dyDescent="0.2">
      <c r="A523">
        <f t="shared" si="6"/>
        <v>274000</v>
      </c>
    </row>
    <row r="524" spans="1:1" x14ac:dyDescent="0.2">
      <c r="A524">
        <f t="shared" si="6"/>
        <v>280000</v>
      </c>
    </row>
    <row r="525" spans="1:1" x14ac:dyDescent="0.2">
      <c r="A525">
        <f t="shared" si="6"/>
        <v>287000</v>
      </c>
    </row>
    <row r="526" spans="1:1" x14ac:dyDescent="0.2">
      <c r="A526">
        <f t="shared" si="6"/>
        <v>294000</v>
      </c>
    </row>
    <row r="527" spans="1:1" x14ac:dyDescent="0.2">
      <c r="A527">
        <f t="shared" si="6"/>
        <v>301000</v>
      </c>
    </row>
    <row r="528" spans="1:1" x14ac:dyDescent="0.2">
      <c r="A528">
        <f t="shared" si="6"/>
        <v>309000</v>
      </c>
    </row>
    <row r="529" spans="1:1" x14ac:dyDescent="0.2">
      <c r="A529">
        <f t="shared" si="6"/>
        <v>316000</v>
      </c>
    </row>
    <row r="530" spans="1:1" x14ac:dyDescent="0.2">
      <c r="A530">
        <f t="shared" si="6"/>
        <v>324000</v>
      </c>
    </row>
    <row r="531" spans="1:1" x14ac:dyDescent="0.2">
      <c r="A531">
        <f t="shared" si="6"/>
        <v>332000</v>
      </c>
    </row>
    <row r="532" spans="1:1" x14ac:dyDescent="0.2">
      <c r="A532">
        <f t="shared" si="6"/>
        <v>340000</v>
      </c>
    </row>
    <row r="533" spans="1:1" x14ac:dyDescent="0.2">
      <c r="A533">
        <f t="shared" si="6"/>
        <v>348000</v>
      </c>
    </row>
    <row r="534" spans="1:1" x14ac:dyDescent="0.2">
      <c r="A534">
        <f t="shared" si="6"/>
        <v>357000</v>
      </c>
    </row>
    <row r="535" spans="1:1" x14ac:dyDescent="0.2">
      <c r="A535">
        <f t="shared" si="6"/>
        <v>365000</v>
      </c>
    </row>
    <row r="536" spans="1:1" x14ac:dyDescent="0.2">
      <c r="A536">
        <f t="shared" si="6"/>
        <v>374000</v>
      </c>
    </row>
    <row r="537" spans="1:1" x14ac:dyDescent="0.2">
      <c r="A537">
        <f t="shared" si="6"/>
        <v>383000</v>
      </c>
    </row>
    <row r="538" spans="1:1" x14ac:dyDescent="0.2">
      <c r="A538">
        <f t="shared" si="6"/>
        <v>392000</v>
      </c>
    </row>
    <row r="539" spans="1:1" x14ac:dyDescent="0.2">
      <c r="A539">
        <f t="shared" si="6"/>
        <v>402000</v>
      </c>
    </row>
    <row r="540" spans="1:1" x14ac:dyDescent="0.2">
      <c r="A540">
        <f t="shared" si="6"/>
        <v>412000</v>
      </c>
    </row>
    <row r="541" spans="1:1" x14ac:dyDescent="0.2">
      <c r="A541">
        <f t="shared" si="6"/>
        <v>422000</v>
      </c>
    </row>
    <row r="542" spans="1:1" x14ac:dyDescent="0.2">
      <c r="A542">
        <f t="shared" si="6"/>
        <v>432000</v>
      </c>
    </row>
    <row r="543" spans="1:1" x14ac:dyDescent="0.2">
      <c r="A543">
        <f t="shared" si="6"/>
        <v>442000</v>
      </c>
    </row>
    <row r="544" spans="1:1" x14ac:dyDescent="0.2">
      <c r="A544">
        <f t="shared" si="6"/>
        <v>453000</v>
      </c>
    </row>
    <row r="545" spans="1:1" x14ac:dyDescent="0.2">
      <c r="A545">
        <f t="shared" si="6"/>
        <v>464000</v>
      </c>
    </row>
    <row r="546" spans="1:1" x14ac:dyDescent="0.2">
      <c r="A546">
        <f t="shared" ref="A546:A609" si="7">A450*10</f>
        <v>475000</v>
      </c>
    </row>
    <row r="547" spans="1:1" x14ac:dyDescent="0.2">
      <c r="A547">
        <f t="shared" si="7"/>
        <v>487000</v>
      </c>
    </row>
    <row r="548" spans="1:1" x14ac:dyDescent="0.2">
      <c r="A548">
        <f t="shared" si="7"/>
        <v>499000.00000000006</v>
      </c>
    </row>
    <row r="549" spans="1:1" x14ac:dyDescent="0.2">
      <c r="A549">
        <f t="shared" si="7"/>
        <v>511000</v>
      </c>
    </row>
    <row r="550" spans="1:1" x14ac:dyDescent="0.2">
      <c r="A550">
        <f t="shared" si="7"/>
        <v>523000</v>
      </c>
    </row>
    <row r="551" spans="1:1" x14ac:dyDescent="0.2">
      <c r="A551">
        <f t="shared" si="7"/>
        <v>536000</v>
      </c>
    </row>
    <row r="552" spans="1:1" x14ac:dyDescent="0.2">
      <c r="A552">
        <f t="shared" si="7"/>
        <v>549000</v>
      </c>
    </row>
    <row r="553" spans="1:1" x14ac:dyDescent="0.2">
      <c r="A553">
        <f t="shared" si="7"/>
        <v>562000</v>
      </c>
    </row>
    <row r="554" spans="1:1" x14ac:dyDescent="0.2">
      <c r="A554">
        <f t="shared" si="7"/>
        <v>576000</v>
      </c>
    </row>
    <row r="555" spans="1:1" x14ac:dyDescent="0.2">
      <c r="A555">
        <f t="shared" si="7"/>
        <v>590000</v>
      </c>
    </row>
    <row r="556" spans="1:1" x14ac:dyDescent="0.2">
      <c r="A556">
        <f t="shared" si="7"/>
        <v>604000</v>
      </c>
    </row>
    <row r="557" spans="1:1" x14ac:dyDescent="0.2">
      <c r="A557">
        <f t="shared" si="7"/>
        <v>618999.99999999988</v>
      </c>
    </row>
    <row r="558" spans="1:1" x14ac:dyDescent="0.2">
      <c r="A558">
        <f t="shared" si="7"/>
        <v>634000</v>
      </c>
    </row>
    <row r="559" spans="1:1" x14ac:dyDescent="0.2">
      <c r="A559">
        <f t="shared" si="7"/>
        <v>649000</v>
      </c>
    </row>
    <row r="560" spans="1:1" x14ac:dyDescent="0.2">
      <c r="A560">
        <f t="shared" si="7"/>
        <v>665000</v>
      </c>
    </row>
    <row r="561" spans="1:1" x14ac:dyDescent="0.2">
      <c r="A561">
        <f t="shared" si="7"/>
        <v>681000</v>
      </c>
    </row>
    <row r="562" spans="1:1" x14ac:dyDescent="0.2">
      <c r="A562">
        <f t="shared" si="7"/>
        <v>698000</v>
      </c>
    </row>
    <row r="563" spans="1:1" x14ac:dyDescent="0.2">
      <c r="A563">
        <f t="shared" si="7"/>
        <v>715000</v>
      </c>
    </row>
    <row r="564" spans="1:1" x14ac:dyDescent="0.2">
      <c r="A564">
        <f t="shared" si="7"/>
        <v>732000</v>
      </c>
    </row>
    <row r="565" spans="1:1" x14ac:dyDescent="0.2">
      <c r="A565">
        <f t="shared" si="7"/>
        <v>750000</v>
      </c>
    </row>
    <row r="566" spans="1:1" x14ac:dyDescent="0.2">
      <c r="A566">
        <f t="shared" si="7"/>
        <v>768000</v>
      </c>
    </row>
    <row r="567" spans="1:1" x14ac:dyDescent="0.2">
      <c r="A567">
        <f t="shared" si="7"/>
        <v>787000</v>
      </c>
    </row>
    <row r="568" spans="1:1" x14ac:dyDescent="0.2">
      <c r="A568">
        <f t="shared" si="7"/>
        <v>806000</v>
      </c>
    </row>
    <row r="569" spans="1:1" x14ac:dyDescent="0.2">
      <c r="A569">
        <f t="shared" si="7"/>
        <v>825000</v>
      </c>
    </row>
    <row r="570" spans="1:1" x14ac:dyDescent="0.2">
      <c r="A570">
        <f t="shared" si="7"/>
        <v>845000</v>
      </c>
    </row>
    <row r="571" spans="1:1" x14ac:dyDescent="0.2">
      <c r="A571">
        <f t="shared" si="7"/>
        <v>866000</v>
      </c>
    </row>
    <row r="572" spans="1:1" x14ac:dyDescent="0.2">
      <c r="A572">
        <f t="shared" si="7"/>
        <v>887000.00000000012</v>
      </c>
    </row>
    <row r="573" spans="1:1" x14ac:dyDescent="0.2">
      <c r="A573">
        <f t="shared" si="7"/>
        <v>909000</v>
      </c>
    </row>
    <row r="574" spans="1:1" x14ac:dyDescent="0.2">
      <c r="A574">
        <f t="shared" si="7"/>
        <v>931000</v>
      </c>
    </row>
    <row r="575" spans="1:1" x14ac:dyDescent="0.2">
      <c r="A575">
        <f t="shared" si="7"/>
        <v>953000</v>
      </c>
    </row>
    <row r="576" spans="1:1" x14ac:dyDescent="0.2">
      <c r="A576">
        <f t="shared" si="7"/>
        <v>976000</v>
      </c>
    </row>
    <row r="577" spans="1:1" x14ac:dyDescent="0.2">
      <c r="A577">
        <f t="shared" si="7"/>
        <v>1000000</v>
      </c>
    </row>
    <row r="578" spans="1:1" x14ac:dyDescent="0.2">
      <c r="A578">
        <f t="shared" si="7"/>
        <v>1020000</v>
      </c>
    </row>
    <row r="579" spans="1:1" x14ac:dyDescent="0.2">
      <c r="A579">
        <f t="shared" si="7"/>
        <v>1050000</v>
      </c>
    </row>
    <row r="580" spans="1:1" x14ac:dyDescent="0.2">
      <c r="A580">
        <f t="shared" si="7"/>
        <v>1070000</v>
      </c>
    </row>
    <row r="581" spans="1:1" x14ac:dyDescent="0.2">
      <c r="A581">
        <f t="shared" si="7"/>
        <v>1100000</v>
      </c>
    </row>
    <row r="582" spans="1:1" x14ac:dyDescent="0.2">
      <c r="A582">
        <f t="shared" si="7"/>
        <v>1130000</v>
      </c>
    </row>
    <row r="583" spans="1:1" x14ac:dyDescent="0.2">
      <c r="A583">
        <f t="shared" si="7"/>
        <v>1150000</v>
      </c>
    </row>
    <row r="584" spans="1:1" x14ac:dyDescent="0.2">
      <c r="A584">
        <f t="shared" si="7"/>
        <v>1180000</v>
      </c>
    </row>
    <row r="585" spans="1:1" x14ac:dyDescent="0.2">
      <c r="A585">
        <f t="shared" si="7"/>
        <v>1210000</v>
      </c>
    </row>
    <row r="586" spans="1:1" x14ac:dyDescent="0.2">
      <c r="A586">
        <f t="shared" si="7"/>
        <v>1240000</v>
      </c>
    </row>
    <row r="587" spans="1:1" x14ac:dyDescent="0.2">
      <c r="A587">
        <f t="shared" si="7"/>
        <v>1270000</v>
      </c>
    </row>
    <row r="588" spans="1:1" x14ac:dyDescent="0.2">
      <c r="A588">
        <f t="shared" si="7"/>
        <v>1300000</v>
      </c>
    </row>
    <row r="589" spans="1:1" x14ac:dyDescent="0.2">
      <c r="A589">
        <f t="shared" si="7"/>
        <v>1330000</v>
      </c>
    </row>
    <row r="590" spans="1:1" x14ac:dyDescent="0.2">
      <c r="A590">
        <f t="shared" si="7"/>
        <v>1370000</v>
      </c>
    </row>
    <row r="591" spans="1:1" x14ac:dyDescent="0.2">
      <c r="A591">
        <f t="shared" si="7"/>
        <v>1400000</v>
      </c>
    </row>
    <row r="592" spans="1:1" x14ac:dyDescent="0.2">
      <c r="A592">
        <f t="shared" si="7"/>
        <v>1430000</v>
      </c>
    </row>
    <row r="593" spans="1:1" x14ac:dyDescent="0.2">
      <c r="A593">
        <f t="shared" si="7"/>
        <v>1470000</v>
      </c>
    </row>
    <row r="594" spans="1:1" x14ac:dyDescent="0.2">
      <c r="A594">
        <f t="shared" si="7"/>
        <v>1500000</v>
      </c>
    </row>
    <row r="595" spans="1:1" x14ac:dyDescent="0.2">
      <c r="A595">
        <f t="shared" si="7"/>
        <v>1540000</v>
      </c>
    </row>
    <row r="596" spans="1:1" x14ac:dyDescent="0.2">
      <c r="A596">
        <f t="shared" si="7"/>
        <v>1580000</v>
      </c>
    </row>
    <row r="597" spans="1:1" x14ac:dyDescent="0.2">
      <c r="A597">
        <f t="shared" si="7"/>
        <v>1620000</v>
      </c>
    </row>
    <row r="598" spans="1:1" x14ac:dyDescent="0.2">
      <c r="A598">
        <f t="shared" si="7"/>
        <v>1650000</v>
      </c>
    </row>
    <row r="599" spans="1:1" x14ac:dyDescent="0.2">
      <c r="A599">
        <f t="shared" si="7"/>
        <v>1690000</v>
      </c>
    </row>
    <row r="600" spans="1:1" x14ac:dyDescent="0.2">
      <c r="A600">
        <f t="shared" si="7"/>
        <v>1740000</v>
      </c>
    </row>
    <row r="601" spans="1:1" x14ac:dyDescent="0.2">
      <c r="A601">
        <f t="shared" si="7"/>
        <v>1780000</v>
      </c>
    </row>
    <row r="602" spans="1:1" x14ac:dyDescent="0.2">
      <c r="A602">
        <f t="shared" si="7"/>
        <v>1820000</v>
      </c>
    </row>
    <row r="603" spans="1:1" x14ac:dyDescent="0.2">
      <c r="A603">
        <f t="shared" si="7"/>
        <v>1870000</v>
      </c>
    </row>
    <row r="604" spans="1:1" x14ac:dyDescent="0.2">
      <c r="A604">
        <f t="shared" si="7"/>
        <v>1910000</v>
      </c>
    </row>
    <row r="605" spans="1:1" x14ac:dyDescent="0.2">
      <c r="A605">
        <f t="shared" si="7"/>
        <v>1960000</v>
      </c>
    </row>
    <row r="606" spans="1:1" x14ac:dyDescent="0.2">
      <c r="A606">
        <f t="shared" si="7"/>
        <v>2000000</v>
      </c>
    </row>
    <row r="607" spans="1:1" x14ac:dyDescent="0.2">
      <c r="A607">
        <f t="shared" si="7"/>
        <v>2050000</v>
      </c>
    </row>
    <row r="608" spans="1:1" x14ac:dyDescent="0.2">
      <c r="A608">
        <f t="shared" si="7"/>
        <v>2100000</v>
      </c>
    </row>
    <row r="609" spans="1:1" x14ac:dyDescent="0.2">
      <c r="A609">
        <f t="shared" si="7"/>
        <v>2150000</v>
      </c>
    </row>
    <row r="610" spans="1:1" x14ac:dyDescent="0.2">
      <c r="A610">
        <f t="shared" ref="A610:A673" si="8">A514*10</f>
        <v>2210000</v>
      </c>
    </row>
    <row r="611" spans="1:1" x14ac:dyDescent="0.2">
      <c r="A611">
        <f t="shared" si="8"/>
        <v>2260000</v>
      </c>
    </row>
    <row r="612" spans="1:1" x14ac:dyDescent="0.2">
      <c r="A612">
        <f t="shared" si="8"/>
        <v>2320000</v>
      </c>
    </row>
    <row r="613" spans="1:1" x14ac:dyDescent="0.2">
      <c r="A613">
        <f t="shared" si="8"/>
        <v>2370000.0000000005</v>
      </c>
    </row>
    <row r="614" spans="1:1" x14ac:dyDescent="0.2">
      <c r="A614">
        <f t="shared" si="8"/>
        <v>2430000</v>
      </c>
    </row>
    <row r="615" spans="1:1" x14ac:dyDescent="0.2">
      <c r="A615">
        <f t="shared" si="8"/>
        <v>2490000</v>
      </c>
    </row>
    <row r="616" spans="1:1" x14ac:dyDescent="0.2">
      <c r="A616">
        <f t="shared" si="8"/>
        <v>2550000</v>
      </c>
    </row>
    <row r="617" spans="1:1" x14ac:dyDescent="0.2">
      <c r="A617">
        <f t="shared" si="8"/>
        <v>2610000</v>
      </c>
    </row>
    <row r="618" spans="1:1" x14ac:dyDescent="0.2">
      <c r="A618">
        <f t="shared" si="8"/>
        <v>2670000</v>
      </c>
    </row>
    <row r="619" spans="1:1" x14ac:dyDescent="0.2">
      <c r="A619">
        <f t="shared" si="8"/>
        <v>2740000</v>
      </c>
    </row>
    <row r="620" spans="1:1" x14ac:dyDescent="0.2">
      <c r="A620">
        <f t="shared" si="8"/>
        <v>2800000</v>
      </c>
    </row>
    <row r="621" spans="1:1" x14ac:dyDescent="0.2">
      <c r="A621">
        <f t="shared" si="8"/>
        <v>2870000</v>
      </c>
    </row>
    <row r="622" spans="1:1" x14ac:dyDescent="0.2">
      <c r="A622">
        <f t="shared" si="8"/>
        <v>2940000</v>
      </c>
    </row>
    <row r="623" spans="1:1" x14ac:dyDescent="0.2">
      <c r="A623">
        <f t="shared" si="8"/>
        <v>3010000</v>
      </c>
    </row>
    <row r="624" spans="1:1" x14ac:dyDescent="0.2">
      <c r="A624">
        <f t="shared" si="8"/>
        <v>3090000</v>
      </c>
    </row>
    <row r="625" spans="1:1" x14ac:dyDescent="0.2">
      <c r="A625">
        <f t="shared" si="8"/>
        <v>3160000</v>
      </c>
    </row>
    <row r="626" spans="1:1" x14ac:dyDescent="0.2">
      <c r="A626">
        <f t="shared" si="8"/>
        <v>3240000</v>
      </c>
    </row>
    <row r="627" spans="1:1" x14ac:dyDescent="0.2">
      <c r="A627">
        <f t="shared" si="8"/>
        <v>3320000</v>
      </c>
    </row>
    <row r="628" spans="1:1" x14ac:dyDescent="0.2">
      <c r="A628">
        <f t="shared" si="8"/>
        <v>3400000</v>
      </c>
    </row>
    <row r="629" spans="1:1" x14ac:dyDescent="0.2">
      <c r="A629">
        <f t="shared" si="8"/>
        <v>3480000</v>
      </c>
    </row>
    <row r="630" spans="1:1" x14ac:dyDescent="0.2">
      <c r="A630">
        <f t="shared" si="8"/>
        <v>3570000</v>
      </c>
    </row>
    <row r="631" spans="1:1" x14ac:dyDescent="0.2">
      <c r="A631">
        <f t="shared" si="8"/>
        <v>3650000</v>
      </c>
    </row>
    <row r="632" spans="1:1" x14ac:dyDescent="0.2">
      <c r="A632">
        <f t="shared" si="8"/>
        <v>3740000</v>
      </c>
    </row>
    <row r="633" spans="1:1" x14ac:dyDescent="0.2">
      <c r="A633">
        <f t="shared" si="8"/>
        <v>3830000</v>
      </c>
    </row>
    <row r="634" spans="1:1" x14ac:dyDescent="0.2">
      <c r="A634">
        <f t="shared" si="8"/>
        <v>3920000</v>
      </c>
    </row>
    <row r="635" spans="1:1" x14ac:dyDescent="0.2">
      <c r="A635">
        <f t="shared" si="8"/>
        <v>4020000</v>
      </c>
    </row>
    <row r="636" spans="1:1" x14ac:dyDescent="0.2">
      <c r="A636">
        <f t="shared" si="8"/>
        <v>4120000</v>
      </c>
    </row>
    <row r="637" spans="1:1" x14ac:dyDescent="0.2">
      <c r="A637">
        <f t="shared" si="8"/>
        <v>4220000</v>
      </c>
    </row>
    <row r="638" spans="1:1" x14ac:dyDescent="0.2">
      <c r="A638">
        <f t="shared" si="8"/>
        <v>4320000</v>
      </c>
    </row>
    <row r="639" spans="1:1" x14ac:dyDescent="0.2">
      <c r="A639">
        <f t="shared" si="8"/>
        <v>4420000</v>
      </c>
    </row>
    <row r="640" spans="1:1" x14ac:dyDescent="0.2">
      <c r="A640">
        <f t="shared" si="8"/>
        <v>4530000</v>
      </c>
    </row>
    <row r="641" spans="1:1" x14ac:dyDescent="0.2">
      <c r="A641">
        <f t="shared" si="8"/>
        <v>4640000</v>
      </c>
    </row>
    <row r="642" spans="1:1" x14ac:dyDescent="0.2">
      <c r="A642">
        <f t="shared" si="8"/>
        <v>4750000</v>
      </c>
    </row>
    <row r="643" spans="1:1" x14ac:dyDescent="0.2">
      <c r="A643">
        <f t="shared" si="8"/>
        <v>4870000</v>
      </c>
    </row>
    <row r="644" spans="1:1" x14ac:dyDescent="0.2">
      <c r="A644">
        <f t="shared" si="8"/>
        <v>4990000.0000000009</v>
      </c>
    </row>
    <row r="645" spans="1:1" x14ac:dyDescent="0.2">
      <c r="A645">
        <f t="shared" si="8"/>
        <v>5110000</v>
      </c>
    </row>
    <row r="646" spans="1:1" x14ac:dyDescent="0.2">
      <c r="A646">
        <f t="shared" si="8"/>
        <v>5230000</v>
      </c>
    </row>
    <row r="647" spans="1:1" x14ac:dyDescent="0.2">
      <c r="A647">
        <f t="shared" si="8"/>
        <v>5360000</v>
      </c>
    </row>
    <row r="648" spans="1:1" x14ac:dyDescent="0.2">
      <c r="A648">
        <f t="shared" si="8"/>
        <v>5490000</v>
      </c>
    </row>
    <row r="649" spans="1:1" x14ac:dyDescent="0.2">
      <c r="A649">
        <f t="shared" si="8"/>
        <v>5620000</v>
      </c>
    </row>
    <row r="650" spans="1:1" x14ac:dyDescent="0.2">
      <c r="A650">
        <f t="shared" si="8"/>
        <v>5760000</v>
      </c>
    </row>
    <row r="651" spans="1:1" x14ac:dyDescent="0.2">
      <c r="A651">
        <f t="shared" si="8"/>
        <v>5900000</v>
      </c>
    </row>
    <row r="652" spans="1:1" x14ac:dyDescent="0.2">
      <c r="A652">
        <f t="shared" si="8"/>
        <v>6040000</v>
      </c>
    </row>
    <row r="653" spans="1:1" x14ac:dyDescent="0.2">
      <c r="A653">
        <f t="shared" si="8"/>
        <v>6189999.9999999991</v>
      </c>
    </row>
    <row r="654" spans="1:1" x14ac:dyDescent="0.2">
      <c r="A654">
        <f t="shared" si="8"/>
        <v>6340000</v>
      </c>
    </row>
    <row r="655" spans="1:1" x14ac:dyDescent="0.2">
      <c r="A655">
        <f t="shared" si="8"/>
        <v>6490000</v>
      </c>
    </row>
    <row r="656" spans="1:1" x14ac:dyDescent="0.2">
      <c r="A656">
        <f t="shared" si="8"/>
        <v>6650000</v>
      </c>
    </row>
    <row r="657" spans="1:1" x14ac:dyDescent="0.2">
      <c r="A657">
        <f t="shared" si="8"/>
        <v>6810000</v>
      </c>
    </row>
    <row r="658" spans="1:1" x14ac:dyDescent="0.2">
      <c r="A658">
        <f t="shared" si="8"/>
        <v>6980000</v>
      </c>
    </row>
    <row r="659" spans="1:1" x14ac:dyDescent="0.2">
      <c r="A659">
        <f t="shared" si="8"/>
        <v>7150000</v>
      </c>
    </row>
    <row r="660" spans="1:1" x14ac:dyDescent="0.2">
      <c r="A660">
        <f t="shared" si="8"/>
        <v>7320000</v>
      </c>
    </row>
    <row r="661" spans="1:1" x14ac:dyDescent="0.2">
      <c r="A661">
        <f t="shared" si="8"/>
        <v>7500000</v>
      </c>
    </row>
    <row r="662" spans="1:1" x14ac:dyDescent="0.2">
      <c r="A662">
        <f t="shared" si="8"/>
        <v>7680000</v>
      </c>
    </row>
    <row r="663" spans="1:1" x14ac:dyDescent="0.2">
      <c r="A663">
        <f t="shared" si="8"/>
        <v>7870000</v>
      </c>
    </row>
    <row r="664" spans="1:1" x14ac:dyDescent="0.2">
      <c r="A664">
        <f t="shared" si="8"/>
        <v>8060000</v>
      </c>
    </row>
    <row r="665" spans="1:1" x14ac:dyDescent="0.2">
      <c r="A665">
        <f t="shared" si="8"/>
        <v>8250000</v>
      </c>
    </row>
    <row r="666" spans="1:1" x14ac:dyDescent="0.2">
      <c r="A666">
        <f t="shared" si="8"/>
        <v>8450000</v>
      </c>
    </row>
    <row r="667" spans="1:1" x14ac:dyDescent="0.2">
      <c r="A667">
        <f t="shared" si="8"/>
        <v>8660000</v>
      </c>
    </row>
    <row r="668" spans="1:1" x14ac:dyDescent="0.2">
      <c r="A668">
        <f t="shared" si="8"/>
        <v>8870000.0000000019</v>
      </c>
    </row>
    <row r="669" spans="1:1" x14ac:dyDescent="0.2">
      <c r="A669">
        <f t="shared" si="8"/>
        <v>9090000</v>
      </c>
    </row>
    <row r="670" spans="1:1" x14ac:dyDescent="0.2">
      <c r="A670">
        <f t="shared" si="8"/>
        <v>9310000</v>
      </c>
    </row>
    <row r="671" spans="1:1" x14ac:dyDescent="0.2">
      <c r="A671">
        <f t="shared" si="8"/>
        <v>9530000</v>
      </c>
    </row>
    <row r="672" spans="1:1" x14ac:dyDescent="0.2">
      <c r="A672">
        <f t="shared" si="8"/>
        <v>9760000</v>
      </c>
    </row>
    <row r="673" spans="1:1" x14ac:dyDescent="0.2">
      <c r="A673">
        <f t="shared" si="8"/>
        <v>10000000</v>
      </c>
    </row>
    <row r="674" spans="1:1" x14ac:dyDescent="0.2">
      <c r="A674">
        <f t="shared" ref="A674:A737" si="9">A578*10</f>
        <v>10200000</v>
      </c>
    </row>
    <row r="675" spans="1:1" x14ac:dyDescent="0.2">
      <c r="A675">
        <f t="shared" si="9"/>
        <v>10500000</v>
      </c>
    </row>
    <row r="676" spans="1:1" x14ac:dyDescent="0.2">
      <c r="A676">
        <f t="shared" si="9"/>
        <v>10700000</v>
      </c>
    </row>
    <row r="677" spans="1:1" x14ac:dyDescent="0.2">
      <c r="A677">
        <f t="shared" si="9"/>
        <v>11000000</v>
      </c>
    </row>
    <row r="678" spans="1:1" x14ac:dyDescent="0.2">
      <c r="A678">
        <f t="shared" si="9"/>
        <v>11300000</v>
      </c>
    </row>
    <row r="679" spans="1:1" x14ac:dyDescent="0.2">
      <c r="A679">
        <f t="shared" si="9"/>
        <v>11500000</v>
      </c>
    </row>
    <row r="680" spans="1:1" x14ac:dyDescent="0.2">
      <c r="A680">
        <f t="shared" si="9"/>
        <v>11800000</v>
      </c>
    </row>
    <row r="681" spans="1:1" x14ac:dyDescent="0.2">
      <c r="A681">
        <f t="shared" si="9"/>
        <v>12100000</v>
      </c>
    </row>
    <row r="682" spans="1:1" x14ac:dyDescent="0.2">
      <c r="A682">
        <f t="shared" si="9"/>
        <v>12400000</v>
      </c>
    </row>
    <row r="683" spans="1:1" x14ac:dyDescent="0.2">
      <c r="A683">
        <f t="shared" si="9"/>
        <v>12700000</v>
      </c>
    </row>
    <row r="684" spans="1:1" x14ac:dyDescent="0.2">
      <c r="A684">
        <f t="shared" si="9"/>
        <v>13000000</v>
      </c>
    </row>
    <row r="685" spans="1:1" x14ac:dyDescent="0.2">
      <c r="A685">
        <f t="shared" si="9"/>
        <v>13300000</v>
      </c>
    </row>
    <row r="686" spans="1:1" x14ac:dyDescent="0.2">
      <c r="A686">
        <f t="shared" si="9"/>
        <v>13700000</v>
      </c>
    </row>
    <row r="687" spans="1:1" x14ac:dyDescent="0.2">
      <c r="A687">
        <f t="shared" si="9"/>
        <v>14000000</v>
      </c>
    </row>
    <row r="688" spans="1:1" x14ac:dyDescent="0.2">
      <c r="A688">
        <f t="shared" si="9"/>
        <v>14300000</v>
      </c>
    </row>
    <row r="689" spans="1:1" x14ac:dyDescent="0.2">
      <c r="A689">
        <f t="shared" si="9"/>
        <v>14700000</v>
      </c>
    </row>
    <row r="690" spans="1:1" x14ac:dyDescent="0.2">
      <c r="A690">
        <f t="shared" si="9"/>
        <v>15000000</v>
      </c>
    </row>
    <row r="691" spans="1:1" x14ac:dyDescent="0.2">
      <c r="A691">
        <f t="shared" si="9"/>
        <v>15400000</v>
      </c>
    </row>
    <row r="692" spans="1:1" x14ac:dyDescent="0.2">
      <c r="A692">
        <f t="shared" si="9"/>
        <v>15800000</v>
      </c>
    </row>
    <row r="693" spans="1:1" x14ac:dyDescent="0.2">
      <c r="A693">
        <f t="shared" si="9"/>
        <v>16200000</v>
      </c>
    </row>
    <row r="694" spans="1:1" x14ac:dyDescent="0.2">
      <c r="A694">
        <f t="shared" si="9"/>
        <v>16500000</v>
      </c>
    </row>
    <row r="695" spans="1:1" x14ac:dyDescent="0.2">
      <c r="A695">
        <f t="shared" si="9"/>
        <v>16900000</v>
      </c>
    </row>
    <row r="696" spans="1:1" x14ac:dyDescent="0.2">
      <c r="A696">
        <f t="shared" si="9"/>
        <v>17400000</v>
      </c>
    </row>
    <row r="697" spans="1:1" x14ac:dyDescent="0.2">
      <c r="A697">
        <f t="shared" si="9"/>
        <v>17800000</v>
      </c>
    </row>
    <row r="698" spans="1:1" x14ac:dyDescent="0.2">
      <c r="A698">
        <f t="shared" si="9"/>
        <v>18200000</v>
      </c>
    </row>
    <row r="699" spans="1:1" x14ac:dyDescent="0.2">
      <c r="A699">
        <f t="shared" si="9"/>
        <v>18700000</v>
      </c>
    </row>
    <row r="700" spans="1:1" x14ac:dyDescent="0.2">
      <c r="A700">
        <f t="shared" si="9"/>
        <v>19100000</v>
      </c>
    </row>
    <row r="701" spans="1:1" x14ac:dyDescent="0.2">
      <c r="A701">
        <f t="shared" si="9"/>
        <v>19600000</v>
      </c>
    </row>
    <row r="702" spans="1:1" x14ac:dyDescent="0.2">
      <c r="A702">
        <f t="shared" si="9"/>
        <v>20000000</v>
      </c>
    </row>
    <row r="703" spans="1:1" x14ac:dyDescent="0.2">
      <c r="A703">
        <f t="shared" si="9"/>
        <v>20500000</v>
      </c>
    </row>
    <row r="704" spans="1:1" x14ac:dyDescent="0.2">
      <c r="A704">
        <f t="shared" si="9"/>
        <v>21000000</v>
      </c>
    </row>
    <row r="705" spans="1:1" x14ac:dyDescent="0.2">
      <c r="A705">
        <f t="shared" si="9"/>
        <v>21500000</v>
      </c>
    </row>
    <row r="706" spans="1:1" x14ac:dyDescent="0.2">
      <c r="A706">
        <f t="shared" si="9"/>
        <v>22100000</v>
      </c>
    </row>
    <row r="707" spans="1:1" x14ac:dyDescent="0.2">
      <c r="A707">
        <f t="shared" si="9"/>
        <v>22600000</v>
      </c>
    </row>
    <row r="708" spans="1:1" x14ac:dyDescent="0.2">
      <c r="A708">
        <f t="shared" si="9"/>
        <v>23200000</v>
      </c>
    </row>
    <row r="709" spans="1:1" x14ac:dyDescent="0.2">
      <c r="A709">
        <f t="shared" si="9"/>
        <v>23700000.000000004</v>
      </c>
    </row>
    <row r="710" spans="1:1" x14ac:dyDescent="0.2">
      <c r="A710">
        <f t="shared" si="9"/>
        <v>24300000</v>
      </c>
    </row>
    <row r="711" spans="1:1" x14ac:dyDescent="0.2">
      <c r="A711">
        <f t="shared" si="9"/>
        <v>24900000</v>
      </c>
    </row>
    <row r="712" spans="1:1" x14ac:dyDescent="0.2">
      <c r="A712">
        <f t="shared" si="9"/>
        <v>25500000</v>
      </c>
    </row>
    <row r="713" spans="1:1" x14ac:dyDescent="0.2">
      <c r="A713">
        <f t="shared" si="9"/>
        <v>26100000</v>
      </c>
    </row>
    <row r="714" spans="1:1" x14ac:dyDescent="0.2">
      <c r="A714">
        <f t="shared" si="9"/>
        <v>26700000</v>
      </c>
    </row>
    <row r="715" spans="1:1" x14ac:dyDescent="0.2">
      <c r="A715">
        <f t="shared" si="9"/>
        <v>27400000</v>
      </c>
    </row>
    <row r="716" spans="1:1" x14ac:dyDescent="0.2">
      <c r="A716">
        <f t="shared" si="9"/>
        <v>28000000</v>
      </c>
    </row>
    <row r="717" spans="1:1" x14ac:dyDescent="0.2">
      <c r="A717">
        <f t="shared" si="9"/>
        <v>28700000</v>
      </c>
    </row>
    <row r="718" spans="1:1" x14ac:dyDescent="0.2">
      <c r="A718">
        <f t="shared" si="9"/>
        <v>29400000</v>
      </c>
    </row>
    <row r="719" spans="1:1" x14ac:dyDescent="0.2">
      <c r="A719">
        <f t="shared" si="9"/>
        <v>30100000</v>
      </c>
    </row>
    <row r="720" spans="1:1" x14ac:dyDescent="0.2">
      <c r="A720">
        <f t="shared" si="9"/>
        <v>30900000</v>
      </c>
    </row>
    <row r="721" spans="1:1" x14ac:dyDescent="0.2">
      <c r="A721">
        <f t="shared" si="9"/>
        <v>31600000</v>
      </c>
    </row>
    <row r="722" spans="1:1" x14ac:dyDescent="0.2">
      <c r="A722">
        <f t="shared" si="9"/>
        <v>32400000</v>
      </c>
    </row>
    <row r="723" spans="1:1" x14ac:dyDescent="0.2">
      <c r="A723">
        <f t="shared" si="9"/>
        <v>33200000</v>
      </c>
    </row>
    <row r="724" spans="1:1" x14ac:dyDescent="0.2">
      <c r="A724">
        <f t="shared" si="9"/>
        <v>34000000</v>
      </c>
    </row>
    <row r="725" spans="1:1" x14ac:dyDescent="0.2">
      <c r="A725">
        <f t="shared" si="9"/>
        <v>34800000</v>
      </c>
    </row>
    <row r="726" spans="1:1" x14ac:dyDescent="0.2">
      <c r="A726">
        <f t="shared" si="9"/>
        <v>35700000</v>
      </c>
    </row>
    <row r="727" spans="1:1" x14ac:dyDescent="0.2">
      <c r="A727">
        <f t="shared" si="9"/>
        <v>36500000</v>
      </c>
    </row>
    <row r="728" spans="1:1" x14ac:dyDescent="0.2">
      <c r="A728">
        <f t="shared" si="9"/>
        <v>37400000</v>
      </c>
    </row>
    <row r="729" spans="1:1" x14ac:dyDescent="0.2">
      <c r="A729">
        <f t="shared" si="9"/>
        <v>38300000</v>
      </c>
    </row>
    <row r="730" spans="1:1" x14ac:dyDescent="0.2">
      <c r="A730">
        <f t="shared" si="9"/>
        <v>39200000</v>
      </c>
    </row>
    <row r="731" spans="1:1" x14ac:dyDescent="0.2">
      <c r="A731">
        <f t="shared" si="9"/>
        <v>40200000</v>
      </c>
    </row>
    <row r="732" spans="1:1" x14ac:dyDescent="0.2">
      <c r="A732">
        <f t="shared" si="9"/>
        <v>41200000</v>
      </c>
    </row>
    <row r="733" spans="1:1" x14ac:dyDescent="0.2">
      <c r="A733">
        <f t="shared" si="9"/>
        <v>42200000</v>
      </c>
    </row>
    <row r="734" spans="1:1" x14ac:dyDescent="0.2">
      <c r="A734">
        <f t="shared" si="9"/>
        <v>43200000</v>
      </c>
    </row>
    <row r="735" spans="1:1" x14ac:dyDescent="0.2">
      <c r="A735">
        <f t="shared" si="9"/>
        <v>44200000</v>
      </c>
    </row>
    <row r="736" spans="1:1" x14ac:dyDescent="0.2">
      <c r="A736">
        <f t="shared" si="9"/>
        <v>45300000</v>
      </c>
    </row>
    <row r="737" spans="1:1" x14ac:dyDescent="0.2">
      <c r="A737">
        <f t="shared" si="9"/>
        <v>46400000</v>
      </c>
    </row>
    <row r="738" spans="1:1" x14ac:dyDescent="0.2">
      <c r="A738">
        <f t="shared" ref="A738:A769" si="10">A642*10</f>
        <v>47500000</v>
      </c>
    </row>
    <row r="739" spans="1:1" x14ac:dyDescent="0.2">
      <c r="A739">
        <f t="shared" si="10"/>
        <v>48700000</v>
      </c>
    </row>
    <row r="740" spans="1:1" x14ac:dyDescent="0.2">
      <c r="A740">
        <f t="shared" si="10"/>
        <v>49900000.000000007</v>
      </c>
    </row>
    <row r="741" spans="1:1" x14ac:dyDescent="0.2">
      <c r="A741">
        <f t="shared" si="10"/>
        <v>51100000</v>
      </c>
    </row>
    <row r="742" spans="1:1" x14ac:dyDescent="0.2">
      <c r="A742">
        <f t="shared" si="10"/>
        <v>52300000</v>
      </c>
    </row>
    <row r="743" spans="1:1" x14ac:dyDescent="0.2">
      <c r="A743">
        <f t="shared" si="10"/>
        <v>53600000</v>
      </c>
    </row>
    <row r="744" spans="1:1" x14ac:dyDescent="0.2">
      <c r="A744">
        <f t="shared" si="10"/>
        <v>54900000</v>
      </c>
    </row>
    <row r="745" spans="1:1" x14ac:dyDescent="0.2">
      <c r="A745">
        <f t="shared" si="10"/>
        <v>56200000</v>
      </c>
    </row>
    <row r="746" spans="1:1" x14ac:dyDescent="0.2">
      <c r="A746">
        <f t="shared" si="10"/>
        <v>57600000</v>
      </c>
    </row>
    <row r="747" spans="1:1" x14ac:dyDescent="0.2">
      <c r="A747">
        <f t="shared" si="10"/>
        <v>59000000</v>
      </c>
    </row>
    <row r="748" spans="1:1" x14ac:dyDescent="0.2">
      <c r="A748">
        <f t="shared" si="10"/>
        <v>60400000</v>
      </c>
    </row>
    <row r="749" spans="1:1" x14ac:dyDescent="0.2">
      <c r="A749">
        <f t="shared" si="10"/>
        <v>61899999.999999993</v>
      </c>
    </row>
    <row r="750" spans="1:1" x14ac:dyDescent="0.2">
      <c r="A750">
        <f t="shared" si="10"/>
        <v>63400000</v>
      </c>
    </row>
    <row r="751" spans="1:1" x14ac:dyDescent="0.2">
      <c r="A751">
        <f t="shared" si="10"/>
        <v>64900000</v>
      </c>
    </row>
    <row r="752" spans="1:1" x14ac:dyDescent="0.2">
      <c r="A752">
        <f t="shared" si="10"/>
        <v>66500000</v>
      </c>
    </row>
    <row r="753" spans="1:1" x14ac:dyDescent="0.2">
      <c r="A753">
        <f t="shared" si="10"/>
        <v>68100000</v>
      </c>
    </row>
    <row r="754" spans="1:1" x14ac:dyDescent="0.2">
      <c r="A754">
        <f t="shared" si="10"/>
        <v>69800000</v>
      </c>
    </row>
    <row r="755" spans="1:1" x14ac:dyDescent="0.2">
      <c r="A755">
        <f t="shared" si="10"/>
        <v>71500000</v>
      </c>
    </row>
    <row r="756" spans="1:1" x14ac:dyDescent="0.2">
      <c r="A756">
        <f t="shared" si="10"/>
        <v>73200000</v>
      </c>
    </row>
    <row r="757" spans="1:1" x14ac:dyDescent="0.2">
      <c r="A757">
        <f t="shared" si="10"/>
        <v>75000000</v>
      </c>
    </row>
    <row r="758" spans="1:1" x14ac:dyDescent="0.2">
      <c r="A758">
        <f t="shared" si="10"/>
        <v>76800000</v>
      </c>
    </row>
    <row r="759" spans="1:1" x14ac:dyDescent="0.2">
      <c r="A759">
        <f t="shared" si="10"/>
        <v>78700000</v>
      </c>
    </row>
    <row r="760" spans="1:1" x14ac:dyDescent="0.2">
      <c r="A760">
        <f t="shared" si="10"/>
        <v>80600000</v>
      </c>
    </row>
    <row r="761" spans="1:1" x14ac:dyDescent="0.2">
      <c r="A761">
        <f t="shared" si="10"/>
        <v>82500000</v>
      </c>
    </row>
    <row r="762" spans="1:1" x14ac:dyDescent="0.2">
      <c r="A762">
        <f t="shared" si="10"/>
        <v>84500000</v>
      </c>
    </row>
    <row r="763" spans="1:1" x14ac:dyDescent="0.2">
      <c r="A763">
        <f t="shared" si="10"/>
        <v>86600000</v>
      </c>
    </row>
    <row r="764" spans="1:1" x14ac:dyDescent="0.2">
      <c r="A764">
        <f t="shared" si="10"/>
        <v>88700000.000000015</v>
      </c>
    </row>
    <row r="765" spans="1:1" x14ac:dyDescent="0.2">
      <c r="A765">
        <f t="shared" si="10"/>
        <v>90900000</v>
      </c>
    </row>
    <row r="766" spans="1:1" x14ac:dyDescent="0.2">
      <c r="A766">
        <f t="shared" si="10"/>
        <v>93100000</v>
      </c>
    </row>
    <row r="767" spans="1:1" x14ac:dyDescent="0.2">
      <c r="A767">
        <f t="shared" si="10"/>
        <v>95300000</v>
      </c>
    </row>
    <row r="768" spans="1:1" x14ac:dyDescent="0.2">
      <c r="A768">
        <f t="shared" si="10"/>
        <v>97600000</v>
      </c>
    </row>
    <row r="769" spans="1:1" x14ac:dyDescent="0.2">
      <c r="A769">
        <f t="shared" si="10"/>
        <v>100000000</v>
      </c>
    </row>
  </sheetData>
  <phoneticPr fontId="48"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C8"/>
  <sheetViews>
    <sheetView topLeftCell="A3" zoomScale="85" zoomScaleNormal="85" workbookViewId="0">
      <selection activeCell="A9" sqref="A9"/>
    </sheetView>
  </sheetViews>
  <sheetFormatPr defaultRowHeight="12.75" x14ac:dyDescent="0.2"/>
  <cols>
    <col min="1" max="1" width="106.42578125" customWidth="1"/>
    <col min="2" max="2" width="14.42578125" bestFit="1" customWidth="1"/>
  </cols>
  <sheetData>
    <row r="1" spans="1:3" ht="401.45" customHeight="1" x14ac:dyDescent="0.2">
      <c r="A1" s="1"/>
      <c r="B1" s="1" t="s">
        <v>385</v>
      </c>
      <c r="C1" s="1"/>
    </row>
    <row r="2" spans="1:3" ht="349.15" customHeight="1" x14ac:dyDescent="0.2">
      <c r="A2" s="1"/>
      <c r="B2" s="1" t="s">
        <v>440</v>
      </c>
      <c r="C2" s="1"/>
    </row>
    <row r="3" spans="1:3" ht="136.15" customHeight="1" x14ac:dyDescent="0.2">
      <c r="A3" s="158" t="s">
        <v>513</v>
      </c>
      <c r="B3" s="1" t="s">
        <v>512</v>
      </c>
      <c r="C3" s="1"/>
    </row>
    <row r="4" spans="1:3" x14ac:dyDescent="0.2">
      <c r="A4" s="1"/>
      <c r="B4" s="1"/>
      <c r="C4" s="1"/>
    </row>
    <row r="5" spans="1:3" x14ac:dyDescent="0.2">
      <c r="A5" s="1"/>
      <c r="B5" s="1"/>
      <c r="C5" s="1"/>
    </row>
    <row r="6" spans="1:3" x14ac:dyDescent="0.2">
      <c r="A6" s="1"/>
      <c r="B6" s="1"/>
      <c r="C6" s="1"/>
    </row>
    <row r="7" spans="1:3" x14ac:dyDescent="0.2">
      <c r="A7" s="1"/>
      <c r="B7" s="1"/>
      <c r="C7" s="1"/>
    </row>
    <row r="8" spans="1:3" x14ac:dyDescent="0.2">
      <c r="A8" s="1"/>
      <c r="B8" s="1"/>
      <c r="C8" s="1"/>
    </row>
  </sheetData>
  <phoneticPr fontId="48" type="noConversion"/>
  <pageMargins left="0.7" right="0.7" top="0.75" bottom="0.75" header="0.3" footer="0.3"/>
  <pageSetup orientation="portrait" r:id="rId1"/>
  <drawing r:id="rId2"/>
  <legacyDrawing r:id="rId3"/>
  <oleObjects>
    <mc:AlternateContent xmlns:mc="http://schemas.openxmlformats.org/markup-compatibility/2006">
      <mc:Choice Requires="x14">
        <oleObject progId="Visio.Drawing.15" shapeId="6145" r:id="rId4">
          <objectPr defaultSize="0" r:id="rId5">
            <anchor moveWithCells="1">
              <from>
                <xdr:col>0</xdr:col>
                <xdr:colOff>57150</xdr:colOff>
                <xdr:row>0</xdr:row>
                <xdr:rowOff>76200</xdr:rowOff>
              </from>
              <to>
                <xdr:col>0</xdr:col>
                <xdr:colOff>7200900</xdr:colOff>
                <xdr:row>0</xdr:row>
                <xdr:rowOff>4943475</xdr:rowOff>
              </to>
            </anchor>
          </objectPr>
        </oleObject>
      </mc:Choice>
      <mc:Fallback>
        <oleObject progId="Visio.Drawing.15" shapeId="6145" r:id="rId4"/>
      </mc:Fallback>
    </mc:AlternateContent>
    <mc:AlternateContent xmlns:mc="http://schemas.openxmlformats.org/markup-compatibility/2006">
      <mc:Choice Requires="x14">
        <oleObject progId="Visio.Drawing.15" shapeId="6147" r:id="rId6">
          <objectPr defaultSize="0" autoPict="0" r:id="rId7">
            <anchor moveWithCells="1">
              <from>
                <xdr:col>0</xdr:col>
                <xdr:colOff>66675</xdr:colOff>
                <xdr:row>1</xdr:row>
                <xdr:rowOff>57150</xdr:rowOff>
              </from>
              <to>
                <xdr:col>0</xdr:col>
                <xdr:colOff>7181850</xdr:colOff>
                <xdr:row>1</xdr:row>
                <xdr:rowOff>4352925</xdr:rowOff>
              </to>
            </anchor>
          </objectPr>
        </oleObject>
      </mc:Choice>
      <mc:Fallback>
        <oleObject progId="Visio.Drawing.15" shapeId="6147" r:id="rId6"/>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F139"/>
  <sheetViews>
    <sheetView topLeftCell="R89" zoomScale="85" zoomScaleNormal="85" workbookViewId="0">
      <selection activeCell="V138" sqref="V138"/>
    </sheetView>
  </sheetViews>
  <sheetFormatPr defaultRowHeight="12.75" x14ac:dyDescent="0.2"/>
  <cols>
    <col min="1" max="1" width="113.28515625" customWidth="1"/>
    <col min="2" max="2" width="14.5703125" bestFit="1" customWidth="1"/>
    <col min="3" max="3" width="10" bestFit="1" customWidth="1"/>
    <col min="5" max="5" width="8.28515625" bestFit="1" customWidth="1"/>
    <col min="6" max="6" width="14.28515625" bestFit="1" customWidth="1"/>
    <col min="7" max="7" width="13.85546875" customWidth="1"/>
    <col min="8" max="8" width="14.140625" customWidth="1"/>
    <col min="9" max="9" width="20.42578125" bestFit="1" customWidth="1"/>
    <col min="10" max="10" width="22.42578125" bestFit="1" customWidth="1"/>
    <col min="11" max="11" width="19.5703125" customWidth="1"/>
    <col min="12" max="12" width="13" customWidth="1"/>
    <col min="13" max="13" width="19.5703125" customWidth="1"/>
    <col min="14" max="14" width="14.5703125" bestFit="1" customWidth="1"/>
    <col min="15" max="15" width="16.5703125" bestFit="1" customWidth="1"/>
    <col min="16" max="16" width="16.28515625" customWidth="1"/>
    <col min="17" max="17" width="18" customWidth="1"/>
    <col min="18" max="18" width="15.28515625" customWidth="1"/>
    <col min="19" max="19" width="15" customWidth="1"/>
    <col min="20" max="20" width="17.140625" bestFit="1" customWidth="1"/>
    <col min="21" max="21" width="17.140625" customWidth="1"/>
    <col min="22" max="22" width="17.7109375" customWidth="1"/>
    <col min="23" max="25" width="16" customWidth="1"/>
    <col min="27" max="27" width="22" customWidth="1"/>
    <col min="28" max="28" width="22.7109375" bestFit="1" customWidth="1"/>
    <col min="29" max="29" width="19.140625" bestFit="1" customWidth="1"/>
    <col min="30" max="30" width="21.140625" bestFit="1" customWidth="1"/>
    <col min="31" max="31" width="19.85546875" customWidth="1"/>
    <col min="32" max="32" width="20.5703125" customWidth="1"/>
    <col min="35" max="35" width="11.42578125" bestFit="1" customWidth="1"/>
    <col min="36" max="36" width="9.5703125" bestFit="1" customWidth="1"/>
    <col min="37" max="37" width="11.28515625" customWidth="1"/>
    <col min="38" max="38" width="9.5703125" bestFit="1" customWidth="1"/>
    <col min="39" max="39" width="11.42578125" bestFit="1" customWidth="1"/>
    <col min="41" max="42" width="13.140625" bestFit="1" customWidth="1"/>
    <col min="44" max="44" width="11.42578125" bestFit="1" customWidth="1"/>
    <col min="49" max="49" width="15.7109375" bestFit="1" customWidth="1"/>
    <col min="50" max="50" width="15.42578125" customWidth="1"/>
    <col min="51" max="51" width="14.85546875" customWidth="1"/>
    <col min="52" max="52" width="15.5703125" bestFit="1" customWidth="1"/>
    <col min="53" max="54" width="17.140625" customWidth="1"/>
    <col min="55" max="55" width="18.7109375" customWidth="1"/>
    <col min="56" max="56" width="23.7109375" customWidth="1"/>
    <col min="57" max="57" width="20.85546875" customWidth="1"/>
    <col min="58" max="58" width="22" customWidth="1"/>
    <col min="59" max="59" width="22.7109375" customWidth="1"/>
    <col min="60" max="60" width="21.7109375" customWidth="1"/>
    <col min="61" max="61" width="19.28515625" customWidth="1"/>
    <col min="64" max="64" width="10.7109375" bestFit="1" customWidth="1"/>
    <col min="66" max="66" width="14.85546875" bestFit="1" customWidth="1"/>
    <col min="68" max="68" width="10.42578125" bestFit="1" customWidth="1"/>
    <col min="73" max="73" width="12.28515625" customWidth="1"/>
    <col min="83" max="83" width="112.7109375" customWidth="1"/>
  </cols>
  <sheetData>
    <row r="1" spans="1:84" ht="372.6" customHeight="1" x14ac:dyDescent="0.2">
      <c r="A1" s="1"/>
      <c r="B1" s="1"/>
      <c r="CD1" s="1"/>
      <c r="CE1" s="1"/>
      <c r="CF1" s="1"/>
    </row>
    <row r="2" spans="1:84" ht="16.149999999999999" customHeight="1" x14ac:dyDescent="0.2">
      <c r="A2" s="1" t="s">
        <v>433</v>
      </c>
      <c r="B2" s="1"/>
      <c r="CD2" s="1"/>
      <c r="CE2" s="1" t="s">
        <v>439</v>
      </c>
      <c r="CF2" s="1"/>
    </row>
    <row r="3" spans="1:84" ht="18" x14ac:dyDescent="0.25">
      <c r="AJ3" s="136" t="str">
        <f>"Phase Margin = "&amp;ROUND(AJ8,0)&amp;" °"</f>
        <v>Phase Margin = 63 °</v>
      </c>
      <c r="AK3" s="46"/>
      <c r="AM3" s="46"/>
      <c r="AO3" s="137" t="str">
        <f>"Gain Margin = "&amp;-1*ROUND(AL8,1)&amp;" dB"</f>
        <v>Gain Margin = 44.2 dB</v>
      </c>
      <c r="BM3" s="136" t="str">
        <f>"Phase Margin = "&amp;ROUND(BM8,0)&amp;" °"</f>
        <v>Phase Margin = 61 °</v>
      </c>
      <c r="BN3" s="46"/>
      <c r="BP3" s="46"/>
      <c r="BR3" s="137" t="str">
        <f>"Gain Margin = "&amp;-1*ROUND(BO8,1)&amp;" dB"</f>
        <v>Gain Margin = 41.5 dB</v>
      </c>
    </row>
    <row r="5" spans="1:84" ht="13.5" thickBot="1" x14ac:dyDescent="0.25"/>
    <row r="6" spans="1:84" ht="27.75" x14ac:dyDescent="0.35">
      <c r="AI6" s="135" t="s">
        <v>438</v>
      </c>
      <c r="AJ6" s="39" t="s">
        <v>430</v>
      </c>
      <c r="AK6" s="39" t="s">
        <v>431</v>
      </c>
      <c r="AL6" s="129" t="s">
        <v>224</v>
      </c>
      <c r="AM6" s="134" t="s">
        <v>434</v>
      </c>
      <c r="AN6" s="131"/>
      <c r="AO6" s="135" t="s">
        <v>435</v>
      </c>
      <c r="AP6" s="134" t="s">
        <v>437</v>
      </c>
      <c r="AQ6" s="131"/>
      <c r="AR6" s="134" t="s">
        <v>436</v>
      </c>
      <c r="AS6" s="131"/>
      <c r="BL6" s="135" t="s">
        <v>438</v>
      </c>
      <c r="BM6" s="39" t="s">
        <v>430</v>
      </c>
      <c r="BN6" s="39" t="s">
        <v>431</v>
      </c>
      <c r="BO6" s="129" t="s">
        <v>224</v>
      </c>
      <c r="BP6" s="134" t="s">
        <v>456</v>
      </c>
      <c r="BQ6" s="131"/>
      <c r="BR6" s="135" t="s">
        <v>435</v>
      </c>
      <c r="BS6" s="134" t="s">
        <v>437</v>
      </c>
      <c r="BT6" s="131"/>
      <c r="BU6" s="134" t="s">
        <v>436</v>
      </c>
      <c r="BV6" s="131"/>
      <c r="BX6" s="155" t="s">
        <v>490</v>
      </c>
    </row>
    <row r="7" spans="1:84" ht="13.5" thickBot="1" x14ac:dyDescent="0.25">
      <c r="D7" s="56"/>
      <c r="E7" s="56"/>
      <c r="F7" s="56"/>
      <c r="G7" s="58"/>
      <c r="H7" s="59"/>
      <c r="I7" s="56"/>
      <c r="AH7" t="s">
        <v>428</v>
      </c>
      <c r="AI7">
        <v>0</v>
      </c>
      <c r="AJ7" s="125">
        <f>AI8</f>
        <v>1456.4077155106802</v>
      </c>
      <c r="AK7">
        <v>-180</v>
      </c>
      <c r="AL7" s="47">
        <f>AK8</f>
        <v>122682.17545020494</v>
      </c>
      <c r="AM7" s="132">
        <v>-45</v>
      </c>
      <c r="AN7" s="133">
        <v>-45</v>
      </c>
      <c r="AO7">
        <v>-45</v>
      </c>
      <c r="AP7" s="132">
        <v>-45</v>
      </c>
      <c r="AQ7" s="133">
        <v>-45</v>
      </c>
      <c r="AR7" s="132">
        <v>-45</v>
      </c>
      <c r="AS7" s="133">
        <v>-45</v>
      </c>
      <c r="BK7" t="s">
        <v>428</v>
      </c>
      <c r="BL7">
        <v>0</v>
      </c>
      <c r="BM7" s="125">
        <f>BL8</f>
        <v>1329.9665787869264</v>
      </c>
      <c r="BN7">
        <v>-180</v>
      </c>
      <c r="BO7" s="47">
        <f>BN8</f>
        <v>84122.163901935608</v>
      </c>
      <c r="BP7" s="132">
        <v>-45</v>
      </c>
      <c r="BQ7" s="133">
        <v>-45</v>
      </c>
      <c r="BR7">
        <v>-45</v>
      </c>
      <c r="BS7" s="132">
        <v>-45</v>
      </c>
      <c r="BT7" s="133">
        <v>-45</v>
      </c>
      <c r="BU7" s="132">
        <v>-45</v>
      </c>
      <c r="BV7" s="133">
        <v>-45</v>
      </c>
      <c r="BX7">
        <f>f.p_imon</f>
        <v>125.31887890011646</v>
      </c>
    </row>
    <row r="8" spans="1:84" x14ac:dyDescent="0.2">
      <c r="D8" s="39"/>
      <c r="E8" s="39"/>
      <c r="F8" s="39"/>
      <c r="G8" s="58"/>
      <c r="H8" s="60"/>
      <c r="I8" s="39"/>
      <c r="AH8" t="s">
        <v>429</v>
      </c>
      <c r="AI8" s="126">
        <f>SUM(AI12:AI138)</f>
        <v>1456.4077155106802</v>
      </c>
      <c r="AJ8" s="126">
        <f>180+SUM(AJ12:AJ138)</f>
        <v>63.151255218855141</v>
      </c>
      <c r="AK8" s="127">
        <f t="shared" ref="AK8:AQ8" si="0">SUM(AK12:AK138)</f>
        <v>122682.17545020494</v>
      </c>
      <c r="AL8" s="128">
        <f t="shared" si="0"/>
        <v>-44.233285156229314</v>
      </c>
      <c r="AM8" s="126">
        <f t="shared" si="0"/>
        <v>237.16661269547845</v>
      </c>
      <c r="AN8" s="126">
        <f t="shared" si="0"/>
        <v>24.025700652276363</v>
      </c>
      <c r="AO8" s="126">
        <f t="shared" si="0"/>
        <v>19841.292546311488</v>
      </c>
      <c r="AP8" s="126">
        <f>f.z_err</f>
        <v>1026.1442695238425</v>
      </c>
      <c r="AQ8" s="126">
        <f t="shared" si="0"/>
        <v>4.1703312769405434</v>
      </c>
      <c r="AR8" s="126">
        <f>MAX(AR12:AR138)</f>
        <v>128421.0193317869</v>
      </c>
      <c r="AS8" s="126">
        <f>MIN(AS12:AS138)</f>
        <v>-44.994422057952619</v>
      </c>
      <c r="BK8" t="s">
        <v>429</v>
      </c>
      <c r="BL8" s="126">
        <f>SUM(BL12:BL138)</f>
        <v>1329.9665787869264</v>
      </c>
      <c r="BM8" s="126">
        <f>180+SUM(BM12:BM138)</f>
        <v>61.179135116646449</v>
      </c>
      <c r="BN8" s="127">
        <f>SUM(BN12:BN138)</f>
        <v>84122.163901935608</v>
      </c>
      <c r="BO8" s="128">
        <f>SUM(BO12:BO138)</f>
        <v>-41.454389182645883</v>
      </c>
      <c r="BP8" s="126">
        <f>SUM(BP12:BP138)</f>
        <v>17224.945132971054</v>
      </c>
      <c r="BQ8" s="126">
        <f>SUM(BQ12:BQ138)</f>
        <v>-24.209163599073204</v>
      </c>
      <c r="BR8" s="126">
        <f>SUM(BR12:BR138)</f>
        <v>0</v>
      </c>
      <c r="BS8" s="126">
        <f>f.z_err</f>
        <v>1026.1442695238425</v>
      </c>
      <c r="BT8" s="126">
        <f>AQ8</f>
        <v>4.1703312769405434</v>
      </c>
      <c r="BU8" s="126">
        <f>MAX(BU12:BU138)</f>
        <v>128421.0193317869</v>
      </c>
      <c r="BV8" s="126">
        <f>SUM(BV12:BV138)</f>
        <v>-44.263075824402314</v>
      </c>
      <c r="BX8" s="128">
        <f>SUM(BX12:BX138)</f>
        <v>30.02991387111495</v>
      </c>
    </row>
    <row r="9" spans="1:84" x14ac:dyDescent="0.2">
      <c r="G9" s="58"/>
      <c r="H9" s="58"/>
      <c r="I9" s="57"/>
      <c r="AI9" t="s">
        <v>386</v>
      </c>
      <c r="AJ9" t="s">
        <v>430</v>
      </c>
      <c r="AK9" t="s">
        <v>386</v>
      </c>
      <c r="AL9" t="s">
        <v>224</v>
      </c>
      <c r="AM9" t="s">
        <v>386</v>
      </c>
      <c r="AN9" t="s">
        <v>432</v>
      </c>
      <c r="AO9" t="s">
        <v>386</v>
      </c>
      <c r="AP9" t="s">
        <v>386</v>
      </c>
      <c r="AQ9" t="s">
        <v>432</v>
      </c>
      <c r="AR9" t="s">
        <v>386</v>
      </c>
      <c r="AS9" t="s">
        <v>432</v>
      </c>
      <c r="BL9" t="s">
        <v>386</v>
      </c>
      <c r="BM9" t="s">
        <v>430</v>
      </c>
      <c r="BN9" t="s">
        <v>386</v>
      </c>
      <c r="BO9" t="s">
        <v>224</v>
      </c>
      <c r="BP9" t="s">
        <v>386</v>
      </c>
      <c r="BQ9" t="s">
        <v>432</v>
      </c>
      <c r="BR9" t="s">
        <v>386</v>
      </c>
      <c r="BS9" t="s">
        <v>386</v>
      </c>
      <c r="BT9" t="s">
        <v>432</v>
      </c>
      <c r="BU9" t="s">
        <v>386</v>
      </c>
      <c r="BV9" t="s">
        <v>432</v>
      </c>
    </row>
    <row r="10" spans="1:84" x14ac:dyDescent="0.2">
      <c r="G10" s="58"/>
      <c r="H10" s="58"/>
      <c r="AA10" s="140" t="s">
        <v>447</v>
      </c>
      <c r="AB10" s="46"/>
      <c r="AC10" s="46"/>
      <c r="AD10" s="46"/>
      <c r="AE10" s="46"/>
      <c r="AF10" s="46"/>
      <c r="BD10" s="140" t="s">
        <v>450</v>
      </c>
      <c r="BE10" s="46"/>
      <c r="BF10" s="46"/>
      <c r="BG10" s="46"/>
      <c r="BH10" s="46"/>
      <c r="BI10" s="46"/>
    </row>
    <row r="11" spans="1:84" x14ac:dyDescent="0.2">
      <c r="E11" s="116" t="s">
        <v>293</v>
      </c>
      <c r="F11" s="117" t="s">
        <v>386</v>
      </c>
      <c r="G11" s="97" t="s">
        <v>387</v>
      </c>
      <c r="H11" s="98" t="s">
        <v>388</v>
      </c>
      <c r="I11" s="97" t="s">
        <v>400</v>
      </c>
      <c r="J11" s="98" t="s">
        <v>401</v>
      </c>
      <c r="K11" s="116" t="s">
        <v>402</v>
      </c>
      <c r="L11" s="116" t="s">
        <v>411</v>
      </c>
      <c r="M11" s="116" t="s">
        <v>403</v>
      </c>
      <c r="N11" s="97" t="s">
        <v>404</v>
      </c>
      <c r="O11" s="98" t="s">
        <v>405</v>
      </c>
      <c r="P11" s="116" t="s">
        <v>406</v>
      </c>
      <c r="Q11" s="116" t="s">
        <v>407</v>
      </c>
      <c r="R11" s="116" t="s">
        <v>418</v>
      </c>
      <c r="S11" s="116" t="s">
        <v>421</v>
      </c>
      <c r="T11" s="116" t="s">
        <v>408</v>
      </c>
      <c r="U11" s="138" t="s">
        <v>543</v>
      </c>
      <c r="V11" s="97" t="s">
        <v>412</v>
      </c>
      <c r="W11" s="98" t="s">
        <v>413</v>
      </c>
      <c r="X11" s="156" t="s">
        <v>492</v>
      </c>
      <c r="Y11" s="156" t="s">
        <v>493</v>
      </c>
      <c r="AA11" s="121" t="s">
        <v>422</v>
      </c>
      <c r="AB11" s="122" t="s">
        <v>423</v>
      </c>
      <c r="AC11" s="121" t="s">
        <v>424</v>
      </c>
      <c r="AD11" s="122" t="s">
        <v>425</v>
      </c>
      <c r="AE11" s="124" t="s">
        <v>426</v>
      </c>
      <c r="AF11" s="122" t="s">
        <v>427</v>
      </c>
      <c r="AW11" s="116" t="s">
        <v>443</v>
      </c>
      <c r="AX11" s="116" t="s">
        <v>444</v>
      </c>
      <c r="AY11" s="116" t="s">
        <v>445</v>
      </c>
      <c r="AZ11" s="97" t="s">
        <v>448</v>
      </c>
      <c r="BA11" s="98" t="s">
        <v>449</v>
      </c>
      <c r="BB11" s="142" t="s">
        <v>454</v>
      </c>
      <c r="BC11" s="98" t="s">
        <v>455</v>
      </c>
      <c r="BD11" s="121" t="s">
        <v>422</v>
      </c>
      <c r="BE11" s="122" t="s">
        <v>423</v>
      </c>
      <c r="BF11" s="121" t="s">
        <v>451</v>
      </c>
      <c r="BG11" s="122" t="s">
        <v>452</v>
      </c>
      <c r="BH11" s="124" t="s">
        <v>426</v>
      </c>
      <c r="BI11" s="122" t="s">
        <v>427</v>
      </c>
    </row>
    <row r="12" spans="1:84" x14ac:dyDescent="0.2">
      <c r="C12" t="s">
        <v>391</v>
      </c>
      <c r="D12" s="57">
        <f>V.slope_typ*f.sw</f>
        <v>45000</v>
      </c>
      <c r="E12">
        <v>1</v>
      </c>
      <c r="F12">
        <v>1</v>
      </c>
      <c r="G12" s="58">
        <f t="shared" ref="G12:G43" si="1">20*LOG(IMABS(IMDIV(1,IMSUM(0,IMSUM(COMPLEX(0,2*PI*F12/Wsh),COMPLEX(1-(F12/fsw_sh)^2,0))))))</f>
        <v>-8.3863172116651955E-9</v>
      </c>
      <c r="H12" s="58">
        <f t="shared" ref="H12:H43" si="2">180/PI*IMARGUMENT(IMDIV(1,IMSUM(0,IMSUM(COMPLEX(0,2*PI*F12/Wsh),COMPLEX(1-(F12/fsw_sh)^2,0)))))</f>
        <v>-2.9942307677026892E-3</v>
      </c>
      <c r="I12">
        <f>20*LOG(IMABS(IMPRODUCT(A_COMP2VOUT,IMDIV(COMPLEX(1, 2*PI*F12/Wesr_zero),COMPLEX(1, 2*PI*F12/Wload_pole)))))</f>
        <v>27.271836222999859</v>
      </c>
      <c r="J12">
        <f t="shared" ref="J12:J43" si="3">180/PI*(IMARGUMENT(IMPRODUCT(A_COMP2VOUT,IMDIV(COMPLEX(1, 2*PI*F12/Wesr_zero),COMPLEX(1, 2*PI*F12/Wload_pole)))))</f>
        <v>-0.23948034031584831</v>
      </c>
      <c r="K12" t="str">
        <f t="shared" ref="K12:K43" si="4">IMDIV(IMPRODUCT(COMPLEX(R.fbb,0),IMDIV(COMPLEX(1,0),COMPLEX(0,2*PI*F12*C.fbb))),IMSUM(COMPLEX(R.fbb,0),IMDIV(COMPLEX(1,0),COMPLEX(0,2*PI*F12*C.fbb))) )</f>
        <v>7142.85714285139-0.00641141224489279i</v>
      </c>
      <c r="L12" t="str">
        <f t="shared" ref="L12:L43" si="5">IMSUM(COMPLEX(R.ff,0),IMDIV(COMPLEX(1,0),COMPLEX(0,2*PI*F12*C.ff)))</f>
        <v>3300-15915497620.3148i</v>
      </c>
      <c r="M12" t="str">
        <f t="shared" ref="M12:M43" si="6">IMDIV(IMPRODUCT(COMPLEX(R.fbt,0),L12),IMSUM(COMPLEX(R.fbt,0),L12))</f>
        <v>99999.9999959219-0.628318399973531i</v>
      </c>
      <c r="N12">
        <f>20*LOG(IMABS(IMDIV(K12,IMSUM(K12,M12))))</f>
        <v>-23.521825180938446</v>
      </c>
      <c r="O12">
        <f t="shared" ref="O12:O43" si="7">180/PI*IMARGUMENT((IMDIV(K12,IMSUM(K12,M12))))</f>
        <v>2.8799999999482451E-4</v>
      </c>
      <c r="P12" t="str">
        <f t="shared" ref="P12:P43" si="8">IMDIV(COMPLEX(1,0),COMPLEX(0,2*PI*F12*C.hf))</f>
        <v>-482287806.676206i</v>
      </c>
      <c r="Q12" t="str">
        <f t="shared" ref="Q12:Q43" si="9">IMSUM(R.comp,0,IMDIV(COMPLEX(1,0),COMPLEX(0,2*PI*F12*C.comp)))</f>
        <v>3300-3386276.08942868i</v>
      </c>
      <c r="R12" t="str">
        <f>IMDIV(IMPRODUCT(P12,Q12),IMSUM(P12,Q12))</f>
        <v>3254.1430984902-3362665.90428175i</v>
      </c>
      <c r="S12" t="str">
        <f t="shared" ref="S12:S43" si="10">IMDIV(IMPRODUCT(COMPLEX(R.eaout,0),IMDIV(1,COMPLEX(0,2*PI*F12*C.eaout))),IMSUM(COMPLEX(R.eaout,0),IMDIV(1,COMPLEX(0,2*PI*F12*C.eaout))))</f>
        <v>99999842.0866447-125663.481560266i</v>
      </c>
      <c r="T12" t="str">
        <f>IMDIV(IMPRODUCT(R12,S12),IMSUM(R12,S12))</f>
        <v>116180.716745982-3358507.93024832i</v>
      </c>
      <c r="U12" t="str">
        <f>IMDIV(COMPLEX(1,0),IMSUM(COMPLEX(1,0),COMPLEX(0,F12/200000)))</f>
        <v>0.999999999975-0.000004999999999875i</v>
      </c>
      <c r="V12">
        <f t="shared" ref="V12:V43" si="11">20*LOG(IMABS(IMPRODUCT(IMPRODUCT(COMPLEX(GM,0),T12),U12)))</f>
        <v>70.528121538029481</v>
      </c>
      <c r="W12">
        <f t="shared" ref="W12:W43" si="12">180/PI*IMARGUMENT((IMPRODUCT(IMPRODUCT(COMPLEX(GM,0),T12),U12)))</f>
        <v>-88.01906446299752</v>
      </c>
      <c r="X12">
        <f>20*LOG(IMABS(U12))</f>
        <v>-1.0857362945991318E-10</v>
      </c>
      <c r="Y12">
        <f t="shared" ref="Y12:Y43" si="13">180/PI*IMARGUMENT((U12))</f>
        <v>-2.8647895716327903E-4</v>
      </c>
      <c r="AA12" s="123">
        <f>G12+I12</f>
        <v>27.271836214613543</v>
      </c>
      <c r="AB12" s="123">
        <f>H12+J12</f>
        <v>-0.242474571083551</v>
      </c>
      <c r="AC12">
        <f>N12+V12</f>
        <v>47.006296357091031</v>
      </c>
      <c r="AD12">
        <f>O12+W12</f>
        <v>-88.018776462997522</v>
      </c>
      <c r="AE12" s="123">
        <f>AA12+AC12</f>
        <v>74.278132571704575</v>
      </c>
      <c r="AF12" s="123">
        <f>AB12+AD12</f>
        <v>-88.26125103408107</v>
      </c>
      <c r="AI12" s="123">
        <f>IF(AND(AE13&lt;$AI$7,AE12&gt;=$AI$7),(($AI$7-AE12)/(AE13-AE12)*(F13-F12)+F12),0)</f>
        <v>0</v>
      </c>
      <c r="AJ12" s="123">
        <f>IF(AND(F13&gt;$AJ$7,F12&lt;=$AJ$7),(($AJ$7-F12)/(F13-F12)*(AF13-AF12)+AF12),0)</f>
        <v>0</v>
      </c>
      <c r="AK12" s="123">
        <f>IF(AND(AF13&lt;$AK$7,AF12&gt;=$AK$7),(($AK$7-AF12)/(AF13-AF12)*(F13-F12)+F12),0)</f>
        <v>0</v>
      </c>
      <c r="AL12" s="123">
        <f>IF(AND(F13&gt;$AL$7,F12&lt;=$AL$7),(($AL$7-F12)/(F13-F12)*(AE13-AE12)+AE12),0)</f>
        <v>0</v>
      </c>
      <c r="AM12" s="123">
        <f>IF(AND(AB13&lt;$AM$7,AB12&gt;=$AM$7),(($AM$7-AB12)/(AB13-AB12)*(F13-F12)+F12),0)</f>
        <v>0</v>
      </c>
      <c r="AN12" s="123">
        <f>IF(AND(AB13&lt;$AN$7,AB12&gt;=$AN$7),(($AN$7-AB12)/(AB13-AB12)*(AE13-AE12)+AE12),0)</f>
        <v>0</v>
      </c>
      <c r="AO12" s="123">
        <f>IF(AND(J13&gt;$AO$7,J12&lt;=$AO$7),(($AO$7-J12)/(J13-J12)*(F13-F12)+F12),0)</f>
        <v>0</v>
      </c>
      <c r="AP12" s="123"/>
      <c r="AQ12" s="123">
        <f>IF(AND(F12&lt;$AP$8,F13&gt;=$AP$8),($AP$8-F12)/(F13-F12)*(AE13-AE12)+AE12,0)</f>
        <v>0</v>
      </c>
      <c r="AR12" s="123">
        <f>IF(AND(AD13&lt;$AR$7,AD12&gt;=$AR$7),(($AR$7-AD12)/(AD13-AD12)*(F13-F12)+F12),0)</f>
        <v>0</v>
      </c>
      <c r="AS12" s="123">
        <f>IF(AND(AD13&lt;$AS$7,AD12&gt;=$AS$7),(($AS$7-AD12)/(AD13-AD12)*(AE13-AE12)+AE12),0)</f>
        <v>0</v>
      </c>
      <c r="AW12" t="str">
        <f t="shared" ref="AW12:AW43" si="14">COMPLEX(R.imon,0)</f>
        <v>12700</v>
      </c>
      <c r="AX12" t="str">
        <f t="shared" ref="AX12:AX43" si="15">IMSUM(R.imonhf,0,IMDIV(COMPLEX(1,0),COMPLEX(0,2*PI*F12*C.imon)))</f>
        <v>75-1591549.76203148i</v>
      </c>
      <c r="AY12" t="str">
        <f>IMDIV(IMPRODUCT(AW12,AX12),IMSUM(AW12,AX12))</f>
        <v>12699.1866079441-101.334945827032i</v>
      </c>
      <c r="AZ12">
        <f t="shared" ref="AZ12:AZ43" si="16">20*LOG(IMABS(IMDIV(IMPRODUCT(IMPRODUCT(COMPLEX(-1,0),COMPLEX(GM.imon,0)),AY12),COMPLEX(A.s_typ,0))))</f>
        <v>8.0963945394758134</v>
      </c>
      <c r="BA12">
        <f t="shared" ref="BA12:BA43" si="17">180/PI*(IMARGUMENT(IMDIV(IMPRODUCT(IMPRODUCT(COMPLEX(1,0),COMPLEX(GM.imon,0)),AY12),COMPLEX(A.s_typ,0))))</f>
        <v>-0.45719012341848714</v>
      </c>
      <c r="BB12">
        <f t="shared" ref="BB12:BB43" si="18">20*LOG(IMABS(IMPRODUCT(A_COMP2CS,IMPRODUCT(IMDIV(COMPLEX(1, 2*PI*F12/Wesr_zero),COMPLEX(1, 2*PI*F12/Wload_pole)),IMDIV(COMPLEX(1, 2*PI*F12/WloadZ),COMPLEX(1, 2*PI*F12/Wesr_zero))))))</f>
        <v>-6.0120116720420524</v>
      </c>
      <c r="BC12">
        <f t="shared" ref="BC12:BC43" si="19">180/PI*(IMARGUMENT(IMPRODUCT(A_COMP2CS,IMPRODUCT(IMDIV(COMPLEX(1, 2*PI*F12/Wesr_zero),COMPLEX(1, 2*PI*F12/Wload_pole)),IMDIV(COMPLEX(1, 2*PI*F12/WloadZ),COMPLEX(1, 2*PI*F12/Wesr_zero))))))</f>
        <v>0.24182813752246426</v>
      </c>
      <c r="BD12" s="123">
        <f>G12+BB12</f>
        <v>-6.0120116804283699</v>
      </c>
      <c r="BE12" s="123">
        <f>H12+BC12</f>
        <v>0.23883390675476157</v>
      </c>
      <c r="BF12">
        <f>AZ12+V12</f>
        <v>78.624516077505291</v>
      </c>
      <c r="BG12">
        <f>BA12+W12</f>
        <v>-88.476254586416005</v>
      </c>
      <c r="BH12" s="123">
        <f>BD12+BF12</f>
        <v>72.612504397076918</v>
      </c>
      <c r="BI12" s="123">
        <f>BE12+BG12</f>
        <v>-88.237420679661241</v>
      </c>
      <c r="BL12" s="123">
        <f>IF(AND(BH13&lt;$BL$7,BH12&gt;=$BL$7),(($BL$7-BH12)/(BH13-BH12)*(F13-F12)+F12),0)</f>
        <v>0</v>
      </c>
      <c r="BM12" s="123">
        <f>IF(AND(F13&gt;$BM$7,F12&lt;=$BM$7),(($BM$7-F12)/(F13-F12)*(BI13-BI12)+BI12),0)</f>
        <v>0</v>
      </c>
      <c r="BN12" s="123">
        <f>IF(AND(BI13&lt;$BN$7,BI12&gt;=$BN$7),(($BN$7-BI12)/(BI13-BI12)*(F13-F12)+F12),0)</f>
        <v>0</v>
      </c>
      <c r="BO12" s="123">
        <f>IF(AND(F13&gt;$BO$7,F12&lt;=$BO$7),(($BO$7-F12)/(F13-F12)*(BH13-BH12)+BH12),0)</f>
        <v>0</v>
      </c>
      <c r="BP12" s="123">
        <f>IF(AND(BE13&lt;$BP$7,BE12&gt;=$BP$7),(($BP$7-BE12)/(BE13-BE12)*(F13-F12)+F12),0)</f>
        <v>0</v>
      </c>
      <c r="BQ12" s="123">
        <f>IF(AND(BE13&lt;$BQ$7,BE12&gt;=$BQ$7),(($BQ$7-BE12)/(BE13-BE12)*(BH13-BH12)+BH12),0)</f>
        <v>0</v>
      </c>
      <c r="BR12" s="123">
        <f>IF(AND(AO13&gt;$BR$7,AO12&lt;=$BR$7),(($BR$7-AO12)/(AO13-AO12)*(F13-F12)+F12),0)</f>
        <v>0</v>
      </c>
      <c r="BS12" s="123"/>
      <c r="BT12" s="123"/>
      <c r="BU12" s="123">
        <f>IF(AND(AD13&lt;$BU$7,AD12&gt;=$BU$7),(($BU$7-AD12)/(AD13-AD12)*(F13-F12)+F12),0)</f>
        <v>0</v>
      </c>
      <c r="BV12" s="123">
        <f>IF(BU12=0,0,BH12)</f>
        <v>0</v>
      </c>
      <c r="BX12" s="123">
        <f>IF(AND(F13&gt;$BX$7,F12&lt;=$BX$7),(($BX$7-F12)/(F13-F12)*(BH13-BH12)+BH12),0)</f>
        <v>0</v>
      </c>
      <c r="BY12" s="123"/>
    </row>
    <row r="13" spans="1:84" x14ac:dyDescent="0.2">
      <c r="C13" t="s">
        <v>392</v>
      </c>
      <c r="D13" s="57">
        <f>(V.supply_typ-V.load)/L.out*R.s*A.s_typ</f>
        <v>10400.000000000002</v>
      </c>
      <c r="E13">
        <v>2</v>
      </c>
      <c r="F13">
        <v>1.5</v>
      </c>
      <c r="G13" s="58">
        <f t="shared" si="1"/>
        <v>-1.8869218318188679E-8</v>
      </c>
      <c r="H13" s="58">
        <f t="shared" si="2"/>
        <v>-4.4913461486888948E-3</v>
      </c>
      <c r="I13">
        <f t="shared" ref="I13:I43" si="20">20*LOG(IMABS(IMPRODUCT(A_COMP2VOUT,IMDIV(COMPLEX(1, 2*PI*F13/Wesr_zero),COMPLEX(1, 2*PI*F13/Wload_pole)))))</f>
        <v>27.271739149842297</v>
      </c>
      <c r="J13">
        <f t="shared" si="3"/>
        <v>-0.35921780214437304</v>
      </c>
      <c r="K13" t="str">
        <f t="shared" si="4"/>
        <v>7142.8571428442-0.0096171183673295i</v>
      </c>
      <c r="L13" t="str">
        <f t="shared" si="5"/>
        <v>3300-10610331746.8765i</v>
      </c>
      <c r="M13" t="str">
        <f t="shared" si="6"/>
        <v>99999.9999908242-0.94247759991067i</v>
      </c>
      <c r="N13">
        <f t="shared" ref="N13:N76" si="21">20*LOG(IMABS(IMDIV(K13,IMSUM(K13,M13))))</f>
        <v>-23.521825180719489</v>
      </c>
      <c r="O13">
        <f t="shared" si="7"/>
        <v>4.3199999998253354E-4</v>
      </c>
      <c r="P13" t="str">
        <f t="shared" si="8"/>
        <v>-321525204.450804i</v>
      </c>
      <c r="Q13" t="str">
        <f t="shared" si="9"/>
        <v>3300-2257517.39295245i</v>
      </c>
      <c r="R13" t="str">
        <f t="shared" ref="R13:R76" si="22">IMDIV(IMPRODUCT(P13,Q13),IMSUM(P13,Q13))</f>
        <v>3254.1430983024-2241777.28794688i</v>
      </c>
      <c r="S13" t="str">
        <f t="shared" si="10"/>
        <v>99999644.6956518-188494.850267221i</v>
      </c>
      <c r="T13" t="str">
        <f t="shared" ref="T13:T76" si="23">IMDIV(IMPRODUCT(R13,S13),IMSUM(R13,S13))</f>
        <v>53475.0290597747-2240410.92207475i</v>
      </c>
      <c r="U13" t="str">
        <f t="shared" ref="U13:U76" si="24">IMDIV(COMPLEX(1,0),IMSUM(COMPLEX(1,0),COMPLEX(0,F13/200000)))</f>
        <v>0.99999999994375-7.49999999957813E-06i</v>
      </c>
      <c r="V13">
        <f t="shared" si="11"/>
        <v>67.009027097658077</v>
      </c>
      <c r="W13">
        <f t="shared" si="12"/>
        <v>-88.633149057112959</v>
      </c>
      <c r="X13">
        <f t="shared" ref="X13:X76" si="25">20*LOG(IMABS(U13))</f>
        <v>-2.4429018412297988E-10</v>
      </c>
      <c r="Y13">
        <f t="shared" si="13"/>
        <v>-4.2971843574044253E-4</v>
      </c>
      <c r="AA13" s="123">
        <f t="shared" ref="AA13:AA76" si="26">G13+I13</f>
        <v>27.271739130973078</v>
      </c>
      <c r="AB13" s="123">
        <f t="shared" ref="AB13:AB76" si="27">H13+J13</f>
        <v>-0.36370914829306195</v>
      </c>
      <c r="AC13">
        <f t="shared" ref="AC13:AC76" si="28">N13+V13</f>
        <v>43.487201916938588</v>
      </c>
      <c r="AD13">
        <f t="shared" ref="AD13:AD76" si="29">O13+W13</f>
        <v>-88.63271705711297</v>
      </c>
      <c r="AE13" s="123">
        <f t="shared" ref="AE13:AE76" si="30">AA13+AC13</f>
        <v>70.758941047911662</v>
      </c>
      <c r="AF13" s="123">
        <f t="shared" ref="AF13:AF76" si="31">AB13+AD13</f>
        <v>-88.996426205406038</v>
      </c>
      <c r="AI13" s="123">
        <f t="shared" ref="AI13:AI76" si="32">IF(AND(AE14&lt;$AI$7,AE13&gt;=$AI$7),(($AI$7-AE13)/(AE14-AE13)*(F14-F13)+F13),0)</f>
        <v>0</v>
      </c>
      <c r="AJ13" s="123">
        <f t="shared" ref="AJ13:AJ76" si="33">IF(AND(F14&gt;$AJ$7,F13&lt;=$AJ$7),(($AJ$7-F13)/(F14-F13)*(AF14-AF13)+AF13),0)</f>
        <v>0</v>
      </c>
      <c r="AK13" s="123">
        <f t="shared" ref="AK13:AK76" si="34">IF(AND(AF14&lt;$AK$7,AF13&gt;=$AK$7),(($AK$7-AF13)/(AF14-AF13)*(F14-F13)+F13),0)</f>
        <v>0</v>
      </c>
      <c r="AL13" s="123">
        <f t="shared" ref="AL13:AL76" si="35">IF(AND(F14&gt;$AL$7,F13&lt;=$AL$7),(($AL$7-F13)/(F14-F13)*(AE14-AE13)+AE13),0)</f>
        <v>0</v>
      </c>
      <c r="AM13" s="123">
        <f t="shared" ref="AM13:AM76" si="36">IF(AND(AB14&lt;$AM$7,AB13&gt;=$AM$7),(($AM$7-AB13)/(AB14-AB13)*(F14-F13)+F13),0)</f>
        <v>0</v>
      </c>
      <c r="AN13" s="123">
        <f t="shared" ref="AN13:AN76" si="37">IF(AND(AB14&lt;$AN$7,AB13&gt;=$AN$7),(($AN$7-AB13)/(AB14-AB13)*(AE14-AE13)+AE13),0)</f>
        <v>0</v>
      </c>
      <c r="AO13" s="123">
        <f t="shared" ref="AO13:AO76" si="38">IF(AND(J14&gt;$AO$7,J13&lt;=$AO$7),(($AO$7-J13)/(J14-J13)*(F14-F13)+F13),0)</f>
        <v>0</v>
      </c>
      <c r="AP13" s="123"/>
      <c r="AQ13" s="123">
        <f t="shared" ref="AQ13:AQ76" si="39">IF(AND(F13&lt;$AP$8,F14&gt;=$AP$8),($AP$8-F13)/(F14-F13)*(AE14-AE13)+AE13,0)</f>
        <v>0</v>
      </c>
      <c r="AR13" s="123">
        <f t="shared" ref="AR13:AR76" si="40">IF(AND(AD14&lt;$AR$7,AD13&gt;=$AR$7),(($AR$7-AD13)/(AD14-AD13)*(F14-F13)+F13),0)</f>
        <v>0</v>
      </c>
      <c r="AS13" s="123">
        <f t="shared" ref="AS13:AS76" si="41">IF(AND(AD14&lt;$AS$7,AD13&gt;=$AS$7),(($AS$7-AD13)/(AD14-AD13)*(AE14-AE13)+AE13),0)</f>
        <v>0</v>
      </c>
      <c r="AW13" t="str">
        <f t="shared" si="14"/>
        <v>12700</v>
      </c>
      <c r="AX13" t="str">
        <f t="shared" si="15"/>
        <v>75-1061033.17468765i</v>
      </c>
      <c r="AY13" t="str">
        <f t="shared" ref="AY13:AY76" si="42">IMDIV(IMPRODUCT(AW13,AX13),IMSUM(AW13,AX13))</f>
        <v>12698.170015245-151.9901788106i</v>
      </c>
      <c r="AZ13">
        <f t="shared" si="16"/>
        <v>8.0960448236705567</v>
      </c>
      <c r="BA13">
        <f t="shared" si="17"/>
        <v>-0.68576666814794962</v>
      </c>
      <c r="BB13">
        <f t="shared" si="18"/>
        <v>-6.0117211932119794</v>
      </c>
      <c r="BC13">
        <f t="shared" si="19"/>
        <v>0.36272331264211044</v>
      </c>
      <c r="BD13" s="123">
        <f t="shared" ref="BD13:BD76" si="43">G13+BB13</f>
        <v>-6.0117212120811976</v>
      </c>
      <c r="BE13" s="123">
        <f t="shared" ref="BE13:BE76" si="44">H13+BC13</f>
        <v>0.35823196649342154</v>
      </c>
      <c r="BF13">
        <f t="shared" ref="BF13:BF76" si="45">AZ13+V13</f>
        <v>75.10507192132863</v>
      </c>
      <c r="BG13">
        <f t="shared" ref="BG13:BG76" si="46">BA13+W13</f>
        <v>-89.318915725260908</v>
      </c>
      <c r="BH13" s="123">
        <f t="shared" ref="BH13:BH76" si="47">BD13+BF13</f>
        <v>69.093350709247431</v>
      </c>
      <c r="BI13" s="123">
        <f t="shared" ref="BI13:BI76" si="48">BE13+BG13</f>
        <v>-88.960683758767487</v>
      </c>
      <c r="BL13" s="123">
        <f t="shared" ref="BL13:BL76" si="49">IF(AND(BH14&lt;$BL$7,BH13&gt;=$BL$7),(($BL$7-BH13)/(BH14-BH13)*(F14-F13)+F13),0)</f>
        <v>0</v>
      </c>
      <c r="BM13" s="123">
        <f t="shared" ref="BM13:BM76" si="50">IF(AND(F14&gt;$BM$7,F13&lt;=$BM$7),(($BM$7-F13)/(F14-F13)*(BI14-BI13)+BI13),0)</f>
        <v>0</v>
      </c>
      <c r="BN13" s="123">
        <f t="shared" ref="BN13:BN76" si="51">IF(AND(BI14&lt;$BN$7,BI13&gt;=$BN$7),(($BN$7-BI13)/(BI14-BI13)*(F14-F13)+F13),0)</f>
        <v>0</v>
      </c>
      <c r="BO13" s="123">
        <f t="shared" ref="BO13:BO76" si="52">IF(AND(F14&gt;$BO$7,F13&lt;=$BO$7),(($BO$7-F13)/(F14-F13)*(BH14-BH13)+BH13),0)</f>
        <v>0</v>
      </c>
      <c r="BP13" s="123">
        <f t="shared" ref="BP13:BP76" si="53">IF(AND(BE14&lt;$BP$7,BE13&gt;=$BP$7),(($BP$7-BE13)/(BE14-BE13)*(F14-F13)+F13),0)</f>
        <v>0</v>
      </c>
      <c r="BQ13" s="123">
        <f t="shared" ref="BQ13:BQ76" si="54">IF(AND(BE14&lt;$BQ$7,BE13&gt;=$BQ$7),(($BQ$7-BE13)/(BE14-BE13)*(BH14-BH13)+BH13),0)</f>
        <v>0</v>
      </c>
      <c r="BR13" s="123">
        <f t="shared" ref="BR13:BR76" si="55">IF(AND(AO14&gt;$BR$7,AO13&lt;=$BR$7),(($BR$7-AO13)/(AO14-AO13)*(F14-F13)+F13),0)</f>
        <v>0</v>
      </c>
      <c r="BS13" s="123"/>
      <c r="BT13" s="123"/>
      <c r="BU13" s="123">
        <f t="shared" ref="BU13:BU76" si="56">IF(AND(AD14&lt;$BU$7,AD13&gt;=$BU$7),(($BU$7-AD13)/(AD14-AD13)*(F14-F13)+F13),0)</f>
        <v>0</v>
      </c>
      <c r="BV13" s="123">
        <f t="shared" ref="BV13:BV76" si="57">IF(BU13=0,0,BH13)</f>
        <v>0</v>
      </c>
      <c r="BX13" s="123">
        <f t="shared" ref="BX13:BX76" si="58">IF(AND(F14&gt;$BX$7,F13&lt;=$BX$7),(($BX$7-F13)/(F14-F13)*(BH14-BH13)+BH13),0)</f>
        <v>0</v>
      </c>
      <c r="BY13" s="123"/>
    </row>
    <row r="14" spans="1:84" x14ac:dyDescent="0.2">
      <c r="C14" t="s">
        <v>393</v>
      </c>
      <c r="D14" s="57">
        <f>(V.load)/L.out*R.s*A.s_typ</f>
        <v>31200.000000000004</v>
      </c>
      <c r="E14">
        <v>3</v>
      </c>
      <c r="F14">
        <v>2</v>
      </c>
      <c r="G14" s="58">
        <f t="shared" si="1"/>
        <v>-3.3545273716880589E-8</v>
      </c>
      <c r="H14" s="58">
        <f t="shared" si="2"/>
        <v>-5.9884615262368861E-3</v>
      </c>
      <c r="I14">
        <f t="shared" si="20"/>
        <v>27.271603251067869</v>
      </c>
      <c r="J14">
        <f t="shared" si="3"/>
        <v>-0.47895201414035715</v>
      </c>
      <c r="K14" t="str">
        <f t="shared" si="4"/>
        <v>7142.85714283411-0.0128228244897546i</v>
      </c>
      <c r="L14" t="str">
        <f t="shared" si="5"/>
        <v>3300-7957748810.1574i</v>
      </c>
      <c r="M14" t="str">
        <f t="shared" si="6"/>
        <v>99999.9999836875-1.25663679978825i</v>
      </c>
      <c r="N14">
        <f t="shared" si="21"/>
        <v>-23.521825180413039</v>
      </c>
      <c r="O14">
        <f t="shared" si="7"/>
        <v>5.7599999995858338E-4</v>
      </c>
      <c r="P14" t="str">
        <f t="shared" si="8"/>
        <v>-241143903.338103i</v>
      </c>
      <c r="Q14" t="str">
        <f t="shared" si="9"/>
        <v>3300-1693138.04471434i</v>
      </c>
      <c r="R14" t="str">
        <f t="shared" si="22"/>
        <v>3254.1430980395-1681332.98530717i</v>
      </c>
      <c r="S14" t="str">
        <f t="shared" si="10"/>
        <v>99999368.349571-251325.772489652i</v>
      </c>
      <c r="T14" t="str">
        <f t="shared" si="23"/>
        <v>31509.4339561112-1680677.49818137i</v>
      </c>
      <c r="U14" t="str">
        <f t="shared" si="24"/>
        <v>0.9999999999-0.000009999999999i</v>
      </c>
      <c r="V14">
        <f t="shared" si="11"/>
        <v>64.511213941943581</v>
      </c>
      <c r="W14">
        <f t="shared" si="12"/>
        <v>-88.926532868590101</v>
      </c>
      <c r="X14">
        <f t="shared" si="25"/>
        <v>-4.3429451784779571E-10</v>
      </c>
      <c r="Y14">
        <f t="shared" si="13"/>
        <v>-5.7295791431223413E-4</v>
      </c>
      <c r="AA14" s="123">
        <f t="shared" si="26"/>
        <v>27.271603217522596</v>
      </c>
      <c r="AB14" s="123">
        <f t="shared" si="27"/>
        <v>-0.48494047566659404</v>
      </c>
      <c r="AC14">
        <f t="shared" si="28"/>
        <v>40.989388761530542</v>
      </c>
      <c r="AD14">
        <f t="shared" si="29"/>
        <v>-88.925956868590148</v>
      </c>
      <c r="AE14" s="123">
        <f t="shared" si="30"/>
        <v>68.260991979053131</v>
      </c>
      <c r="AF14" s="123">
        <f t="shared" si="31"/>
        <v>-89.410897344256739</v>
      </c>
      <c r="AI14" s="123">
        <f t="shared" si="32"/>
        <v>0</v>
      </c>
      <c r="AJ14" s="123">
        <f t="shared" si="33"/>
        <v>0</v>
      </c>
      <c r="AK14" s="123">
        <f t="shared" si="34"/>
        <v>0</v>
      </c>
      <c r="AL14" s="123">
        <f t="shared" si="35"/>
        <v>0</v>
      </c>
      <c r="AM14" s="123">
        <f t="shared" si="36"/>
        <v>0</v>
      </c>
      <c r="AN14" s="123">
        <f t="shared" si="37"/>
        <v>0</v>
      </c>
      <c r="AO14" s="123">
        <f t="shared" si="38"/>
        <v>0</v>
      </c>
      <c r="AP14" s="123"/>
      <c r="AQ14" s="123">
        <f t="shared" si="39"/>
        <v>0</v>
      </c>
      <c r="AR14" s="123">
        <f t="shared" si="40"/>
        <v>0</v>
      </c>
      <c r="AS14" s="123">
        <f t="shared" si="41"/>
        <v>0</v>
      </c>
      <c r="AW14" t="str">
        <f t="shared" si="14"/>
        <v>12700</v>
      </c>
      <c r="AX14" t="str">
        <f t="shared" si="15"/>
        <v>75-795774.88101574i</v>
      </c>
      <c r="AY14" t="str">
        <f t="shared" si="42"/>
        <v>12696.747060487-202.630728293284i</v>
      </c>
      <c r="AZ14">
        <f t="shared" si="16"/>
        <v>8.0955552688517738</v>
      </c>
      <c r="BA14">
        <f t="shared" si="17"/>
        <v>-0.91432099650941778</v>
      </c>
      <c r="BB14">
        <f t="shared" si="18"/>
        <v>-6.0113145773022625</v>
      </c>
      <c r="BC14">
        <f t="shared" si="19"/>
        <v>0.48359582041033788</v>
      </c>
      <c r="BD14" s="123">
        <f t="shared" si="43"/>
        <v>-6.0113146108475366</v>
      </c>
      <c r="BE14" s="123">
        <f t="shared" si="44"/>
        <v>0.477607358884101</v>
      </c>
      <c r="BF14">
        <f t="shared" si="45"/>
        <v>72.606769210795349</v>
      </c>
      <c r="BG14">
        <f t="shared" si="46"/>
        <v>-89.840853865099518</v>
      </c>
      <c r="BH14" s="123">
        <f t="shared" si="47"/>
        <v>66.595454599947814</v>
      </c>
      <c r="BI14" s="123">
        <f t="shared" si="48"/>
        <v>-89.363246506215418</v>
      </c>
      <c r="BL14" s="123">
        <f t="shared" si="49"/>
        <v>0</v>
      </c>
      <c r="BM14" s="123">
        <f t="shared" si="50"/>
        <v>0</v>
      </c>
      <c r="BN14" s="123">
        <f t="shared" si="51"/>
        <v>0</v>
      </c>
      <c r="BO14" s="123">
        <f t="shared" si="52"/>
        <v>0</v>
      </c>
      <c r="BP14" s="123">
        <f t="shared" si="53"/>
        <v>0</v>
      </c>
      <c r="BQ14" s="123">
        <f t="shared" si="54"/>
        <v>0</v>
      </c>
      <c r="BR14" s="123">
        <f t="shared" si="55"/>
        <v>0</v>
      </c>
      <c r="BS14" s="123"/>
      <c r="BT14" s="123"/>
      <c r="BU14" s="123">
        <f t="shared" si="56"/>
        <v>0</v>
      </c>
      <c r="BV14" s="123">
        <f t="shared" si="57"/>
        <v>0</v>
      </c>
      <c r="BX14" s="123">
        <f t="shared" si="58"/>
        <v>0</v>
      </c>
      <c r="BY14" s="123"/>
    </row>
    <row r="15" spans="1:84" x14ac:dyDescent="0.2">
      <c r="C15" t="s">
        <v>394</v>
      </c>
      <c r="D15" s="99">
        <f>1+S.slope/S.rise</f>
        <v>5.3269230769230758</v>
      </c>
      <c r="E15">
        <v>4</v>
      </c>
      <c r="F15">
        <v>2.5</v>
      </c>
      <c r="G15" s="58">
        <f t="shared" si="1"/>
        <v>-5.2414493072270463E-8</v>
      </c>
      <c r="H15" s="58">
        <f t="shared" si="2"/>
        <v>-7.4855768992007268E-3</v>
      </c>
      <c r="I15">
        <f t="shared" si="20"/>
        <v>27.271428530322193</v>
      </c>
      <c r="J15">
        <f t="shared" si="3"/>
        <v>-0.59868189329749522</v>
      </c>
      <c r="K15" t="str">
        <f t="shared" si="4"/>
        <v>7142.85714282118-0.0160285306121642i</v>
      </c>
      <c r="L15" t="str">
        <f t="shared" si="5"/>
        <v>3300-6366199048.12592i</v>
      </c>
      <c r="M15" t="str">
        <f t="shared" si="6"/>
        <v>99999.9999745118-1.57079599958642i</v>
      </c>
      <c r="N15">
        <f t="shared" si="21"/>
        <v>-23.521825180018901</v>
      </c>
      <c r="O15">
        <f t="shared" si="7"/>
        <v>7.1999999991911119E-4</v>
      </c>
      <c r="P15" t="str">
        <f t="shared" si="8"/>
        <v>-192915122.670482i</v>
      </c>
      <c r="Q15" t="str">
        <f t="shared" si="9"/>
        <v>3300-1354510.43577147i</v>
      </c>
      <c r="R15" t="str">
        <f t="shared" si="22"/>
        <v>3254.14309770147-1345066.40814551i</v>
      </c>
      <c r="S15" t="str">
        <f t="shared" si="10"/>
        <v>99999013.0497114-314156.099404869i</v>
      </c>
      <c r="T15" t="str">
        <f t="shared" si="23"/>
        <v>21339.232392185-1344678.8042898i</v>
      </c>
      <c r="U15" t="str">
        <f t="shared" si="24"/>
        <v>0.99999999984375-0.0000124999999980469i</v>
      </c>
      <c r="V15">
        <f t="shared" si="11"/>
        <v>62.5734647640651</v>
      </c>
      <c r="W15">
        <f t="shared" si="12"/>
        <v>-89.091561976976763</v>
      </c>
      <c r="X15">
        <f t="shared" si="25"/>
        <v>-6.7858470198299015E-10</v>
      </c>
      <c r="Y15">
        <f t="shared" si="13"/>
        <v>-7.1619739287686528E-4</v>
      </c>
      <c r="AA15" s="123">
        <f t="shared" si="26"/>
        <v>27.271428477907701</v>
      </c>
      <c r="AB15" s="123">
        <f t="shared" si="27"/>
        <v>-0.60616747019669592</v>
      </c>
      <c r="AC15">
        <f t="shared" si="28"/>
        <v>39.0516395840462</v>
      </c>
      <c r="AD15">
        <f t="shared" si="29"/>
        <v>-89.090841976976847</v>
      </c>
      <c r="AE15" s="123">
        <f t="shared" si="30"/>
        <v>66.323068061953904</v>
      </c>
      <c r="AF15" s="123">
        <f t="shared" si="31"/>
        <v>-89.697009447173542</v>
      </c>
      <c r="AI15" s="123">
        <f t="shared" si="32"/>
        <v>0</v>
      </c>
      <c r="AJ15" s="123">
        <f t="shared" si="33"/>
        <v>0</v>
      </c>
      <c r="AK15" s="123">
        <f t="shared" si="34"/>
        <v>0</v>
      </c>
      <c r="AL15" s="123">
        <f t="shared" si="35"/>
        <v>0</v>
      </c>
      <c r="AM15" s="123">
        <f t="shared" si="36"/>
        <v>0</v>
      </c>
      <c r="AN15" s="123">
        <f t="shared" si="37"/>
        <v>0</v>
      </c>
      <c r="AO15" s="123">
        <f t="shared" si="38"/>
        <v>0</v>
      </c>
      <c r="AP15" s="123"/>
      <c r="AQ15" s="123">
        <f t="shared" si="39"/>
        <v>0</v>
      </c>
      <c r="AR15" s="123">
        <f t="shared" si="40"/>
        <v>0</v>
      </c>
      <c r="AS15" s="123">
        <f t="shared" si="41"/>
        <v>0</v>
      </c>
      <c r="AW15" t="str">
        <f t="shared" si="14"/>
        <v>12700</v>
      </c>
      <c r="AX15" t="str">
        <f t="shared" si="15"/>
        <v>75-636619.904812592i</v>
      </c>
      <c r="AY15" t="str">
        <f t="shared" si="42"/>
        <v>12694.9180185317-253.251707130025i</v>
      </c>
      <c r="AZ15">
        <f t="shared" si="16"/>
        <v>8.0949259223099652</v>
      </c>
      <c r="BA15">
        <f t="shared" si="17"/>
        <v>-1.1428457097244185</v>
      </c>
      <c r="BB15">
        <f t="shared" si="18"/>
        <v>-6.0107918787409957</v>
      </c>
      <c r="BC15">
        <f t="shared" si="19"/>
        <v>0.60443811340456899</v>
      </c>
      <c r="BD15" s="123">
        <f t="shared" si="43"/>
        <v>-6.0107919311554889</v>
      </c>
      <c r="BE15" s="123">
        <f t="shared" si="44"/>
        <v>0.59695253650536828</v>
      </c>
      <c r="BF15">
        <f t="shared" si="45"/>
        <v>70.668390686375062</v>
      </c>
      <c r="BG15">
        <f t="shared" si="46"/>
        <v>-90.234407686701175</v>
      </c>
      <c r="BH15" s="123">
        <f t="shared" si="47"/>
        <v>64.657598755219567</v>
      </c>
      <c r="BI15" s="123">
        <f t="shared" si="48"/>
        <v>-89.637455150195805</v>
      </c>
      <c r="BL15" s="123">
        <f t="shared" si="49"/>
        <v>0</v>
      </c>
      <c r="BM15" s="123">
        <f t="shared" si="50"/>
        <v>0</v>
      </c>
      <c r="BN15" s="123">
        <f t="shared" si="51"/>
        <v>0</v>
      </c>
      <c r="BO15" s="123">
        <f t="shared" si="52"/>
        <v>0</v>
      </c>
      <c r="BP15" s="123">
        <f t="shared" si="53"/>
        <v>0</v>
      </c>
      <c r="BQ15" s="123">
        <f t="shared" si="54"/>
        <v>0</v>
      </c>
      <c r="BR15" s="123">
        <f t="shared" si="55"/>
        <v>0</v>
      </c>
      <c r="BS15" s="123"/>
      <c r="BT15" s="123"/>
      <c r="BU15" s="123">
        <f t="shared" si="56"/>
        <v>0</v>
      </c>
      <c r="BV15" s="123">
        <f t="shared" si="57"/>
        <v>0</v>
      </c>
      <c r="BX15" s="123">
        <f t="shared" si="58"/>
        <v>0</v>
      </c>
      <c r="BY15" s="123"/>
    </row>
    <row r="16" spans="1:84" x14ac:dyDescent="0.2">
      <c r="C16" t="s">
        <v>395</v>
      </c>
      <c r="D16" s="99">
        <f>mc*(1-V.load/V.supply_typ)</f>
        <v>1.3317307692307689</v>
      </c>
      <c r="E16">
        <v>5</v>
      </c>
      <c r="F16">
        <v>3</v>
      </c>
      <c r="G16" s="58">
        <f t="shared" si="1"/>
        <v>-7.5476874483031021E-8</v>
      </c>
      <c r="H16" s="58">
        <f t="shared" si="2"/>
        <v>-8.9826922664342189E-3</v>
      </c>
      <c r="I16">
        <f t="shared" si="20"/>
        <v>27.271214992292112</v>
      </c>
      <c r="J16">
        <f t="shared" si="3"/>
        <v>-0.71840635684190113</v>
      </c>
      <c r="K16" t="str">
        <f t="shared" si="4"/>
        <v>7142.85714280534-0.0192342367345544i</v>
      </c>
      <c r="L16" t="str">
        <f t="shared" si="5"/>
        <v>3300-5305165873.43827i</v>
      </c>
      <c r="M16" t="str">
        <f t="shared" si="6"/>
        <v>99999.9999632969-1.88495519928533i</v>
      </c>
      <c r="N16">
        <f t="shared" si="21"/>
        <v>-23.521825179537213</v>
      </c>
      <c r="O16">
        <f t="shared" si="7"/>
        <v>8.6399999986022636E-4</v>
      </c>
      <c r="P16" t="str">
        <f t="shared" si="8"/>
        <v>-160762602.225402i</v>
      </c>
      <c r="Q16" t="str">
        <f t="shared" si="9"/>
        <v>3300-1128758.69647623i</v>
      </c>
      <c r="R16" t="str">
        <f t="shared" si="22"/>
        <v>3254.14309728832-1120888.69372288i</v>
      </c>
      <c r="S16" t="str">
        <f t="shared" si="10"/>
        <v>99998578.797756-376985.68219488i</v>
      </c>
      <c r="T16" t="str">
        <f t="shared" si="23"/>
        <v>15813.8110695323-1120627.61981585i</v>
      </c>
      <c r="U16" t="str">
        <f t="shared" si="24"/>
        <v>0.999999999775-0.000014999999996625i</v>
      </c>
      <c r="V16">
        <f t="shared" si="11"/>
        <v>60.990091195033138</v>
      </c>
      <c r="W16">
        <f t="shared" si="12"/>
        <v>-89.192398458487602</v>
      </c>
      <c r="X16">
        <f t="shared" si="25"/>
        <v>-9.7716266518807683E-10</v>
      </c>
      <c r="Y16">
        <f t="shared" si="13"/>
        <v>-8.5943687143254113E-4</v>
      </c>
      <c r="AA16" s="123">
        <f t="shared" si="26"/>
        <v>27.271214916815239</v>
      </c>
      <c r="AB16" s="123">
        <f t="shared" si="27"/>
        <v>-0.72738904910833535</v>
      </c>
      <c r="AC16">
        <f t="shared" si="28"/>
        <v>37.468266015495928</v>
      </c>
      <c r="AD16">
        <f t="shared" si="29"/>
        <v>-89.191534458487737</v>
      </c>
      <c r="AE16" s="123">
        <f t="shared" si="30"/>
        <v>64.739480932311167</v>
      </c>
      <c r="AF16" s="123">
        <f t="shared" si="31"/>
        <v>-89.918923507596077</v>
      </c>
      <c r="AI16" s="123">
        <f t="shared" si="32"/>
        <v>0</v>
      </c>
      <c r="AJ16" s="123">
        <f t="shared" si="33"/>
        <v>0</v>
      </c>
      <c r="AK16" s="123">
        <f t="shared" si="34"/>
        <v>0</v>
      </c>
      <c r="AL16" s="123">
        <f t="shared" si="35"/>
        <v>0</v>
      </c>
      <c r="AM16" s="123">
        <f t="shared" si="36"/>
        <v>0</v>
      </c>
      <c r="AN16" s="123">
        <f t="shared" si="37"/>
        <v>0</v>
      </c>
      <c r="AO16" s="123">
        <f t="shared" si="38"/>
        <v>0</v>
      </c>
      <c r="AP16" s="123"/>
      <c r="AQ16" s="123">
        <f t="shared" si="39"/>
        <v>0</v>
      </c>
      <c r="AR16" s="123">
        <f t="shared" si="40"/>
        <v>0</v>
      </c>
      <c r="AS16" s="123">
        <f t="shared" si="41"/>
        <v>0</v>
      </c>
      <c r="AW16" t="str">
        <f t="shared" si="14"/>
        <v>12700</v>
      </c>
      <c r="AX16" t="str">
        <f t="shared" si="15"/>
        <v>75-530516.587343827i</v>
      </c>
      <c r="AY16" t="str">
        <f t="shared" si="42"/>
        <v>12692.6832425451-303.848234473849i</v>
      </c>
      <c r="AZ16">
        <f t="shared" si="16"/>
        <v>8.0941568448211338</v>
      </c>
      <c r="BA16">
        <f t="shared" si="17"/>
        <v>-1.3713334147338718</v>
      </c>
      <c r="BB16">
        <f t="shared" si="18"/>
        <v>-6.0101531674719233</v>
      </c>
      <c r="BC16">
        <f t="shared" si="19"/>
        <v>0.72524265136308441</v>
      </c>
      <c r="BD16" s="123">
        <f t="shared" si="43"/>
        <v>-6.0101532429487978</v>
      </c>
      <c r="BE16" s="123">
        <f t="shared" si="44"/>
        <v>0.71625995909665019</v>
      </c>
      <c r="BF16">
        <f t="shared" si="45"/>
        <v>69.084248039854273</v>
      </c>
      <c r="BG16">
        <f t="shared" si="46"/>
        <v>-90.563731873221471</v>
      </c>
      <c r="BH16" s="123">
        <f t="shared" si="47"/>
        <v>63.074094796905477</v>
      </c>
      <c r="BI16" s="123">
        <f t="shared" si="48"/>
        <v>-89.847471914124824</v>
      </c>
      <c r="BL16" s="123">
        <f t="shared" si="49"/>
        <v>0</v>
      </c>
      <c r="BM16" s="123">
        <f t="shared" si="50"/>
        <v>0</v>
      </c>
      <c r="BN16" s="123">
        <f t="shared" si="51"/>
        <v>0</v>
      </c>
      <c r="BO16" s="123">
        <f t="shared" si="52"/>
        <v>0</v>
      </c>
      <c r="BP16" s="123">
        <f t="shared" si="53"/>
        <v>0</v>
      </c>
      <c r="BQ16" s="123">
        <f t="shared" si="54"/>
        <v>0</v>
      </c>
      <c r="BR16" s="123">
        <f t="shared" si="55"/>
        <v>0</v>
      </c>
      <c r="BS16" s="123"/>
      <c r="BT16" s="123"/>
      <c r="BU16" s="123">
        <f t="shared" si="56"/>
        <v>0</v>
      </c>
      <c r="BV16" s="123">
        <f t="shared" si="57"/>
        <v>0</v>
      </c>
      <c r="BX16" s="123">
        <f t="shared" si="58"/>
        <v>0</v>
      </c>
      <c r="BY16" s="123"/>
    </row>
    <row r="17" spans="2:77" x14ac:dyDescent="0.2">
      <c r="C17" t="s">
        <v>396</v>
      </c>
      <c r="D17" s="99">
        <f>1/PI/(kfactor-0.5)</f>
        <v>0.38270791965612466</v>
      </c>
      <c r="E17">
        <v>6</v>
      </c>
      <c r="F17">
        <v>3.5</v>
      </c>
      <c r="G17" s="58">
        <f t="shared" si="1"/>
        <v>-1.0273241123227042E-7</v>
      </c>
      <c r="H17" s="58">
        <f t="shared" si="2"/>
        <v>-1.0479807626791364E-2</v>
      </c>
      <c r="I17">
        <f t="shared" si="20"/>
        <v>27.270962642705065</v>
      </c>
      <c r="J17">
        <f t="shared" si="3"/>
        <v>-0.83812432229015521</v>
      </c>
      <c r="K17" t="str">
        <f t="shared" si="4"/>
        <v>7142.85714278665-0.0224399428569214i</v>
      </c>
      <c r="L17" t="str">
        <f t="shared" si="5"/>
        <v>3300-4547285034.37566i</v>
      </c>
      <c r="M17" t="str">
        <f t="shared" si="6"/>
        <v>99999.999950043-2.19911439886513i</v>
      </c>
      <c r="N17">
        <f t="shared" si="21"/>
        <v>-23.521825178967994</v>
      </c>
      <c r="O17">
        <f t="shared" si="7"/>
        <v>1.0079999997780439E-3</v>
      </c>
      <c r="P17" t="str">
        <f t="shared" si="8"/>
        <v>-137796516.193202i</v>
      </c>
      <c r="Q17" t="str">
        <f t="shared" si="9"/>
        <v>3300-967507.45412248i</v>
      </c>
      <c r="R17" t="str">
        <f t="shared" si="22"/>
        <v>3254.14309680006-960761.758008271i</v>
      </c>
      <c r="S17" t="str">
        <f t="shared" si="10"/>
        <v>99998065.5957622-439814.37204757i</v>
      </c>
      <c r="T17" t="str">
        <f t="shared" si="23"/>
        <v>12481.8611228854-960569.990198234i</v>
      </c>
      <c r="U17" t="str">
        <f t="shared" si="24"/>
        <v>0.99999999969375-0.0000174999999946406i</v>
      </c>
      <c r="V17">
        <f t="shared" si="11"/>
        <v>59.651313531002693</v>
      </c>
      <c r="W17">
        <f t="shared" si="12"/>
        <v>-89.256548981317323</v>
      </c>
      <c r="X17">
        <f t="shared" si="25"/>
        <v>-1.3300264788137207E-9</v>
      </c>
      <c r="Y17">
        <f t="shared" si="13"/>
        <v>-1.0026763499774742E-3</v>
      </c>
      <c r="AA17" s="123">
        <f t="shared" si="26"/>
        <v>27.270962539972654</v>
      </c>
      <c r="AB17" s="123">
        <f t="shared" si="27"/>
        <v>-0.84860412991694656</v>
      </c>
      <c r="AC17">
        <f t="shared" si="28"/>
        <v>36.129488352034699</v>
      </c>
      <c r="AD17">
        <f t="shared" si="29"/>
        <v>-89.255540981317552</v>
      </c>
      <c r="AE17" s="123">
        <f t="shared" si="30"/>
        <v>63.400450892007356</v>
      </c>
      <c r="AF17" s="123">
        <f t="shared" si="31"/>
        <v>-90.104145111234502</v>
      </c>
      <c r="AI17" s="123">
        <f t="shared" si="32"/>
        <v>0</v>
      </c>
      <c r="AJ17" s="123">
        <f t="shared" si="33"/>
        <v>0</v>
      </c>
      <c r="AK17" s="123">
        <f t="shared" si="34"/>
        <v>0</v>
      </c>
      <c r="AL17" s="123">
        <f t="shared" si="35"/>
        <v>0</v>
      </c>
      <c r="AM17" s="123">
        <f t="shared" si="36"/>
        <v>0</v>
      </c>
      <c r="AN17" s="123">
        <f t="shared" si="37"/>
        <v>0</v>
      </c>
      <c r="AO17" s="123">
        <f t="shared" si="38"/>
        <v>0</v>
      </c>
      <c r="AP17" s="123"/>
      <c r="AQ17" s="123">
        <f t="shared" si="39"/>
        <v>0</v>
      </c>
      <c r="AR17" s="123">
        <f t="shared" si="40"/>
        <v>0</v>
      </c>
      <c r="AS17" s="123">
        <f t="shared" si="41"/>
        <v>0</v>
      </c>
      <c r="AW17" t="str">
        <f t="shared" si="14"/>
        <v>12700</v>
      </c>
      <c r="AX17" t="str">
        <f t="shared" si="15"/>
        <v>75-454728.503437566i</v>
      </c>
      <c r="AY17" t="str">
        <f t="shared" si="42"/>
        <v>12690.0431638267-354.415437342414i</v>
      </c>
      <c r="AZ17">
        <f t="shared" si="16"/>
        <v>8.093248110626913</v>
      </c>
      <c r="BA17">
        <f t="shared" si="17"/>
        <v>-1.5997767256228577</v>
      </c>
      <c r="BB17">
        <f t="shared" si="18"/>
        <v>-6.009398528928692</v>
      </c>
      <c r="BC17">
        <f t="shared" si="19"/>
        <v>0.84600190296784905</v>
      </c>
      <c r="BD17" s="123">
        <f t="shared" si="43"/>
        <v>-6.009398631661103</v>
      </c>
      <c r="BE17" s="123">
        <f t="shared" si="44"/>
        <v>0.8355220953410577</v>
      </c>
      <c r="BF17">
        <f t="shared" si="45"/>
        <v>67.744561641629602</v>
      </c>
      <c r="BG17">
        <f t="shared" si="46"/>
        <v>-90.856325706940183</v>
      </c>
      <c r="BH17" s="123">
        <f t="shared" si="47"/>
        <v>61.735163009968502</v>
      </c>
      <c r="BI17" s="123">
        <f t="shared" si="48"/>
        <v>-90.020803611599121</v>
      </c>
      <c r="BL17" s="123">
        <f t="shared" si="49"/>
        <v>0</v>
      </c>
      <c r="BM17" s="123">
        <f t="shared" si="50"/>
        <v>0</v>
      </c>
      <c r="BN17" s="123">
        <f t="shared" si="51"/>
        <v>0</v>
      </c>
      <c r="BO17" s="123">
        <f t="shared" si="52"/>
        <v>0</v>
      </c>
      <c r="BP17" s="123">
        <f t="shared" si="53"/>
        <v>0</v>
      </c>
      <c r="BQ17" s="123">
        <f t="shared" si="54"/>
        <v>0</v>
      </c>
      <c r="BR17" s="123">
        <f t="shared" si="55"/>
        <v>0</v>
      </c>
      <c r="BS17" s="123"/>
      <c r="BT17" s="123"/>
      <c r="BU17" s="123">
        <f t="shared" si="56"/>
        <v>0</v>
      </c>
      <c r="BV17" s="123">
        <f t="shared" si="57"/>
        <v>0</v>
      </c>
      <c r="BX17" s="123">
        <f t="shared" si="58"/>
        <v>0</v>
      </c>
      <c r="BY17" s="123"/>
    </row>
    <row r="18" spans="2:77" x14ac:dyDescent="0.2">
      <c r="C18" t="s">
        <v>389</v>
      </c>
      <c r="D18" s="57">
        <f>Qfactor*2*PI*f.sw*0.5*1</f>
        <v>120231.21387283239</v>
      </c>
      <c r="E18">
        <v>7</v>
      </c>
      <c r="F18">
        <v>4</v>
      </c>
      <c r="G18" s="58">
        <f t="shared" si="1"/>
        <v>-1.3418110239513436E-7</v>
      </c>
      <c r="H18" s="58">
        <f t="shared" si="2"/>
        <v>-1.1976922979126118E-2</v>
      </c>
      <c r="I18">
        <f t="shared" si="20"/>
        <v>27.270671488328606</v>
      </c>
      <c r="J18">
        <f t="shared" si="3"/>
        <v>-0.95783470750730193</v>
      </c>
      <c r="K18" t="str">
        <f t="shared" si="4"/>
        <v>7142.85714276505-0.0256456489792612i</v>
      </c>
      <c r="L18" t="str">
        <f t="shared" si="5"/>
        <v>3300-3978874405.0787i</v>
      </c>
      <c r="M18" t="str">
        <f t="shared" si="6"/>
        <v>99999.9999347501-2.51327359830597i</v>
      </c>
      <c r="N18">
        <f t="shared" si="21"/>
        <v>-23.521825178311136</v>
      </c>
      <c r="O18">
        <f t="shared" si="7"/>
        <v>1.1519999996686897E-3</v>
      </c>
      <c r="P18" t="str">
        <f t="shared" si="8"/>
        <v>-120571951.669051i</v>
      </c>
      <c r="Q18" t="str">
        <f t="shared" si="9"/>
        <v>3300-846569.02235717i</v>
      </c>
      <c r="R18" t="str">
        <f t="shared" si="22"/>
        <v>3254.14309623666-840666.558986163i</v>
      </c>
      <c r="S18" t="str">
        <f t="shared" si="10"/>
        <v>99997473.446161-502642.020157875i</v>
      </c>
      <c r="T18" t="str">
        <f t="shared" si="23"/>
        <v>10319.1786116223-840516.941860983i</v>
      </c>
      <c r="U18" t="str">
        <f t="shared" si="24"/>
        <v>0.9999999996-0.000019999999992i</v>
      </c>
      <c r="V18">
        <f t="shared" si="11"/>
        <v>58.491583991628545</v>
      </c>
      <c r="W18">
        <f t="shared" si="12"/>
        <v>-89.297769178326746</v>
      </c>
      <c r="X18">
        <f t="shared" si="25"/>
        <v>-1.7371780715214712E-9</v>
      </c>
      <c r="Y18">
        <f t="shared" si="13"/>
        <v>-1.1459158285098763E-3</v>
      </c>
      <c r="AA18" s="123">
        <f t="shared" si="26"/>
        <v>27.270671354147503</v>
      </c>
      <c r="AB18" s="123">
        <f t="shared" si="27"/>
        <v>-0.96981163048642804</v>
      </c>
      <c r="AC18">
        <f t="shared" si="28"/>
        <v>34.969758813317412</v>
      </c>
      <c r="AD18">
        <f t="shared" si="29"/>
        <v>-89.296617178327082</v>
      </c>
      <c r="AE18" s="123">
        <f t="shared" si="30"/>
        <v>62.240430167464915</v>
      </c>
      <c r="AF18" s="123">
        <f t="shared" si="31"/>
        <v>-90.266428808813515</v>
      </c>
      <c r="AI18" s="123">
        <f t="shared" si="32"/>
        <v>0</v>
      </c>
      <c r="AJ18" s="123">
        <f t="shared" si="33"/>
        <v>0</v>
      </c>
      <c r="AK18" s="123">
        <f t="shared" si="34"/>
        <v>0</v>
      </c>
      <c r="AL18" s="123">
        <f t="shared" si="35"/>
        <v>0</v>
      </c>
      <c r="AM18" s="123">
        <f t="shared" si="36"/>
        <v>0</v>
      </c>
      <c r="AN18" s="123">
        <f t="shared" si="37"/>
        <v>0</v>
      </c>
      <c r="AO18" s="123">
        <f t="shared" si="38"/>
        <v>0</v>
      </c>
      <c r="AP18" s="123"/>
      <c r="AQ18" s="123">
        <f t="shared" si="39"/>
        <v>0</v>
      </c>
      <c r="AR18" s="123">
        <f t="shared" si="40"/>
        <v>0</v>
      </c>
      <c r="AS18" s="123">
        <f t="shared" si="41"/>
        <v>0</v>
      </c>
      <c r="AW18" t="str">
        <f t="shared" si="14"/>
        <v>12700</v>
      </c>
      <c r="AX18" t="str">
        <f t="shared" si="15"/>
        <v>75-397887.44050787i</v>
      </c>
      <c r="AY18" t="str">
        <f t="shared" si="42"/>
        <v>12686.9982916023-404.948452179235i</v>
      </c>
      <c r="AZ18">
        <f t="shared" si="16"/>
        <v>8.0921998074111823</v>
      </c>
      <c r="BA18">
        <f t="shared" si="17"/>
        <v>-1.8281682650417568</v>
      </c>
      <c r="BB18">
        <f t="shared" si="18"/>
        <v>-6.0085280640024505</v>
      </c>
      <c r="BC18">
        <f t="shared" si="19"/>
        <v>0.96670834762254454</v>
      </c>
      <c r="BD18" s="123">
        <f t="shared" si="43"/>
        <v>-6.0085281981835532</v>
      </c>
      <c r="BE18" s="123">
        <f t="shared" si="44"/>
        <v>0.95473142464341842</v>
      </c>
      <c r="BF18">
        <f t="shared" si="45"/>
        <v>66.583783799039722</v>
      </c>
      <c r="BG18">
        <f t="shared" si="46"/>
        <v>-91.1259374433685</v>
      </c>
      <c r="BH18" s="123">
        <f t="shared" si="47"/>
        <v>60.575255600856167</v>
      </c>
      <c r="BI18" s="123">
        <f t="shared" si="48"/>
        <v>-90.171206018725087</v>
      </c>
      <c r="BL18" s="123">
        <f t="shared" si="49"/>
        <v>0</v>
      </c>
      <c r="BM18" s="123">
        <f t="shared" si="50"/>
        <v>0</v>
      </c>
      <c r="BN18" s="123">
        <f t="shared" si="51"/>
        <v>0</v>
      </c>
      <c r="BO18" s="123">
        <f t="shared" si="52"/>
        <v>0</v>
      </c>
      <c r="BP18" s="123">
        <f t="shared" si="53"/>
        <v>0</v>
      </c>
      <c r="BQ18" s="123">
        <f t="shared" si="54"/>
        <v>0</v>
      </c>
      <c r="BR18" s="123">
        <f t="shared" si="55"/>
        <v>0</v>
      </c>
      <c r="BS18" s="123"/>
      <c r="BT18" s="123"/>
      <c r="BU18" s="123">
        <f t="shared" si="56"/>
        <v>0</v>
      </c>
      <c r="BV18" s="123">
        <f t="shared" si="57"/>
        <v>0</v>
      </c>
      <c r="BX18" s="123">
        <f t="shared" si="58"/>
        <v>0</v>
      </c>
      <c r="BY18" s="123"/>
    </row>
    <row r="19" spans="2:77" x14ac:dyDescent="0.2">
      <c r="C19" t="s">
        <v>390</v>
      </c>
      <c r="D19">
        <f>f.sw*0.5*1</f>
        <v>50000</v>
      </c>
      <c r="E19">
        <v>8</v>
      </c>
      <c r="F19">
        <v>4.5</v>
      </c>
      <c r="G19" s="58">
        <f t="shared" si="1"/>
        <v>-1.6982295766044371E-7</v>
      </c>
      <c r="H19" s="58">
        <f t="shared" si="2"/>
        <v>-1.3474038322292436E-2</v>
      </c>
      <c r="I19">
        <f t="shared" si="20"/>
        <v>27.270341536969873</v>
      </c>
      <c r="J19">
        <f t="shared" si="3"/>
        <v>-1.0775364307648185</v>
      </c>
      <c r="K19" t="str">
        <f t="shared" si="4"/>
        <v>7142.85714274058-0.02885135510157i</v>
      </c>
      <c r="L19" t="str">
        <f t="shared" si="5"/>
        <v>3300-3536777248.95884i</v>
      </c>
      <c r="M19" t="str">
        <f t="shared" si="6"/>
        <v>99999.9999174181-2.827432797588i</v>
      </c>
      <c r="N19">
        <f t="shared" si="21"/>
        <v>-23.521825177566772</v>
      </c>
      <c r="O19">
        <f t="shared" si="7"/>
        <v>1.2959999995282698E-3</v>
      </c>
      <c r="P19" t="str">
        <f t="shared" si="8"/>
        <v>-107175068.150268i</v>
      </c>
      <c r="Q19" t="str">
        <f t="shared" si="9"/>
        <v>3300-752505.797650818i</v>
      </c>
      <c r="R19" t="str">
        <f t="shared" si="22"/>
        <v>3254.14309559815-747259.184425737i</v>
      </c>
      <c r="S19" t="str">
        <f t="shared" si="10"/>
        <v>99996802.3517574-565468.477728953i</v>
      </c>
      <c r="T19" t="str">
        <f t="shared" si="23"/>
        <v>8836.3965425155-747137.27094313i</v>
      </c>
      <c r="U19" t="str">
        <f t="shared" si="24"/>
        <v>0.99999999949375-0.0000224999999886094i</v>
      </c>
      <c r="V19">
        <f t="shared" si="11"/>
        <v>57.46861547260054</v>
      </c>
      <c r="W19">
        <f t="shared" si="12"/>
        <v>-89.323701837148704</v>
      </c>
      <c r="X19">
        <f t="shared" si="25"/>
        <v>-2.1986155146640294E-9</v>
      </c>
      <c r="Y19">
        <f t="shared" si="13"/>
        <v>-1.2891553070279549E-3</v>
      </c>
      <c r="AA19" s="123">
        <f t="shared" si="26"/>
        <v>27.270341367146916</v>
      </c>
      <c r="AB19" s="123">
        <f t="shared" si="27"/>
        <v>-1.091010469087111</v>
      </c>
      <c r="AC19">
        <f t="shared" si="28"/>
        <v>33.946790295033765</v>
      </c>
      <c r="AD19">
        <f t="shared" si="29"/>
        <v>-89.322405837149176</v>
      </c>
      <c r="AE19" s="123">
        <f t="shared" si="30"/>
        <v>61.217131662180677</v>
      </c>
      <c r="AF19" s="123">
        <f t="shared" si="31"/>
        <v>-90.413416306236286</v>
      </c>
      <c r="AI19" s="123">
        <f t="shared" si="32"/>
        <v>0</v>
      </c>
      <c r="AJ19" s="123">
        <f t="shared" si="33"/>
        <v>0</v>
      </c>
      <c r="AK19" s="123">
        <f t="shared" si="34"/>
        <v>0</v>
      </c>
      <c r="AL19" s="123">
        <f t="shared" si="35"/>
        <v>0</v>
      </c>
      <c r="AM19" s="123">
        <f t="shared" si="36"/>
        <v>0</v>
      </c>
      <c r="AN19" s="123">
        <f t="shared" si="37"/>
        <v>0</v>
      </c>
      <c r="AO19" s="123">
        <f t="shared" si="38"/>
        <v>0</v>
      </c>
      <c r="AP19" s="123"/>
      <c r="AQ19" s="123">
        <f t="shared" si="39"/>
        <v>0</v>
      </c>
      <c r="AR19" s="123">
        <f t="shared" si="40"/>
        <v>0</v>
      </c>
      <c r="AS19" s="123">
        <f t="shared" si="41"/>
        <v>0</v>
      </c>
      <c r="AW19" t="str">
        <f t="shared" si="14"/>
        <v>12700</v>
      </c>
      <c r="AX19" t="str">
        <f t="shared" si="15"/>
        <v>75-353677.724895884i</v>
      </c>
      <c r="AY19" t="str">
        <f t="shared" si="42"/>
        <v>12683.5492127782-455.442426408561i</v>
      </c>
      <c r="AZ19">
        <f t="shared" si="16"/>
        <v>8.0910120362715876</v>
      </c>
      <c r="BA19">
        <f t="shared" si="17"/>
        <v>-2.0565006656234237</v>
      </c>
      <c r="BB19">
        <f t="shared" si="18"/>
        <v>-6.0075418890045196</v>
      </c>
      <c r="BC19">
        <f t="shared" si="19"/>
        <v>1.0873544772245896</v>
      </c>
      <c r="BD19" s="123">
        <f t="shared" si="43"/>
        <v>-6.007542058827477</v>
      </c>
      <c r="BE19" s="123">
        <f t="shared" si="44"/>
        <v>1.0738804389022971</v>
      </c>
      <c r="BF19">
        <f t="shared" si="45"/>
        <v>65.559627508872126</v>
      </c>
      <c r="BG19">
        <f t="shared" si="46"/>
        <v>-91.380202502772121</v>
      </c>
      <c r="BH19" s="123">
        <f t="shared" si="47"/>
        <v>59.55208545004465</v>
      </c>
      <c r="BI19" s="123">
        <f t="shared" si="48"/>
        <v>-90.306322063869828</v>
      </c>
      <c r="BL19" s="123">
        <f t="shared" si="49"/>
        <v>0</v>
      </c>
      <c r="BM19" s="123">
        <f t="shared" si="50"/>
        <v>0</v>
      </c>
      <c r="BN19" s="123">
        <f t="shared" si="51"/>
        <v>0</v>
      </c>
      <c r="BO19" s="123">
        <f t="shared" si="52"/>
        <v>0</v>
      </c>
      <c r="BP19" s="123">
        <f t="shared" si="53"/>
        <v>0</v>
      </c>
      <c r="BQ19" s="123">
        <f t="shared" si="54"/>
        <v>0</v>
      </c>
      <c r="BR19" s="123">
        <f t="shared" si="55"/>
        <v>0</v>
      </c>
      <c r="BS19" s="123"/>
      <c r="BT19" s="123"/>
      <c r="BU19" s="123">
        <f t="shared" si="56"/>
        <v>0</v>
      </c>
      <c r="BV19" s="123">
        <f t="shared" si="57"/>
        <v>0</v>
      </c>
      <c r="BX19" s="123">
        <f t="shared" si="58"/>
        <v>0</v>
      </c>
      <c r="BY19" s="123"/>
    </row>
    <row r="20" spans="2:77" x14ac:dyDescent="0.2">
      <c r="B20" s="46" t="s">
        <v>442</v>
      </c>
      <c r="C20" t="s">
        <v>397</v>
      </c>
      <c r="D20">
        <f>1/R.s/A.s_typ*(R.load*Wsh*L.out)/(R.load+Wsh*L.out)</f>
        <v>23.099133782483154</v>
      </c>
      <c r="E20">
        <v>9</v>
      </c>
      <c r="F20">
        <v>5</v>
      </c>
      <c r="G20" s="58">
        <f t="shared" si="1"/>
        <v>-2.0965797707981751E-7</v>
      </c>
      <c r="H20" s="58">
        <f t="shared" si="2"/>
        <v>-1.4971153655144221E-2</v>
      </c>
      <c r="I20">
        <f t="shared" si="20"/>
        <v>27.269972797474789</v>
      </c>
      <c r="J20">
        <f t="shared" si="3"/>
        <v>-1.1972284107985414</v>
      </c>
      <c r="K20" t="str">
        <f t="shared" si="4"/>
        <v>7142.85714271324-0.032057061223844i</v>
      </c>
      <c r="L20" t="str">
        <f t="shared" si="5"/>
        <v>3300-3183099524.06296i</v>
      </c>
      <c r="M20" t="str">
        <f t="shared" si="6"/>
        <v>99999.999898047-3.14159199669136i</v>
      </c>
      <c r="N20">
        <f t="shared" si="21"/>
        <v>-23.521825176734737</v>
      </c>
      <c r="O20">
        <f t="shared" si="7"/>
        <v>1.439999999352919E-3</v>
      </c>
      <c r="P20" t="str">
        <f t="shared" si="8"/>
        <v>-96457561.3352412i</v>
      </c>
      <c r="Q20" t="str">
        <f t="shared" si="9"/>
        <v>3300-677255.217885736i</v>
      </c>
      <c r="R20" t="str">
        <f t="shared" si="22"/>
        <v>3254.14309488454-672533.286988483i</v>
      </c>
      <c r="S20" t="str">
        <f t="shared" si="10"/>
        <v>99996052.3157305-628293.59597336i</v>
      </c>
      <c r="T20" t="str">
        <f t="shared" si="23"/>
        <v>7775.74427137908-672430.697682301i</v>
      </c>
      <c r="U20" t="str">
        <f t="shared" si="24"/>
        <v>0.999999999375-0.000024999999984375i</v>
      </c>
      <c r="V20">
        <f t="shared" si="11"/>
        <v>56.553531318057324</v>
      </c>
      <c r="W20">
        <f t="shared" si="12"/>
        <v>-89.338932933188687</v>
      </c>
      <c r="X20">
        <f t="shared" si="25"/>
        <v>-2.7143407369049804E-9</v>
      </c>
      <c r="Y20">
        <f t="shared" si="13"/>
        <v>-1.4323947855299159E-3</v>
      </c>
      <c r="AA20" s="123">
        <f t="shared" si="26"/>
        <v>27.269972587816813</v>
      </c>
      <c r="AB20" s="123">
        <f t="shared" si="27"/>
        <v>-1.2121995644536856</v>
      </c>
      <c r="AC20">
        <f t="shared" si="28"/>
        <v>33.031706141322587</v>
      </c>
      <c r="AD20">
        <f t="shared" si="29"/>
        <v>-89.337492933189338</v>
      </c>
      <c r="AE20" s="123">
        <f t="shared" si="30"/>
        <v>60.301678729139397</v>
      </c>
      <c r="AF20" s="123">
        <f t="shared" si="31"/>
        <v>-90.549692497643022</v>
      </c>
      <c r="AI20" s="123">
        <f t="shared" si="32"/>
        <v>0</v>
      </c>
      <c r="AJ20" s="123">
        <f t="shared" si="33"/>
        <v>0</v>
      </c>
      <c r="AK20" s="123">
        <f t="shared" si="34"/>
        <v>0</v>
      </c>
      <c r="AL20" s="123">
        <f t="shared" si="35"/>
        <v>0</v>
      </c>
      <c r="AM20" s="123">
        <f t="shared" si="36"/>
        <v>0</v>
      </c>
      <c r="AN20" s="123">
        <f t="shared" si="37"/>
        <v>0</v>
      </c>
      <c r="AO20" s="123">
        <f t="shared" si="38"/>
        <v>0</v>
      </c>
      <c r="AP20" s="123"/>
      <c r="AQ20" s="123">
        <f t="shared" si="39"/>
        <v>0</v>
      </c>
      <c r="AR20" s="123">
        <f t="shared" si="40"/>
        <v>0</v>
      </c>
      <c r="AS20" s="123">
        <f t="shared" si="41"/>
        <v>0</v>
      </c>
      <c r="AW20" t="str">
        <f t="shared" si="14"/>
        <v>12700</v>
      </c>
      <c r="AX20" t="str">
        <f t="shared" si="15"/>
        <v>75-318309.952406296i</v>
      </c>
      <c r="AY20" t="str">
        <f t="shared" si="42"/>
        <v>12679.6965916588-505.892519982846i</v>
      </c>
      <c r="AZ20">
        <f t="shared" si="16"/>
        <v>8.0896849116870921</v>
      </c>
      <c r="BA20">
        <f t="shared" si="17"/>
        <v>-2.2847665713954601</v>
      </c>
      <c r="BB20">
        <f t="shared" si="18"/>
        <v>-6.0064401356229009</v>
      </c>
      <c r="BC20">
        <f t="shared" si="19"/>
        <v>1.2079327979304963</v>
      </c>
      <c r="BD20" s="123">
        <f t="shared" si="43"/>
        <v>-6.0064403452808781</v>
      </c>
      <c r="BE20" s="123">
        <f t="shared" si="44"/>
        <v>1.1929616442753521</v>
      </c>
      <c r="BF20">
        <f t="shared" si="45"/>
        <v>64.643216229744411</v>
      </c>
      <c r="BG20">
        <f t="shared" si="46"/>
        <v>-91.623699504584152</v>
      </c>
      <c r="BH20" s="123">
        <f t="shared" si="47"/>
        <v>58.636775884463532</v>
      </c>
      <c r="BI20" s="123">
        <f t="shared" si="48"/>
        <v>-90.430737860308795</v>
      </c>
      <c r="BL20" s="123">
        <f t="shared" si="49"/>
        <v>0</v>
      </c>
      <c r="BM20" s="123">
        <f t="shared" si="50"/>
        <v>0</v>
      </c>
      <c r="BN20" s="123">
        <f t="shared" si="51"/>
        <v>0</v>
      </c>
      <c r="BO20" s="123">
        <f t="shared" si="52"/>
        <v>0</v>
      </c>
      <c r="BP20" s="123">
        <f t="shared" si="53"/>
        <v>0</v>
      </c>
      <c r="BQ20" s="123">
        <f t="shared" si="54"/>
        <v>0</v>
      </c>
      <c r="BR20" s="123">
        <f t="shared" si="55"/>
        <v>0</v>
      </c>
      <c r="BS20" s="123"/>
      <c r="BT20" s="123"/>
      <c r="BU20" s="123">
        <f t="shared" si="56"/>
        <v>0</v>
      </c>
      <c r="BV20" s="123">
        <f t="shared" si="57"/>
        <v>0</v>
      </c>
      <c r="BX20" s="123">
        <f t="shared" si="58"/>
        <v>0</v>
      </c>
      <c r="BY20" s="123"/>
    </row>
    <row r="21" spans="2:77" x14ac:dyDescent="0.2">
      <c r="B21" s="46" t="s">
        <v>442</v>
      </c>
      <c r="C21" t="s">
        <v>398</v>
      </c>
      <c r="D21">
        <f>1/R.esrb/C.outb_derated</f>
        <v>127551.02040816328</v>
      </c>
      <c r="E21">
        <v>10</v>
      </c>
      <c r="F21">
        <v>5.5</v>
      </c>
      <c r="G21" s="58">
        <f t="shared" si="1"/>
        <v>-2.5368614238872504E-7</v>
      </c>
      <c r="H21" s="58">
        <f t="shared" si="2"/>
        <v>-1.6468268976535395E-2</v>
      </c>
      <c r="I21">
        <f t="shared" si="20"/>
        <v>27.269565279727424</v>
      </c>
      <c r="J21">
        <f t="shared" si="3"/>
        <v>-1.3169095668664454</v>
      </c>
      <c r="K21" t="str">
        <f t="shared" si="4"/>
        <v>7142.85714268303-0.0352627673460791i</v>
      </c>
      <c r="L21" t="str">
        <f t="shared" si="5"/>
        <v>3300-2893726840.05724i</v>
      </c>
      <c r="M21" t="str">
        <f t="shared" si="6"/>
        <v>99999.9998766369-3.45575119559619i</v>
      </c>
      <c r="N21">
        <f t="shared" si="21"/>
        <v>-23.521825175815195</v>
      </c>
      <c r="O21">
        <f t="shared" si="7"/>
        <v>1.5839999991387244E-3</v>
      </c>
      <c r="P21" t="str">
        <f t="shared" si="8"/>
        <v>-87688692.1229465i</v>
      </c>
      <c r="Q21" t="str">
        <f t="shared" si="9"/>
        <v>3300-615686.561714305i</v>
      </c>
      <c r="R21" t="str">
        <f t="shared" si="22"/>
        <v>3254.14309409579-611393.918368079i</v>
      </c>
      <c r="S21" t="str">
        <f t="shared" si="10"/>
        <v>99995223.341633-691117.226114232i</v>
      </c>
      <c r="T21" t="str">
        <f t="shared" si="23"/>
        <v>6990.9670589267-611305.453206648i</v>
      </c>
      <c r="U21" t="str">
        <f t="shared" si="24"/>
        <v>0.99999999924375-0.0000274999999792031i</v>
      </c>
      <c r="V21">
        <f t="shared" si="11"/>
        <v>55.725733351080635</v>
      </c>
      <c r="W21">
        <f t="shared" si="12"/>
        <v>-89.346380949482494</v>
      </c>
      <c r="X21">
        <f t="shared" si="25"/>
        <v>-3.2843527739265282E-9</v>
      </c>
      <c r="Y21">
        <f t="shared" si="13"/>
        <v>-1.5756342640139722E-3</v>
      </c>
      <c r="AA21" s="123">
        <f t="shared" si="26"/>
        <v>27.269565026041281</v>
      </c>
      <c r="AB21" s="123">
        <f t="shared" si="27"/>
        <v>-1.3333778358429809</v>
      </c>
      <c r="AC21">
        <f t="shared" si="28"/>
        <v>32.20390817526544</v>
      </c>
      <c r="AD21">
        <f t="shared" si="29"/>
        <v>-89.344796949483353</v>
      </c>
      <c r="AE21" s="123">
        <f t="shared" si="30"/>
        <v>59.473473201306717</v>
      </c>
      <c r="AF21" s="123">
        <f t="shared" si="31"/>
        <v>-90.678174785326334</v>
      </c>
      <c r="AI21" s="123">
        <f t="shared" si="32"/>
        <v>0</v>
      </c>
      <c r="AJ21" s="123">
        <f t="shared" si="33"/>
        <v>0</v>
      </c>
      <c r="AK21" s="123">
        <f t="shared" si="34"/>
        <v>0</v>
      </c>
      <c r="AL21" s="123">
        <f t="shared" si="35"/>
        <v>0</v>
      </c>
      <c r="AM21" s="123">
        <f t="shared" si="36"/>
        <v>0</v>
      </c>
      <c r="AN21" s="123">
        <f t="shared" si="37"/>
        <v>0</v>
      </c>
      <c r="AO21" s="123">
        <f t="shared" si="38"/>
        <v>0</v>
      </c>
      <c r="AP21" s="123"/>
      <c r="AQ21" s="123">
        <f t="shared" si="39"/>
        <v>0</v>
      </c>
      <c r="AR21" s="123">
        <f t="shared" si="40"/>
        <v>0</v>
      </c>
      <c r="AS21" s="123">
        <f t="shared" si="41"/>
        <v>0</v>
      </c>
      <c r="AW21" t="str">
        <f t="shared" si="14"/>
        <v>12700</v>
      </c>
      <c r="AX21" t="str">
        <f t="shared" si="15"/>
        <v>75-289372.684005724i</v>
      </c>
      <c r="AY21" t="str">
        <f t="shared" si="42"/>
        <v>12675.4411696275-556.293906921799i</v>
      </c>
      <c r="AZ21">
        <f t="shared" si="16"/>
        <v>8.088218561481451</v>
      </c>
      <c r="BA21">
        <f t="shared" si="17"/>
        <v>-2.5129586391870502</v>
      </c>
      <c r="BB21">
        <f t="shared" si="18"/>
        <v>-6.0052229508727715</v>
      </c>
      <c r="BC21">
        <f t="shared" si="19"/>
        <v>1.328435831913275</v>
      </c>
      <c r="BD21" s="123">
        <f t="shared" si="43"/>
        <v>-6.0052232045589138</v>
      </c>
      <c r="BE21" s="123">
        <f t="shared" si="44"/>
        <v>1.3119675629367396</v>
      </c>
      <c r="BF21">
        <f t="shared" si="45"/>
        <v>63.813951912562089</v>
      </c>
      <c r="BG21">
        <f t="shared" si="46"/>
        <v>-91.859339588669542</v>
      </c>
      <c r="BH21" s="123">
        <f t="shared" si="47"/>
        <v>57.808728708003173</v>
      </c>
      <c r="BI21" s="123">
        <f t="shared" si="48"/>
        <v>-90.547372025732798</v>
      </c>
      <c r="BL21" s="123">
        <f t="shared" si="49"/>
        <v>0</v>
      </c>
      <c r="BM21" s="123">
        <f t="shared" si="50"/>
        <v>0</v>
      </c>
      <c r="BN21" s="123">
        <f t="shared" si="51"/>
        <v>0</v>
      </c>
      <c r="BO21" s="123">
        <f t="shared" si="52"/>
        <v>0</v>
      </c>
      <c r="BP21" s="123">
        <f t="shared" si="53"/>
        <v>0</v>
      </c>
      <c r="BQ21" s="123">
        <f t="shared" si="54"/>
        <v>0</v>
      </c>
      <c r="BR21" s="123">
        <f t="shared" si="55"/>
        <v>0</v>
      </c>
      <c r="BS21" s="123"/>
      <c r="BT21" s="123"/>
      <c r="BU21" s="123">
        <f t="shared" si="56"/>
        <v>0</v>
      </c>
      <c r="BV21" s="123">
        <f t="shared" si="57"/>
        <v>0</v>
      </c>
      <c r="BX21" s="123">
        <f t="shared" si="58"/>
        <v>0</v>
      </c>
      <c r="BY21" s="123"/>
    </row>
    <row r="22" spans="2:77" x14ac:dyDescent="0.2">
      <c r="B22" s="46" t="s">
        <v>442</v>
      </c>
      <c r="C22" t="s">
        <v>399</v>
      </c>
      <c r="D22">
        <f>1/R.load/C.outtotal_derated+1/Wsh/C.outtotal_derated/L.out</f>
        <v>1485.7357924191156</v>
      </c>
      <c r="E22">
        <v>11</v>
      </c>
      <c r="F22">
        <v>6</v>
      </c>
      <c r="G22" s="58">
        <f t="shared" si="1"/>
        <v>-3.0190747390180805E-7</v>
      </c>
      <c r="H22" s="58">
        <f t="shared" si="2"/>
        <v>-1.7965384285319998E-2</v>
      </c>
      <c r="I22">
        <f t="shared" si="20"/>
        <v>27.269118994648878</v>
      </c>
      <c r="J22">
        <f t="shared" si="3"/>
        <v>-1.4365788188064943</v>
      </c>
      <c r="K22" t="str">
        <f t="shared" si="4"/>
        <v>7142.85714264997-0.0384684734682719i</v>
      </c>
      <c r="L22" t="str">
        <f t="shared" si="5"/>
        <v>3300-2652582936.71913i</v>
      </c>
      <c r="M22" t="str">
        <f t="shared" si="6"/>
        <v>99999.9998531877-3.76991039428267i</v>
      </c>
      <c r="N22">
        <f t="shared" si="21"/>
        <v>-23.521825174808029</v>
      </c>
      <c r="O22">
        <f t="shared" si="7"/>
        <v>1.7279999988818278E-3</v>
      </c>
      <c r="P22" t="str">
        <f t="shared" si="8"/>
        <v>-80381301.112701i</v>
      </c>
      <c r="Q22" t="str">
        <f t="shared" si="9"/>
        <v>3300-564379.348238113i</v>
      </c>
      <c r="R22" t="str">
        <f t="shared" si="22"/>
        <v>3254.14309323193-560444.446360314i</v>
      </c>
      <c r="S22" t="str">
        <f t="shared" si="10"/>
        <v>99994315.4333917-753939.219386446i</v>
      </c>
      <c r="T22" t="str">
        <f t="shared" si="23"/>
        <v>6394.07138088052-560366.698437696i</v>
      </c>
      <c r="U22" t="str">
        <f t="shared" si="24"/>
        <v>0.9999999991-0.000029999999973i</v>
      </c>
      <c r="V22">
        <f t="shared" si="11"/>
        <v>54.970011771005474</v>
      </c>
      <c r="W22">
        <f t="shared" si="12"/>
        <v>-89.347991608172023</v>
      </c>
      <c r="X22">
        <f t="shared" si="25"/>
        <v>-3.9086496970844254E-9</v>
      </c>
      <c r="Y22">
        <f t="shared" si="13"/>
        <v>-1.7188737424783356E-3</v>
      </c>
      <c r="AA22" s="123">
        <f t="shared" si="26"/>
        <v>27.269118692741404</v>
      </c>
      <c r="AB22" s="123">
        <f t="shared" si="27"/>
        <v>-1.4545442030918143</v>
      </c>
      <c r="AC22">
        <f t="shared" si="28"/>
        <v>31.448186596197445</v>
      </c>
      <c r="AD22">
        <f t="shared" si="29"/>
        <v>-89.346263608173146</v>
      </c>
      <c r="AE22" s="123">
        <f t="shared" si="30"/>
        <v>58.717305288938846</v>
      </c>
      <c r="AF22" s="123">
        <f t="shared" si="31"/>
        <v>-90.80080781126496</v>
      </c>
      <c r="AI22" s="123">
        <f t="shared" si="32"/>
        <v>0</v>
      </c>
      <c r="AJ22" s="123">
        <f t="shared" si="33"/>
        <v>0</v>
      </c>
      <c r="AK22" s="123">
        <f t="shared" si="34"/>
        <v>0</v>
      </c>
      <c r="AL22" s="123">
        <f t="shared" si="35"/>
        <v>0</v>
      </c>
      <c r="AM22" s="123">
        <f t="shared" si="36"/>
        <v>0</v>
      </c>
      <c r="AN22" s="123">
        <f t="shared" si="37"/>
        <v>0</v>
      </c>
      <c r="AO22" s="123">
        <f t="shared" si="38"/>
        <v>0</v>
      </c>
      <c r="AP22" s="123"/>
      <c r="AQ22" s="123">
        <f t="shared" si="39"/>
        <v>0</v>
      </c>
      <c r="AR22" s="123">
        <f t="shared" si="40"/>
        <v>0</v>
      </c>
      <c r="AS22" s="123">
        <f t="shared" si="41"/>
        <v>0</v>
      </c>
      <c r="AW22" t="str">
        <f t="shared" si="14"/>
        <v>12700</v>
      </c>
      <c r="AX22" t="str">
        <f t="shared" si="15"/>
        <v>75-265258.293671913i</v>
      </c>
      <c r="AY22" t="str">
        <f t="shared" si="42"/>
        <v>12670.7837647906-606.641776841978i</v>
      </c>
      <c r="AZ22">
        <f t="shared" si="16"/>
        <v>8.0866131267821384</v>
      </c>
      <c r="BA22">
        <f t="shared" si="17"/>
        <v>-2.7410695400295899</v>
      </c>
      <c r="BB22">
        <f t="shared" si="18"/>
        <v>-6.0038904970419251</v>
      </c>
      <c r="BC22">
        <f t="shared" si="19"/>
        <v>1.4488561191111828</v>
      </c>
      <c r="BD22" s="123">
        <f t="shared" si="43"/>
        <v>-6.0038907989493993</v>
      </c>
      <c r="BE22" s="123">
        <f t="shared" si="44"/>
        <v>1.4308907348258628</v>
      </c>
      <c r="BF22">
        <f t="shared" si="45"/>
        <v>63.056624897787614</v>
      </c>
      <c r="BG22">
        <f t="shared" si="46"/>
        <v>-92.089061148201608</v>
      </c>
      <c r="BH22" s="123">
        <f t="shared" si="47"/>
        <v>57.052734098838215</v>
      </c>
      <c r="BI22" s="123">
        <f t="shared" si="48"/>
        <v>-90.658170413375743</v>
      </c>
      <c r="BL22" s="123">
        <f t="shared" si="49"/>
        <v>0</v>
      </c>
      <c r="BM22" s="123">
        <f t="shared" si="50"/>
        <v>0</v>
      </c>
      <c r="BN22" s="123">
        <f t="shared" si="51"/>
        <v>0</v>
      </c>
      <c r="BO22" s="123">
        <f t="shared" si="52"/>
        <v>0</v>
      </c>
      <c r="BP22" s="123">
        <f t="shared" si="53"/>
        <v>0</v>
      </c>
      <c r="BQ22" s="123">
        <f t="shared" si="54"/>
        <v>0</v>
      </c>
      <c r="BR22" s="123">
        <f t="shared" si="55"/>
        <v>0</v>
      </c>
      <c r="BS22" s="123"/>
      <c r="BT22" s="123"/>
      <c r="BU22" s="123">
        <f t="shared" si="56"/>
        <v>0</v>
      </c>
      <c r="BV22" s="123">
        <f t="shared" si="57"/>
        <v>0</v>
      </c>
      <c r="BX22" s="123">
        <f t="shared" si="58"/>
        <v>0</v>
      </c>
      <c r="BY22" s="123"/>
    </row>
    <row r="23" spans="2:77" x14ac:dyDescent="0.2">
      <c r="B23" s="139" t="s">
        <v>441</v>
      </c>
      <c r="C23" t="s">
        <v>446</v>
      </c>
      <c r="D23">
        <f>1/R.load/C.outtotal_derated</f>
        <v>743.58287974777681</v>
      </c>
      <c r="E23">
        <v>12</v>
      </c>
      <c r="F23">
        <v>6.5</v>
      </c>
      <c r="G23" s="58">
        <f t="shared" si="1"/>
        <v>-3.5432197072457656E-7</v>
      </c>
      <c r="H23" s="58">
        <f t="shared" si="2"/>
        <v>-1.9462499580351865E-2</v>
      </c>
      <c r="I23">
        <f t="shared" si="20"/>
        <v>27.268633954196556</v>
      </c>
      <c r="J23">
        <f t="shared" si="3"/>
        <v>-1.5562350870943062</v>
      </c>
      <c r="K23" t="str">
        <f t="shared" si="4"/>
        <v>7142.85714261399-0.0416741795904182i</v>
      </c>
      <c r="L23" t="str">
        <f t="shared" si="5"/>
        <v>3300-2448538095.43305i</v>
      </c>
      <c r="M23" t="str">
        <f t="shared" si="6"/>
        <v>99999.9998276995-4.0840695927309i</v>
      </c>
      <c r="N23">
        <f t="shared" si="21"/>
        <v>-23.521825173713271</v>
      </c>
      <c r="O23">
        <f t="shared" si="7"/>
        <v>1.8719999985783557E-3</v>
      </c>
      <c r="P23" t="str">
        <f t="shared" si="8"/>
        <v>-74198124.1040317i</v>
      </c>
      <c r="Q23" t="str">
        <f t="shared" si="9"/>
        <v>3300-520965.552219797i</v>
      </c>
      <c r="R23" t="str">
        <f t="shared" si="22"/>
        <v>3254.14309229296-517333.356362272i</v>
      </c>
      <c r="S23" t="str">
        <f t="shared" si="10"/>
        <v>99993328.595307-816759.42703781i</v>
      </c>
      <c r="T23" t="str">
        <f t="shared" si="23"/>
        <v>5929.54125644448-517263.99216272i</v>
      </c>
      <c r="U23" t="str">
        <f t="shared" si="24"/>
        <v>0.99999999894375-0.0000324999999656719i</v>
      </c>
      <c r="V23">
        <f t="shared" si="11"/>
        <v>54.274815596343558</v>
      </c>
      <c r="W23">
        <f t="shared" si="12"/>
        <v>-89.34511198383224</v>
      </c>
      <c r="X23">
        <f t="shared" si="25"/>
        <v>-4.5872363280277123E-9</v>
      </c>
      <c r="Y23">
        <f t="shared" si="13"/>
        <v>-1.8621132209212133E-3</v>
      </c>
      <c r="AA23" s="123">
        <f t="shared" si="26"/>
        <v>27.268633599874587</v>
      </c>
      <c r="AB23" s="123">
        <f t="shared" si="27"/>
        <v>-1.5756975866746581</v>
      </c>
      <c r="AC23">
        <f t="shared" si="28"/>
        <v>30.752990422630287</v>
      </c>
      <c r="AD23">
        <f t="shared" si="29"/>
        <v>-89.343239983833655</v>
      </c>
      <c r="AE23" s="123">
        <f t="shared" si="30"/>
        <v>58.021624022504874</v>
      </c>
      <c r="AF23" s="123">
        <f t="shared" si="31"/>
        <v>-90.918937570508319</v>
      </c>
      <c r="AI23" s="123">
        <f t="shared" si="32"/>
        <v>0</v>
      </c>
      <c r="AJ23" s="123">
        <f t="shared" si="33"/>
        <v>0</v>
      </c>
      <c r="AK23" s="123">
        <f t="shared" si="34"/>
        <v>0</v>
      </c>
      <c r="AL23" s="123">
        <f t="shared" si="35"/>
        <v>0</v>
      </c>
      <c r="AM23" s="123">
        <f t="shared" si="36"/>
        <v>0</v>
      </c>
      <c r="AN23" s="123">
        <f t="shared" si="37"/>
        <v>0</v>
      </c>
      <c r="AO23" s="123">
        <f t="shared" si="38"/>
        <v>0</v>
      </c>
      <c r="AP23" s="123"/>
      <c r="AQ23" s="123">
        <f t="shared" si="39"/>
        <v>0</v>
      </c>
      <c r="AR23" s="123">
        <f t="shared" si="40"/>
        <v>0</v>
      </c>
      <c r="AS23" s="123">
        <f t="shared" si="41"/>
        <v>0</v>
      </c>
      <c r="AW23" t="str">
        <f t="shared" si="14"/>
        <v>12700</v>
      </c>
      <c r="AX23" t="str">
        <f t="shared" si="15"/>
        <v>75-244853.809543305i</v>
      </c>
      <c r="AY23" t="str">
        <f t="shared" si="42"/>
        <v>12665.725271585-656.931336475896i</v>
      </c>
      <c r="AZ23">
        <f t="shared" si="16"/>
        <v>8.0848687619751551</v>
      </c>
      <c r="BA23">
        <f t="shared" si="17"/>
        <v>-2.9690919605505037</v>
      </c>
      <c r="BB23">
        <f t="shared" si="18"/>
        <v>-6.0024429516309121</v>
      </c>
      <c r="BC23">
        <f t="shared" si="19"/>
        <v>1.5691862189669707</v>
      </c>
      <c r="BD23" s="123">
        <f t="shared" si="43"/>
        <v>-6.002443305952883</v>
      </c>
      <c r="BE23" s="123">
        <f t="shared" si="44"/>
        <v>1.5497237193866189</v>
      </c>
      <c r="BF23">
        <f t="shared" si="45"/>
        <v>62.359684358318717</v>
      </c>
      <c r="BG23">
        <f t="shared" si="46"/>
        <v>-92.31420394438274</v>
      </c>
      <c r="BH23" s="123">
        <f t="shared" si="47"/>
        <v>56.357241052365836</v>
      </c>
      <c r="BI23" s="123">
        <f t="shared" si="48"/>
        <v>-90.76448022499612</v>
      </c>
      <c r="BL23" s="123">
        <f t="shared" si="49"/>
        <v>0</v>
      </c>
      <c r="BM23" s="123">
        <f t="shared" si="50"/>
        <v>0</v>
      </c>
      <c r="BN23" s="123">
        <f t="shared" si="51"/>
        <v>0</v>
      </c>
      <c r="BO23" s="123">
        <f t="shared" si="52"/>
        <v>0</v>
      </c>
      <c r="BP23" s="123">
        <f t="shared" si="53"/>
        <v>0</v>
      </c>
      <c r="BQ23" s="123">
        <f t="shared" si="54"/>
        <v>0</v>
      </c>
      <c r="BR23" s="123">
        <f t="shared" si="55"/>
        <v>0</v>
      </c>
      <c r="BS23" s="123"/>
      <c r="BT23" s="123"/>
      <c r="BU23" s="123">
        <f t="shared" si="56"/>
        <v>0</v>
      </c>
      <c r="BV23" s="123">
        <f t="shared" si="57"/>
        <v>0</v>
      </c>
      <c r="BX23" s="123">
        <f t="shared" si="58"/>
        <v>0</v>
      </c>
      <c r="BY23" s="123"/>
    </row>
    <row r="24" spans="2:77" x14ac:dyDescent="0.2">
      <c r="B24" s="139" t="s">
        <v>441</v>
      </c>
      <c r="C24" t="s">
        <v>453</v>
      </c>
      <c r="D24">
        <f>1/R.load*(R.load*Wsh*L.out)/(R.load+Wsh*L.out)</f>
        <v>0.50048123195380179</v>
      </c>
      <c r="E24">
        <v>13</v>
      </c>
      <c r="F24">
        <v>7</v>
      </c>
      <c r="G24" s="58">
        <f t="shared" si="1"/>
        <v>-4.1092961846802814E-7</v>
      </c>
      <c r="H24" s="58">
        <f t="shared" si="2"/>
        <v>-2.0959614860484976E-2</v>
      </c>
      <c r="I24">
        <f t="shared" si="20"/>
        <v>27.268110171362977</v>
      </c>
      <c r="J24">
        <f t="shared" si="3"/>
        <v>-1.6758772929007379</v>
      </c>
      <c r="K24" t="str">
        <f t="shared" si="4"/>
        <v>7142.85714257515-0.044879885712514i</v>
      </c>
      <c r="L24" t="str">
        <f t="shared" si="5"/>
        <v>3300-2273642517.18783i</v>
      </c>
      <c r="M24" t="str">
        <f t="shared" si="6"/>
        <v>99999.9998001722-4.39822879092108i</v>
      </c>
      <c r="N24">
        <f t="shared" si="21"/>
        <v>-23.521825172530967</v>
      </c>
      <c r="O24">
        <f t="shared" si="7"/>
        <v>2.015999998224393E-3</v>
      </c>
      <c r="P24" t="str">
        <f t="shared" si="8"/>
        <v>-68898258.0966008i</v>
      </c>
      <c r="Q24" t="str">
        <f t="shared" si="9"/>
        <v>3300-483753.72706124i</v>
      </c>
      <c r="R24" t="str">
        <f t="shared" si="22"/>
        <v>3254.14309127887-480380.995086155i</v>
      </c>
      <c r="S24" t="str">
        <f t="shared" si="10"/>
        <v>99992262.8320531-879577.700330214i</v>
      </c>
      <c r="T24" t="str">
        <f t="shared" si="23"/>
        <v>5560.94775173185-480318.356117541i</v>
      </c>
      <c r="U24" t="str">
        <f t="shared" si="24"/>
        <v>0.999999998775-0.000034999999957125i</v>
      </c>
      <c r="V24">
        <f t="shared" si="11"/>
        <v>53.63116577446749</v>
      </c>
      <c r="W24">
        <f t="shared" si="12"/>
        <v>-89.338704293887005</v>
      </c>
      <c r="X24">
        <f t="shared" si="25"/>
        <v>-5.320106880804311E-9</v>
      </c>
      <c r="Y24">
        <f t="shared" si="13"/>
        <v>-2.0053526993408116E-3</v>
      </c>
      <c r="AA24" s="123">
        <f t="shared" si="26"/>
        <v>27.268109760433358</v>
      </c>
      <c r="AB24" s="123">
        <f t="shared" si="27"/>
        <v>-1.6968369077612229</v>
      </c>
      <c r="AC24">
        <f t="shared" si="28"/>
        <v>30.109340601936523</v>
      </c>
      <c r="AD24">
        <f t="shared" si="29"/>
        <v>-89.336688293888784</v>
      </c>
      <c r="AE24" s="123">
        <f t="shared" si="30"/>
        <v>57.377450362369885</v>
      </c>
      <c r="AF24" s="123">
        <f t="shared" si="31"/>
        <v>-91.033525201650008</v>
      </c>
      <c r="AI24" s="123">
        <f t="shared" si="32"/>
        <v>0</v>
      </c>
      <c r="AJ24" s="123">
        <f t="shared" si="33"/>
        <v>0</v>
      </c>
      <c r="AK24" s="123">
        <f t="shared" si="34"/>
        <v>0</v>
      </c>
      <c r="AL24" s="123">
        <f t="shared" si="35"/>
        <v>0</v>
      </c>
      <c r="AM24" s="123">
        <f t="shared" si="36"/>
        <v>0</v>
      </c>
      <c r="AN24" s="123">
        <f t="shared" si="37"/>
        <v>0</v>
      </c>
      <c r="AO24" s="123">
        <f t="shared" si="38"/>
        <v>0</v>
      </c>
      <c r="AP24" s="123"/>
      <c r="AQ24" s="123">
        <f t="shared" si="39"/>
        <v>0</v>
      </c>
      <c r="AR24" s="123">
        <f t="shared" si="40"/>
        <v>0</v>
      </c>
      <c r="AS24" s="123">
        <f t="shared" si="41"/>
        <v>0</v>
      </c>
      <c r="AW24" t="str">
        <f t="shared" si="14"/>
        <v>12700</v>
      </c>
      <c r="AX24" t="str">
        <f t="shared" si="15"/>
        <v>75-227364.251718783i</v>
      </c>
      <c r="AY24" t="str">
        <f t="shared" si="42"/>
        <v>12660.2666603499-707.157811179724i</v>
      </c>
      <c r="AZ24">
        <f t="shared" si="16"/>
        <v>8.0829856346555964</v>
      </c>
      <c r="BA24">
        <f t="shared" si="17"/>
        <v>-3.1970186043598914</v>
      </c>
      <c r="BB24">
        <f t="shared" si="18"/>
        <v>-6.0008805072857205</v>
      </c>
      <c r="BC24">
        <f t="shared" si="19"/>
        <v>1.6894187121560966</v>
      </c>
      <c r="BD24" s="123">
        <f t="shared" si="43"/>
        <v>-6.0008809182153389</v>
      </c>
      <c r="BE24" s="123">
        <f t="shared" si="44"/>
        <v>1.6684590972956117</v>
      </c>
      <c r="BF24">
        <f t="shared" si="45"/>
        <v>61.71415140912309</v>
      </c>
      <c r="BG24">
        <f t="shared" si="46"/>
        <v>-92.535722898246902</v>
      </c>
      <c r="BH24" s="123">
        <f t="shared" si="47"/>
        <v>55.713270490907753</v>
      </c>
      <c r="BI24" s="123">
        <f t="shared" si="48"/>
        <v>-90.867263800951292</v>
      </c>
      <c r="BL24" s="123">
        <f t="shared" si="49"/>
        <v>0</v>
      </c>
      <c r="BM24" s="123">
        <f t="shared" si="50"/>
        <v>0</v>
      </c>
      <c r="BN24" s="123">
        <f t="shared" si="51"/>
        <v>0</v>
      </c>
      <c r="BO24" s="123">
        <f t="shared" si="52"/>
        <v>0</v>
      </c>
      <c r="BP24" s="123">
        <f t="shared" si="53"/>
        <v>0</v>
      </c>
      <c r="BQ24" s="123">
        <f t="shared" si="54"/>
        <v>0</v>
      </c>
      <c r="BR24" s="123">
        <f t="shared" si="55"/>
        <v>0</v>
      </c>
      <c r="BS24" s="123"/>
      <c r="BT24" s="123"/>
      <c r="BU24" s="123">
        <f t="shared" si="56"/>
        <v>0</v>
      </c>
      <c r="BV24" s="123">
        <f t="shared" si="57"/>
        <v>0</v>
      </c>
      <c r="BX24" s="123">
        <f t="shared" si="58"/>
        <v>0</v>
      </c>
      <c r="BY24" s="123"/>
    </row>
    <row r="25" spans="2:77" x14ac:dyDescent="0.2">
      <c r="E25">
        <v>14</v>
      </c>
      <c r="F25">
        <v>7.5</v>
      </c>
      <c r="G25" s="58">
        <f t="shared" si="1"/>
        <v>-4.7173042396443802E-7</v>
      </c>
      <c r="H25" s="58">
        <f t="shared" si="2"/>
        <v>-2.2456730124573287E-2</v>
      </c>
      <c r="I25">
        <f t="shared" si="20"/>
        <v>27.267547660174515</v>
      </c>
      <c r="J25">
        <f t="shared" si="3"/>
        <v>-1.7955043581494523</v>
      </c>
      <c r="K25" t="str">
        <f t="shared" si="4"/>
        <v>7142.85714253343-0.0480855918345556i</v>
      </c>
      <c r="L25" t="str">
        <f t="shared" si="5"/>
        <v>3300-2122066349.37531i</v>
      </c>
      <c r="M25" t="str">
        <f t="shared" si="6"/>
        <v>99999.9997706058-4.71238798883332i</v>
      </c>
      <c r="N25">
        <f t="shared" si="21"/>
        <v>-23.521825171261092</v>
      </c>
      <c r="O25">
        <f t="shared" si="7"/>
        <v>2.1599999978160812E-3</v>
      </c>
      <c r="P25" t="str">
        <f t="shared" si="8"/>
        <v>-64305040.8901608i</v>
      </c>
      <c r="Q25" t="str">
        <f t="shared" si="9"/>
        <v>3300-451503.478590491i</v>
      </c>
      <c r="R25" t="str">
        <f t="shared" si="22"/>
        <v>3254.14309018966-448355.616787577i</v>
      </c>
      <c r="S25" t="str">
        <f t="shared" si="10"/>
        <v>99991118.1486779-942393.890540826i</v>
      </c>
      <c r="T25" t="str">
        <f t="shared" si="23"/>
        <v>5263.58334031595-448298.487025456i</v>
      </c>
      <c r="U25" t="str">
        <f t="shared" si="24"/>
        <v>0.99999999859375-0.0000374999999472656i</v>
      </c>
      <c r="V25">
        <f t="shared" si="11"/>
        <v>53.031944120597515</v>
      </c>
      <c r="W25">
        <f t="shared" si="12"/>
        <v>-89.329474178018401</v>
      </c>
      <c r="X25">
        <f t="shared" si="25"/>
        <v>-6.1072671413927652E-9</v>
      </c>
      <c r="Y25">
        <f t="shared" si="13"/>
        <v>-2.1485921777353433E-3</v>
      </c>
      <c r="AA25" s="123">
        <f t="shared" si="26"/>
        <v>27.267547188444091</v>
      </c>
      <c r="AB25" s="123">
        <f t="shared" si="27"/>
        <v>-1.8179610882740256</v>
      </c>
      <c r="AC25">
        <f t="shared" si="28"/>
        <v>29.510118949336423</v>
      </c>
      <c r="AD25">
        <f t="shared" si="29"/>
        <v>-89.327314178020586</v>
      </c>
      <c r="AE25" s="123">
        <f t="shared" si="30"/>
        <v>56.777666137780514</v>
      </c>
      <c r="AF25" s="123">
        <f t="shared" si="31"/>
        <v>-91.145275266294618</v>
      </c>
      <c r="AI25" s="123">
        <f t="shared" si="32"/>
        <v>0</v>
      </c>
      <c r="AJ25" s="123">
        <f t="shared" si="33"/>
        <v>0</v>
      </c>
      <c r="AK25" s="123">
        <f t="shared" si="34"/>
        <v>0</v>
      </c>
      <c r="AL25" s="123">
        <f t="shared" si="35"/>
        <v>0</v>
      </c>
      <c r="AM25" s="123">
        <f t="shared" si="36"/>
        <v>0</v>
      </c>
      <c r="AN25" s="123">
        <f t="shared" si="37"/>
        <v>0</v>
      </c>
      <c r="AO25" s="123">
        <f t="shared" si="38"/>
        <v>0</v>
      </c>
      <c r="AP25" s="123"/>
      <c r="AQ25" s="123">
        <f t="shared" si="39"/>
        <v>0</v>
      </c>
      <c r="AR25" s="123">
        <f t="shared" si="40"/>
        <v>0</v>
      </c>
      <c r="AS25" s="123">
        <f t="shared" si="41"/>
        <v>0</v>
      </c>
      <c r="AW25" t="str">
        <f t="shared" si="14"/>
        <v>12700</v>
      </c>
      <c r="AX25" t="str">
        <f t="shared" si="15"/>
        <v>75-212206.634937531i</v>
      </c>
      <c r="AY25" t="str">
        <f t="shared" si="42"/>
        <v>12654.4089768636-757.316446428462i</v>
      </c>
      <c r="AZ25">
        <f t="shared" si="16"/>
        <v>8.080963925574526</v>
      </c>
      <c r="BA25">
        <f t="shared" si="17"/>
        <v>-3.4248421934283351</v>
      </c>
      <c r="BB25">
        <f t="shared" si="18"/>
        <v>-5.9992033717277042</v>
      </c>
      <c r="BC25">
        <f t="shared" si="19"/>
        <v>1.8095462023039888</v>
      </c>
      <c r="BD25" s="123">
        <f t="shared" si="43"/>
        <v>-5.9992038434581278</v>
      </c>
      <c r="BE25" s="123">
        <f t="shared" si="44"/>
        <v>1.7870894721794155</v>
      </c>
      <c r="BF25">
        <f t="shared" si="45"/>
        <v>61.112908046172038</v>
      </c>
      <c r="BG25">
        <f t="shared" si="46"/>
        <v>-92.754316371446734</v>
      </c>
      <c r="BH25" s="123">
        <f t="shared" si="47"/>
        <v>55.113704202713912</v>
      </c>
      <c r="BI25" s="123">
        <f t="shared" si="48"/>
        <v>-90.967226899267317</v>
      </c>
      <c r="BL25" s="123">
        <f t="shared" si="49"/>
        <v>0</v>
      </c>
      <c r="BM25" s="123">
        <f t="shared" si="50"/>
        <v>0</v>
      </c>
      <c r="BN25" s="123">
        <f t="shared" si="51"/>
        <v>0</v>
      </c>
      <c r="BO25" s="123">
        <f t="shared" si="52"/>
        <v>0</v>
      </c>
      <c r="BP25" s="123">
        <f t="shared" si="53"/>
        <v>0</v>
      </c>
      <c r="BQ25" s="123">
        <f t="shared" si="54"/>
        <v>0</v>
      </c>
      <c r="BR25" s="123">
        <f t="shared" si="55"/>
        <v>0</v>
      </c>
      <c r="BS25" s="123"/>
      <c r="BT25" s="123"/>
      <c r="BU25" s="123">
        <f t="shared" si="56"/>
        <v>0</v>
      </c>
      <c r="BV25" s="123">
        <f t="shared" si="57"/>
        <v>0</v>
      </c>
      <c r="BX25" s="123">
        <f t="shared" si="58"/>
        <v>0</v>
      </c>
      <c r="BY25" s="123"/>
    </row>
    <row r="26" spans="2:77" x14ac:dyDescent="0.2">
      <c r="E26">
        <v>15</v>
      </c>
      <c r="F26">
        <v>8</v>
      </c>
      <c r="G26" s="58">
        <f t="shared" si="1"/>
        <v>-5.3672438633753451E-7</v>
      </c>
      <c r="H26" s="58">
        <f t="shared" si="2"/>
        <v>-2.3953845371470765E-2</v>
      </c>
      <c r="I26">
        <f t="shared" si="20"/>
        <v>27.266946435690471</v>
      </c>
      <c r="J26">
        <f t="shared" si="3"/>
        <v>-1.9151152055742662</v>
      </c>
      <c r="K26" t="str">
        <f t="shared" si="4"/>
        <v>7142.85714248883-0.0512912979565388i</v>
      </c>
      <c r="L26" t="str">
        <f t="shared" si="5"/>
        <v>3300-1989437202.53935i</v>
      </c>
      <c r="M26" t="str">
        <f t="shared" si="6"/>
        <v>99999.9997390004-5.02654718644779i</v>
      </c>
      <c r="N26">
        <f t="shared" si="21"/>
        <v>-23.521825169903625</v>
      </c>
      <c r="O26">
        <f t="shared" si="7"/>
        <v>2.3039999973495273E-3</v>
      </c>
      <c r="P26" t="str">
        <f t="shared" si="8"/>
        <v>-60285975.8345257i</v>
      </c>
      <c r="Q26" t="str">
        <f t="shared" si="9"/>
        <v>3300-423284.511178585i</v>
      </c>
      <c r="R26" t="str">
        <f t="shared" si="22"/>
        <v>3254.14308902532-420333.412158249i</v>
      </c>
      <c r="S26" t="str">
        <f t="shared" si="10"/>
        <v>99989894.5506027-1005207.84896325i</v>
      </c>
      <c r="T26" t="str">
        <f t="shared" si="23"/>
        <v>5020.2110428601-420280.876030092i</v>
      </c>
      <c r="U26" t="str">
        <f t="shared" si="24"/>
        <v>0.9999999984-0.000039999999936i</v>
      </c>
      <c r="V26">
        <f t="shared" si="11"/>
        <v>52.471412179013576</v>
      </c>
      <c r="W26">
        <f t="shared" si="12"/>
        <v>-89.317950875298095</v>
      </c>
      <c r="X26">
        <f t="shared" si="25"/>
        <v>-6.9487132524979666E-9</v>
      </c>
      <c r="Y26">
        <f t="shared" si="13"/>
        <v>-2.2918316561030207E-3</v>
      </c>
      <c r="AA26" s="123">
        <f t="shared" si="26"/>
        <v>27.266945898966085</v>
      </c>
      <c r="AB26" s="123">
        <f t="shared" si="27"/>
        <v>-1.9390690509457369</v>
      </c>
      <c r="AC26">
        <f t="shared" si="28"/>
        <v>28.949587009109951</v>
      </c>
      <c r="AD26">
        <f t="shared" si="29"/>
        <v>-89.315646875300743</v>
      </c>
      <c r="AE26" s="123">
        <f t="shared" si="30"/>
        <v>56.216532908076033</v>
      </c>
      <c r="AF26" s="123">
        <f t="shared" si="31"/>
        <v>-91.254715926246476</v>
      </c>
      <c r="AI26" s="123">
        <f t="shared" si="32"/>
        <v>0</v>
      </c>
      <c r="AJ26" s="123">
        <f t="shared" si="33"/>
        <v>0</v>
      </c>
      <c r="AK26" s="123">
        <f t="shared" si="34"/>
        <v>0</v>
      </c>
      <c r="AL26" s="123">
        <f t="shared" si="35"/>
        <v>0</v>
      </c>
      <c r="AM26" s="123">
        <f t="shared" si="36"/>
        <v>0</v>
      </c>
      <c r="AN26" s="123">
        <f t="shared" si="37"/>
        <v>0</v>
      </c>
      <c r="AO26" s="123">
        <f t="shared" si="38"/>
        <v>0</v>
      </c>
      <c r="AP26" s="123"/>
      <c r="AQ26" s="123">
        <f t="shared" si="39"/>
        <v>0</v>
      </c>
      <c r="AR26" s="123">
        <f t="shared" si="40"/>
        <v>0</v>
      </c>
      <c r="AS26" s="123">
        <f t="shared" si="41"/>
        <v>0</v>
      </c>
      <c r="AW26" t="str">
        <f t="shared" si="14"/>
        <v>12700</v>
      </c>
      <c r="AX26" t="str">
        <f t="shared" si="15"/>
        <v>75-198943.720253935i</v>
      </c>
      <c r="AY26" t="str">
        <f t="shared" si="42"/>
        <v>12648.153341844-807.402509297754i</v>
      </c>
      <c r="AZ26">
        <f t="shared" si="16"/>
        <v>8.0788038285809485</v>
      </c>
      <c r="BA26">
        <f t="shared" si="17"/>
        <v>-3.6525554694568423</v>
      </c>
      <c r="BB26">
        <f t="shared" si="18"/>
        <v>-5.99741176767564</v>
      </c>
      <c r="BC26">
        <f t="shared" si="19"/>
        <v>1.9295613176904076</v>
      </c>
      <c r="BD26" s="123">
        <f t="shared" si="43"/>
        <v>-5.9974123044000267</v>
      </c>
      <c r="BE26" s="123">
        <f t="shared" si="44"/>
        <v>1.9056074723189369</v>
      </c>
      <c r="BF26">
        <f t="shared" si="45"/>
        <v>60.550216007594528</v>
      </c>
      <c r="BG26">
        <f t="shared" si="46"/>
        <v>-92.970506344754938</v>
      </c>
      <c r="BH26" s="123">
        <f t="shared" si="47"/>
        <v>54.552803703194499</v>
      </c>
      <c r="BI26" s="123">
        <f t="shared" si="48"/>
        <v>-91.064898872436004</v>
      </c>
      <c r="BL26" s="123">
        <f t="shared" si="49"/>
        <v>0</v>
      </c>
      <c r="BM26" s="123">
        <f t="shared" si="50"/>
        <v>0</v>
      </c>
      <c r="BN26" s="123">
        <f t="shared" si="51"/>
        <v>0</v>
      </c>
      <c r="BO26" s="123">
        <f t="shared" si="52"/>
        <v>0</v>
      </c>
      <c r="BP26" s="123">
        <f t="shared" si="53"/>
        <v>0</v>
      </c>
      <c r="BQ26" s="123">
        <f t="shared" si="54"/>
        <v>0</v>
      </c>
      <c r="BR26" s="123">
        <f t="shared" si="55"/>
        <v>0</v>
      </c>
      <c r="BS26" s="123"/>
      <c r="BT26" s="123"/>
      <c r="BU26" s="123">
        <f t="shared" si="56"/>
        <v>0</v>
      </c>
      <c r="BV26" s="123">
        <f t="shared" si="57"/>
        <v>0</v>
      </c>
      <c r="BX26" s="123">
        <f t="shared" si="58"/>
        <v>0</v>
      </c>
      <c r="BY26" s="123"/>
    </row>
    <row r="27" spans="2:77" x14ac:dyDescent="0.2">
      <c r="E27">
        <v>16</v>
      </c>
      <c r="F27">
        <v>8.5</v>
      </c>
      <c r="G27" s="58">
        <f t="shared" si="1"/>
        <v>-6.0591151918203157E-7</v>
      </c>
      <c r="H27" s="58">
        <f t="shared" si="2"/>
        <v>-2.5450960600031266E-2</v>
      </c>
      <c r="I27">
        <f t="shared" si="20"/>
        <v>27.266306514001265</v>
      </c>
      <c r="J27">
        <f t="shared" si="3"/>
        <v>-2.034708758776572</v>
      </c>
      <c r="K27" t="str">
        <f t="shared" si="4"/>
        <v>7142.85714244135-0.0544970040784603i</v>
      </c>
      <c r="L27" t="str">
        <f t="shared" si="5"/>
        <v>3300-1872411484.74292i</v>
      </c>
      <c r="M27" t="str">
        <f t="shared" si="6"/>
        <v>99999.9997053559-5.34070638374463i</v>
      </c>
      <c r="N27">
        <f t="shared" si="21"/>
        <v>-23.521825168458598</v>
      </c>
      <c r="O27">
        <f t="shared" si="7"/>
        <v>2.4479999968208665E-3</v>
      </c>
      <c r="P27" t="str">
        <f t="shared" si="8"/>
        <v>-56739741.9619066i</v>
      </c>
      <c r="Q27" t="str">
        <f t="shared" si="9"/>
        <v>3300-398385.422285727i</v>
      </c>
      <c r="R27" t="str">
        <f t="shared" si="22"/>
        <v>3254.14308778588-395607.938785952i</v>
      </c>
      <c r="S27" t="str">
        <f t="shared" si="10"/>
        <v>99988592.0436227-1068019.42690873i</v>
      </c>
      <c r="T27" t="str">
        <f t="shared" si="23"/>
        <v>4818.50913927854-395559.291032886i</v>
      </c>
      <c r="U27" t="str">
        <f t="shared" si="24"/>
        <v>0.99999999819375-0.0000424999999232344i</v>
      </c>
      <c r="V27">
        <f t="shared" si="11"/>
        <v>51.944876186852504</v>
      </c>
      <c r="W27">
        <f t="shared" si="12"/>
        <v>-89.304539104788901</v>
      </c>
      <c r="X27">
        <f t="shared" si="25"/>
        <v>-7.8444452141356898E-9</v>
      </c>
      <c r="Y27">
        <f t="shared" si="13"/>
        <v>-2.4350711344420495E-3</v>
      </c>
      <c r="AA27" s="123">
        <f t="shared" si="26"/>
        <v>27.266305908089745</v>
      </c>
      <c r="AB27" s="123">
        <f t="shared" si="27"/>
        <v>-2.0601597193766032</v>
      </c>
      <c r="AC27">
        <f t="shared" si="28"/>
        <v>28.423051018393906</v>
      </c>
      <c r="AD27">
        <f t="shared" si="29"/>
        <v>-89.302091104792083</v>
      </c>
      <c r="AE27" s="123">
        <f t="shared" si="30"/>
        <v>55.689356926483654</v>
      </c>
      <c r="AF27" s="123">
        <f t="shared" si="31"/>
        <v>-91.362250824168683</v>
      </c>
      <c r="AI27" s="123">
        <f t="shared" si="32"/>
        <v>0</v>
      </c>
      <c r="AJ27" s="123">
        <f t="shared" si="33"/>
        <v>0</v>
      </c>
      <c r="AK27" s="123">
        <f t="shared" si="34"/>
        <v>0</v>
      </c>
      <c r="AL27" s="123">
        <f t="shared" si="35"/>
        <v>0</v>
      </c>
      <c r="AM27" s="123">
        <f t="shared" si="36"/>
        <v>0</v>
      </c>
      <c r="AN27" s="123">
        <f t="shared" si="37"/>
        <v>0</v>
      </c>
      <c r="AO27" s="123">
        <f t="shared" si="38"/>
        <v>0</v>
      </c>
      <c r="AP27" s="123"/>
      <c r="AQ27" s="123">
        <f t="shared" si="39"/>
        <v>0</v>
      </c>
      <c r="AR27" s="123">
        <f t="shared" si="40"/>
        <v>0</v>
      </c>
      <c r="AS27" s="123">
        <f t="shared" si="41"/>
        <v>0</v>
      </c>
      <c r="AW27" t="str">
        <f t="shared" si="14"/>
        <v>12700</v>
      </c>
      <c r="AX27" t="str">
        <f t="shared" si="15"/>
        <v>75-187241.148474292i</v>
      </c>
      <c r="AY27" t="str">
        <f t="shared" si="42"/>
        <v>12641.5009504154-857.41128993128i</v>
      </c>
      <c r="AZ27">
        <f t="shared" si="16"/>
        <v>8.0765055505604018</v>
      </c>
      <c r="BA27">
        <f t="shared" si="17"/>
        <v>-3.8801511952365817</v>
      </c>
      <c r="BB27">
        <f t="shared" si="18"/>
        <v>-5.995505932764047</v>
      </c>
      <c r="BC27">
        <f t="shared" si="19"/>
        <v>2.0494567129407435</v>
      </c>
      <c r="BD27" s="123">
        <f t="shared" si="43"/>
        <v>-5.9955065386755662</v>
      </c>
      <c r="BE27" s="123">
        <f t="shared" si="44"/>
        <v>2.0240057523407122</v>
      </c>
      <c r="BF27">
        <f t="shared" si="45"/>
        <v>60.021381737412909</v>
      </c>
      <c r="BG27">
        <f t="shared" si="46"/>
        <v>-93.18469030002548</v>
      </c>
      <c r="BH27" s="123">
        <f t="shared" si="47"/>
        <v>54.025875198737346</v>
      </c>
      <c r="BI27" s="123">
        <f t="shared" si="48"/>
        <v>-91.160684547684767</v>
      </c>
      <c r="BL27" s="123">
        <f t="shared" si="49"/>
        <v>0</v>
      </c>
      <c r="BM27" s="123">
        <f t="shared" si="50"/>
        <v>0</v>
      </c>
      <c r="BN27" s="123">
        <f t="shared" si="51"/>
        <v>0</v>
      </c>
      <c r="BO27" s="123">
        <f t="shared" si="52"/>
        <v>0</v>
      </c>
      <c r="BP27" s="123">
        <f t="shared" si="53"/>
        <v>0</v>
      </c>
      <c r="BQ27" s="123">
        <f t="shared" si="54"/>
        <v>0</v>
      </c>
      <c r="BR27" s="123">
        <f t="shared" si="55"/>
        <v>0</v>
      </c>
      <c r="BS27" s="123"/>
      <c r="BT27" s="123"/>
      <c r="BU27" s="123">
        <f t="shared" si="56"/>
        <v>0</v>
      </c>
      <c r="BV27" s="123">
        <f t="shared" si="57"/>
        <v>0</v>
      </c>
      <c r="BX27" s="123">
        <f t="shared" si="58"/>
        <v>0</v>
      </c>
      <c r="BY27" s="123"/>
    </row>
    <row r="28" spans="2:77" x14ac:dyDescent="0.2">
      <c r="E28">
        <v>17</v>
      </c>
      <c r="F28">
        <v>9</v>
      </c>
      <c r="G28" s="58">
        <f t="shared" si="1"/>
        <v>-6.7929179463263206E-7</v>
      </c>
      <c r="H28" s="58">
        <f t="shared" si="2"/>
        <v>-2.6948075809108834E-2</v>
      </c>
      <c r="I28">
        <f t="shared" si="20"/>
        <v>27.265627912227476</v>
      </c>
      <c r="J28">
        <f t="shared" si="3"/>
        <v>-2.1542839422823907</v>
      </c>
      <c r="K28" t="str">
        <f t="shared" si="4"/>
        <v>7142.857142391-0.0577027102003159i</v>
      </c>
      <c r="L28" t="str">
        <f t="shared" si="5"/>
        <v>3300-1768388624.47942i</v>
      </c>
      <c r="M28" t="str">
        <f t="shared" si="6"/>
        <v>99999.9996696724-5.654865580704i</v>
      </c>
      <c r="N28">
        <f t="shared" si="21"/>
        <v>-23.521825166925968</v>
      </c>
      <c r="O28">
        <f t="shared" si="7"/>
        <v>2.5919999962261968E-3</v>
      </c>
      <c r="P28" t="str">
        <f t="shared" si="8"/>
        <v>-53587534.075134i</v>
      </c>
      <c r="Q28" t="str">
        <f t="shared" si="9"/>
        <v>3300-376252.898825409i</v>
      </c>
      <c r="R28" t="str">
        <f t="shared" si="22"/>
        <v>3254.1430864713-373629.741461183i</v>
      </c>
      <c r="S28" t="str">
        <f t="shared" si="10"/>
        <v>99987210.6339064-1130828.47570726i</v>
      </c>
      <c r="T28" t="str">
        <f t="shared" si="23"/>
        <v>4649.48035519337-373584.427981443i</v>
      </c>
      <c r="U28" t="str">
        <f t="shared" si="24"/>
        <v>0.999999997975-0.000044999999908875i</v>
      </c>
      <c r="V28">
        <f t="shared" si="11"/>
        <v>51.448447937230178</v>
      </c>
      <c r="W28">
        <f t="shared" si="12"/>
        <v>-89.289553653300729</v>
      </c>
      <c r="X28">
        <f t="shared" si="25"/>
        <v>-8.7944639906502004E-9</v>
      </c>
      <c r="Y28">
        <f t="shared" si="13"/>
        <v>-2.5783106127506366E-3</v>
      </c>
      <c r="AA28" s="123">
        <f t="shared" si="26"/>
        <v>27.265627232935682</v>
      </c>
      <c r="AB28" s="123">
        <f t="shared" si="27"/>
        <v>-2.1812320180914995</v>
      </c>
      <c r="AC28">
        <f t="shared" si="28"/>
        <v>27.92662277030421</v>
      </c>
      <c r="AD28">
        <f t="shared" si="29"/>
        <v>-89.286961653304502</v>
      </c>
      <c r="AE28" s="123">
        <f t="shared" si="30"/>
        <v>55.192250003239891</v>
      </c>
      <c r="AF28" s="123">
        <f t="shared" si="31"/>
        <v>-91.468193671395994</v>
      </c>
      <c r="AI28" s="123">
        <f t="shared" si="32"/>
        <v>0</v>
      </c>
      <c r="AJ28" s="123">
        <f t="shared" si="33"/>
        <v>0</v>
      </c>
      <c r="AK28" s="123">
        <f t="shared" si="34"/>
        <v>0</v>
      </c>
      <c r="AL28" s="123">
        <f t="shared" si="35"/>
        <v>0</v>
      </c>
      <c r="AM28" s="123">
        <f t="shared" si="36"/>
        <v>0</v>
      </c>
      <c r="AN28" s="123">
        <f t="shared" si="37"/>
        <v>0</v>
      </c>
      <c r="AO28" s="123">
        <f t="shared" si="38"/>
        <v>0</v>
      </c>
      <c r="AP28" s="123"/>
      <c r="AQ28" s="123">
        <f t="shared" si="39"/>
        <v>0</v>
      </c>
      <c r="AR28" s="123">
        <f t="shared" si="40"/>
        <v>0</v>
      </c>
      <c r="AS28" s="123">
        <f t="shared" si="41"/>
        <v>0</v>
      </c>
      <c r="AW28" t="str">
        <f t="shared" si="14"/>
        <v>12700</v>
      </c>
      <c r="AX28" t="str">
        <f t="shared" si="15"/>
        <v>75-176838.862447942i</v>
      </c>
      <c r="AY28" t="str">
        <f t="shared" si="42"/>
        <v>12634.4530715405-907.338102992853i</v>
      </c>
      <c r="AZ28">
        <f t="shared" si="16"/>
        <v>8.0740693113691222</v>
      </c>
      <c r="BA28">
        <f t="shared" si="17"/>
        <v>-4.1076221559992252</v>
      </c>
      <c r="BB28">
        <f t="shared" si="18"/>
        <v>-5.9934861194549596</v>
      </c>
      <c r="BC28">
        <f t="shared" si="19"/>
        <v>2.1692250707030833</v>
      </c>
      <c r="BD28" s="123">
        <f t="shared" si="43"/>
        <v>-5.9934867987467539</v>
      </c>
      <c r="BE28" s="123">
        <f t="shared" si="44"/>
        <v>2.1422769948939746</v>
      </c>
      <c r="BF28">
        <f t="shared" si="45"/>
        <v>59.5225172485993</v>
      </c>
      <c r="BG28">
        <f t="shared" si="46"/>
        <v>-93.397175809299952</v>
      </c>
      <c r="BH28" s="123">
        <f t="shared" si="47"/>
        <v>53.529030449852549</v>
      </c>
      <c r="BI28" s="123">
        <f t="shared" si="48"/>
        <v>-91.254898814405976</v>
      </c>
      <c r="BL28" s="123">
        <f t="shared" si="49"/>
        <v>0</v>
      </c>
      <c r="BM28" s="123">
        <f t="shared" si="50"/>
        <v>0</v>
      </c>
      <c r="BN28" s="123">
        <f t="shared" si="51"/>
        <v>0</v>
      </c>
      <c r="BO28" s="123">
        <f t="shared" si="52"/>
        <v>0</v>
      </c>
      <c r="BP28" s="123">
        <f t="shared" si="53"/>
        <v>0</v>
      </c>
      <c r="BQ28" s="123">
        <f t="shared" si="54"/>
        <v>0</v>
      </c>
      <c r="BR28" s="123">
        <f t="shared" si="55"/>
        <v>0</v>
      </c>
      <c r="BS28" s="123"/>
      <c r="BT28" s="123"/>
      <c r="BU28" s="123">
        <f t="shared" si="56"/>
        <v>0</v>
      </c>
      <c r="BV28" s="123">
        <f t="shared" si="57"/>
        <v>0</v>
      </c>
      <c r="BX28" s="123">
        <f t="shared" si="58"/>
        <v>0</v>
      </c>
      <c r="BY28" s="123"/>
    </row>
    <row r="29" spans="2:77" x14ac:dyDescent="0.2">
      <c r="E29">
        <v>18</v>
      </c>
      <c r="F29">
        <v>9.5</v>
      </c>
      <c r="G29" s="58">
        <f t="shared" si="1"/>
        <v>-7.5686524076110867E-7</v>
      </c>
      <c r="H29" s="58">
        <f t="shared" si="2"/>
        <v>-2.8445190997557386E-2</v>
      </c>
      <c r="I29">
        <f t="shared" si="20"/>
        <v>27.264910648517979</v>
      </c>
      <c r="J29">
        <f t="shared" si="3"/>
        <v>-2.273839681599545</v>
      </c>
      <c r="K29" t="str">
        <f t="shared" si="4"/>
        <v>7142.85714233777-0.0609084163221018i</v>
      </c>
      <c r="L29" t="str">
        <f t="shared" si="5"/>
        <v>3300-1675315538.9805i</v>
      </c>
      <c r="M29" t="str">
        <f t="shared" si="6"/>
        <v>99999.9996319498-5.96902477730603i</v>
      </c>
      <c r="N29">
        <f t="shared" si="21"/>
        <v>-23.521825165305842</v>
      </c>
      <c r="O29">
        <f t="shared" si="7"/>
        <v>2.7359999955616156E-3</v>
      </c>
      <c r="P29" t="str">
        <f t="shared" si="8"/>
        <v>-50767137.5448638i</v>
      </c>
      <c r="Q29" t="str">
        <f t="shared" si="9"/>
        <v>3300-356450.114676703i</v>
      </c>
      <c r="R29" t="str">
        <f t="shared" si="22"/>
        <v>3254.14308508163-353965.039755379i</v>
      </c>
      <c r="S29" t="str">
        <f t="shared" si="10"/>
        <v>99985750.3279957-1193634.84670883i</v>
      </c>
      <c r="T29" t="str">
        <f t="shared" si="23"/>
        <v>4506.43085518401-353922.617629004i</v>
      </c>
      <c r="U29" t="str">
        <f t="shared" si="24"/>
        <v>0.99999999774375-0.0000474999998928281i</v>
      </c>
      <c r="V29">
        <f t="shared" si="11"/>
        <v>50.978870378388798</v>
      </c>
      <c r="W29">
        <f t="shared" si="12"/>
        <v>-89.273243041082495</v>
      </c>
      <c r="X29">
        <f t="shared" si="25"/>
        <v>-9.7987695820593061E-9</v>
      </c>
      <c r="Y29">
        <f t="shared" si="13"/>
        <v>-2.7215500910269959E-3</v>
      </c>
      <c r="AA29" s="123">
        <f t="shared" si="26"/>
        <v>27.264909891652739</v>
      </c>
      <c r="AB29" s="123">
        <f t="shared" si="27"/>
        <v>-2.3022848725971023</v>
      </c>
      <c r="AC29">
        <f t="shared" si="28"/>
        <v>27.457045213082957</v>
      </c>
      <c r="AD29">
        <f t="shared" si="29"/>
        <v>-89.27050704108693</v>
      </c>
      <c r="AE29" s="123">
        <f t="shared" si="30"/>
        <v>54.721955104735699</v>
      </c>
      <c r="AF29" s="123">
        <f t="shared" si="31"/>
        <v>-91.572791913684028</v>
      </c>
      <c r="AI29" s="123">
        <f t="shared" si="32"/>
        <v>0</v>
      </c>
      <c r="AJ29" s="123">
        <f t="shared" si="33"/>
        <v>0</v>
      </c>
      <c r="AK29" s="123">
        <f t="shared" si="34"/>
        <v>0</v>
      </c>
      <c r="AL29" s="123">
        <f t="shared" si="35"/>
        <v>0</v>
      </c>
      <c r="AM29" s="123">
        <f t="shared" si="36"/>
        <v>0</v>
      </c>
      <c r="AN29" s="123">
        <f t="shared" si="37"/>
        <v>0</v>
      </c>
      <c r="AO29" s="123">
        <f t="shared" si="38"/>
        <v>0</v>
      </c>
      <c r="AP29" s="123"/>
      <c r="AQ29" s="123">
        <f t="shared" si="39"/>
        <v>0</v>
      </c>
      <c r="AR29" s="123">
        <f t="shared" si="40"/>
        <v>0</v>
      </c>
      <c r="AS29" s="123">
        <f t="shared" si="41"/>
        <v>0</v>
      </c>
      <c r="AW29" t="str">
        <f t="shared" si="14"/>
        <v>12700</v>
      </c>
      <c r="AX29" t="str">
        <f t="shared" si="15"/>
        <v>75-167531.55389805i</v>
      </c>
      <c r="AY29" t="str">
        <f t="shared" si="42"/>
        <v>12627.0110474191-957.178289102259i</v>
      </c>
      <c r="AZ29">
        <f t="shared" si="16"/>
        <v>8.0714953437645089</v>
      </c>
      <c r="BA29">
        <f t="shared" si="17"/>
        <v>-4.3349611607561291</v>
      </c>
      <c r="BB29">
        <f t="shared" si="18"/>
        <v>-5.9913525949448401</v>
      </c>
      <c r="BC29">
        <f t="shared" si="19"/>
        <v>2.2888591033099526</v>
      </c>
      <c r="BD29" s="123">
        <f t="shared" si="43"/>
        <v>-5.9913533518100808</v>
      </c>
      <c r="BE29" s="123">
        <f t="shared" si="44"/>
        <v>2.2604139123123952</v>
      </c>
      <c r="BF29">
        <f t="shared" si="45"/>
        <v>59.050365722153309</v>
      </c>
      <c r="BG29">
        <f t="shared" si="46"/>
        <v>-93.608204201838618</v>
      </c>
      <c r="BH29" s="123">
        <f t="shared" si="47"/>
        <v>53.059012370343225</v>
      </c>
      <c r="BI29" s="123">
        <f t="shared" si="48"/>
        <v>-91.347790289526216</v>
      </c>
      <c r="BL29" s="123">
        <f t="shared" si="49"/>
        <v>0</v>
      </c>
      <c r="BM29" s="123">
        <f t="shared" si="50"/>
        <v>0</v>
      </c>
      <c r="BN29" s="123">
        <f t="shared" si="51"/>
        <v>0</v>
      </c>
      <c r="BO29" s="123">
        <f t="shared" si="52"/>
        <v>0</v>
      </c>
      <c r="BP29" s="123">
        <f t="shared" si="53"/>
        <v>0</v>
      </c>
      <c r="BQ29" s="123">
        <f t="shared" si="54"/>
        <v>0</v>
      </c>
      <c r="BR29" s="123">
        <f t="shared" si="55"/>
        <v>0</v>
      </c>
      <c r="BS29" s="123"/>
      <c r="BT29" s="123"/>
      <c r="BU29" s="123">
        <f t="shared" si="56"/>
        <v>0</v>
      </c>
      <c r="BV29" s="123">
        <f t="shared" si="57"/>
        <v>0</v>
      </c>
      <c r="BX29" s="123">
        <f t="shared" si="58"/>
        <v>0</v>
      </c>
      <c r="BY29" s="123"/>
    </row>
    <row r="30" spans="2:77" x14ac:dyDescent="0.2">
      <c r="E30">
        <v>19</v>
      </c>
      <c r="F30">
        <v>10</v>
      </c>
      <c r="G30" s="58">
        <f t="shared" si="1"/>
        <v>-8.3863183646460231E-7</v>
      </c>
      <c r="H30" s="58">
        <f t="shared" si="2"/>
        <v>-2.9942306164230811E-2</v>
      </c>
      <c r="I30">
        <f t="shared" si="20"/>
        <v>27.264154742048504</v>
      </c>
      <c r="J30">
        <f t="shared" si="3"/>
        <v>-2.393374903274581</v>
      </c>
      <c r="K30" t="str">
        <f t="shared" si="4"/>
        <v>7142.85714228165-0.064114122443814i</v>
      </c>
      <c r="L30" t="str">
        <f t="shared" si="5"/>
        <v>3300-1591549762.03148i</v>
      </c>
      <c r="M30" t="str">
        <f t="shared" si="6"/>
        <v>99999.9995921881-6.28318397353085i</v>
      </c>
      <c r="N30">
        <f t="shared" si="21"/>
        <v>-23.521825163598059</v>
      </c>
      <c r="O30">
        <f t="shared" si="7"/>
        <v>2.8799999948232831E-3</v>
      </c>
      <c r="P30" t="str">
        <f t="shared" si="8"/>
        <v>-48228780.6676206i</v>
      </c>
      <c r="Q30" t="str">
        <f t="shared" si="9"/>
        <v>3300-338627.608942868i</v>
      </c>
      <c r="R30" t="str">
        <f t="shared" si="22"/>
        <v>3254.14308361682-336266.809325699i</v>
      </c>
      <c r="S30" t="str">
        <f t="shared" si="10"/>
        <v>99984211.1328058-1256438.39128453i</v>
      </c>
      <c r="T30" t="str">
        <f t="shared" si="23"/>
        <v>4384.29718762388-336226.919096143i</v>
      </c>
      <c r="U30" t="str">
        <f t="shared" si="24"/>
        <v>0.9999999975-0.000049999999875i</v>
      </c>
      <c r="V30">
        <f t="shared" si="11"/>
        <v>50.533387995448741</v>
      </c>
      <c r="W30">
        <f t="shared" si="12"/>
        <v>-89.255806088029942</v>
      </c>
      <c r="X30">
        <f t="shared" si="25"/>
        <v>-1.0857362952709313E-8</v>
      </c>
      <c r="Y30">
        <f t="shared" si="13"/>
        <v>-2.8647895692693382E-3</v>
      </c>
      <c r="AA30" s="123">
        <f t="shared" si="26"/>
        <v>27.264153903416666</v>
      </c>
      <c r="AB30" s="123">
        <f t="shared" si="27"/>
        <v>-2.423317209438812</v>
      </c>
      <c r="AC30">
        <f t="shared" si="28"/>
        <v>27.011562831850682</v>
      </c>
      <c r="AD30">
        <f t="shared" si="29"/>
        <v>-89.252926088035125</v>
      </c>
      <c r="AE30" s="123">
        <f t="shared" si="30"/>
        <v>54.275716735267352</v>
      </c>
      <c r="AF30" s="123">
        <f t="shared" si="31"/>
        <v>-91.676243297473931</v>
      </c>
      <c r="AI30" s="123">
        <f t="shared" si="32"/>
        <v>0</v>
      </c>
      <c r="AJ30" s="123">
        <f t="shared" si="33"/>
        <v>0</v>
      </c>
      <c r="AK30" s="123">
        <f t="shared" si="34"/>
        <v>0</v>
      </c>
      <c r="AL30" s="123">
        <f t="shared" si="35"/>
        <v>0</v>
      </c>
      <c r="AM30" s="123">
        <f t="shared" si="36"/>
        <v>0</v>
      </c>
      <c r="AN30" s="123">
        <f t="shared" si="37"/>
        <v>0</v>
      </c>
      <c r="AO30" s="123">
        <f t="shared" si="38"/>
        <v>0</v>
      </c>
      <c r="AP30" s="123"/>
      <c r="AQ30" s="123">
        <f t="shared" si="39"/>
        <v>0</v>
      </c>
      <c r="AR30" s="123">
        <f t="shared" si="40"/>
        <v>0</v>
      </c>
      <c r="AS30" s="123">
        <f t="shared" si="41"/>
        <v>0</v>
      </c>
      <c r="AW30" t="str">
        <f t="shared" si="14"/>
        <v>12700</v>
      </c>
      <c r="AX30" t="str">
        <f t="shared" si="15"/>
        <v>75-159154.976203148i</v>
      </c>
      <c r="AY30" t="str">
        <f t="shared" si="42"/>
        <v>12619.1762928529-1006.92721625393i</v>
      </c>
      <c r="AZ30">
        <f t="shared" si="16"/>
        <v>8.0687838933311742</v>
      </c>
      <c r="BA30">
        <f t="shared" si="17"/>
        <v>-4.5621610436266709</v>
      </c>
      <c r="BB30">
        <f t="shared" si="18"/>
        <v>-5.9891056410669989</v>
      </c>
      <c r="BC30">
        <f t="shared" si="19"/>
        <v>2.4083515544246636</v>
      </c>
      <c r="BD30" s="123">
        <f t="shared" si="43"/>
        <v>-5.9891064796988358</v>
      </c>
      <c r="BE30" s="123">
        <f t="shared" si="44"/>
        <v>2.3784092482604327</v>
      </c>
      <c r="BF30">
        <f t="shared" si="45"/>
        <v>58.602171888779914</v>
      </c>
      <c r="BG30">
        <f t="shared" si="46"/>
        <v>-93.817967131656616</v>
      </c>
      <c r="BH30" s="123">
        <f t="shared" si="47"/>
        <v>52.613065409081081</v>
      </c>
      <c r="BI30" s="123">
        <f t="shared" si="48"/>
        <v>-91.439557883396176</v>
      </c>
      <c r="BL30" s="123">
        <f t="shared" si="49"/>
        <v>0</v>
      </c>
      <c r="BM30" s="123">
        <f t="shared" si="50"/>
        <v>0</v>
      </c>
      <c r="BN30" s="123">
        <f t="shared" si="51"/>
        <v>0</v>
      </c>
      <c r="BO30" s="123">
        <f t="shared" si="52"/>
        <v>0</v>
      </c>
      <c r="BP30" s="123">
        <f t="shared" si="53"/>
        <v>0</v>
      </c>
      <c r="BQ30" s="123">
        <f t="shared" si="54"/>
        <v>0</v>
      </c>
      <c r="BR30" s="123">
        <f t="shared" si="55"/>
        <v>0</v>
      </c>
      <c r="BS30" s="123"/>
      <c r="BT30" s="123"/>
      <c r="BU30" s="123">
        <f t="shared" si="56"/>
        <v>0</v>
      </c>
      <c r="BV30" s="123">
        <f t="shared" si="57"/>
        <v>0</v>
      </c>
      <c r="BX30" s="123">
        <f t="shared" si="58"/>
        <v>0</v>
      </c>
      <c r="BY30" s="123"/>
    </row>
    <row r="31" spans="2:77" x14ac:dyDescent="0.2">
      <c r="E31">
        <v>20</v>
      </c>
      <c r="F31">
        <v>15</v>
      </c>
      <c r="G31" s="58">
        <f t="shared" si="1"/>
        <v>-1.8869214204499529E-6</v>
      </c>
      <c r="H31" s="58">
        <f t="shared" si="2"/>
        <v>-4.4913456381202733E-2</v>
      </c>
      <c r="I31">
        <f t="shared" si="20"/>
        <v>27.254475274690918</v>
      </c>
      <c r="J31">
        <f t="shared" si="3"/>
        <v>-3.587363345871474</v>
      </c>
      <c r="K31" t="str">
        <f t="shared" si="4"/>
        <v>7142.85714156229-0.0961711836560356i</v>
      </c>
      <c r="L31" t="str">
        <f t="shared" si="5"/>
        <v>3300-1061033174.68765i</v>
      </c>
      <c r="M31" t="str">
        <f t="shared" si="6"/>
        <v>99999.9990824233-9.42477591066665i</v>
      </c>
      <c r="N31">
        <f t="shared" si="21"/>
        <v>-23.521825141703594</v>
      </c>
      <c r="O31">
        <f t="shared" si="7"/>
        <v>4.3199999825286224E-3</v>
      </c>
      <c r="P31" t="str">
        <f t="shared" si="8"/>
        <v>-32152520.4450804i</v>
      </c>
      <c r="Q31" t="str">
        <f t="shared" si="9"/>
        <v>3300-225751.739295245i</v>
      </c>
      <c r="R31" t="str">
        <f t="shared" si="22"/>
        <v>3254.14306483728-224178.057140973i</v>
      </c>
      <c r="S31" t="str">
        <f t="shared" si="10"/>
        <v>99964482.0586638-1884285.70271785i</v>
      </c>
      <c r="T31" t="str">
        <f t="shared" si="23"/>
        <v>3756.22616810585-224152.872625817i</v>
      </c>
      <c r="U31" t="str">
        <f t="shared" si="24"/>
        <v>0.999999994375-0.000074999999578125i</v>
      </c>
      <c r="V31">
        <f t="shared" si="11"/>
        <v>47.012105531671665</v>
      </c>
      <c r="W31">
        <f t="shared" si="12"/>
        <v>-89.044275526327525</v>
      </c>
      <c r="X31">
        <f t="shared" si="25"/>
        <v>-2.4429064734026222E-8</v>
      </c>
      <c r="Y31">
        <f t="shared" si="13"/>
        <v>-4.2971843494277739E-3</v>
      </c>
      <c r="AA31" s="123">
        <f t="shared" si="26"/>
        <v>27.254473387769497</v>
      </c>
      <c r="AB31" s="123">
        <f t="shared" si="27"/>
        <v>-3.6322768022526768</v>
      </c>
      <c r="AC31">
        <f t="shared" si="28"/>
        <v>23.490280389968071</v>
      </c>
      <c r="AD31">
        <f t="shared" si="29"/>
        <v>-89.039955526344997</v>
      </c>
      <c r="AE31" s="123">
        <f t="shared" si="30"/>
        <v>50.744753777737571</v>
      </c>
      <c r="AF31" s="123">
        <f t="shared" si="31"/>
        <v>-92.672232328597673</v>
      </c>
      <c r="AI31" s="123">
        <f t="shared" si="32"/>
        <v>0</v>
      </c>
      <c r="AJ31" s="123">
        <f t="shared" si="33"/>
        <v>0</v>
      </c>
      <c r="AK31" s="123">
        <f t="shared" si="34"/>
        <v>0</v>
      </c>
      <c r="AL31" s="123">
        <f t="shared" si="35"/>
        <v>0</v>
      </c>
      <c r="AM31" s="123">
        <f t="shared" si="36"/>
        <v>0</v>
      </c>
      <c r="AN31" s="123">
        <f t="shared" si="37"/>
        <v>0</v>
      </c>
      <c r="AO31" s="123">
        <f t="shared" si="38"/>
        <v>0</v>
      </c>
      <c r="AP31" s="123"/>
      <c r="AQ31" s="123">
        <f t="shared" si="39"/>
        <v>0</v>
      </c>
      <c r="AR31" s="123">
        <f t="shared" si="40"/>
        <v>0</v>
      </c>
      <c r="AS31" s="123">
        <f t="shared" si="41"/>
        <v>0</v>
      </c>
      <c r="AW31" t="str">
        <f t="shared" si="14"/>
        <v>12700</v>
      </c>
      <c r="AX31" t="str">
        <f t="shared" si="15"/>
        <v>75-106103.317468765i</v>
      </c>
      <c r="AY31" t="str">
        <f t="shared" si="42"/>
        <v>12519.5903095587-1498.40052127885i</v>
      </c>
      <c r="AZ31">
        <f t="shared" si="16"/>
        <v>8.0341708671511345</v>
      </c>
      <c r="BA31">
        <f t="shared" si="17"/>
        <v>-6.82495222289438</v>
      </c>
      <c r="BB31">
        <f t="shared" si="18"/>
        <v>-5.9604697335648913</v>
      </c>
      <c r="BC31">
        <f t="shared" si="19"/>
        <v>3.5939182970985804</v>
      </c>
      <c r="BD31" s="123">
        <f t="shared" si="43"/>
        <v>-5.9604716204863122</v>
      </c>
      <c r="BE31" s="123">
        <f t="shared" si="44"/>
        <v>3.5490048407173775</v>
      </c>
      <c r="BF31">
        <f t="shared" si="45"/>
        <v>55.046276398822798</v>
      </c>
      <c r="BG31">
        <f t="shared" si="46"/>
        <v>-95.869227749221906</v>
      </c>
      <c r="BH31" s="123">
        <f t="shared" si="47"/>
        <v>49.085804778336488</v>
      </c>
      <c r="BI31" s="123">
        <f t="shared" si="48"/>
        <v>-92.320222908504533</v>
      </c>
      <c r="BL31" s="123">
        <f t="shared" si="49"/>
        <v>0</v>
      </c>
      <c r="BM31" s="123">
        <f t="shared" si="50"/>
        <v>0</v>
      </c>
      <c r="BN31" s="123">
        <f t="shared" si="51"/>
        <v>0</v>
      </c>
      <c r="BO31" s="123">
        <f t="shared" si="52"/>
        <v>0</v>
      </c>
      <c r="BP31" s="123">
        <f t="shared" si="53"/>
        <v>0</v>
      </c>
      <c r="BQ31" s="123">
        <f t="shared" si="54"/>
        <v>0</v>
      </c>
      <c r="BR31" s="123">
        <f t="shared" si="55"/>
        <v>0</v>
      </c>
      <c r="BS31" s="123"/>
      <c r="BT31" s="123"/>
      <c r="BU31" s="123">
        <f t="shared" si="56"/>
        <v>0</v>
      </c>
      <c r="BV31" s="123">
        <f t="shared" si="57"/>
        <v>0</v>
      </c>
      <c r="BX31" s="123">
        <f t="shared" si="58"/>
        <v>0</v>
      </c>
      <c r="BY31" s="123"/>
    </row>
    <row r="32" spans="2:77" x14ac:dyDescent="0.2">
      <c r="E32">
        <v>21</v>
      </c>
      <c r="F32">
        <v>20</v>
      </c>
      <c r="G32" s="58">
        <f t="shared" si="1"/>
        <v>-3.3545264498014735E-6</v>
      </c>
      <c r="H32" s="58">
        <f t="shared" si="2"/>
        <v>-5.9884603160004192E-2</v>
      </c>
      <c r="I32">
        <f t="shared" si="20"/>
        <v>27.24096017152376</v>
      </c>
      <c r="J32">
        <f t="shared" si="3"/>
        <v>-4.7781291034040478</v>
      </c>
      <c r="K32" t="str">
        <f t="shared" si="4"/>
        <v>7142.85714055518-0.128228244856634i</v>
      </c>
      <c r="L32" t="str">
        <f t="shared" si="5"/>
        <v>3300-795774881.01574i</v>
      </c>
      <c r="M32" t="str">
        <f t="shared" si="6"/>
        <v>99999.9983687525-12.5663677882468i</v>
      </c>
      <c r="N32">
        <f t="shared" si="21"/>
        <v>-23.521825111051321</v>
      </c>
      <c r="O32">
        <f t="shared" si="7"/>
        <v>5.7599999585863301E-3</v>
      </c>
      <c r="P32" t="str">
        <f t="shared" si="8"/>
        <v>-24114390.3338103i</v>
      </c>
      <c r="Q32" t="str">
        <f t="shared" si="9"/>
        <v>3300-169313.804471434i</v>
      </c>
      <c r="R32" t="str">
        <f t="shared" si="22"/>
        <v>3254.14303854596-168133.73632576i</v>
      </c>
      <c r="S32" t="str">
        <f t="shared" si="10"/>
        <v>99936874.4316596-2511687.08175605i</v>
      </c>
      <c r="T32" t="str">
        <f t="shared" si="23"/>
        <v>3536.39942735002-168115.218648943i</v>
      </c>
      <c r="U32" t="str">
        <f t="shared" si="24"/>
        <v>0.99999999-0.000099999999i</v>
      </c>
      <c r="V32">
        <f t="shared" si="11"/>
        <v>44.51406185926232</v>
      </c>
      <c r="W32">
        <f t="shared" si="12"/>
        <v>-88.800676404611252</v>
      </c>
      <c r="X32">
        <f t="shared" si="25"/>
        <v>-4.3429448999285063E-8</v>
      </c>
      <c r="Y32">
        <f t="shared" si="13"/>
        <v>-5.729579124214729E-3</v>
      </c>
      <c r="AA32" s="123">
        <f t="shared" si="26"/>
        <v>27.240956816997311</v>
      </c>
      <c r="AB32" s="123">
        <f t="shared" si="27"/>
        <v>-4.8380137065640518</v>
      </c>
      <c r="AC32">
        <f t="shared" si="28"/>
        <v>20.992236748210999</v>
      </c>
      <c r="AD32">
        <f t="shared" si="29"/>
        <v>-88.794916404652668</v>
      </c>
      <c r="AE32" s="123">
        <f t="shared" si="30"/>
        <v>48.23319356520831</v>
      </c>
      <c r="AF32" s="123">
        <f t="shared" si="31"/>
        <v>-93.632930111216723</v>
      </c>
      <c r="AI32" s="123">
        <f t="shared" si="32"/>
        <v>0</v>
      </c>
      <c r="AJ32" s="123">
        <f t="shared" si="33"/>
        <v>0</v>
      </c>
      <c r="AK32" s="123">
        <f t="shared" si="34"/>
        <v>0</v>
      </c>
      <c r="AL32" s="123">
        <f t="shared" si="35"/>
        <v>0</v>
      </c>
      <c r="AM32" s="123">
        <f t="shared" si="36"/>
        <v>0</v>
      </c>
      <c r="AN32" s="123">
        <f t="shared" si="37"/>
        <v>0</v>
      </c>
      <c r="AO32" s="123">
        <f t="shared" si="38"/>
        <v>0</v>
      </c>
      <c r="AP32" s="123"/>
      <c r="AQ32" s="123">
        <f t="shared" si="39"/>
        <v>0</v>
      </c>
      <c r="AR32" s="123">
        <f t="shared" si="40"/>
        <v>0</v>
      </c>
      <c r="AS32" s="123">
        <f t="shared" si="41"/>
        <v>0</v>
      </c>
      <c r="AW32" t="str">
        <f t="shared" si="14"/>
        <v>12700</v>
      </c>
      <c r="AX32" t="str">
        <f t="shared" si="15"/>
        <v>75-79577.488101574i</v>
      </c>
      <c r="AY32" t="str">
        <f t="shared" si="42"/>
        <v>12382.7970426561-1975.90720656112i</v>
      </c>
      <c r="AZ32">
        <f t="shared" si="16"/>
        <v>7.9861714862487716</v>
      </c>
      <c r="BA32">
        <f t="shared" si="17"/>
        <v>-9.066184060385492</v>
      </c>
      <c r="BB32">
        <f t="shared" si="18"/>
        <v>-5.9209049799785909</v>
      </c>
      <c r="BC32">
        <f t="shared" si="19"/>
        <v>4.7576377566029491</v>
      </c>
      <c r="BD32" s="123">
        <f t="shared" si="43"/>
        <v>-5.9209083345050404</v>
      </c>
      <c r="BE32" s="123">
        <f t="shared" si="44"/>
        <v>4.6977531534429451</v>
      </c>
      <c r="BF32">
        <f t="shared" si="45"/>
        <v>52.500233345511091</v>
      </c>
      <c r="BG32">
        <f t="shared" si="46"/>
        <v>-97.866860464996748</v>
      </c>
      <c r="BH32" s="123">
        <f t="shared" si="47"/>
        <v>46.579325011006048</v>
      </c>
      <c r="BI32" s="123">
        <f t="shared" si="48"/>
        <v>-93.169107311553802</v>
      </c>
      <c r="BL32" s="123">
        <f t="shared" si="49"/>
        <v>0</v>
      </c>
      <c r="BM32" s="123">
        <f t="shared" si="50"/>
        <v>0</v>
      </c>
      <c r="BN32" s="123">
        <f t="shared" si="51"/>
        <v>0</v>
      </c>
      <c r="BO32" s="123">
        <f t="shared" si="52"/>
        <v>0</v>
      </c>
      <c r="BP32" s="123">
        <f t="shared" si="53"/>
        <v>0</v>
      </c>
      <c r="BQ32" s="123">
        <f t="shared" si="54"/>
        <v>0</v>
      </c>
      <c r="BR32" s="123">
        <f t="shared" si="55"/>
        <v>0</v>
      </c>
      <c r="BS32" s="123"/>
      <c r="BT32" s="123"/>
      <c r="BU32" s="123">
        <f t="shared" si="56"/>
        <v>0</v>
      </c>
      <c r="BV32" s="123">
        <f t="shared" si="57"/>
        <v>0</v>
      </c>
      <c r="BX32" s="123">
        <f t="shared" si="58"/>
        <v>0</v>
      </c>
      <c r="BY32" s="123"/>
    </row>
    <row r="33" spans="5:77" x14ac:dyDescent="0.2">
      <c r="E33">
        <v>22</v>
      </c>
      <c r="F33">
        <v>25</v>
      </c>
      <c r="G33" s="58">
        <f t="shared" si="1"/>
        <v>-5.2414465343621404E-6</v>
      </c>
      <c r="H33" s="58">
        <f t="shared" si="2"/>
        <v>-7.485574535458181E-2</v>
      </c>
      <c r="I33">
        <f t="shared" si="20"/>
        <v>27.2236451993898</v>
      </c>
      <c r="J33">
        <f t="shared" si="3"/>
        <v>-5.9646245942576055</v>
      </c>
      <c r="K33" t="str">
        <f t="shared" si="4"/>
        <v>7142.85713926035-0.160285306041737i</v>
      </c>
      <c r="L33" t="str">
        <f t="shared" si="5"/>
        <v>3300-636619904.812592i</v>
      </c>
      <c r="M33" t="str">
        <f t="shared" si="6"/>
        <v>99999.9974511758-15.7079595864196i</v>
      </c>
      <c r="N33">
        <f t="shared" si="21"/>
        <v>-23.521825071641189</v>
      </c>
      <c r="O33">
        <f t="shared" si="7"/>
        <v>7.1999999191140135E-3</v>
      </c>
      <c r="P33" t="str">
        <f t="shared" si="8"/>
        <v>-19291512.2670482i</v>
      </c>
      <c r="Q33" t="str">
        <f t="shared" si="9"/>
        <v>3300-135451.043577147i</v>
      </c>
      <c r="R33" t="str">
        <f t="shared" si="22"/>
        <v>3254.14300474281-134507.188058349i</v>
      </c>
      <c r="S33" t="str">
        <f t="shared" si="10"/>
        <v>99901401.3100213-3138494.43144352i</v>
      </c>
      <c r="T33" t="str">
        <f t="shared" si="23"/>
        <v>3434.65070109895-134492.511933136i</v>
      </c>
      <c r="U33" t="str">
        <f t="shared" si="24"/>
        <v>0.999999984375-0.000124999998046875i</v>
      </c>
      <c r="V33">
        <f t="shared" si="11"/>
        <v>42.576793500891853</v>
      </c>
      <c r="W33">
        <f t="shared" si="12"/>
        <v>-88.544286868919613</v>
      </c>
      <c r="X33">
        <f t="shared" si="25"/>
        <v>-6.7858513855456616E-8</v>
      </c>
      <c r="Y33">
        <f t="shared" si="13"/>
        <v>-7.16197389183971E-3</v>
      </c>
      <c r="AA33" s="123">
        <f t="shared" si="26"/>
        <v>27.223639957943266</v>
      </c>
      <c r="AB33" s="123">
        <f t="shared" si="27"/>
        <v>-6.0394803396121874</v>
      </c>
      <c r="AC33">
        <f t="shared" si="28"/>
        <v>19.054968429250664</v>
      </c>
      <c r="AD33">
        <f t="shared" si="29"/>
        <v>-88.537086869000504</v>
      </c>
      <c r="AE33" s="123">
        <f t="shared" si="30"/>
        <v>46.278608387193927</v>
      </c>
      <c r="AF33" s="123">
        <f t="shared" si="31"/>
        <v>-94.576567208612687</v>
      </c>
      <c r="AI33" s="123">
        <f t="shared" si="32"/>
        <v>0</v>
      </c>
      <c r="AJ33" s="123">
        <f t="shared" si="33"/>
        <v>0</v>
      </c>
      <c r="AK33" s="123">
        <f t="shared" si="34"/>
        <v>0</v>
      </c>
      <c r="AL33" s="123">
        <f t="shared" si="35"/>
        <v>0</v>
      </c>
      <c r="AM33" s="123">
        <f t="shared" si="36"/>
        <v>0</v>
      </c>
      <c r="AN33" s="123">
        <f t="shared" si="37"/>
        <v>0</v>
      </c>
      <c r="AO33" s="123">
        <f t="shared" si="38"/>
        <v>0</v>
      </c>
      <c r="AP33" s="123"/>
      <c r="AQ33" s="123">
        <f t="shared" si="39"/>
        <v>0</v>
      </c>
      <c r="AR33" s="123">
        <f t="shared" si="40"/>
        <v>0</v>
      </c>
      <c r="AS33" s="123">
        <f t="shared" si="41"/>
        <v>0</v>
      </c>
      <c r="AW33" t="str">
        <f t="shared" si="14"/>
        <v>12700</v>
      </c>
      <c r="AX33" t="str">
        <f t="shared" si="15"/>
        <v>75-63661.9904812592i</v>
      </c>
      <c r="AY33" t="str">
        <f t="shared" si="42"/>
        <v>12211.2771628386-2435.46525302104i</v>
      </c>
      <c r="AZ33">
        <f t="shared" si="16"/>
        <v>7.9252274525019075</v>
      </c>
      <c r="BA33">
        <f t="shared" si="17"/>
        <v>-11.279297141402081</v>
      </c>
      <c r="BB33">
        <f t="shared" si="18"/>
        <v>-5.870914094679538</v>
      </c>
      <c r="BC33">
        <f t="shared" si="19"/>
        <v>5.8930060440281258</v>
      </c>
      <c r="BD33" s="123">
        <f t="shared" si="43"/>
        <v>-5.8709193361260725</v>
      </c>
      <c r="BE33" s="123">
        <f t="shared" si="44"/>
        <v>5.8181502986735438</v>
      </c>
      <c r="BF33">
        <f t="shared" si="45"/>
        <v>50.50202095339376</v>
      </c>
      <c r="BG33">
        <f t="shared" si="46"/>
        <v>-99.823584010321696</v>
      </c>
      <c r="BH33" s="123">
        <f t="shared" si="47"/>
        <v>44.631101617267689</v>
      </c>
      <c r="BI33" s="123">
        <f t="shared" si="48"/>
        <v>-94.005433711648152</v>
      </c>
      <c r="BL33" s="123">
        <f t="shared" si="49"/>
        <v>0</v>
      </c>
      <c r="BM33" s="123">
        <f t="shared" si="50"/>
        <v>0</v>
      </c>
      <c r="BN33" s="123">
        <f t="shared" si="51"/>
        <v>0</v>
      </c>
      <c r="BO33" s="123">
        <f t="shared" si="52"/>
        <v>0</v>
      </c>
      <c r="BP33" s="123">
        <f t="shared" si="53"/>
        <v>0</v>
      </c>
      <c r="BQ33" s="123">
        <f t="shared" si="54"/>
        <v>0</v>
      </c>
      <c r="BR33" s="123">
        <f t="shared" si="55"/>
        <v>0</v>
      </c>
      <c r="BS33" s="123"/>
      <c r="BT33" s="123"/>
      <c r="BU33" s="123">
        <f t="shared" si="56"/>
        <v>0</v>
      </c>
      <c r="BV33" s="123">
        <f t="shared" si="57"/>
        <v>0</v>
      </c>
      <c r="BX33" s="123">
        <f t="shared" si="58"/>
        <v>0</v>
      </c>
      <c r="BY33" s="123"/>
    </row>
    <row r="34" spans="5:77" x14ac:dyDescent="0.2">
      <c r="E34">
        <v>23</v>
      </c>
      <c r="F34">
        <v>30</v>
      </c>
      <c r="G34" s="58">
        <f t="shared" si="1"/>
        <v>-7.5476811826952466E-6</v>
      </c>
      <c r="H34" s="58">
        <f t="shared" si="2"/>
        <v>-8.9826881818883444E-2</v>
      </c>
      <c r="I34">
        <f t="shared" si="20"/>
        <v>27.202575803230665</v>
      </c>
      <c r="J34">
        <f t="shared" si="3"/>
        <v>-7.145824623684458</v>
      </c>
      <c r="K34" t="str">
        <f t="shared" si="4"/>
        <v>7142.85713767776-0.192342367207469i</v>
      </c>
      <c r="L34" t="str">
        <f t="shared" si="5"/>
        <v>3300-530516587.343826i</v>
      </c>
      <c r="M34" t="str">
        <f t="shared" si="6"/>
        <v>99999.9963296932-18.849551285333i</v>
      </c>
      <c r="N34">
        <f t="shared" si="21"/>
        <v>-23.521825023473326</v>
      </c>
      <c r="O34">
        <f t="shared" si="7"/>
        <v>8.6399998602289876E-3</v>
      </c>
      <c r="P34" t="str">
        <f t="shared" si="8"/>
        <v>-16076260.2225402i</v>
      </c>
      <c r="Q34" t="str">
        <f t="shared" si="9"/>
        <v>3300-112875.869647623i</v>
      </c>
      <c r="R34" t="str">
        <f t="shared" si="22"/>
        <v>3254.14296342785-112089.526064838i</v>
      </c>
      <c r="S34" t="str">
        <f t="shared" si="10"/>
        <v>99858079.4564213-3764560.12266789i</v>
      </c>
      <c r="T34" t="str">
        <f t="shared" si="23"/>
        <v>3379.37967805883-112077.359097835i</v>
      </c>
      <c r="U34" t="str">
        <f t="shared" si="24"/>
        <v>0.9999999775-0.000149999996625i</v>
      </c>
      <c r="V34">
        <f t="shared" si="11"/>
        <v>40.994304301469811</v>
      </c>
      <c r="W34">
        <f t="shared" si="12"/>
        <v>-88.281541821754942</v>
      </c>
      <c r="X34">
        <f t="shared" si="25"/>
        <v>-9.7716260312672845E-8</v>
      </c>
      <c r="Y34">
        <f t="shared" si="13"/>
        <v>-8.5943686505122237E-3</v>
      </c>
      <c r="AA34" s="123">
        <f t="shared" si="26"/>
        <v>27.202568255549483</v>
      </c>
      <c r="AB34" s="123">
        <f t="shared" si="27"/>
        <v>-7.2356515055033412</v>
      </c>
      <c r="AC34">
        <f t="shared" si="28"/>
        <v>17.472479277996484</v>
      </c>
      <c r="AD34">
        <f t="shared" si="29"/>
        <v>-88.272901821894706</v>
      </c>
      <c r="AE34" s="123">
        <f t="shared" si="30"/>
        <v>44.675047533545964</v>
      </c>
      <c r="AF34" s="123">
        <f t="shared" si="31"/>
        <v>-95.508553327398047</v>
      </c>
      <c r="AI34" s="123">
        <f t="shared" si="32"/>
        <v>0</v>
      </c>
      <c r="AJ34" s="123">
        <f t="shared" si="33"/>
        <v>0</v>
      </c>
      <c r="AK34" s="123">
        <f t="shared" si="34"/>
        <v>0</v>
      </c>
      <c r="AL34" s="123">
        <f t="shared" si="35"/>
        <v>0</v>
      </c>
      <c r="AM34" s="123">
        <f t="shared" si="36"/>
        <v>0</v>
      </c>
      <c r="AN34" s="123">
        <f t="shared" si="37"/>
        <v>0</v>
      </c>
      <c r="AO34" s="123">
        <f t="shared" si="38"/>
        <v>0</v>
      </c>
      <c r="AP34" s="123"/>
      <c r="AQ34" s="123">
        <f t="shared" si="39"/>
        <v>0</v>
      </c>
      <c r="AR34" s="123">
        <f t="shared" si="40"/>
        <v>0</v>
      </c>
      <c r="AS34" s="123">
        <f t="shared" si="41"/>
        <v>0</v>
      </c>
      <c r="AW34" t="str">
        <f t="shared" si="14"/>
        <v>12700</v>
      </c>
      <c r="AX34" t="str">
        <f t="shared" si="15"/>
        <v>75-53051.6587343827i</v>
      </c>
      <c r="AY34" t="str">
        <f t="shared" si="42"/>
        <v>12008.024918962-2873.61454809587i</v>
      </c>
      <c r="AZ34">
        <f t="shared" si="16"/>
        <v>7.8518834025250204</v>
      </c>
      <c r="BA34">
        <f t="shared" si="17"/>
        <v>-13.458232421140941</v>
      </c>
      <c r="BB34">
        <f t="shared" si="18"/>
        <v>-5.8111126890942373</v>
      </c>
      <c r="BC34">
        <f t="shared" si="19"/>
        <v>6.9941345382914912</v>
      </c>
      <c r="BD34" s="123">
        <f t="shared" si="43"/>
        <v>-5.8111202367754196</v>
      </c>
      <c r="BE34" s="123">
        <f t="shared" si="44"/>
        <v>6.904307656472608</v>
      </c>
      <c r="BF34">
        <f t="shared" si="45"/>
        <v>48.846187703994829</v>
      </c>
      <c r="BG34">
        <f t="shared" si="46"/>
        <v>-101.73977424289589</v>
      </c>
      <c r="BH34" s="123">
        <f t="shared" si="47"/>
        <v>43.035067467219406</v>
      </c>
      <c r="BI34" s="123">
        <f t="shared" si="48"/>
        <v>-94.83546658642328</v>
      </c>
      <c r="BL34" s="123">
        <f t="shared" si="49"/>
        <v>0</v>
      </c>
      <c r="BM34" s="123">
        <f t="shared" si="50"/>
        <v>0</v>
      </c>
      <c r="BN34" s="123">
        <f t="shared" si="51"/>
        <v>0</v>
      </c>
      <c r="BO34" s="123">
        <f t="shared" si="52"/>
        <v>0</v>
      </c>
      <c r="BP34" s="123">
        <f t="shared" si="53"/>
        <v>0</v>
      </c>
      <c r="BQ34" s="123">
        <f t="shared" si="54"/>
        <v>0</v>
      </c>
      <c r="BR34" s="123">
        <f t="shared" si="55"/>
        <v>0</v>
      </c>
      <c r="BS34" s="123"/>
      <c r="BT34" s="123"/>
      <c r="BU34" s="123">
        <f t="shared" si="56"/>
        <v>0</v>
      </c>
      <c r="BV34" s="123">
        <f t="shared" si="57"/>
        <v>0</v>
      </c>
      <c r="BX34" s="123">
        <f t="shared" si="58"/>
        <v>0</v>
      </c>
      <c r="BY34" s="123"/>
    </row>
    <row r="35" spans="5:77" x14ac:dyDescent="0.2">
      <c r="E35">
        <v>24</v>
      </c>
      <c r="F35">
        <v>35</v>
      </c>
      <c r="G35" s="58">
        <f t="shared" si="1"/>
        <v>-1.0273229768332495E-5</v>
      </c>
      <c r="H35" s="58">
        <f t="shared" si="2"/>
        <v>-0.10479801140686065</v>
      </c>
      <c r="I35">
        <f t="shared" si="20"/>
        <v>27.177806714043001</v>
      </c>
      <c r="J35">
        <f t="shared" si="3"/>
        <v>-8.3207314271431105</v>
      </c>
      <c r="K35" t="str">
        <f t="shared" si="4"/>
        <v>7142.85713580744-0.224399428349955i</v>
      </c>
      <c r="L35" t="str">
        <f t="shared" si="5"/>
        <v>3300-454728503.437566i</v>
      </c>
      <c r="M35" t="str">
        <f t="shared" si="6"/>
        <v>99999.9950043047-21.9911428651353i</v>
      </c>
      <c r="N35">
        <f t="shared" si="21"/>
        <v>-23.521824966547641</v>
      </c>
      <c r="O35">
        <f t="shared" si="7"/>
        <v>1.0079999778048847E-2</v>
      </c>
      <c r="P35" t="str">
        <f t="shared" si="8"/>
        <v>-13779651.6193202i</v>
      </c>
      <c r="Q35" t="str">
        <f t="shared" si="9"/>
        <v>3300-96750.745412248i</v>
      </c>
      <c r="R35" t="str">
        <f t="shared" si="22"/>
        <v>3254.14291460109-96076.9419421234i</v>
      </c>
      <c r="S35" t="str">
        <f t="shared" si="10"/>
        <v>99806929.3181983-4389737.10966864i</v>
      </c>
      <c r="T35" t="str">
        <f t="shared" si="23"/>
        <v>3346.0529406804-96066.5463346789i</v>
      </c>
      <c r="U35" t="str">
        <f t="shared" si="24"/>
        <v>0.999999969375001-0.000174999994640625i</v>
      </c>
      <c r="V35">
        <f t="shared" si="11"/>
        <v>39.656708954459873</v>
      </c>
      <c r="W35">
        <f t="shared" si="12"/>
        <v>-88.015206621479749</v>
      </c>
      <c r="X35">
        <f t="shared" si="25"/>
        <v>-1.3300268167662466E-7</v>
      </c>
      <c r="Y35">
        <f t="shared" si="13"/>
        <v>-1.0026763398441768E-2</v>
      </c>
      <c r="AA35" s="123">
        <f t="shared" si="26"/>
        <v>27.177796440813232</v>
      </c>
      <c r="AB35" s="123">
        <f t="shared" si="27"/>
        <v>-8.4255294385499706</v>
      </c>
      <c r="AC35">
        <f t="shared" si="28"/>
        <v>16.134883987912232</v>
      </c>
      <c r="AD35">
        <f t="shared" si="29"/>
        <v>-88.005126621701706</v>
      </c>
      <c r="AE35" s="123">
        <f t="shared" si="30"/>
        <v>43.312680428725464</v>
      </c>
      <c r="AF35" s="123">
        <f t="shared" si="31"/>
        <v>-96.430656060251678</v>
      </c>
      <c r="AI35" s="123">
        <f t="shared" si="32"/>
        <v>0</v>
      </c>
      <c r="AJ35" s="123">
        <f t="shared" si="33"/>
        <v>0</v>
      </c>
      <c r="AK35" s="123">
        <f t="shared" si="34"/>
        <v>0</v>
      </c>
      <c r="AL35" s="123">
        <f t="shared" si="35"/>
        <v>0</v>
      </c>
      <c r="AM35" s="123">
        <f t="shared" si="36"/>
        <v>0</v>
      </c>
      <c r="AN35" s="123">
        <f t="shared" si="37"/>
        <v>0</v>
      </c>
      <c r="AO35" s="123">
        <f t="shared" si="38"/>
        <v>0</v>
      </c>
      <c r="AP35" s="123"/>
      <c r="AQ35" s="123">
        <f t="shared" si="39"/>
        <v>0</v>
      </c>
      <c r="AR35" s="123">
        <f t="shared" si="40"/>
        <v>0</v>
      </c>
      <c r="AS35" s="123">
        <f t="shared" si="41"/>
        <v>0</v>
      </c>
      <c r="AW35" t="str">
        <f t="shared" si="14"/>
        <v>12700</v>
      </c>
      <c r="AX35" t="str">
        <f t="shared" si="15"/>
        <v>75-45472.8503437566i</v>
      </c>
      <c r="AY35" t="str">
        <f t="shared" si="42"/>
        <v>11776.4242335534-3287.48513571395i</v>
      </c>
      <c r="AZ35">
        <f t="shared" si="16"/>
        <v>7.7667714823543772</v>
      </c>
      <c r="BA35">
        <f t="shared" si="17"/>
        <v>-15.597513642751879</v>
      </c>
      <c r="BB35">
        <f t="shared" si="18"/>
        <v>-5.7422092007090839</v>
      </c>
      <c r="BC35">
        <f t="shared" si="19"/>
        <v>8.0558443649034253</v>
      </c>
      <c r="BD35" s="123">
        <f t="shared" si="43"/>
        <v>-5.7422194739388521</v>
      </c>
      <c r="BE35" s="123">
        <f t="shared" si="44"/>
        <v>7.9510463534965643</v>
      </c>
      <c r="BF35">
        <f t="shared" si="45"/>
        <v>47.423480436814252</v>
      </c>
      <c r="BG35">
        <f t="shared" si="46"/>
        <v>-103.61272026423163</v>
      </c>
      <c r="BH35" s="123">
        <f t="shared" si="47"/>
        <v>41.681260962875399</v>
      </c>
      <c r="BI35" s="123">
        <f t="shared" si="48"/>
        <v>-95.661673910735061</v>
      </c>
      <c r="BL35" s="123">
        <f t="shared" si="49"/>
        <v>0</v>
      </c>
      <c r="BM35" s="123">
        <f t="shared" si="50"/>
        <v>0</v>
      </c>
      <c r="BN35" s="123">
        <f t="shared" si="51"/>
        <v>0</v>
      </c>
      <c r="BO35" s="123">
        <f t="shared" si="52"/>
        <v>0</v>
      </c>
      <c r="BP35" s="123">
        <f t="shared" si="53"/>
        <v>0</v>
      </c>
      <c r="BQ35" s="123">
        <f t="shared" si="54"/>
        <v>0</v>
      </c>
      <c r="BR35" s="123">
        <f t="shared" si="55"/>
        <v>0</v>
      </c>
      <c r="BS35" s="123"/>
      <c r="BT35" s="123"/>
      <c r="BU35" s="123">
        <f t="shared" si="56"/>
        <v>0</v>
      </c>
      <c r="BV35" s="123">
        <f t="shared" si="57"/>
        <v>0</v>
      </c>
      <c r="BX35" s="123">
        <f t="shared" si="58"/>
        <v>0</v>
      </c>
      <c r="BY35" s="123"/>
    </row>
    <row r="36" spans="5:77" x14ac:dyDescent="0.2">
      <c r="E36">
        <v>25</v>
      </c>
      <c r="F36">
        <v>40</v>
      </c>
      <c r="G36" s="58">
        <f t="shared" si="1"/>
        <v>-1.3418091590526153E-5</v>
      </c>
      <c r="H36" s="58">
        <f t="shared" si="2"/>
        <v>-0.11976913297247033</v>
      </c>
      <c r="I36">
        <f t="shared" si="20"/>
        <v>27.14940148440872</v>
      </c>
      <c r="J36">
        <f t="shared" si="3"/>
        <v>-9.488379364546093</v>
      </c>
      <c r="K36" t="str">
        <f t="shared" si="4"/>
        <v>7142.85713364934-0.256456489465322i</v>
      </c>
      <c r="L36" t="str">
        <f t="shared" si="5"/>
        <v>3300-397887440.50787i</v>
      </c>
      <c r="M36" t="str">
        <f t="shared" si="6"/>
        <v>99999.9934750103-25.1327343059746i</v>
      </c>
      <c r="N36">
        <f t="shared" si="21"/>
        <v>-23.521824900864257</v>
      </c>
      <c r="O36">
        <f t="shared" si="7"/>
        <v>1.1519999668690878E-2</v>
      </c>
      <c r="P36" t="str">
        <f t="shared" si="8"/>
        <v>-12057195.1669051i</v>
      </c>
      <c r="Q36" t="str">
        <f t="shared" si="9"/>
        <v>3300-84656.902235717i</v>
      </c>
      <c r="R36" t="str">
        <f t="shared" si="22"/>
        <v>3254.1428582625-84067.5314886539i</v>
      </c>
      <c r="S36" t="str">
        <f t="shared" si="10"/>
        <v>99747975.0032731-5013879.04458372i</v>
      </c>
      <c r="T36" t="str">
        <f t="shared" si="23"/>
        <v>3324.42256949527-84058.4547310499i</v>
      </c>
      <c r="U36" t="str">
        <f t="shared" si="24"/>
        <v>0.999999960000002-0.000199999992i</v>
      </c>
      <c r="V36">
        <f t="shared" si="11"/>
        <v>38.498415439353757</v>
      </c>
      <c r="W36">
        <f t="shared" si="12"/>
        <v>-87.746670526638738</v>
      </c>
      <c r="X36">
        <f t="shared" si="25"/>
        <v>-1.7371778476376644E-7</v>
      </c>
      <c r="Y36">
        <f t="shared" si="13"/>
        <v>-1.1459158133837855E-2</v>
      </c>
      <c r="AA36" s="123">
        <f t="shared" si="26"/>
        <v>27.14938806631713</v>
      </c>
      <c r="AB36" s="123">
        <f t="shared" si="27"/>
        <v>-9.6081484975185631</v>
      </c>
      <c r="AC36">
        <f t="shared" si="28"/>
        <v>14.9765905384895</v>
      </c>
      <c r="AD36">
        <f t="shared" si="29"/>
        <v>-87.735150526970045</v>
      </c>
      <c r="AE36" s="123">
        <f t="shared" si="30"/>
        <v>42.125978604806633</v>
      </c>
      <c r="AF36" s="123">
        <f t="shared" si="31"/>
        <v>-97.343299024488601</v>
      </c>
      <c r="AI36" s="123">
        <f t="shared" si="32"/>
        <v>0</v>
      </c>
      <c r="AJ36" s="123">
        <f t="shared" si="33"/>
        <v>0</v>
      </c>
      <c r="AK36" s="123">
        <f t="shared" si="34"/>
        <v>0</v>
      </c>
      <c r="AL36" s="123">
        <f t="shared" si="35"/>
        <v>0</v>
      </c>
      <c r="AM36" s="123">
        <f t="shared" si="36"/>
        <v>0</v>
      </c>
      <c r="AN36" s="123">
        <f t="shared" si="37"/>
        <v>0</v>
      </c>
      <c r="AO36" s="123">
        <f t="shared" si="38"/>
        <v>0</v>
      </c>
      <c r="AP36" s="123"/>
      <c r="AQ36" s="123">
        <f t="shared" si="39"/>
        <v>0</v>
      </c>
      <c r="AR36" s="123">
        <f t="shared" si="40"/>
        <v>0</v>
      </c>
      <c r="AS36" s="123">
        <f t="shared" si="41"/>
        <v>0</v>
      </c>
      <c r="AW36" t="str">
        <f t="shared" si="14"/>
        <v>12700</v>
      </c>
      <c r="AX36" t="str">
        <f t="shared" si="15"/>
        <v>75-39788.744050787i</v>
      </c>
      <c r="AY36" t="str">
        <f t="shared" si="42"/>
        <v>11520.1185838024-3674.83363439272i</v>
      </c>
      <c r="AZ36">
        <f t="shared" si="16"/>
        <v>7.6705944772234336</v>
      </c>
      <c r="BA36">
        <f t="shared" si="17"/>
        <v>-17.692306487408523</v>
      </c>
      <c r="BB36">
        <f t="shared" si="18"/>
        <v>-5.664983242160023</v>
      </c>
      <c r="BC36">
        <f t="shared" si="19"/>
        <v>9.0737292845069657</v>
      </c>
      <c r="BD36" s="123">
        <f t="shared" si="43"/>
        <v>-5.6649966602516137</v>
      </c>
      <c r="BE36" s="123">
        <f t="shared" si="44"/>
        <v>8.9539601515344955</v>
      </c>
      <c r="BF36">
        <f t="shared" si="45"/>
        <v>46.169009916577188</v>
      </c>
      <c r="BG36">
        <f t="shared" si="46"/>
        <v>-105.43897701404725</v>
      </c>
      <c r="BH36" s="123">
        <f t="shared" si="47"/>
        <v>40.504013256325578</v>
      </c>
      <c r="BI36" s="123">
        <f t="shared" si="48"/>
        <v>-96.485016862512765</v>
      </c>
      <c r="BL36" s="123">
        <f t="shared" si="49"/>
        <v>0</v>
      </c>
      <c r="BM36" s="123">
        <f t="shared" si="50"/>
        <v>0</v>
      </c>
      <c r="BN36" s="123">
        <f t="shared" si="51"/>
        <v>0</v>
      </c>
      <c r="BO36" s="123">
        <f t="shared" si="52"/>
        <v>0</v>
      </c>
      <c r="BP36" s="123">
        <f t="shared" si="53"/>
        <v>0</v>
      </c>
      <c r="BQ36" s="123">
        <f t="shared" si="54"/>
        <v>0</v>
      </c>
      <c r="BR36" s="123">
        <f t="shared" si="55"/>
        <v>0</v>
      </c>
      <c r="BS36" s="123"/>
      <c r="BT36" s="123"/>
      <c r="BU36" s="123">
        <f t="shared" si="56"/>
        <v>0</v>
      </c>
      <c r="BV36" s="123">
        <f t="shared" si="57"/>
        <v>0</v>
      </c>
      <c r="BX36" s="123">
        <f t="shared" si="58"/>
        <v>0</v>
      </c>
      <c r="BY36" s="123"/>
    </row>
    <row r="37" spans="5:77" x14ac:dyDescent="0.2">
      <c r="E37">
        <v>26</v>
      </c>
      <c r="F37">
        <v>45</v>
      </c>
      <c r="G37" s="58">
        <f t="shared" si="1"/>
        <v>-1.6982265802888134E-5</v>
      </c>
      <c r="H37" s="58">
        <f t="shared" si="2"/>
        <v>-0.13474024536967169</v>
      </c>
      <c r="I37">
        <f t="shared" si="20"/>
        <v>27.117431959701555</v>
      </c>
      <c r="J37">
        <f t="shared" si="3"/>
        <v>-10.647839214421486</v>
      </c>
      <c r="K37" t="str">
        <f t="shared" si="4"/>
        <v>7142.85713120351-0.288513550549696i</v>
      </c>
      <c r="L37" t="str">
        <f t="shared" si="5"/>
        <v>3300-353677724.895884i</v>
      </c>
      <c r="M37" t="str">
        <f t="shared" si="6"/>
        <v>99999.9917418101-28.274325587999i</v>
      </c>
      <c r="N37">
        <f t="shared" si="21"/>
        <v>-23.521824826423014</v>
      </c>
      <c r="O37">
        <f t="shared" si="7"/>
        <v>1.2959999528272788E-2</v>
      </c>
      <c r="P37" t="str">
        <f t="shared" si="8"/>
        <v>-10717506.8150268i</v>
      </c>
      <c r="Q37" t="str">
        <f t="shared" si="9"/>
        <v>3300-75250.5797650818i</v>
      </c>
      <c r="R37" t="str">
        <f t="shared" si="22"/>
        <v>3254.1427944121-74726.9034813466i</v>
      </c>
      <c r="S37" t="str">
        <f t="shared" si="10"/>
        <v>99681244.2518111-5636840.39084765i</v>
      </c>
      <c r="T37" t="str">
        <f t="shared" si="23"/>
        <v>3309.59282729004-74718.847558548i</v>
      </c>
      <c r="U37" t="str">
        <f t="shared" si="24"/>
        <v>0.999999949375003-0.000224999988609376i</v>
      </c>
      <c r="V37">
        <f t="shared" si="11"/>
        <v>37.477115386986974</v>
      </c>
      <c r="W37">
        <f t="shared" si="12"/>
        <v>-87.476711178328088</v>
      </c>
      <c r="X37">
        <f t="shared" si="25"/>
        <v>-2.198615725434215E-7</v>
      </c>
      <c r="Y37">
        <f t="shared" si="13"/>
        <v>-1.289155285491005E-2</v>
      </c>
      <c r="AA37" s="123">
        <f t="shared" si="26"/>
        <v>27.117414977435754</v>
      </c>
      <c r="AB37" s="123">
        <f t="shared" si="27"/>
        <v>-10.782579459791158</v>
      </c>
      <c r="AC37">
        <f t="shared" si="28"/>
        <v>13.955290560563959</v>
      </c>
      <c r="AD37">
        <f t="shared" si="29"/>
        <v>-87.463751178799811</v>
      </c>
      <c r="AE37" s="123">
        <f t="shared" si="30"/>
        <v>41.07270553799971</v>
      </c>
      <c r="AF37" s="123">
        <f t="shared" si="31"/>
        <v>-98.246330638590962</v>
      </c>
      <c r="AI37" s="123">
        <f t="shared" si="32"/>
        <v>0</v>
      </c>
      <c r="AJ37" s="123">
        <f t="shared" si="33"/>
        <v>0</v>
      </c>
      <c r="AK37" s="123">
        <f t="shared" si="34"/>
        <v>0</v>
      </c>
      <c r="AL37" s="123">
        <f t="shared" si="35"/>
        <v>0</v>
      </c>
      <c r="AM37" s="123">
        <f t="shared" si="36"/>
        <v>0</v>
      </c>
      <c r="AN37" s="123">
        <f t="shared" si="37"/>
        <v>0</v>
      </c>
      <c r="AO37" s="123">
        <f t="shared" si="38"/>
        <v>0</v>
      </c>
      <c r="AP37" s="123"/>
      <c r="AQ37" s="123">
        <f t="shared" si="39"/>
        <v>0</v>
      </c>
      <c r="AR37" s="123">
        <f t="shared" si="40"/>
        <v>0</v>
      </c>
      <c r="AS37" s="123">
        <f t="shared" si="41"/>
        <v>0</v>
      </c>
      <c r="AW37" t="str">
        <f t="shared" si="14"/>
        <v>12700</v>
      </c>
      <c r="AX37" t="str">
        <f t="shared" si="15"/>
        <v>75-35367.7724895884i</v>
      </c>
      <c r="AY37" t="str">
        <f t="shared" si="42"/>
        <v>11242.8831365306-4034.04913643286i</v>
      </c>
      <c r="AZ37">
        <f t="shared" si="16"/>
        <v>7.564108362941802</v>
      </c>
      <c r="BA37">
        <f t="shared" si="17"/>
        <v>-19.738454110341294</v>
      </c>
      <c r="BB37">
        <f t="shared" si="18"/>
        <v>-5.5802635817751902</v>
      </c>
      <c r="BC37">
        <f t="shared" si="19"/>
        <v>10.044187166065278</v>
      </c>
      <c r="BD37" s="123">
        <f t="shared" si="43"/>
        <v>-5.5802805640409927</v>
      </c>
      <c r="BE37" s="123">
        <f t="shared" si="44"/>
        <v>9.909446920695606</v>
      </c>
      <c r="BF37">
        <f t="shared" si="45"/>
        <v>45.041223749928776</v>
      </c>
      <c r="BG37">
        <f t="shared" si="46"/>
        <v>-107.21516528866938</v>
      </c>
      <c r="BH37" s="123">
        <f t="shared" si="47"/>
        <v>39.460943185887785</v>
      </c>
      <c r="BI37" s="123">
        <f t="shared" si="48"/>
        <v>-97.305718367973782</v>
      </c>
      <c r="BL37" s="123">
        <f t="shared" si="49"/>
        <v>0</v>
      </c>
      <c r="BM37" s="123">
        <f t="shared" si="50"/>
        <v>0</v>
      </c>
      <c r="BN37" s="123">
        <f t="shared" si="51"/>
        <v>0</v>
      </c>
      <c r="BO37" s="123">
        <f t="shared" si="52"/>
        <v>0</v>
      </c>
      <c r="BP37" s="123">
        <f t="shared" si="53"/>
        <v>0</v>
      </c>
      <c r="BQ37" s="123">
        <f t="shared" si="54"/>
        <v>0</v>
      </c>
      <c r="BR37" s="123">
        <f t="shared" si="55"/>
        <v>0</v>
      </c>
      <c r="BS37" s="123"/>
      <c r="BT37" s="123"/>
      <c r="BU37" s="123">
        <f t="shared" si="56"/>
        <v>0</v>
      </c>
      <c r="BV37" s="123">
        <f t="shared" si="57"/>
        <v>0</v>
      </c>
      <c r="BX37" s="123">
        <f t="shared" si="58"/>
        <v>0</v>
      </c>
      <c r="BY37" s="123"/>
    </row>
    <row r="38" spans="5:77" x14ac:dyDescent="0.2">
      <c r="E38">
        <v>27</v>
      </c>
      <c r="F38">
        <v>50</v>
      </c>
      <c r="G38" s="58">
        <f t="shared" si="1"/>
        <v>-2.0965751453891066E-5</v>
      </c>
      <c r="H38" s="58">
        <f t="shared" si="2"/>
        <v>-0.14971134745242903</v>
      </c>
      <c r="I38">
        <f t="shared" si="20"/>
        <v>27.081977693938803</v>
      </c>
      <c r="J38">
        <f t="shared" si="3"/>
        <v>-11.798222026047995</v>
      </c>
      <c r="K38" t="str">
        <f t="shared" si="4"/>
        <v>7142.85712846994-0.320570611599202i</v>
      </c>
      <c r="L38" t="str">
        <f t="shared" si="5"/>
        <v>3300-318309952.406296i</v>
      </c>
      <c r="M38" t="str">
        <f t="shared" si="6"/>
        <v>99999.989804704-31.4159166913567i</v>
      </c>
      <c r="N38">
        <f t="shared" si="21"/>
        <v>-23.521824743223959</v>
      </c>
      <c r="O38">
        <f t="shared" si="7"/>
        <v>1.4399999352911943E-2</v>
      </c>
      <c r="P38" t="str">
        <f t="shared" si="8"/>
        <v>-9645756.13352412i</v>
      </c>
      <c r="Q38" t="str">
        <f t="shared" si="9"/>
        <v>3300-67725.5217885736i</v>
      </c>
      <c r="R38" t="str">
        <f t="shared" si="22"/>
        <v>3254.14272304992-67254.4231863494i</v>
      </c>
      <c r="S38" t="str">
        <f t="shared" si="10"/>
        <v>99606768.4036929-6258476.53525789i</v>
      </c>
      <c r="T38" t="str">
        <f t="shared" si="23"/>
        <v>3298.98517123026-67247.1812218575i</v>
      </c>
      <c r="U38" t="str">
        <f t="shared" si="24"/>
        <v>0.999999937500004-0.000249999984375001i</v>
      </c>
      <c r="V38">
        <f t="shared" si="11"/>
        <v>36.563920808206248</v>
      </c>
      <c r="W38">
        <f t="shared" si="12"/>
        <v>-87.205800391687475</v>
      </c>
      <c r="X38">
        <f t="shared" si="25"/>
        <v>-2.7143404220912692E-7</v>
      </c>
      <c r="Y38">
        <f t="shared" si="13"/>
        <v>-1.4323947559867748E-2</v>
      </c>
      <c r="AA38" s="123">
        <f t="shared" si="26"/>
        <v>27.08195672818735</v>
      </c>
      <c r="AB38" s="123">
        <f t="shared" si="27"/>
        <v>-11.947933373500424</v>
      </c>
      <c r="AC38">
        <f t="shared" si="28"/>
        <v>13.042096064982289</v>
      </c>
      <c r="AD38">
        <f t="shared" si="29"/>
        <v>-87.191400392334558</v>
      </c>
      <c r="AE38" s="123">
        <f t="shared" si="30"/>
        <v>40.124052793169639</v>
      </c>
      <c r="AF38" s="123">
        <f t="shared" si="31"/>
        <v>-99.139333765834976</v>
      </c>
      <c r="AI38" s="123">
        <f t="shared" si="32"/>
        <v>0</v>
      </c>
      <c r="AJ38" s="123">
        <f t="shared" si="33"/>
        <v>0</v>
      </c>
      <c r="AK38" s="123">
        <f t="shared" si="34"/>
        <v>0</v>
      </c>
      <c r="AL38" s="123">
        <f t="shared" si="35"/>
        <v>0</v>
      </c>
      <c r="AM38" s="123">
        <f t="shared" si="36"/>
        <v>0</v>
      </c>
      <c r="AN38" s="123">
        <f t="shared" si="37"/>
        <v>0</v>
      </c>
      <c r="AO38" s="123">
        <f t="shared" si="38"/>
        <v>0</v>
      </c>
      <c r="AP38" s="123"/>
      <c r="AQ38" s="123">
        <f t="shared" si="39"/>
        <v>0</v>
      </c>
      <c r="AR38" s="123">
        <f t="shared" si="40"/>
        <v>0</v>
      </c>
      <c r="AS38" s="123">
        <f t="shared" si="41"/>
        <v>0</v>
      </c>
      <c r="AW38" t="str">
        <f t="shared" si="14"/>
        <v>12700</v>
      </c>
      <c r="AX38" t="str">
        <f t="shared" si="15"/>
        <v>75-31830.9952406296i</v>
      </c>
      <c r="AY38" t="str">
        <f t="shared" si="42"/>
        <v>10948.5063027108-4364.13209725275i</v>
      </c>
      <c r="AZ38">
        <f t="shared" si="16"/>
        <v>7.4481050773965904</v>
      </c>
      <c r="BA38">
        <f t="shared" si="17"/>
        <v>-21.732490150236288</v>
      </c>
      <c r="BB38">
        <f t="shared" si="18"/>
        <v>-5.4889068369204965</v>
      </c>
      <c r="BC38">
        <f t="shared" si="19"/>
        <v>10.964422245565153</v>
      </c>
      <c r="BD38" s="123">
        <f t="shared" si="43"/>
        <v>-5.4889278026719506</v>
      </c>
      <c r="BE38" s="123">
        <f t="shared" si="44"/>
        <v>10.814710898112724</v>
      </c>
      <c r="BF38">
        <f t="shared" si="45"/>
        <v>44.012025885602839</v>
      </c>
      <c r="BG38">
        <f t="shared" si="46"/>
        <v>-108.93829054192376</v>
      </c>
      <c r="BH38" s="123">
        <f t="shared" si="47"/>
        <v>38.523098082930886</v>
      </c>
      <c r="BI38" s="123">
        <f t="shared" si="48"/>
        <v>-98.123579643811041</v>
      </c>
      <c r="BL38" s="123">
        <f t="shared" si="49"/>
        <v>0</v>
      </c>
      <c r="BM38" s="123">
        <f t="shared" si="50"/>
        <v>0</v>
      </c>
      <c r="BN38" s="123">
        <f t="shared" si="51"/>
        <v>0</v>
      </c>
      <c r="BO38" s="123">
        <f t="shared" si="52"/>
        <v>0</v>
      </c>
      <c r="BP38" s="123">
        <f t="shared" si="53"/>
        <v>0</v>
      </c>
      <c r="BQ38" s="123">
        <f t="shared" si="54"/>
        <v>0</v>
      </c>
      <c r="BR38" s="123">
        <f t="shared" si="55"/>
        <v>0</v>
      </c>
      <c r="BS38" s="123"/>
      <c r="BT38" s="123"/>
      <c r="BU38" s="123">
        <f t="shared" si="56"/>
        <v>0</v>
      </c>
      <c r="BV38" s="123">
        <f t="shared" si="57"/>
        <v>0</v>
      </c>
      <c r="BX38" s="123">
        <f t="shared" si="58"/>
        <v>0</v>
      </c>
      <c r="BY38" s="123"/>
    </row>
    <row r="39" spans="5:77" x14ac:dyDescent="0.2">
      <c r="E39">
        <v>28</v>
      </c>
      <c r="F39">
        <v>55</v>
      </c>
      <c r="G39" s="58">
        <f t="shared" si="1"/>
        <v>-2.53685475061541E-5</v>
      </c>
      <c r="H39" s="58">
        <f t="shared" si="2"/>
        <v>-0.16468243807471389</v>
      </c>
      <c r="I39">
        <f t="shared" si="20"/>
        <v>27.043125319864046</v>
      </c>
      <c r="J39">
        <f t="shared" si="3"/>
        <v>-12.93868249728464</v>
      </c>
      <c r="K39" t="str">
        <f t="shared" si="4"/>
        <v>7142.85712544864-0.352627672609966i</v>
      </c>
      <c r="L39" t="str">
        <f t="shared" si="5"/>
        <v>3300-289372684.005724i</v>
      </c>
      <c r="M39" t="str">
        <f t="shared" si="6"/>
        <v>99999.9876636921-34.5575075961959i</v>
      </c>
      <c r="N39">
        <f t="shared" si="21"/>
        <v>-23.521824651267135</v>
      </c>
      <c r="O39">
        <f t="shared" si="7"/>
        <v>1.5839999138725889E-2</v>
      </c>
      <c r="P39" t="str">
        <f t="shared" si="8"/>
        <v>-8768869.21229465i</v>
      </c>
      <c r="Q39" t="str">
        <f t="shared" si="9"/>
        <v>3300-61568.6561714305i</v>
      </c>
      <c r="R39" t="str">
        <f t="shared" si="22"/>
        <v>3254.14264417591-61140.5957730296i</v>
      </c>
      <c r="S39" t="str">
        <f t="shared" si="10"/>
        <v>99524582.3618656-6878643.89853031i</v>
      </c>
      <c r="T39" t="str">
        <f t="shared" si="23"/>
        <v>3291.13667756134-61134.0182055645i</v>
      </c>
      <c r="U39" t="str">
        <f t="shared" si="24"/>
        <v>0.999999924375006-0.000274999979203127i</v>
      </c>
      <c r="V39">
        <f t="shared" si="11"/>
        <v>35.738226959778949</v>
      </c>
      <c r="W39">
        <f t="shared" si="12"/>
        <v>-86.934243150249429</v>
      </c>
      <c r="X39">
        <f t="shared" si="25"/>
        <v>-3.2843518710728875E-7</v>
      </c>
      <c r="Y39">
        <f t="shared" si="13"/>
        <v>-1.575634224692055E-2</v>
      </c>
      <c r="AA39" s="123">
        <f t="shared" si="26"/>
        <v>27.043099951316542</v>
      </c>
      <c r="AB39" s="123">
        <f t="shared" si="27"/>
        <v>-13.103364935359354</v>
      </c>
      <c r="AC39">
        <f t="shared" si="28"/>
        <v>12.216402308511814</v>
      </c>
      <c r="AD39">
        <f t="shared" si="29"/>
        <v>-86.918403151110709</v>
      </c>
      <c r="AE39" s="123">
        <f t="shared" si="30"/>
        <v>39.259502259828352</v>
      </c>
      <c r="AF39" s="123">
        <f t="shared" si="31"/>
        <v>-100.02176808647006</v>
      </c>
      <c r="AI39" s="123">
        <f t="shared" si="32"/>
        <v>0</v>
      </c>
      <c r="AJ39" s="123">
        <f t="shared" si="33"/>
        <v>0</v>
      </c>
      <c r="AK39" s="123">
        <f t="shared" si="34"/>
        <v>0</v>
      </c>
      <c r="AL39" s="123">
        <f t="shared" si="35"/>
        <v>0</v>
      </c>
      <c r="AM39" s="123">
        <f t="shared" si="36"/>
        <v>0</v>
      </c>
      <c r="AN39" s="123">
        <f t="shared" si="37"/>
        <v>0</v>
      </c>
      <c r="AO39" s="123">
        <f t="shared" si="38"/>
        <v>0</v>
      </c>
      <c r="AP39" s="123"/>
      <c r="AQ39" s="123">
        <f t="shared" si="39"/>
        <v>0</v>
      </c>
      <c r="AR39" s="123">
        <f t="shared" si="40"/>
        <v>0</v>
      </c>
      <c r="AS39" s="123">
        <f t="shared" si="41"/>
        <v>0</v>
      </c>
      <c r="AW39" t="str">
        <f t="shared" si="14"/>
        <v>12700</v>
      </c>
      <c r="AX39" t="str">
        <f t="shared" si="15"/>
        <v>75-28937.2684005724i</v>
      </c>
      <c r="AY39" t="str">
        <f t="shared" si="42"/>
        <v>10640.6860842116-4664.65123304912i</v>
      </c>
      <c r="AZ39">
        <f t="shared" si="16"/>
        <v>7.3233961912788246</v>
      </c>
      <c r="BA39">
        <f t="shared" si="17"/>
        <v>-23.671631446333659</v>
      </c>
      <c r="BB39">
        <f t="shared" si="18"/>
        <v>-5.3917777607896529</v>
      </c>
      <c r="BC39">
        <f t="shared" si="19"/>
        <v>11.832421901728475</v>
      </c>
      <c r="BD39" s="123">
        <f t="shared" si="43"/>
        <v>-5.3918031293371591</v>
      </c>
      <c r="BE39" s="123">
        <f t="shared" si="44"/>
        <v>11.667739463653762</v>
      </c>
      <c r="BF39">
        <f t="shared" si="45"/>
        <v>43.061623151057773</v>
      </c>
      <c r="BG39">
        <f t="shared" si="46"/>
        <v>-110.60587459658309</v>
      </c>
      <c r="BH39" s="123">
        <f t="shared" si="47"/>
        <v>37.669820021720611</v>
      </c>
      <c r="BI39" s="123">
        <f t="shared" si="48"/>
        <v>-98.938135132929332</v>
      </c>
      <c r="BL39" s="123">
        <f t="shared" si="49"/>
        <v>0</v>
      </c>
      <c r="BM39" s="123">
        <f t="shared" si="50"/>
        <v>0</v>
      </c>
      <c r="BN39" s="123">
        <f t="shared" si="51"/>
        <v>0</v>
      </c>
      <c r="BO39" s="123">
        <f t="shared" si="52"/>
        <v>0</v>
      </c>
      <c r="BP39" s="123">
        <f t="shared" si="53"/>
        <v>0</v>
      </c>
      <c r="BQ39" s="123">
        <f t="shared" si="54"/>
        <v>0</v>
      </c>
      <c r="BR39" s="123">
        <f t="shared" si="55"/>
        <v>0</v>
      </c>
      <c r="BS39" s="123"/>
      <c r="BT39" s="123"/>
      <c r="BU39" s="123">
        <f t="shared" si="56"/>
        <v>0</v>
      </c>
      <c r="BV39" s="123">
        <f t="shared" si="57"/>
        <v>0</v>
      </c>
      <c r="BX39" s="123">
        <f t="shared" si="58"/>
        <v>0</v>
      </c>
      <c r="BY39" s="123"/>
    </row>
    <row r="40" spans="5:77" x14ac:dyDescent="0.2">
      <c r="E40">
        <v>29</v>
      </c>
      <c r="F40">
        <v>60</v>
      </c>
      <c r="G40" s="58">
        <f t="shared" si="1"/>
        <v>-3.0190652780510877E-5</v>
      </c>
      <c r="H40" s="58">
        <f t="shared" si="2"/>
        <v>-0.17965351609050359</v>
      </c>
      <c r="I40">
        <f t="shared" si="20"/>
        <v>27.00096788320435</v>
      </c>
      <c r="J40">
        <f t="shared" si="3"/>
        <v>-14.068421855741629</v>
      </c>
      <c r="K40" t="str">
        <f t="shared" si="4"/>
        <v>7142.85712213961-0.384684733578116i</v>
      </c>
      <c r="L40" t="str">
        <f t="shared" si="5"/>
        <v>3300-265258293.671913i</v>
      </c>
      <c r="M40" t="str">
        <f t="shared" si="6"/>
        <v>99999.9853187744-37.6990982826647i</v>
      </c>
      <c r="N40">
        <f t="shared" si="21"/>
        <v>-23.521824550552463</v>
      </c>
      <c r="O40">
        <f t="shared" si="7"/>
        <v>1.7279998881831977E-2</v>
      </c>
      <c r="P40" t="str">
        <f t="shared" si="8"/>
        <v>-8038130.1112701i</v>
      </c>
      <c r="Q40" t="str">
        <f t="shared" si="9"/>
        <v>3300-56437.9348238113i</v>
      </c>
      <c r="R40" t="str">
        <f t="shared" si="22"/>
        <v>3254.14255779011-56045.7580209654i</v>
      </c>
      <c r="S40" t="str">
        <f t="shared" si="10"/>
        <v>99434724.5516522-7497200.04416816i</v>
      </c>
      <c r="T40" t="str">
        <f t="shared" si="23"/>
        <v>3285.16722693229-56039.7331727882i</v>
      </c>
      <c r="U40" t="str">
        <f t="shared" si="24"/>
        <v>0.999999910000008-0.000299999973000002i</v>
      </c>
      <c r="V40">
        <f t="shared" si="11"/>
        <v>34.984819951490017</v>
      </c>
      <c r="W40">
        <f t="shared" si="12"/>
        <v>-86.662247101369118</v>
      </c>
      <c r="X40">
        <f t="shared" si="25"/>
        <v>-3.9086501795238646E-7</v>
      </c>
      <c r="Y40">
        <f t="shared" si="13"/>
        <v>-1.7188736914277858E-2</v>
      </c>
      <c r="AA40" s="123">
        <f t="shared" si="26"/>
        <v>27.00093769255157</v>
      </c>
      <c r="AB40" s="123">
        <f t="shared" si="27"/>
        <v>-14.248075371832133</v>
      </c>
      <c r="AC40">
        <f t="shared" si="28"/>
        <v>11.462995400937555</v>
      </c>
      <c r="AD40">
        <f t="shared" si="29"/>
        <v>-86.644967102487286</v>
      </c>
      <c r="AE40" s="123">
        <f t="shared" si="30"/>
        <v>38.463933093489125</v>
      </c>
      <c r="AF40" s="123">
        <f t="shared" si="31"/>
        <v>-100.89304247431942</v>
      </c>
      <c r="AI40" s="123">
        <f t="shared" si="32"/>
        <v>0</v>
      </c>
      <c r="AJ40" s="123">
        <f t="shared" si="33"/>
        <v>0</v>
      </c>
      <c r="AK40" s="123">
        <f t="shared" si="34"/>
        <v>0</v>
      </c>
      <c r="AL40" s="123">
        <f t="shared" si="35"/>
        <v>0</v>
      </c>
      <c r="AM40" s="123">
        <f t="shared" si="36"/>
        <v>0</v>
      </c>
      <c r="AN40" s="123">
        <f t="shared" si="37"/>
        <v>0</v>
      </c>
      <c r="AO40" s="123">
        <f t="shared" si="38"/>
        <v>0</v>
      </c>
      <c r="AP40" s="123"/>
      <c r="AQ40" s="123">
        <f t="shared" si="39"/>
        <v>0</v>
      </c>
      <c r="AR40" s="123">
        <f t="shared" si="40"/>
        <v>0</v>
      </c>
      <c r="AS40" s="123">
        <f t="shared" si="41"/>
        <v>0</v>
      </c>
      <c r="AW40" t="str">
        <f t="shared" si="14"/>
        <v>12700</v>
      </c>
      <c r="AX40" t="str">
        <f t="shared" si="15"/>
        <v>75-26525.8293671913i</v>
      </c>
      <c r="AY40" t="str">
        <f t="shared" si="42"/>
        <v>10322.9446032362-4935.68421533602i</v>
      </c>
      <c r="AZ40">
        <f t="shared" si="16"/>
        <v>7.1907980062755659</v>
      </c>
      <c r="BA40">
        <f t="shared" si="17"/>
        <v>-25.553753496292622</v>
      </c>
      <c r="BB40">
        <f t="shared" si="18"/>
        <v>-5.2897317655376783</v>
      </c>
      <c r="BC40">
        <f t="shared" si="19"/>
        <v>12.646912645704028</v>
      </c>
      <c r="BD40" s="123">
        <f t="shared" si="43"/>
        <v>-5.2897619561904587</v>
      </c>
      <c r="BE40" s="123">
        <f t="shared" si="44"/>
        <v>12.467259129613524</v>
      </c>
      <c r="BF40">
        <f t="shared" si="45"/>
        <v>42.175617957765581</v>
      </c>
      <c r="BG40">
        <f t="shared" si="46"/>
        <v>-112.21600059766175</v>
      </c>
      <c r="BH40" s="123">
        <f t="shared" si="47"/>
        <v>36.885856001575121</v>
      </c>
      <c r="BI40" s="123">
        <f t="shared" si="48"/>
        <v>-99.748741468048223</v>
      </c>
      <c r="BL40" s="123">
        <f t="shared" si="49"/>
        <v>0</v>
      </c>
      <c r="BM40" s="123">
        <f t="shared" si="50"/>
        <v>0</v>
      </c>
      <c r="BN40" s="123">
        <f t="shared" si="51"/>
        <v>0</v>
      </c>
      <c r="BO40" s="123">
        <f t="shared" si="52"/>
        <v>0</v>
      </c>
      <c r="BP40" s="123">
        <f t="shared" si="53"/>
        <v>0</v>
      </c>
      <c r="BQ40" s="123">
        <f t="shared" si="54"/>
        <v>0</v>
      </c>
      <c r="BR40" s="123">
        <f t="shared" si="55"/>
        <v>0</v>
      </c>
      <c r="BS40" s="123"/>
      <c r="BT40" s="123"/>
      <c r="BU40" s="123">
        <f t="shared" si="56"/>
        <v>0</v>
      </c>
      <c r="BV40" s="123">
        <f t="shared" si="57"/>
        <v>0</v>
      </c>
      <c r="BX40" s="123">
        <f t="shared" si="58"/>
        <v>0</v>
      </c>
      <c r="BY40" s="123"/>
    </row>
    <row r="41" spans="5:77" x14ac:dyDescent="0.2">
      <c r="E41">
        <v>30</v>
      </c>
      <c r="F41">
        <v>65</v>
      </c>
      <c r="G41" s="58">
        <f t="shared" si="1"/>
        <v>-3.5432066008082357E-5</v>
      </c>
      <c r="H41" s="58">
        <f t="shared" si="2"/>
        <v>-0.19462458035378047</v>
      </c>
      <c r="I41">
        <f t="shared" si="20"/>
        <v>26.955604151151149</v>
      </c>
      <c r="J41">
        <f t="shared" si="3"/>
        <v>-15.186690230833191</v>
      </c>
      <c r="K41" t="str">
        <f t="shared" si="4"/>
        <v>7142.85711854282-0.416741794499777i</v>
      </c>
      <c r="L41" t="str">
        <f t="shared" si="5"/>
        <v>3300-244853809.543305i</v>
      </c>
      <c r="M41" t="str">
        <f t="shared" si="6"/>
        <v>99999.9827699509-40.8406887309112i</v>
      </c>
      <c r="N41">
        <f t="shared" si="21"/>
        <v>-23.521824441080071</v>
      </c>
      <c r="O41">
        <f t="shared" si="7"/>
        <v>1.8719998578347677E-2</v>
      </c>
      <c r="P41" t="str">
        <f t="shared" si="8"/>
        <v>-7419812.41040317i</v>
      </c>
      <c r="Q41" t="str">
        <f t="shared" si="9"/>
        <v>3300-52096.5552219797i</v>
      </c>
      <c r="R41" t="str">
        <f t="shared" si="22"/>
        <v>3254.14246389251-51734.7584698642i</v>
      </c>
      <c r="S41" t="str">
        <f t="shared" si="10"/>
        <v>99337236.8761092-8114003.78547435i</v>
      </c>
      <c r="T41" t="str">
        <f t="shared" si="23"/>
        <v>3280.52156319031-51729.2007222527i</v>
      </c>
      <c r="U41" t="str">
        <f t="shared" si="24"/>
        <v>0.999999894375011-0.000324999965671879i</v>
      </c>
      <c r="V41">
        <f t="shared" si="11"/>
        <v>34.29214608037541</v>
      </c>
      <c r="W41">
        <f t="shared" si="12"/>
        <v>-86.38995997520658</v>
      </c>
      <c r="X41">
        <f t="shared" si="25"/>
        <v>-4.5872352328954592E-7</v>
      </c>
      <c r="Y41">
        <f t="shared" si="13"/>
        <v>-1.8621131560149343E-2</v>
      </c>
      <c r="AA41" s="123">
        <f t="shared" si="26"/>
        <v>26.955568719085143</v>
      </c>
      <c r="AB41" s="123">
        <f t="shared" si="27"/>
        <v>-15.381314811186972</v>
      </c>
      <c r="AC41">
        <f t="shared" si="28"/>
        <v>10.770321639295339</v>
      </c>
      <c r="AD41">
        <f t="shared" si="29"/>
        <v>-86.371239976628232</v>
      </c>
      <c r="AE41" s="123">
        <f t="shared" si="30"/>
        <v>37.725890358380482</v>
      </c>
      <c r="AF41" s="123">
        <f t="shared" si="31"/>
        <v>-101.7525547878152</v>
      </c>
      <c r="AI41" s="123">
        <f t="shared" si="32"/>
        <v>0</v>
      </c>
      <c r="AJ41" s="123">
        <f t="shared" si="33"/>
        <v>0</v>
      </c>
      <c r="AK41" s="123">
        <f t="shared" si="34"/>
        <v>0</v>
      </c>
      <c r="AL41" s="123">
        <f t="shared" si="35"/>
        <v>0</v>
      </c>
      <c r="AM41" s="123">
        <f t="shared" si="36"/>
        <v>0</v>
      </c>
      <c r="AN41" s="123">
        <f t="shared" si="37"/>
        <v>0</v>
      </c>
      <c r="AO41" s="123">
        <f t="shared" si="38"/>
        <v>0</v>
      </c>
      <c r="AP41" s="123"/>
      <c r="AQ41" s="123">
        <f t="shared" si="39"/>
        <v>0</v>
      </c>
      <c r="AR41" s="123">
        <f t="shared" si="40"/>
        <v>0</v>
      </c>
      <c r="AS41" s="123">
        <f t="shared" si="41"/>
        <v>0</v>
      </c>
      <c r="AW41" t="str">
        <f t="shared" si="14"/>
        <v>12700</v>
      </c>
      <c r="AX41" t="str">
        <f t="shared" si="15"/>
        <v>75-24485.3809543305i</v>
      </c>
      <c r="AY41" t="str">
        <f t="shared" si="42"/>
        <v>9998.56229762825-5177.74804438069i</v>
      </c>
      <c r="AZ41">
        <f t="shared" si="16"/>
        <v>7.0511184464329784</v>
      </c>
      <c r="BA41">
        <f t="shared" si="17"/>
        <v>-27.377352128876108</v>
      </c>
      <c r="BB41">
        <f t="shared" si="18"/>
        <v>-5.1836000811436627</v>
      </c>
      <c r="BC41">
        <f t="shared" si="19"/>
        <v>13.407300437658794</v>
      </c>
      <c r="BD41" s="123">
        <f t="shared" si="43"/>
        <v>-5.183635513209671</v>
      </c>
      <c r="BE41" s="123">
        <f t="shared" si="44"/>
        <v>13.212675857305014</v>
      </c>
      <c r="BF41">
        <f t="shared" si="45"/>
        <v>41.34326452680839</v>
      </c>
      <c r="BG41">
        <f t="shared" si="46"/>
        <v>-113.76731210408269</v>
      </c>
      <c r="BH41" s="123">
        <f t="shared" si="47"/>
        <v>36.159629013598718</v>
      </c>
      <c r="BI41" s="123">
        <f t="shared" si="48"/>
        <v>-100.55463624677768</v>
      </c>
      <c r="BL41" s="123">
        <f t="shared" si="49"/>
        <v>0</v>
      </c>
      <c r="BM41" s="123">
        <f t="shared" si="50"/>
        <v>0</v>
      </c>
      <c r="BN41" s="123">
        <f t="shared" si="51"/>
        <v>0</v>
      </c>
      <c r="BO41" s="123">
        <f t="shared" si="52"/>
        <v>0</v>
      </c>
      <c r="BP41" s="123">
        <f t="shared" si="53"/>
        <v>0</v>
      </c>
      <c r="BQ41" s="123">
        <f t="shared" si="54"/>
        <v>0</v>
      </c>
      <c r="BR41" s="123">
        <f t="shared" si="55"/>
        <v>0</v>
      </c>
      <c r="BS41" s="123"/>
      <c r="BT41" s="123"/>
      <c r="BU41" s="123">
        <f t="shared" si="56"/>
        <v>0</v>
      </c>
      <c r="BV41" s="123">
        <f t="shared" si="57"/>
        <v>0</v>
      </c>
      <c r="BX41" s="123">
        <f t="shared" si="58"/>
        <v>0</v>
      </c>
      <c r="BY41" s="123"/>
    </row>
    <row r="42" spans="5:77" x14ac:dyDescent="0.2">
      <c r="E42">
        <v>31</v>
      </c>
      <c r="F42">
        <v>70</v>
      </c>
      <c r="G42" s="58">
        <f t="shared" si="1"/>
        <v>-4.1092785803274466E-5</v>
      </c>
      <c r="H42" s="58">
        <f t="shared" si="2"/>
        <v>-0.20959562971853676</v>
      </c>
      <c r="I42">
        <f t="shared" si="20"/>
        <v>26.907137904979763</v>
      </c>
      <c r="J42">
        <f t="shared" si="3"/>
        <v>-16.292788513805622</v>
      </c>
      <c r="K42" t="str">
        <f t="shared" si="4"/>
        <v>7142.85711465828-0.448798855371072i</v>
      </c>
      <c r="L42" t="str">
        <f t="shared" si="5"/>
        <v>3300-227364251.718783i</v>
      </c>
      <c r="M42" t="str">
        <f t="shared" si="6"/>
        <v>99999.9800172218-43.9822789210838i</v>
      </c>
      <c r="N42">
        <f t="shared" si="21"/>
        <v>-23.521824322849852</v>
      </c>
      <c r="O42">
        <f t="shared" si="7"/>
        <v>2.0159998224390675E-2</v>
      </c>
      <c r="P42" t="str">
        <f t="shared" si="8"/>
        <v>-6889825.80966008i</v>
      </c>
      <c r="Q42" t="str">
        <f t="shared" si="9"/>
        <v>3300-48375.372706124i</v>
      </c>
      <c r="R42" t="str">
        <f t="shared" si="22"/>
        <v>3254.1423624831-48039.6317909455i</v>
      </c>
      <c r="S42" t="str">
        <f t="shared" si="10"/>
        <v>99232164.6675276-8728915.29054128i</v>
      </c>
      <c r="T42" t="str">
        <f t="shared" si="23"/>
        <v>3276.83534369372-48034.4740470567i</v>
      </c>
      <c r="U42" t="str">
        <f t="shared" si="24"/>
        <v>0.999999877500015-0.000349999957125005i</v>
      </c>
      <c r="V42">
        <f t="shared" si="11"/>
        <v>33.651224364722026</v>
      </c>
      <c r="W42">
        <f t="shared" si="12"/>
        <v>-86.117490965486539</v>
      </c>
      <c r="X42">
        <f t="shared" si="25"/>
        <v>-5.3201070806763932E-7</v>
      </c>
      <c r="Y42">
        <f t="shared" si="13"/>
        <v>-2.0053526182744336E-2</v>
      </c>
      <c r="AA42" s="123">
        <f t="shared" si="26"/>
        <v>26.907096812193959</v>
      </c>
      <c r="AB42" s="123">
        <f t="shared" si="27"/>
        <v>-16.502384143524157</v>
      </c>
      <c r="AC42">
        <f t="shared" si="28"/>
        <v>10.129400041872174</v>
      </c>
      <c r="AD42">
        <f t="shared" si="29"/>
        <v>-86.097330967262153</v>
      </c>
      <c r="AE42" s="123">
        <f t="shared" si="30"/>
        <v>37.036496854066129</v>
      </c>
      <c r="AF42" s="123">
        <f t="shared" si="31"/>
        <v>-102.59971511078631</v>
      </c>
      <c r="AI42" s="123">
        <f t="shared" si="32"/>
        <v>0</v>
      </c>
      <c r="AJ42" s="123">
        <f t="shared" si="33"/>
        <v>0</v>
      </c>
      <c r="AK42" s="123">
        <f t="shared" si="34"/>
        <v>0</v>
      </c>
      <c r="AL42" s="123">
        <f t="shared" si="35"/>
        <v>0</v>
      </c>
      <c r="AM42" s="123">
        <f t="shared" si="36"/>
        <v>0</v>
      </c>
      <c r="AN42" s="123">
        <f t="shared" si="37"/>
        <v>0</v>
      </c>
      <c r="AO42" s="123">
        <f t="shared" si="38"/>
        <v>0</v>
      </c>
      <c r="AP42" s="123"/>
      <c r="AQ42" s="123">
        <f t="shared" si="39"/>
        <v>0</v>
      </c>
      <c r="AR42" s="123">
        <f t="shared" si="40"/>
        <v>0</v>
      </c>
      <c r="AS42" s="123">
        <f t="shared" si="41"/>
        <v>0</v>
      </c>
      <c r="AW42" t="str">
        <f t="shared" si="14"/>
        <v>12700</v>
      </c>
      <c r="AX42" t="str">
        <f t="shared" si="15"/>
        <v>75-22736.4251718783i</v>
      </c>
      <c r="AY42" t="str">
        <f t="shared" si="42"/>
        <v>9670.53162646075-5391.72453898604i</v>
      </c>
      <c r="AZ42">
        <f t="shared" si="16"/>
        <v>6.9051459510788575</v>
      </c>
      <c r="BA42">
        <f t="shared" si="17"/>
        <v>-29.141494981267801</v>
      </c>
      <c r="BB42">
        <f t="shared" si="18"/>
        <v>-5.0741777249992515</v>
      </c>
      <c r="BC42">
        <f t="shared" si="19"/>
        <v>14.113600388306018</v>
      </c>
      <c r="BD42" s="123">
        <f t="shared" si="43"/>
        <v>-5.0742188177850549</v>
      </c>
      <c r="BE42" s="123">
        <f t="shared" si="44"/>
        <v>13.904004758587481</v>
      </c>
      <c r="BF42">
        <f t="shared" si="45"/>
        <v>40.556370315800883</v>
      </c>
      <c r="BG42">
        <f t="shared" si="46"/>
        <v>-115.25898594675434</v>
      </c>
      <c r="BH42" s="123">
        <f t="shared" si="47"/>
        <v>35.482151498015831</v>
      </c>
      <c r="BI42" s="123">
        <f t="shared" si="48"/>
        <v>-101.35498118816686</v>
      </c>
      <c r="BL42" s="123">
        <f t="shared" si="49"/>
        <v>0</v>
      </c>
      <c r="BM42" s="123">
        <f t="shared" si="50"/>
        <v>0</v>
      </c>
      <c r="BN42" s="123">
        <f t="shared" si="51"/>
        <v>0</v>
      </c>
      <c r="BO42" s="123">
        <f t="shared" si="52"/>
        <v>0</v>
      </c>
      <c r="BP42" s="123">
        <f t="shared" si="53"/>
        <v>0</v>
      </c>
      <c r="BQ42" s="123">
        <f t="shared" si="54"/>
        <v>0</v>
      </c>
      <c r="BR42" s="123">
        <f t="shared" si="55"/>
        <v>0</v>
      </c>
      <c r="BS42" s="123"/>
      <c r="BT42" s="123"/>
      <c r="BU42" s="123">
        <f t="shared" si="56"/>
        <v>0</v>
      </c>
      <c r="BV42" s="123">
        <f t="shared" si="57"/>
        <v>0</v>
      </c>
      <c r="BX42" s="123">
        <f t="shared" si="58"/>
        <v>0</v>
      </c>
      <c r="BY42" s="123"/>
    </row>
    <row r="43" spans="5:77" x14ac:dyDescent="0.2">
      <c r="E43">
        <v>32</v>
      </c>
      <c r="F43">
        <v>75</v>
      </c>
      <c r="G43" s="58">
        <f t="shared" si="1"/>
        <v>-4.7172810655097935E-5</v>
      </c>
      <c r="H43" s="58">
        <f t="shared" si="2"/>
        <v>-0.2245666630387724</v>
      </c>
      <c r="I43">
        <f t="shared" si="20"/>
        <v>26.855677226371576</v>
      </c>
      <c r="J43">
        <f t="shared" si="3"/>
        <v>-17.386069711805451</v>
      </c>
      <c r="K43" t="str">
        <f t="shared" si="4"/>
        <v>7142.857110486-0.480855916188129i</v>
      </c>
      <c r="L43" t="str">
        <f t="shared" si="5"/>
        <v>3300-212206634.937531i</v>
      </c>
      <c r="M43" t="str">
        <f t="shared" si="6"/>
        <v>99999.977060587-47.1238688333304i</v>
      </c>
      <c r="N43">
        <f t="shared" si="21"/>
        <v>-23.521824195861857</v>
      </c>
      <c r="O43">
        <f t="shared" si="7"/>
        <v>2.159999781607817E-2</v>
      </c>
      <c r="P43" t="str">
        <f t="shared" si="8"/>
        <v>-6430504.08901608i</v>
      </c>
      <c r="Q43" t="str">
        <f t="shared" si="9"/>
        <v>3300-45150.3478590491i</v>
      </c>
      <c r="R43" t="str">
        <f t="shared" si="22"/>
        <v>3254.14225356189-44837.2034097701i</v>
      </c>
      <c r="S43" t="str">
        <f t="shared" si="10"/>
        <v>99119556.6351816-9341796.18505903i</v>
      </c>
      <c r="T43" t="str">
        <f t="shared" si="23"/>
        <v>3273.86146227765-44832.3921029127i</v>
      </c>
      <c r="U43" t="str">
        <f t="shared" si="24"/>
        <v>0.99999985937502-0.000374999947265632i</v>
      </c>
      <c r="V43">
        <f t="shared" si="11"/>
        <v>33.054935166482878</v>
      </c>
      <c r="W43">
        <f t="shared" si="12"/>
        <v>-85.844923556550526</v>
      </c>
      <c r="X43">
        <f t="shared" si="25"/>
        <v>-6.1072656953109756E-7</v>
      </c>
      <c r="Y43">
        <f t="shared" si="13"/>
        <v>-2.1485920780272443E-2</v>
      </c>
      <c r="AA43" s="123">
        <f t="shared" si="26"/>
        <v>26.855630053560919</v>
      </c>
      <c r="AB43" s="123">
        <f t="shared" si="27"/>
        <v>-17.610636374844223</v>
      </c>
      <c r="AC43">
        <f t="shared" si="28"/>
        <v>9.5331109706210206</v>
      </c>
      <c r="AD43">
        <f t="shared" si="29"/>
        <v>-85.823323558734444</v>
      </c>
      <c r="AE43" s="123">
        <f t="shared" si="30"/>
        <v>36.38874102418194</v>
      </c>
      <c r="AF43" s="123">
        <f t="shared" si="31"/>
        <v>-103.43395993357866</v>
      </c>
      <c r="AI43" s="123">
        <f t="shared" si="32"/>
        <v>0</v>
      </c>
      <c r="AJ43" s="123">
        <f t="shared" si="33"/>
        <v>0</v>
      </c>
      <c r="AK43" s="123">
        <f t="shared" si="34"/>
        <v>0</v>
      </c>
      <c r="AL43" s="123">
        <f t="shared" si="35"/>
        <v>0</v>
      </c>
      <c r="AM43" s="123">
        <f t="shared" si="36"/>
        <v>0</v>
      </c>
      <c r="AN43" s="123">
        <f t="shared" si="37"/>
        <v>0</v>
      </c>
      <c r="AO43" s="123">
        <f t="shared" si="38"/>
        <v>0</v>
      </c>
      <c r="AP43" s="123"/>
      <c r="AQ43" s="123">
        <f t="shared" si="39"/>
        <v>0</v>
      </c>
      <c r="AR43" s="123">
        <f t="shared" si="40"/>
        <v>0</v>
      </c>
      <c r="AS43" s="123">
        <f t="shared" si="41"/>
        <v>0</v>
      </c>
      <c r="AW43" t="str">
        <f t="shared" si="14"/>
        <v>12700</v>
      </c>
      <c r="AX43" t="str">
        <f t="shared" si="15"/>
        <v>75-21220.6634937531i</v>
      </c>
      <c r="AY43" t="str">
        <f t="shared" si="42"/>
        <v>9341.5288709934-5578.78557198698i</v>
      </c>
      <c r="AZ43">
        <f t="shared" si="16"/>
        <v>6.7536404380899375</v>
      </c>
      <c r="BA43">
        <f t="shared" si="17"/>
        <v>-30.845766221594072</v>
      </c>
      <c r="BB43">
        <f t="shared" si="18"/>
        <v>-4.9622142684584425</v>
      </c>
      <c r="BC43">
        <f t="shared" si="19"/>
        <v>14.76636049191263</v>
      </c>
      <c r="BD43" s="123">
        <f t="shared" si="43"/>
        <v>-4.9622614412690975</v>
      </c>
      <c r="BE43" s="123">
        <f t="shared" si="44"/>
        <v>14.541793828873859</v>
      </c>
      <c r="BF43">
        <f t="shared" si="45"/>
        <v>39.808575604572816</v>
      </c>
      <c r="BG43">
        <f t="shared" si="46"/>
        <v>-116.6906897781446</v>
      </c>
      <c r="BH43" s="123">
        <f t="shared" si="47"/>
        <v>34.846314163303717</v>
      </c>
      <c r="BI43" s="123">
        <f t="shared" si="48"/>
        <v>-102.14889594927074</v>
      </c>
      <c r="BL43" s="123">
        <f t="shared" si="49"/>
        <v>0</v>
      </c>
      <c r="BM43" s="123">
        <f t="shared" si="50"/>
        <v>0</v>
      </c>
      <c r="BN43" s="123">
        <f t="shared" si="51"/>
        <v>0</v>
      </c>
      <c r="BO43" s="123">
        <f t="shared" si="52"/>
        <v>0</v>
      </c>
      <c r="BP43" s="123">
        <f t="shared" si="53"/>
        <v>0</v>
      </c>
      <c r="BQ43" s="123">
        <f t="shared" si="54"/>
        <v>0</v>
      </c>
      <c r="BR43" s="123">
        <f t="shared" si="55"/>
        <v>0</v>
      </c>
      <c r="BS43" s="123"/>
      <c r="BT43" s="123"/>
      <c r="BU43" s="123">
        <f t="shared" si="56"/>
        <v>0</v>
      </c>
      <c r="BV43" s="123">
        <f t="shared" si="57"/>
        <v>0</v>
      </c>
      <c r="BX43" s="123">
        <f t="shared" si="58"/>
        <v>0</v>
      </c>
      <c r="BY43" s="123"/>
    </row>
    <row r="44" spans="5:77" x14ac:dyDescent="0.2">
      <c r="E44">
        <v>33</v>
      </c>
      <c r="F44">
        <v>80</v>
      </c>
      <c r="G44" s="58">
        <f t="shared" ref="G44:G75" si="59">20*LOG(IMABS(IMDIV(1,IMSUM(0,IMSUM(COMPLEX(0,2*PI*F44/Wsh),COMPLEX(1-(F44/fsw_sh)^2,0))))))</f>
        <v>-5.3672138965740266E-5</v>
      </c>
      <c r="H44" s="58">
        <f t="shared" ref="H44:H75" si="60">180/PI*IMARGUMENT(IMDIV(1,IMSUM(0,IMSUM(COMPLEX(0,2*PI*F44/Wsh),COMPLEX(1-(F44/fsw_sh)^2,0)))))</f>
        <v>-0.23953767916849467</v>
      </c>
      <c r="I44">
        <f t="shared" ref="I44:I75" si="61">20*LOG(IMABS(IMPRODUCT(A_COMP2VOUT,IMDIV(COMPLEX(1, 2*PI*F44/Wesr_zero),COMPLEX(1, 2*PI*F44/Wload_pole)))))</f>
        <v>26.801333786460887</v>
      </c>
      <c r="J44">
        <f t="shared" ref="J44:J75" si="62">180/PI*(IMARGUMENT(IMPRODUCT(A_COMP2VOUT,IMDIV(COMPLEX(1, 2*PI*F44/Wesr_zero),COMPLEX(1, 2*PI*F44/Wload_pole)))))</f>
        <v>-18.46593981021508</v>
      </c>
      <c r="K44" t="str">
        <f t="shared" ref="K44:K75" si="63">IMDIV(IMPRODUCT(COMPLEX(R.fbb,0),IMDIV(COMPLEX(1,0),COMPLEX(0,2*PI*F44*C.fbb))),IMSUM(COMPLEX(R.fbb,0),IMDIV(COMPLEX(1,0),COMPLEX(0,2*PI*F44*C.fbb))) )</f>
        <v>7142.85710602598-0.512912976947071i</v>
      </c>
      <c r="L44" t="str">
        <f t="shared" ref="L44:L75" si="64">IMSUM(COMPLEX(R.ff,0),IMDIV(COMPLEX(1,0),COMPLEX(0,2*PI*F44*C.ff)))</f>
        <v>3300-198943720.253935i</v>
      </c>
      <c r="M44" t="str">
        <f t="shared" ref="M44:M75" si="65">IMDIV(IMPRODUCT(COMPLEX(R.fbt,0),L44),IMSUM(COMPLEX(R.fbt,0),L44))</f>
        <v>99999.9739000465-50.2654584477994i</v>
      </c>
      <c r="N44">
        <f t="shared" si="21"/>
        <v>-23.521824060116035</v>
      </c>
      <c r="O44">
        <f t="shared" ref="O44:O75" si="66">180/PI*IMARGUMENT((IMDIV(K44,IMSUM(K44,M44))))</f>
        <v>2.3039997349528007E-2</v>
      </c>
      <c r="P44" t="str">
        <f t="shared" ref="P44:P75" si="67">IMDIV(COMPLEX(1,0),COMPLEX(0,2*PI*F44*C.hf))</f>
        <v>-6028597.58345257i</v>
      </c>
      <c r="Q44" t="str">
        <f t="shared" ref="Q44:Q75" si="68">IMSUM(R.comp,0,IMDIV(COMPLEX(1,0),COMPLEX(0,2*PI*F44*C.comp)))</f>
        <v>3300-42328.4511178585i</v>
      </c>
      <c r="R44" t="str">
        <f t="shared" si="22"/>
        <v>3254.14213712887-42035.0923955082i</v>
      </c>
      <c r="S44" t="str">
        <f t="shared" ref="S44:S75" si="69">IMDIV(IMPRODUCT(COMPLEX(R.eaout,0),IMDIV(1,COMPLEX(0,2*PI*F44*C.eaout))),IMSUM(COMPLEX(R.eaout,0),IMDIV(1,COMPLEX(0,2*PI*F44*C.eaout))))</f>
        <v>98999464.8094362-9952509.6527874i</v>
      </c>
      <c r="T44" t="str">
        <f t="shared" si="23"/>
        <v>3271.42753050728-42030.5840752005i</v>
      </c>
      <c r="U44" t="str">
        <f t="shared" si="24"/>
        <v>0.999999840000026-0.00039999993600001i</v>
      </c>
      <c r="V44">
        <f t="shared" ref="V44:V75" si="70">20*LOG(IMABS(IMPRODUCT(IMPRODUCT(COMPLEX(GM,0),T44),U44)))</f>
        <v>32.497538869877467</v>
      </c>
      <c r="W44">
        <f t="shared" ref="W44:W75" si="71">180/PI*IMARGUMENT((IMPRODUCT(IMPRODUCT(COMPLEX(GM,0),T44),U44)))</f>
        <v>-85.572323538961641</v>
      </c>
      <c r="X44">
        <f t="shared" si="25"/>
        <v>-6.9487111168482278E-7</v>
      </c>
      <c r="Y44">
        <f t="shared" ref="Y44:Y75" si="72">180/PI*IMARGUMENT((U44))</f>
        <v>-2.2918315350943182E-2</v>
      </c>
      <c r="AA44" s="123">
        <f t="shared" si="26"/>
        <v>26.801280114321923</v>
      </c>
      <c r="AB44" s="123">
        <f t="shared" si="27"/>
        <v>-18.705477489383576</v>
      </c>
      <c r="AC44">
        <f t="shared" si="28"/>
        <v>8.9757148097614312</v>
      </c>
      <c r="AD44">
        <f t="shared" si="29"/>
        <v>-85.549283541612112</v>
      </c>
      <c r="AE44" s="123">
        <f t="shared" si="30"/>
        <v>35.776994924083354</v>
      </c>
      <c r="AF44" s="123">
        <f t="shared" si="31"/>
        <v>-104.2547610309957</v>
      </c>
      <c r="AI44" s="123">
        <f t="shared" si="32"/>
        <v>0</v>
      </c>
      <c r="AJ44" s="123">
        <f t="shared" si="33"/>
        <v>0</v>
      </c>
      <c r="AK44" s="123">
        <f t="shared" si="34"/>
        <v>0</v>
      </c>
      <c r="AL44" s="123">
        <f t="shared" si="35"/>
        <v>0</v>
      </c>
      <c r="AM44" s="123">
        <f t="shared" si="36"/>
        <v>0</v>
      </c>
      <c r="AN44" s="123">
        <f t="shared" si="37"/>
        <v>0</v>
      </c>
      <c r="AO44" s="123">
        <f t="shared" si="38"/>
        <v>0</v>
      </c>
      <c r="AP44" s="123"/>
      <c r="AQ44" s="123">
        <f t="shared" si="39"/>
        <v>0</v>
      </c>
      <c r="AR44" s="123">
        <f t="shared" si="40"/>
        <v>0</v>
      </c>
      <c r="AS44" s="123">
        <f t="shared" si="41"/>
        <v>0</v>
      </c>
      <c r="AW44" t="str">
        <f t="shared" ref="AW44:AW75" si="73">COMPLEX(R.imon,0)</f>
        <v>12700</v>
      </c>
      <c r="AX44" t="str">
        <f t="shared" ref="AX44:AX75" si="74">IMSUM(R.imonhf,0,IMDIV(COMPLEX(1,0),COMPLEX(0,2*PI*F44*C.imon)))</f>
        <v>75-19894.3720253935i</v>
      </c>
      <c r="AY44" t="str">
        <f t="shared" si="42"/>
        <v>9013.90177022818-5740.32168338353i</v>
      </c>
      <c r="AZ44">
        <f t="shared" ref="AZ44:AZ75" si="75">20*LOG(IMABS(IMDIV(IMPRODUCT(IMPRODUCT(COMPLEX(-1,0),COMPLEX(GM.imon,0)),AY44),COMPLEX(A.s_typ,0))))</f>
        <v>6.597326291987347</v>
      </c>
      <c r="BA44">
        <f t="shared" ref="BA44:BA75" si="76">180/PI*(IMARGUMENT(IMDIV(IMPRODUCT(IMPRODUCT(COMPLEX(1,0),COMPLEX(GM.imon,0)),AY44),COMPLEX(A.s_typ,0))))</f>
        <v>-32.490207616281893</v>
      </c>
      <c r="BB44">
        <f t="shared" ref="BB44:BB75" si="77">20*LOG(IMABS(IMPRODUCT(A_COMP2CS,IMPRODUCT(IMDIV(COMPLEX(1, 2*PI*F44/Wesr_zero),COMPLEX(1, 2*PI*F44/Wload_pole)),IMDIV(COMPLEX(1, 2*PI*F44/WloadZ),COMPLEX(1, 2*PI*F44/Wesr_zero))))))</f>
        <v>-4.8484072417029624</v>
      </c>
      <c r="BC44">
        <f t="shared" ref="BC44:BC75" si="78">180/PI*(IMARGUMENT(IMPRODUCT(A_COMP2CS,IMPRODUCT(IMDIV(COMPLEX(1, 2*PI*F44/Wesr_zero),COMPLEX(1, 2*PI*F44/Wload_pole)),IMDIV(COMPLEX(1, 2*PI*F44/WloadZ),COMPLEX(1, 2*PI*F44/Wesr_zero))))))</f>
        <v>15.366583393831355</v>
      </c>
      <c r="BD44" s="123">
        <f t="shared" si="43"/>
        <v>-4.8484609138419286</v>
      </c>
      <c r="BE44" s="123">
        <f t="shared" si="44"/>
        <v>15.127045714662861</v>
      </c>
      <c r="BF44">
        <f t="shared" si="45"/>
        <v>39.094865161864817</v>
      </c>
      <c r="BG44">
        <f t="shared" si="46"/>
        <v>-118.06253115524353</v>
      </c>
      <c r="BH44" s="123">
        <f t="shared" si="47"/>
        <v>34.246404248022891</v>
      </c>
      <c r="BI44" s="123">
        <f t="shared" si="48"/>
        <v>-102.93548544058068</v>
      </c>
      <c r="BL44" s="123">
        <f t="shared" si="49"/>
        <v>0</v>
      </c>
      <c r="BM44" s="123">
        <f t="shared" si="50"/>
        <v>0</v>
      </c>
      <c r="BN44" s="123">
        <f t="shared" si="51"/>
        <v>0</v>
      </c>
      <c r="BO44" s="123">
        <f t="shared" si="52"/>
        <v>0</v>
      </c>
      <c r="BP44" s="123">
        <f t="shared" si="53"/>
        <v>0</v>
      </c>
      <c r="BQ44" s="123">
        <f t="shared" si="54"/>
        <v>0</v>
      </c>
      <c r="BR44" s="123">
        <f t="shared" si="55"/>
        <v>0</v>
      </c>
      <c r="BS44" s="123"/>
      <c r="BT44" s="123"/>
      <c r="BU44" s="123">
        <f t="shared" si="56"/>
        <v>0</v>
      </c>
      <c r="BV44" s="123">
        <f t="shared" si="57"/>
        <v>0</v>
      </c>
      <c r="BX44" s="123">
        <f t="shared" si="58"/>
        <v>0</v>
      </c>
      <c r="BY44" s="123"/>
    </row>
    <row r="45" spans="5:77" x14ac:dyDescent="0.2">
      <c r="E45">
        <v>34</v>
      </c>
      <c r="F45">
        <v>85</v>
      </c>
      <c r="G45" s="58">
        <f t="shared" si="59"/>
        <v>-6.059076900909808E-5</v>
      </c>
      <c r="H45" s="58">
        <f t="shared" si="60"/>
        <v>-0.25450867696172125</v>
      </c>
      <c r="I45">
        <f t="shared" si="61"/>
        <v>26.744222145928962</v>
      </c>
      <c r="J45">
        <f t="shared" si="62"/>
        <v>-19.531858164681243</v>
      </c>
      <c r="K45" t="str">
        <f t="shared" si="63"/>
        <v>7142.85710127822-0.544970037644028i</v>
      </c>
      <c r="L45" t="str">
        <f t="shared" si="64"/>
        <v>3300-187241148.474292i</v>
      </c>
      <c r="M45" t="str">
        <f t="shared" si="65"/>
        <v>99999.9705356003-53.4070477446388i</v>
      </c>
      <c r="N45">
        <f t="shared" si="21"/>
        <v>-23.521823915612536</v>
      </c>
      <c r="O45">
        <f t="shared" si="66"/>
        <v>2.4479996820856966E-2</v>
      </c>
      <c r="P45" t="str">
        <f t="shared" si="67"/>
        <v>-5673974.19619066i</v>
      </c>
      <c r="Q45" t="str">
        <f t="shared" si="68"/>
        <v>3300-39838.5422285727i</v>
      </c>
      <c r="R45" t="str">
        <f t="shared" si="22"/>
        <v>3254.14201318406-39562.6545069372i</v>
      </c>
      <c r="S45" t="str">
        <f t="shared" si="69"/>
        <v>98871944.4823321-10560920.5335447i</v>
      </c>
      <c r="T45" t="str">
        <f t="shared" si="23"/>
        <v>3269.41031954296-39558.4134391764i</v>
      </c>
      <c r="U45" t="str">
        <f t="shared" si="24"/>
        <v>0.999999819375033-0.000424999923234389i</v>
      </c>
      <c r="V45">
        <f t="shared" si="70"/>
        <v>31.97434073550469</v>
      </c>
      <c r="W45">
        <f t="shared" si="71"/>
        <v>-85.299744194861873</v>
      </c>
      <c r="X45">
        <f t="shared" si="25"/>
        <v>-7.8444433372225859E-7</v>
      </c>
      <c r="Y45">
        <f t="shared" si="72"/>
        <v>-2.4350709892966046E-2</v>
      </c>
      <c r="AA45" s="123">
        <f t="shared" si="26"/>
        <v>26.744161555159952</v>
      </c>
      <c r="AB45" s="123">
        <f t="shared" si="27"/>
        <v>-19.786366841642963</v>
      </c>
      <c r="AC45">
        <f t="shared" si="28"/>
        <v>8.4525168198921534</v>
      </c>
      <c r="AD45">
        <f t="shared" si="29"/>
        <v>-85.275264198041015</v>
      </c>
      <c r="AE45" s="123">
        <f t="shared" si="30"/>
        <v>35.196678375052102</v>
      </c>
      <c r="AF45" s="123">
        <f t="shared" si="31"/>
        <v>-105.06163103968397</v>
      </c>
      <c r="AI45" s="123">
        <f t="shared" si="32"/>
        <v>0</v>
      </c>
      <c r="AJ45" s="123">
        <f t="shared" si="33"/>
        <v>0</v>
      </c>
      <c r="AK45" s="123">
        <f t="shared" si="34"/>
        <v>0</v>
      </c>
      <c r="AL45" s="123">
        <f t="shared" si="35"/>
        <v>0</v>
      </c>
      <c r="AM45" s="123">
        <f t="shared" si="36"/>
        <v>0</v>
      </c>
      <c r="AN45" s="123">
        <f t="shared" si="37"/>
        <v>0</v>
      </c>
      <c r="AO45" s="123">
        <f t="shared" si="38"/>
        <v>0</v>
      </c>
      <c r="AP45" s="123"/>
      <c r="AQ45" s="123">
        <f t="shared" si="39"/>
        <v>0</v>
      </c>
      <c r="AR45" s="123">
        <f t="shared" si="40"/>
        <v>0</v>
      </c>
      <c r="AS45" s="123">
        <f t="shared" si="41"/>
        <v>0</v>
      </c>
      <c r="AW45" t="str">
        <f t="shared" si="73"/>
        <v>12700</v>
      </c>
      <c r="AX45" t="str">
        <f t="shared" si="74"/>
        <v>75-18724.1148474292i</v>
      </c>
      <c r="AY45" t="str">
        <f t="shared" si="42"/>
        <v>8689.67027252346-5877.87666483995i</v>
      </c>
      <c r="AZ45">
        <f t="shared" si="75"/>
        <v>6.4368872454472461</v>
      </c>
      <c r="BA45">
        <f t="shared" si="76"/>
        <v>-34.075258582946972</v>
      </c>
      <c r="BB45">
        <f t="shared" si="77"/>
        <v>-4.7333979184750286</v>
      </c>
      <c r="BC45">
        <f t="shared" si="78"/>
        <v>15.915649435373359</v>
      </c>
      <c r="BD45" s="123">
        <f t="shared" si="43"/>
        <v>-4.7334585092440378</v>
      </c>
      <c r="BE45" s="123">
        <f t="shared" si="44"/>
        <v>15.661140758411637</v>
      </c>
      <c r="BF45">
        <f t="shared" si="45"/>
        <v>38.411227980951935</v>
      </c>
      <c r="BG45">
        <f t="shared" si="46"/>
        <v>-119.37500277780885</v>
      </c>
      <c r="BH45" s="123">
        <f t="shared" si="47"/>
        <v>33.677769471707897</v>
      </c>
      <c r="BI45" s="123">
        <f t="shared" si="48"/>
        <v>-103.71386201939721</v>
      </c>
      <c r="BL45" s="123">
        <f t="shared" si="49"/>
        <v>0</v>
      </c>
      <c r="BM45" s="123">
        <f t="shared" si="50"/>
        <v>0</v>
      </c>
      <c r="BN45" s="123">
        <f t="shared" si="51"/>
        <v>0</v>
      </c>
      <c r="BO45" s="123">
        <f t="shared" si="52"/>
        <v>0</v>
      </c>
      <c r="BP45" s="123">
        <f t="shared" si="53"/>
        <v>0</v>
      </c>
      <c r="BQ45" s="123">
        <f t="shared" si="54"/>
        <v>0</v>
      </c>
      <c r="BR45" s="123">
        <f t="shared" si="55"/>
        <v>0</v>
      </c>
      <c r="BS45" s="123"/>
      <c r="BT45" s="123"/>
      <c r="BU45" s="123">
        <f t="shared" si="56"/>
        <v>0</v>
      </c>
      <c r="BV45" s="123">
        <f t="shared" si="57"/>
        <v>0</v>
      </c>
      <c r="BX45" s="123">
        <f t="shared" si="58"/>
        <v>0</v>
      </c>
      <c r="BY45" s="123"/>
    </row>
    <row r="46" spans="5:77" x14ac:dyDescent="0.2">
      <c r="E46">
        <v>35</v>
      </c>
      <c r="F46">
        <v>90</v>
      </c>
      <c r="G46" s="58">
        <f t="shared" si="59"/>
        <v>-6.7928698952955319E-5</v>
      </c>
      <c r="H46" s="58">
        <f t="shared" si="60"/>
        <v>-0.26947965527248063</v>
      </c>
      <c r="I46">
        <f t="shared" si="61"/>
        <v>26.684459073644856</v>
      </c>
      <c r="J46">
        <f t="shared" si="62"/>
        <v>-20.583337450375684</v>
      </c>
      <c r="K46" t="str">
        <f t="shared" si="63"/>
        <v>7142.85709624271-0.577027098275125i</v>
      </c>
      <c r="L46" t="str">
        <f t="shared" si="64"/>
        <v>3300-176838862.447942i</v>
      </c>
      <c r="M46" t="str">
        <f t="shared" si="65"/>
        <v>99999.9669672487-56.5486367039971i</v>
      </c>
      <c r="N46">
        <f t="shared" si="21"/>
        <v>-23.521823762351115</v>
      </c>
      <c r="O46">
        <f t="shared" si="66"/>
        <v>2.5919996226183503E-2</v>
      </c>
      <c r="P46" t="str">
        <f t="shared" si="67"/>
        <v>-5358753.4075134i</v>
      </c>
      <c r="Q46" t="str">
        <f t="shared" si="68"/>
        <v>3300-37625.2898825409i</v>
      </c>
      <c r="R46" t="str">
        <f t="shared" si="22"/>
        <v>3254.14188172745-37364.9442231056i</v>
      </c>
      <c r="S46" t="str">
        <f t="shared" si="69"/>
        <v>98737054.1447743-11166895.4185724i</v>
      </c>
      <c r="T46" t="str">
        <f t="shared" si="23"/>
        <v>3267.71984915336-37360.9406631725i</v>
      </c>
      <c r="U46" t="str">
        <f t="shared" si="24"/>
        <v>0.999999797500041-0.000449999908875018i</v>
      </c>
      <c r="V46">
        <f t="shared" si="70"/>
        <v>31.481451695266628</v>
      </c>
      <c r="W46">
        <f t="shared" si="71"/>
        <v>-85.027229753748998</v>
      </c>
      <c r="X46">
        <f t="shared" si="25"/>
        <v>-8.794462377400096E-7</v>
      </c>
      <c r="Y46">
        <f t="shared" si="72"/>
        <v>-2.5783104404550491E-2</v>
      </c>
      <c r="AA46" s="123">
        <f t="shared" si="26"/>
        <v>26.684391144945902</v>
      </c>
      <c r="AB46" s="123">
        <f t="shared" si="27"/>
        <v>-20.852817105648164</v>
      </c>
      <c r="AC46">
        <f t="shared" si="28"/>
        <v>7.9596279329155131</v>
      </c>
      <c r="AD46">
        <f t="shared" si="29"/>
        <v>-85.001309757522819</v>
      </c>
      <c r="AE46" s="123">
        <f t="shared" si="30"/>
        <v>34.644019077861415</v>
      </c>
      <c r="AF46" s="123">
        <f t="shared" si="31"/>
        <v>-105.85412686317099</v>
      </c>
      <c r="AI46" s="123">
        <f t="shared" si="32"/>
        <v>0</v>
      </c>
      <c r="AJ46" s="123">
        <f t="shared" si="33"/>
        <v>0</v>
      </c>
      <c r="AK46" s="123">
        <f t="shared" si="34"/>
        <v>0</v>
      </c>
      <c r="AL46" s="123">
        <f t="shared" si="35"/>
        <v>0</v>
      </c>
      <c r="AM46" s="123">
        <f t="shared" si="36"/>
        <v>0</v>
      </c>
      <c r="AN46" s="123">
        <f t="shared" si="37"/>
        <v>0</v>
      </c>
      <c r="AO46" s="123">
        <f t="shared" si="38"/>
        <v>0</v>
      </c>
      <c r="AP46" s="123"/>
      <c r="AQ46" s="123">
        <f t="shared" si="39"/>
        <v>0</v>
      </c>
      <c r="AR46" s="123">
        <f t="shared" si="40"/>
        <v>0</v>
      </c>
      <c r="AS46" s="123">
        <f t="shared" si="41"/>
        <v>0</v>
      </c>
      <c r="AW46" t="str">
        <f t="shared" si="73"/>
        <v>12700</v>
      </c>
      <c r="AX46" t="str">
        <f t="shared" si="74"/>
        <v>75-17683.8862447942i</v>
      </c>
      <c r="AY46" t="str">
        <f t="shared" si="42"/>
        <v>8370.53755184998-5993.08974044562i</v>
      </c>
      <c r="AZ46">
        <f t="shared" si="75"/>
        <v>6.2729629648295919</v>
      </c>
      <c r="BA46">
        <f t="shared" si="76"/>
        <v>-35.601697357931087</v>
      </c>
      <c r="BB46">
        <f t="shared" si="77"/>
        <v>-4.6177691637272646</v>
      </c>
      <c r="BC46">
        <f t="shared" si="78"/>
        <v>16.415243436301189</v>
      </c>
      <c r="BD46" s="123">
        <f t="shared" si="43"/>
        <v>-4.6178370924262175</v>
      </c>
      <c r="BE46" s="123">
        <f t="shared" si="44"/>
        <v>16.145763781028709</v>
      </c>
      <c r="BF46">
        <f t="shared" si="45"/>
        <v>37.754414660096216</v>
      </c>
      <c r="BG46">
        <f t="shared" si="46"/>
        <v>-120.62892711168008</v>
      </c>
      <c r="BH46" s="123">
        <f t="shared" si="47"/>
        <v>33.136577567670003</v>
      </c>
      <c r="BI46" s="123">
        <f t="shared" si="48"/>
        <v>-104.48316333065138</v>
      </c>
      <c r="BL46" s="123">
        <f t="shared" si="49"/>
        <v>0</v>
      </c>
      <c r="BM46" s="123">
        <f t="shared" si="50"/>
        <v>0</v>
      </c>
      <c r="BN46" s="123">
        <f t="shared" si="51"/>
        <v>0</v>
      </c>
      <c r="BO46" s="123">
        <f t="shared" si="52"/>
        <v>0</v>
      </c>
      <c r="BP46" s="123">
        <f t="shared" si="53"/>
        <v>0</v>
      </c>
      <c r="BQ46" s="123">
        <f t="shared" si="54"/>
        <v>0</v>
      </c>
      <c r="BR46" s="123">
        <f t="shared" si="55"/>
        <v>0</v>
      </c>
      <c r="BS46" s="123"/>
      <c r="BT46" s="123"/>
      <c r="BU46" s="123">
        <f t="shared" si="56"/>
        <v>0</v>
      </c>
      <c r="BV46" s="123">
        <f t="shared" si="57"/>
        <v>0</v>
      </c>
      <c r="BX46" s="123">
        <f t="shared" si="58"/>
        <v>0</v>
      </c>
      <c r="BY46" s="123"/>
    </row>
    <row r="47" spans="5:77" x14ac:dyDescent="0.2">
      <c r="E47">
        <v>36</v>
      </c>
      <c r="F47">
        <v>95</v>
      </c>
      <c r="G47" s="58">
        <f t="shared" si="59"/>
        <v>-7.5685926853195625E-5</v>
      </c>
      <c r="H47" s="58">
        <f t="shared" si="60"/>
        <v>-0.284450612954812</v>
      </c>
      <c r="I47">
        <f t="shared" si="61"/>
        <v>26.622162890439022</v>
      </c>
      <c r="J47">
        <f t="shared" si="62"/>
        <v>-21.619943200997806</v>
      </c>
      <c r="K47" t="str">
        <f t="shared" si="63"/>
        <v>7142.85709091945-0.609084158836487i</v>
      </c>
      <c r="L47" t="str">
        <f t="shared" si="64"/>
        <v>3300-167531553.89805i</v>
      </c>
      <c r="M47" t="str">
        <f t="shared" si="65"/>
        <v>99999.9631949914-59.6902253060223i</v>
      </c>
      <c r="N47">
        <f t="shared" si="21"/>
        <v>-23.521823600332024</v>
      </c>
      <c r="O47">
        <f t="shared" si="66"/>
        <v>2.7359995561624346E-2</v>
      </c>
      <c r="P47" t="str">
        <f t="shared" si="67"/>
        <v>-5076713.75448638i</v>
      </c>
      <c r="Q47" t="str">
        <f t="shared" si="68"/>
        <v>3300-35645.0114676703i</v>
      </c>
      <c r="R47" t="str">
        <f t="shared" si="22"/>
        <v>3254.14174275906-35398.5835011573i</v>
      </c>
      <c r="S47" t="str">
        <f t="shared" si="69"/>
        <v>98594855.4204535-11770302.743142i</v>
      </c>
      <c r="T47" t="str">
        <f t="shared" si="23"/>
        <v>3266.2891760387-35394.792424561i</v>
      </c>
      <c r="U47" t="str">
        <f t="shared" si="24"/>
        <v>0.999999774375051-0.000474999892828149i</v>
      </c>
      <c r="V47">
        <f t="shared" si="70"/>
        <v>31.015613907833206</v>
      </c>
      <c r="W47">
        <f t="shared" si="71"/>
        <v>-84.754817755903829</v>
      </c>
      <c r="X47">
        <f t="shared" si="25"/>
        <v>-9.7987681330860141E-7</v>
      </c>
      <c r="Y47">
        <f t="shared" si="72"/>
        <v>-2.7215498883906099E-2</v>
      </c>
      <c r="AA47" s="123">
        <f t="shared" si="26"/>
        <v>26.622087204512169</v>
      </c>
      <c r="AB47" s="123">
        <f t="shared" si="27"/>
        <v>-21.90439381395262</v>
      </c>
      <c r="AC47">
        <f t="shared" si="28"/>
        <v>7.4937903075011825</v>
      </c>
      <c r="AD47">
        <f t="shared" si="29"/>
        <v>-84.727457760342205</v>
      </c>
      <c r="AE47" s="123">
        <f t="shared" si="30"/>
        <v>34.115877512013355</v>
      </c>
      <c r="AF47" s="123">
        <f t="shared" si="31"/>
        <v>-106.63185157429483</v>
      </c>
      <c r="AI47" s="123">
        <f t="shared" si="32"/>
        <v>0</v>
      </c>
      <c r="AJ47" s="123">
        <f t="shared" si="33"/>
        <v>0</v>
      </c>
      <c r="AK47" s="123">
        <f t="shared" si="34"/>
        <v>0</v>
      </c>
      <c r="AL47" s="123">
        <f t="shared" si="35"/>
        <v>0</v>
      </c>
      <c r="AM47" s="123">
        <f t="shared" si="36"/>
        <v>0</v>
      </c>
      <c r="AN47" s="123">
        <f t="shared" si="37"/>
        <v>0</v>
      </c>
      <c r="AO47" s="123">
        <f t="shared" si="38"/>
        <v>0</v>
      </c>
      <c r="AP47" s="123"/>
      <c r="AQ47" s="123">
        <f t="shared" si="39"/>
        <v>0</v>
      </c>
      <c r="AR47" s="123">
        <f t="shared" si="40"/>
        <v>0</v>
      </c>
      <c r="AS47" s="123">
        <f t="shared" si="41"/>
        <v>0</v>
      </c>
      <c r="AW47" t="str">
        <f t="shared" si="73"/>
        <v>12700</v>
      </c>
      <c r="AX47" t="str">
        <f t="shared" si="74"/>
        <v>75-16753.155389805i</v>
      </c>
      <c r="AY47" t="str">
        <f t="shared" si="42"/>
        <v>8057.90854881917-6087.64613818531i</v>
      </c>
      <c r="AZ47">
        <f t="shared" si="75"/>
        <v>6.1061471172974811</v>
      </c>
      <c r="BA47">
        <f t="shared" si="76"/>
        <v>-37.070584895355928</v>
      </c>
      <c r="BB47">
        <f t="shared" si="77"/>
        <v>-4.5020450032348274</v>
      </c>
      <c r="BC47">
        <f t="shared" si="78"/>
        <v>16.867286938810231</v>
      </c>
      <c r="BD47" s="123">
        <f t="shared" si="43"/>
        <v>-4.5021206891616803</v>
      </c>
      <c r="BE47" s="123">
        <f t="shared" si="44"/>
        <v>16.582836325855418</v>
      </c>
      <c r="BF47">
        <f t="shared" si="45"/>
        <v>37.121761025130688</v>
      </c>
      <c r="BG47">
        <f t="shared" si="46"/>
        <v>-121.82540265125976</v>
      </c>
      <c r="BH47" s="123">
        <f t="shared" si="47"/>
        <v>32.619640335969009</v>
      </c>
      <c r="BI47" s="123">
        <f t="shared" si="48"/>
        <v>-105.24256632540434</v>
      </c>
      <c r="BL47" s="123">
        <f t="shared" si="49"/>
        <v>0</v>
      </c>
      <c r="BM47" s="123">
        <f t="shared" si="50"/>
        <v>0</v>
      </c>
      <c r="BN47" s="123">
        <f t="shared" si="51"/>
        <v>0</v>
      </c>
      <c r="BO47" s="123">
        <f t="shared" si="52"/>
        <v>0</v>
      </c>
      <c r="BP47" s="123">
        <f t="shared" si="53"/>
        <v>0</v>
      </c>
      <c r="BQ47" s="123">
        <f t="shared" si="54"/>
        <v>0</v>
      </c>
      <c r="BR47" s="123">
        <f t="shared" si="55"/>
        <v>0</v>
      </c>
      <c r="BS47" s="123"/>
      <c r="BT47" s="123"/>
      <c r="BU47" s="123">
        <f t="shared" si="56"/>
        <v>0</v>
      </c>
      <c r="BV47" s="123">
        <f t="shared" si="57"/>
        <v>0</v>
      </c>
      <c r="BX47" s="123">
        <f t="shared" si="58"/>
        <v>0</v>
      </c>
      <c r="BY47" s="123"/>
    </row>
    <row r="48" spans="5:77" x14ac:dyDescent="0.2">
      <c r="E48">
        <v>37</v>
      </c>
      <c r="F48">
        <v>100</v>
      </c>
      <c r="G48" s="58">
        <f t="shared" si="59"/>
        <v>-8.3862450661515393E-5</v>
      </c>
      <c r="H48" s="58">
        <f t="shared" si="60"/>
        <v>-0.29942154886276356</v>
      </c>
      <c r="I48">
        <f t="shared" si="61"/>
        <v>26.557452843630976</v>
      </c>
      <c r="J48">
        <f t="shared" si="62"/>
        <v>-22.641292973823784</v>
      </c>
      <c r="K48" t="str">
        <f t="shared" si="63"/>
        <v>7142.85708530845-0.641141219324238i</v>
      </c>
      <c r="L48" t="str">
        <f t="shared" si="64"/>
        <v>3300-159154976.203148i</v>
      </c>
      <c r="M48" t="str">
        <f t="shared" si="65"/>
        <v>99999.9592188288-62.8318135308622i</v>
      </c>
      <c r="N48">
        <f t="shared" si="21"/>
        <v>-23.52182342955507</v>
      </c>
      <c r="O48">
        <f t="shared" si="66"/>
        <v>2.8799994823297141E-2</v>
      </c>
      <c r="P48" t="str">
        <f t="shared" si="67"/>
        <v>-4822878.06676206i</v>
      </c>
      <c r="Q48" t="str">
        <f t="shared" si="68"/>
        <v>3300-33862.7608942868i</v>
      </c>
      <c r="R48" t="str">
        <f t="shared" si="22"/>
        <v>3254.14159627886-33628.8699068066i</v>
      </c>
      <c r="S48" t="str">
        <f t="shared" si="69"/>
        <v>98445412.9966396-12371012.8762776i</v>
      </c>
      <c r="T48" t="str">
        <f t="shared" si="23"/>
        <v>3265.06766233899-33625.2700597567i</v>
      </c>
      <c r="U48" t="str">
        <f t="shared" si="24"/>
        <v>0.999999750000062-0.000499999875000031i</v>
      </c>
      <c r="V48">
        <f t="shared" si="70"/>
        <v>30.574071111684312</v>
      </c>
      <c r="W48">
        <f t="shared" si="71"/>
        <v>-84.482540705805647</v>
      </c>
      <c r="X48">
        <f t="shared" si="25"/>
        <v>-1.0857360731525995E-6</v>
      </c>
      <c r="Y48">
        <f t="shared" si="72"/>
        <v>-2.8647893329242342E-2</v>
      </c>
      <c r="AA48" s="123">
        <f t="shared" si="26"/>
        <v>26.557368981180314</v>
      </c>
      <c r="AB48" s="123">
        <f t="shared" si="27"/>
        <v>-22.940714522686548</v>
      </c>
      <c r="AC48">
        <f t="shared" si="28"/>
        <v>7.0522476821292415</v>
      </c>
      <c r="AD48">
        <f t="shared" si="29"/>
        <v>-84.453740710982345</v>
      </c>
      <c r="AE48" s="123">
        <f t="shared" si="30"/>
        <v>33.609616663309552</v>
      </c>
      <c r="AF48" s="123">
        <f t="shared" si="31"/>
        <v>-107.39445523366889</v>
      </c>
      <c r="AI48" s="123">
        <f t="shared" si="32"/>
        <v>0</v>
      </c>
      <c r="AJ48" s="123">
        <f t="shared" si="33"/>
        <v>0</v>
      </c>
      <c r="AK48" s="123">
        <f t="shared" si="34"/>
        <v>0</v>
      </c>
      <c r="AL48" s="123">
        <f t="shared" si="35"/>
        <v>0</v>
      </c>
      <c r="AM48" s="123">
        <f t="shared" si="36"/>
        <v>0</v>
      </c>
      <c r="AN48" s="123">
        <f t="shared" si="37"/>
        <v>0</v>
      </c>
      <c r="AO48" s="123">
        <f t="shared" si="38"/>
        <v>0</v>
      </c>
      <c r="AP48" s="123"/>
      <c r="AQ48" s="123">
        <f t="shared" si="39"/>
        <v>0</v>
      </c>
      <c r="AR48" s="123">
        <f t="shared" si="40"/>
        <v>0</v>
      </c>
      <c r="AS48" s="123">
        <f t="shared" si="41"/>
        <v>0</v>
      </c>
      <c r="AW48" t="str">
        <f t="shared" si="73"/>
        <v>12700</v>
      </c>
      <c r="AX48" t="str">
        <f t="shared" si="74"/>
        <v>75-15915.4976203148i</v>
      </c>
      <c r="AY48" t="str">
        <f t="shared" si="42"/>
        <v>7752.91357091595-6163.23618705119i</v>
      </c>
      <c r="AZ48">
        <f t="shared" si="75"/>
        <v>5.9369866846777857</v>
      </c>
      <c r="BA48">
        <f t="shared" si="76"/>
        <v>-38.483212638631834</v>
      </c>
      <c r="BB48">
        <f t="shared" si="77"/>
        <v>-4.3866915767406081</v>
      </c>
      <c r="BC48">
        <f t="shared" si="78"/>
        <v>17.273876989739676</v>
      </c>
      <c r="BD48" s="123">
        <f t="shared" si="43"/>
        <v>-4.3867754391912692</v>
      </c>
      <c r="BE48" s="123">
        <f t="shared" si="44"/>
        <v>16.974455440876913</v>
      </c>
      <c r="BF48">
        <f t="shared" si="45"/>
        <v>36.511057796362095</v>
      </c>
      <c r="BG48">
        <f t="shared" si="46"/>
        <v>-122.96575334443747</v>
      </c>
      <c r="BH48" s="123">
        <f t="shared" si="47"/>
        <v>32.124282357170827</v>
      </c>
      <c r="BI48" s="123">
        <f t="shared" si="48"/>
        <v>-105.99129790356056</v>
      </c>
      <c r="BL48" s="123">
        <f t="shared" si="49"/>
        <v>0</v>
      </c>
      <c r="BM48" s="123">
        <f t="shared" si="50"/>
        <v>0</v>
      </c>
      <c r="BN48" s="123">
        <f t="shared" si="51"/>
        <v>0</v>
      </c>
      <c r="BO48" s="123">
        <f t="shared" si="52"/>
        <v>0</v>
      </c>
      <c r="BP48" s="123">
        <f t="shared" si="53"/>
        <v>0</v>
      </c>
      <c r="BQ48" s="123">
        <f t="shared" si="54"/>
        <v>0</v>
      </c>
      <c r="BR48" s="123">
        <f t="shared" si="55"/>
        <v>0</v>
      </c>
      <c r="BS48" s="123"/>
      <c r="BT48" s="123"/>
      <c r="BU48" s="123">
        <f t="shared" si="56"/>
        <v>0</v>
      </c>
      <c r="BV48" s="123">
        <f t="shared" si="57"/>
        <v>0</v>
      </c>
      <c r="BX48" s="123">
        <f t="shared" si="58"/>
        <v>30.02991387111495</v>
      </c>
      <c r="BY48" s="123"/>
    </row>
    <row r="49" spans="5:77" x14ac:dyDescent="0.2">
      <c r="E49">
        <v>38</v>
      </c>
      <c r="F49">
        <v>150</v>
      </c>
      <c r="G49" s="58">
        <f t="shared" si="59"/>
        <v>-1.886884321942022E-4</v>
      </c>
      <c r="H49" s="58">
        <f t="shared" si="60"/>
        <v>-0.44912945825170253</v>
      </c>
      <c r="I49">
        <f t="shared" si="61"/>
        <v>25.803429291410286</v>
      </c>
      <c r="J49">
        <f t="shared" si="62"/>
        <v>-31.965683742147164</v>
      </c>
      <c r="K49" t="str">
        <f t="shared" si="63"/>
        <v>7142.85701337259-0.961711819300937i</v>
      </c>
      <c r="L49" t="str">
        <f t="shared" si="64"/>
        <v>3300-106103317.468765i</v>
      </c>
      <c r="M49" t="str">
        <f t="shared" si="65"/>
        <v>99999.908242413-94.2476706667074i</v>
      </c>
      <c r="N49">
        <f t="shared" si="21"/>
        <v>-23.521821240108025</v>
      </c>
      <c r="O49">
        <f t="shared" si="66"/>
        <v>4.3199982528633205E-2</v>
      </c>
      <c r="P49" t="str">
        <f t="shared" si="67"/>
        <v>-3215252.04450804i</v>
      </c>
      <c r="Q49" t="str">
        <f t="shared" si="68"/>
        <v>3300-22575.1739295245i</v>
      </c>
      <c r="R49" t="str">
        <f t="shared" si="22"/>
        <v>3254.13971832883-22421.0891735385i</v>
      </c>
      <c r="S49" t="str">
        <f t="shared" si="69"/>
        <v>96568854.4214767-18202796.4299806i</v>
      </c>
      <c r="T49" t="str">
        <f t="shared" si="23"/>
        <v>3258.78495051501-22418.7014957289i</v>
      </c>
      <c r="U49" t="str">
        <f t="shared" si="24"/>
        <v>0.999999437500317-0.000749999578125237i</v>
      </c>
      <c r="V49">
        <f t="shared" si="70"/>
        <v>27.103015138456676</v>
      </c>
      <c r="W49">
        <f t="shared" si="71"/>
        <v>-81.772394644657311</v>
      </c>
      <c r="X49">
        <f t="shared" si="25"/>
        <v>-2.4429057691341332E-6</v>
      </c>
      <c r="Y49">
        <f t="shared" si="72"/>
        <v>-4.2971835517631958E-2</v>
      </c>
      <c r="AA49" s="123">
        <f t="shared" si="26"/>
        <v>25.803240602978093</v>
      </c>
      <c r="AB49" s="123">
        <f t="shared" si="27"/>
        <v>-32.414813200398868</v>
      </c>
      <c r="AC49">
        <f t="shared" si="28"/>
        <v>3.5811938983486513</v>
      </c>
      <c r="AD49">
        <f t="shared" si="29"/>
        <v>-81.729194662128677</v>
      </c>
      <c r="AE49" s="123">
        <f t="shared" si="30"/>
        <v>29.384434501326744</v>
      </c>
      <c r="AF49" s="123">
        <f t="shared" si="31"/>
        <v>-114.14400786252754</v>
      </c>
      <c r="AI49" s="123">
        <f t="shared" si="32"/>
        <v>0</v>
      </c>
      <c r="AJ49" s="123">
        <f t="shared" si="33"/>
        <v>0</v>
      </c>
      <c r="AK49" s="123">
        <f t="shared" si="34"/>
        <v>0</v>
      </c>
      <c r="AL49" s="123">
        <f t="shared" si="35"/>
        <v>0</v>
      </c>
      <c r="AM49" s="123">
        <f t="shared" si="36"/>
        <v>0</v>
      </c>
      <c r="AN49" s="123">
        <f t="shared" si="37"/>
        <v>0</v>
      </c>
      <c r="AO49" s="123">
        <f t="shared" si="38"/>
        <v>0</v>
      </c>
      <c r="AP49" s="123"/>
      <c r="AQ49" s="123">
        <f t="shared" si="39"/>
        <v>0</v>
      </c>
      <c r="AR49" s="123">
        <f t="shared" si="40"/>
        <v>0</v>
      </c>
      <c r="AS49" s="123">
        <f t="shared" si="41"/>
        <v>0</v>
      </c>
      <c r="AW49" t="str">
        <f t="shared" si="73"/>
        <v>12700</v>
      </c>
      <c r="AX49" t="str">
        <f t="shared" si="74"/>
        <v>75-10610.3317468765i</v>
      </c>
      <c r="AY49" t="str">
        <f t="shared" si="42"/>
        <v>5228.53177370403-6205.46039273954i</v>
      </c>
      <c r="AZ49">
        <f t="shared" si="75"/>
        <v>4.2058466119564013</v>
      </c>
      <c r="BA49">
        <f t="shared" si="76"/>
        <v>-49.88354310318956</v>
      </c>
      <c r="BB49">
        <f t="shared" si="77"/>
        <v>-3.32037258283516</v>
      </c>
      <c r="BC49">
        <f t="shared" si="78"/>
        <v>19.338731799865588</v>
      </c>
      <c r="BD49" s="123">
        <f t="shared" si="43"/>
        <v>-3.320561271267354</v>
      </c>
      <c r="BE49" s="123">
        <f t="shared" si="44"/>
        <v>18.889602341613884</v>
      </c>
      <c r="BF49">
        <f t="shared" si="45"/>
        <v>31.30886175041308</v>
      </c>
      <c r="BG49">
        <f t="shared" si="46"/>
        <v>-131.65593774784688</v>
      </c>
      <c r="BH49" s="123">
        <f t="shared" si="47"/>
        <v>27.988300479145725</v>
      </c>
      <c r="BI49" s="123">
        <f t="shared" si="48"/>
        <v>-112.766335406233</v>
      </c>
      <c r="BL49" s="123">
        <f t="shared" si="49"/>
        <v>0</v>
      </c>
      <c r="BM49" s="123">
        <f t="shared" si="50"/>
        <v>0</v>
      </c>
      <c r="BN49" s="123">
        <f t="shared" si="51"/>
        <v>0</v>
      </c>
      <c r="BO49" s="123">
        <f t="shared" si="52"/>
        <v>0</v>
      </c>
      <c r="BP49" s="123">
        <f t="shared" si="53"/>
        <v>0</v>
      </c>
      <c r="BQ49" s="123">
        <f t="shared" si="54"/>
        <v>0</v>
      </c>
      <c r="BR49" s="123">
        <f t="shared" si="55"/>
        <v>0</v>
      </c>
      <c r="BS49" s="123"/>
      <c r="BT49" s="123"/>
      <c r="BU49" s="123">
        <f t="shared" si="56"/>
        <v>0</v>
      </c>
      <c r="BV49" s="123">
        <f t="shared" si="57"/>
        <v>0</v>
      </c>
      <c r="BX49" s="123">
        <f t="shared" si="58"/>
        <v>0</v>
      </c>
      <c r="BY49" s="123"/>
    </row>
    <row r="50" spans="5:77" x14ac:dyDescent="0.2">
      <c r="E50">
        <v>39</v>
      </c>
      <c r="F50">
        <v>200</v>
      </c>
      <c r="G50" s="58">
        <f t="shared" si="59"/>
        <v>-3.354409205281743E-4</v>
      </c>
      <c r="H50" s="58">
        <f t="shared" si="60"/>
        <v>-0.59883392976553251</v>
      </c>
      <c r="I50">
        <f t="shared" si="61"/>
        <v>24.928733724459843</v>
      </c>
      <c r="J50">
        <f t="shared" si="62"/>
        <v>-39.660121068352247</v>
      </c>
      <c r="K50" t="str">
        <f t="shared" si="63"/>
        <v>7142.8569126624-1.28228240765514i</v>
      </c>
      <c r="L50" t="str">
        <f t="shared" si="64"/>
        <v>3300-79577488.101574i</v>
      </c>
      <c r="M50" t="str">
        <f t="shared" si="65"/>
        <v>99999.8368755212-125.663468247166i</v>
      </c>
      <c r="N50">
        <f t="shared" si="21"/>
        <v>-23.52181817488411</v>
      </c>
      <c r="O50">
        <f t="shared" si="66"/>
        <v>5.7599958586408394E-2</v>
      </c>
      <c r="P50" t="str">
        <f t="shared" si="67"/>
        <v>-2411439.03338103i</v>
      </c>
      <c r="Q50" t="str">
        <f t="shared" si="68"/>
        <v>3300-16931.3804471434i</v>
      </c>
      <c r="R50" t="str">
        <f t="shared" si="22"/>
        <v>3254.13708920245-16817.7515749252i</v>
      </c>
      <c r="S50" t="str">
        <f t="shared" si="69"/>
        <v>94058738.236205-23639534.3658365i</v>
      </c>
      <c r="T50" t="str">
        <f t="shared" si="23"/>
        <v>3256.58400590404-16815.9725390236i</v>
      </c>
      <c r="U50" t="str">
        <f t="shared" si="24"/>
        <v>0.999999000001-0.000999999000001i</v>
      </c>
      <c r="V50">
        <f t="shared" si="70"/>
        <v>24.674334329394547</v>
      </c>
      <c r="W50">
        <f t="shared" si="71"/>
        <v>-79.097076586519918</v>
      </c>
      <c r="X50">
        <f t="shared" si="25"/>
        <v>-4.3429426478763223E-6</v>
      </c>
      <c r="Y50">
        <f t="shared" si="72"/>
        <v>-5.7295772334547579E-2</v>
      </c>
      <c r="AA50" s="123">
        <f t="shared" si="26"/>
        <v>24.928398283539316</v>
      </c>
      <c r="AB50" s="123">
        <f t="shared" si="27"/>
        <v>-40.25895499811778</v>
      </c>
      <c r="AC50">
        <f t="shared" si="28"/>
        <v>1.1525161545104368</v>
      </c>
      <c r="AD50">
        <f t="shared" si="29"/>
        <v>-79.03947662793351</v>
      </c>
      <c r="AE50" s="123">
        <f t="shared" si="30"/>
        <v>26.080914438049753</v>
      </c>
      <c r="AF50" s="123">
        <f t="shared" si="31"/>
        <v>-119.2984316260513</v>
      </c>
      <c r="AI50" s="123">
        <f t="shared" si="32"/>
        <v>0</v>
      </c>
      <c r="AJ50" s="123">
        <f t="shared" si="33"/>
        <v>0</v>
      </c>
      <c r="AK50" s="123">
        <f t="shared" si="34"/>
        <v>0</v>
      </c>
      <c r="AL50" s="123">
        <f t="shared" si="35"/>
        <v>0</v>
      </c>
      <c r="AM50" s="123">
        <f t="shared" si="36"/>
        <v>237.16661269547845</v>
      </c>
      <c r="AN50" s="123">
        <f t="shared" si="37"/>
        <v>24.025700652276363</v>
      </c>
      <c r="AO50" s="123">
        <f t="shared" si="38"/>
        <v>0</v>
      </c>
      <c r="AP50" s="123"/>
      <c r="AQ50" s="123">
        <f t="shared" si="39"/>
        <v>0</v>
      </c>
      <c r="AR50" s="123">
        <f t="shared" si="40"/>
        <v>0</v>
      </c>
      <c r="AS50" s="123">
        <f t="shared" si="41"/>
        <v>0</v>
      </c>
      <c r="AW50" t="str">
        <f t="shared" si="73"/>
        <v>12700</v>
      </c>
      <c r="AX50" t="str">
        <f t="shared" si="74"/>
        <v>75-7957.7488101574i</v>
      </c>
      <c r="AY50" t="str">
        <f t="shared" si="42"/>
        <v>3604.01899857269-5666.02990147339i</v>
      </c>
      <c r="AZ50">
        <f t="shared" si="75"/>
        <v>2.5616765486456861</v>
      </c>
      <c r="BA50">
        <f t="shared" si="76"/>
        <v>-57.540599122019913</v>
      </c>
      <c r="BB50">
        <f t="shared" si="77"/>
        <v>-2.4944563909803192</v>
      </c>
      <c r="BC50">
        <f t="shared" si="78"/>
        <v>19.161583511995488</v>
      </c>
      <c r="BD50" s="123">
        <f t="shared" si="43"/>
        <v>-2.4947918319008475</v>
      </c>
      <c r="BE50" s="123">
        <f t="shared" si="44"/>
        <v>18.562749582229955</v>
      </c>
      <c r="BF50">
        <f t="shared" si="45"/>
        <v>27.236010878040233</v>
      </c>
      <c r="BG50">
        <f t="shared" si="46"/>
        <v>-136.63767570853983</v>
      </c>
      <c r="BH50" s="123">
        <f t="shared" si="47"/>
        <v>24.741219046139385</v>
      </c>
      <c r="BI50" s="123">
        <f t="shared" si="48"/>
        <v>-118.07492612630988</v>
      </c>
      <c r="BL50" s="123">
        <f t="shared" si="49"/>
        <v>0</v>
      </c>
      <c r="BM50" s="123">
        <f t="shared" si="50"/>
        <v>0</v>
      </c>
      <c r="BN50" s="123">
        <f t="shared" si="51"/>
        <v>0</v>
      </c>
      <c r="BO50" s="123">
        <f t="shared" si="52"/>
        <v>0</v>
      </c>
      <c r="BP50" s="123">
        <f t="shared" si="53"/>
        <v>0</v>
      </c>
      <c r="BQ50" s="123">
        <f t="shared" si="54"/>
        <v>0</v>
      </c>
      <c r="BR50" s="123">
        <f t="shared" si="55"/>
        <v>0</v>
      </c>
      <c r="BS50" s="123"/>
      <c r="BT50" s="123"/>
      <c r="BU50" s="123">
        <f t="shared" si="56"/>
        <v>0</v>
      </c>
      <c r="BV50" s="123">
        <f t="shared" si="57"/>
        <v>0</v>
      </c>
      <c r="BX50" s="123">
        <f t="shared" si="58"/>
        <v>0</v>
      </c>
      <c r="BY50" s="123"/>
    </row>
    <row r="51" spans="5:77" x14ac:dyDescent="0.2">
      <c r="E51">
        <v>40</v>
      </c>
      <c r="F51">
        <v>250</v>
      </c>
      <c r="G51" s="58">
        <f t="shared" si="59"/>
        <v>-5.2411603027563522E-4</v>
      </c>
      <c r="H51" s="58">
        <f t="shared" si="60"/>
        <v>-0.74853381773888805</v>
      </c>
      <c r="I51">
        <f t="shared" si="61"/>
        <v>24.013763706887818</v>
      </c>
      <c r="J51">
        <f t="shared" si="62"/>
        <v>-45.888517888743976</v>
      </c>
      <c r="K51" t="str">
        <f t="shared" si="63"/>
        <v>7142.85678317785-1.60285298051266i</v>
      </c>
      <c r="L51" t="str">
        <f t="shared" si="64"/>
        <v>3300-63661990.4812592i</v>
      </c>
      <c r="M51" t="str">
        <f t="shared" si="65"/>
        <v>99999.7451182435-157.079186420637i</v>
      </c>
      <c r="N51">
        <f t="shared" si="21"/>
        <v>-23.521814233885358</v>
      </c>
      <c r="O51">
        <f t="shared" si="66"/>
        <v>7.1999919114125885E-2</v>
      </c>
      <c r="P51" t="str">
        <f t="shared" si="67"/>
        <v>-1929151.22670482i</v>
      </c>
      <c r="Q51" t="str">
        <f t="shared" si="68"/>
        <v>3300-13545.1043577147i</v>
      </c>
      <c r="R51" t="str">
        <f t="shared" si="22"/>
        <v>3254.13370890333-13456.1912280299i</v>
      </c>
      <c r="S51" t="str">
        <f t="shared" si="69"/>
        <v>91016987.1665936-28593823.8746673i</v>
      </c>
      <c r="T51" t="str">
        <f t="shared" si="23"/>
        <v>3255.56309382846-13454.7798133383i</v>
      </c>
      <c r="U51" t="str">
        <f t="shared" si="24"/>
        <v>0.999998437502441-0.00124999804687805i</v>
      </c>
      <c r="V51">
        <f t="shared" si="70"/>
        <v>22.824623470895908</v>
      </c>
      <c r="W51">
        <f t="shared" si="71"/>
        <v>-76.469586788747478</v>
      </c>
      <c r="X51">
        <f t="shared" si="25"/>
        <v>-6.7858459807662682E-6</v>
      </c>
      <c r="Y51">
        <f t="shared" si="72"/>
        <v>-7.1619701989503917E-2</v>
      </c>
      <c r="AA51" s="123">
        <f t="shared" si="26"/>
        <v>24.013239590857541</v>
      </c>
      <c r="AB51" s="123">
        <f t="shared" si="27"/>
        <v>-46.637051706482865</v>
      </c>
      <c r="AC51">
        <f t="shared" si="28"/>
        <v>-0.69719076298945026</v>
      </c>
      <c r="AD51">
        <f t="shared" si="29"/>
        <v>-76.397586869633358</v>
      </c>
      <c r="AE51" s="123">
        <f t="shared" si="30"/>
        <v>23.316048827868091</v>
      </c>
      <c r="AF51" s="123">
        <f t="shared" si="31"/>
        <v>-123.03463857611622</v>
      </c>
      <c r="AI51" s="123">
        <f t="shared" si="32"/>
        <v>0</v>
      </c>
      <c r="AJ51" s="123">
        <f t="shared" si="33"/>
        <v>0</v>
      </c>
      <c r="AK51" s="123">
        <f t="shared" si="34"/>
        <v>0</v>
      </c>
      <c r="AL51" s="123">
        <f t="shared" si="35"/>
        <v>0</v>
      </c>
      <c r="AM51" s="123">
        <f t="shared" si="36"/>
        <v>0</v>
      </c>
      <c r="AN51" s="123">
        <f t="shared" si="37"/>
        <v>0</v>
      </c>
      <c r="AO51" s="123">
        <f t="shared" si="38"/>
        <v>0</v>
      </c>
      <c r="AP51" s="123"/>
      <c r="AQ51" s="123">
        <f t="shared" si="39"/>
        <v>0</v>
      </c>
      <c r="AR51" s="123">
        <f t="shared" si="40"/>
        <v>0</v>
      </c>
      <c r="AS51" s="123">
        <f t="shared" si="41"/>
        <v>0</v>
      </c>
      <c r="AW51" t="str">
        <f t="shared" si="73"/>
        <v>12700</v>
      </c>
      <c r="AX51" t="str">
        <f t="shared" si="74"/>
        <v>75-6366.19904812592i</v>
      </c>
      <c r="AY51" t="str">
        <f t="shared" si="42"/>
        <v>2586.17926917347-5040.04664653652i</v>
      </c>
      <c r="AZ51">
        <f t="shared" si="75"/>
        <v>1.0843503268102681</v>
      </c>
      <c r="BA51">
        <f t="shared" si="76"/>
        <v>-62.836471912097906</v>
      </c>
      <c r="BB51">
        <f t="shared" si="77"/>
        <v>-1.8971172784019776</v>
      </c>
      <c r="BC51">
        <f t="shared" si="78"/>
        <v>18.074008578101509</v>
      </c>
      <c r="BD51" s="123">
        <f t="shared" si="43"/>
        <v>-1.8976413944322532</v>
      </c>
      <c r="BE51" s="123">
        <f t="shared" si="44"/>
        <v>17.325474760362621</v>
      </c>
      <c r="BF51">
        <f t="shared" si="45"/>
        <v>23.908973797706174</v>
      </c>
      <c r="BG51">
        <f t="shared" si="46"/>
        <v>-139.30605870084537</v>
      </c>
      <c r="BH51" s="123">
        <f t="shared" si="47"/>
        <v>22.011332403273922</v>
      </c>
      <c r="BI51" s="123">
        <f t="shared" si="48"/>
        <v>-121.98058394048275</v>
      </c>
      <c r="BL51" s="123">
        <f t="shared" si="49"/>
        <v>0</v>
      </c>
      <c r="BM51" s="123">
        <f t="shared" si="50"/>
        <v>0</v>
      </c>
      <c r="BN51" s="123">
        <f t="shared" si="51"/>
        <v>0</v>
      </c>
      <c r="BO51" s="123">
        <f t="shared" si="52"/>
        <v>0</v>
      </c>
      <c r="BP51" s="123">
        <f t="shared" si="53"/>
        <v>0</v>
      </c>
      <c r="BQ51" s="123">
        <f t="shared" si="54"/>
        <v>0</v>
      </c>
      <c r="BR51" s="123">
        <f t="shared" si="55"/>
        <v>0</v>
      </c>
      <c r="BS51" s="123"/>
      <c r="BT51" s="123"/>
      <c r="BU51" s="123">
        <f t="shared" si="56"/>
        <v>0</v>
      </c>
      <c r="BV51" s="123">
        <f t="shared" si="57"/>
        <v>0</v>
      </c>
      <c r="BX51" s="123">
        <f t="shared" si="58"/>
        <v>0</v>
      </c>
      <c r="BY51" s="123"/>
    </row>
    <row r="52" spans="5:77" x14ac:dyDescent="0.2">
      <c r="E52">
        <v>41</v>
      </c>
      <c r="F52">
        <v>300</v>
      </c>
      <c r="G52" s="58">
        <f t="shared" si="59"/>
        <v>-7.5470876655235131E-4</v>
      </c>
      <c r="H52" s="58">
        <f t="shared" si="60"/>
        <v>-0.89822797675750043</v>
      </c>
      <c r="I52">
        <f t="shared" si="61"/>
        <v>23.107117064018521</v>
      </c>
      <c r="J52">
        <f t="shared" si="62"/>
        <v>-50.907909291077686</v>
      </c>
      <c r="K52" t="str">
        <f t="shared" si="63"/>
        <v>7142.85662491897-1.92342353399935i</v>
      </c>
      <c r="L52" t="str">
        <f t="shared" si="64"/>
        <v>3300-53051658.7343827i</v>
      </c>
      <c r="M52" t="str">
        <f t="shared" si="65"/>
        <v>99999.6329706958-188.494805335689i</v>
      </c>
      <c r="N52">
        <f t="shared" si="21"/>
        <v>-23.521809417114497</v>
      </c>
      <c r="O52">
        <f t="shared" si="66"/>
        <v>8.6399860229306819E-2</v>
      </c>
      <c r="P52" t="str">
        <f t="shared" si="67"/>
        <v>-1607626.02225402i</v>
      </c>
      <c r="Q52" t="str">
        <f t="shared" si="68"/>
        <v>3300-11287.5869647623i</v>
      </c>
      <c r="R52" t="str">
        <f t="shared" si="22"/>
        <v>3254.12957743617-11215.519504697i</v>
      </c>
      <c r="S52" t="str">
        <f t="shared" si="69"/>
        <v>87556301.8795051-33007941.3041086i</v>
      </c>
      <c r="T52" t="str">
        <f t="shared" si="23"/>
        <v>3255.00620175488-11214.355281076i</v>
      </c>
      <c r="U52" t="str">
        <f t="shared" si="24"/>
        <v>0.999997750005062-0.00149999662500759i</v>
      </c>
      <c r="V52">
        <f t="shared" si="70"/>
        <v>21.34675918293286</v>
      </c>
      <c r="W52">
        <f t="shared" si="71"/>
        <v>-73.900401580777157</v>
      </c>
      <c r="X52">
        <f t="shared" si="25"/>
        <v>-9.7716148536074405E-6</v>
      </c>
      <c r="Y52">
        <f t="shared" si="72"/>
        <v>-8.5943622692021368E-2</v>
      </c>
      <c r="AA52" s="123">
        <f t="shared" si="26"/>
        <v>23.106362355251967</v>
      </c>
      <c r="AB52" s="123">
        <f t="shared" si="27"/>
        <v>-51.80613726783519</v>
      </c>
      <c r="AC52">
        <f t="shared" si="28"/>
        <v>-2.1750502341816365</v>
      </c>
      <c r="AD52">
        <f t="shared" si="29"/>
        <v>-73.81400172054785</v>
      </c>
      <c r="AE52" s="123">
        <f t="shared" si="30"/>
        <v>20.931312121070331</v>
      </c>
      <c r="AF52" s="123">
        <f t="shared" si="31"/>
        <v>-125.62013898838305</v>
      </c>
      <c r="AI52" s="123">
        <f t="shared" si="32"/>
        <v>0</v>
      </c>
      <c r="AJ52" s="123">
        <f t="shared" si="33"/>
        <v>0</v>
      </c>
      <c r="AK52" s="123">
        <f t="shared" si="34"/>
        <v>0</v>
      </c>
      <c r="AL52" s="123">
        <f t="shared" si="35"/>
        <v>0</v>
      </c>
      <c r="AM52" s="123">
        <f t="shared" si="36"/>
        <v>0</v>
      </c>
      <c r="AN52" s="123">
        <f t="shared" si="37"/>
        <v>0</v>
      </c>
      <c r="AO52" s="123">
        <f t="shared" si="38"/>
        <v>0</v>
      </c>
      <c r="AP52" s="123"/>
      <c r="AQ52" s="123">
        <f t="shared" si="39"/>
        <v>0</v>
      </c>
      <c r="AR52" s="123">
        <f t="shared" si="40"/>
        <v>0</v>
      </c>
      <c r="AS52" s="123">
        <f t="shared" si="41"/>
        <v>0</v>
      </c>
      <c r="AW52" t="str">
        <f t="shared" si="73"/>
        <v>12700</v>
      </c>
      <c r="AX52" t="str">
        <f t="shared" si="74"/>
        <v>75-5305.16587343826i</v>
      </c>
      <c r="AY52" t="str">
        <f t="shared" si="42"/>
        <v>1931.62175358397-4471.86166615744i</v>
      </c>
      <c r="AZ52">
        <f t="shared" si="75"/>
        <v>-0.22665891735816535</v>
      </c>
      <c r="BA52">
        <f t="shared" si="76"/>
        <v>-66.638071714367811</v>
      </c>
      <c r="BB52">
        <f t="shared" si="77"/>
        <v>-1.4704174764940758</v>
      </c>
      <c r="BC52">
        <f t="shared" si="78"/>
        <v>16.717052565285254</v>
      </c>
      <c r="BD52" s="123">
        <f t="shared" si="43"/>
        <v>-1.4711721852606281</v>
      </c>
      <c r="BE52" s="123">
        <f t="shared" si="44"/>
        <v>15.818824588527754</v>
      </c>
      <c r="BF52">
        <f t="shared" si="45"/>
        <v>21.120100265574695</v>
      </c>
      <c r="BG52">
        <f t="shared" si="46"/>
        <v>-140.53847329514497</v>
      </c>
      <c r="BH52" s="123">
        <f t="shared" si="47"/>
        <v>19.648928080314068</v>
      </c>
      <c r="BI52" s="123">
        <f t="shared" si="48"/>
        <v>-124.71964870661722</v>
      </c>
      <c r="BL52" s="123">
        <f t="shared" si="49"/>
        <v>0</v>
      </c>
      <c r="BM52" s="123">
        <f t="shared" si="50"/>
        <v>0</v>
      </c>
      <c r="BN52" s="123">
        <f t="shared" si="51"/>
        <v>0</v>
      </c>
      <c r="BO52" s="123">
        <f t="shared" si="52"/>
        <v>0</v>
      </c>
      <c r="BP52" s="123">
        <f t="shared" si="53"/>
        <v>0</v>
      </c>
      <c r="BQ52" s="123">
        <f t="shared" si="54"/>
        <v>0</v>
      </c>
      <c r="BR52" s="123">
        <f t="shared" si="55"/>
        <v>0</v>
      </c>
      <c r="BS52" s="123"/>
      <c r="BT52" s="123"/>
      <c r="BU52" s="123">
        <f t="shared" si="56"/>
        <v>0</v>
      </c>
      <c r="BV52" s="123">
        <f t="shared" si="57"/>
        <v>0</v>
      </c>
      <c r="BX52" s="123">
        <f t="shared" si="58"/>
        <v>0</v>
      </c>
      <c r="BY52" s="123"/>
    </row>
    <row r="53" spans="5:77" x14ac:dyDescent="0.2">
      <c r="E53">
        <v>42</v>
      </c>
      <c r="F53">
        <v>350</v>
      </c>
      <c r="G53" s="58">
        <f t="shared" si="59"/>
        <v>-1.0272130254442074E-3</v>
      </c>
      <c r="H53" s="58">
        <f t="shared" si="60"/>
        <v>-1.0479152617209078</v>
      </c>
      <c r="I53">
        <f t="shared" si="61"/>
        <v>22.234141936461054</v>
      </c>
      <c r="J53">
        <f t="shared" si="62"/>
        <v>-54.96905680335653</v>
      </c>
      <c r="K53" t="str">
        <f t="shared" si="63"/>
        <v>7142.85643788577-2.24399406424104i</v>
      </c>
      <c r="L53" t="str">
        <f t="shared" si="64"/>
        <v>3300-45472850.3437566i</v>
      </c>
      <c r="M53" t="str">
        <f t="shared" si="65"/>
        <v>99999.5004330199-219.910305141097i</v>
      </c>
      <c r="N53">
        <f t="shared" si="21"/>
        <v>-23.521803724574568</v>
      </c>
      <c r="O53">
        <f t="shared" si="66"/>
        <v>0.10079977804949947</v>
      </c>
      <c r="P53" t="str">
        <f t="shared" si="67"/>
        <v>-1377965.16193202i</v>
      </c>
      <c r="Q53" t="str">
        <f t="shared" si="68"/>
        <v>3300-9675.0745412248i</v>
      </c>
      <c r="R53" t="str">
        <f t="shared" si="22"/>
        <v>3254.12469480669-9615.3555638507i</v>
      </c>
      <c r="S53" t="str">
        <f t="shared" si="69"/>
        <v>83791100.4704235-36853243.127271i</v>
      </c>
      <c r="T53" t="str">
        <f t="shared" si="23"/>
        <v>3254.66799347985-9614.36973760404i</v>
      </c>
      <c r="U53" t="str">
        <f t="shared" si="24"/>
        <v>0.999996937509379-0.00174999464064141i</v>
      </c>
      <c r="V53">
        <f t="shared" si="70"/>
        <v>20.129580247231655</v>
      </c>
      <c r="W53">
        <f t="shared" si="71"/>
        <v>-71.39823254008391</v>
      </c>
      <c r="X53">
        <f t="shared" si="25"/>
        <v>-1.3300248140581823E-5</v>
      </c>
      <c r="Y53">
        <f t="shared" si="72"/>
        <v>-0.10026753265162704</v>
      </c>
      <c r="AA53" s="123">
        <f t="shared" si="26"/>
        <v>22.233114723435609</v>
      </c>
      <c r="AB53" s="123">
        <f t="shared" si="27"/>
        <v>-56.016972065077439</v>
      </c>
      <c r="AC53">
        <f t="shared" si="28"/>
        <v>-3.3922234773429132</v>
      </c>
      <c r="AD53">
        <f t="shared" si="29"/>
        <v>-71.297432762034404</v>
      </c>
      <c r="AE53" s="123">
        <f t="shared" si="30"/>
        <v>18.840891246092696</v>
      </c>
      <c r="AF53" s="123">
        <f t="shared" si="31"/>
        <v>-127.31440482711184</v>
      </c>
      <c r="AI53" s="123">
        <f t="shared" si="32"/>
        <v>0</v>
      </c>
      <c r="AJ53" s="123">
        <f t="shared" si="33"/>
        <v>0</v>
      </c>
      <c r="AK53" s="123">
        <f t="shared" si="34"/>
        <v>0</v>
      </c>
      <c r="AL53" s="123">
        <f t="shared" si="35"/>
        <v>0</v>
      </c>
      <c r="AM53" s="123">
        <f t="shared" si="36"/>
        <v>0</v>
      </c>
      <c r="AN53" s="123">
        <f t="shared" si="37"/>
        <v>0</v>
      </c>
      <c r="AO53" s="123">
        <f t="shared" si="38"/>
        <v>0</v>
      </c>
      <c r="AP53" s="123"/>
      <c r="AQ53" s="123">
        <f t="shared" si="39"/>
        <v>0</v>
      </c>
      <c r="AR53" s="123">
        <f t="shared" si="40"/>
        <v>0</v>
      </c>
      <c r="AS53" s="123">
        <f t="shared" si="41"/>
        <v>0</v>
      </c>
      <c r="AW53" t="str">
        <f t="shared" si="73"/>
        <v>12700</v>
      </c>
      <c r="AX53" t="str">
        <f t="shared" si="74"/>
        <v>75-4547.28503437566i</v>
      </c>
      <c r="AY53" t="str">
        <f t="shared" si="42"/>
        <v>1494.33660183842-3988.67674917505i</v>
      </c>
      <c r="AZ53">
        <f t="shared" si="75"/>
        <v>-1.3924086400371969</v>
      </c>
      <c r="BA53">
        <f t="shared" si="76"/>
        <v>-69.461818744214924</v>
      </c>
      <c r="BB53">
        <f t="shared" si="77"/>
        <v>-1.162796765206793</v>
      </c>
      <c r="BC53">
        <f t="shared" si="78"/>
        <v>15.361364004534538</v>
      </c>
      <c r="BD53" s="123">
        <f t="shared" si="43"/>
        <v>-1.1638239782322373</v>
      </c>
      <c r="BE53" s="123">
        <f t="shared" si="44"/>
        <v>14.31344874281363</v>
      </c>
      <c r="BF53">
        <f t="shared" si="45"/>
        <v>18.737171607194458</v>
      </c>
      <c r="BG53">
        <f t="shared" si="46"/>
        <v>-140.86005128429883</v>
      </c>
      <c r="BH53" s="123">
        <f t="shared" si="47"/>
        <v>17.573347628962221</v>
      </c>
      <c r="BI53" s="123">
        <f t="shared" si="48"/>
        <v>-126.5466025414852</v>
      </c>
      <c r="BL53" s="123">
        <f t="shared" si="49"/>
        <v>0</v>
      </c>
      <c r="BM53" s="123">
        <f t="shared" si="50"/>
        <v>0</v>
      </c>
      <c r="BN53" s="123">
        <f t="shared" si="51"/>
        <v>0</v>
      </c>
      <c r="BO53" s="123">
        <f t="shared" si="52"/>
        <v>0</v>
      </c>
      <c r="BP53" s="123">
        <f t="shared" si="53"/>
        <v>0</v>
      </c>
      <c r="BQ53" s="123">
        <f t="shared" si="54"/>
        <v>0</v>
      </c>
      <c r="BR53" s="123">
        <f t="shared" si="55"/>
        <v>0</v>
      </c>
      <c r="BS53" s="123"/>
      <c r="BT53" s="123"/>
      <c r="BU53" s="123">
        <f t="shared" si="56"/>
        <v>0</v>
      </c>
      <c r="BV53" s="123">
        <f t="shared" si="57"/>
        <v>0</v>
      </c>
      <c r="BX53" s="123">
        <f t="shared" si="58"/>
        <v>0</v>
      </c>
      <c r="BY53" s="123"/>
    </row>
    <row r="54" spans="5:77" x14ac:dyDescent="0.2">
      <c r="E54">
        <v>43</v>
      </c>
      <c r="F54">
        <v>400</v>
      </c>
      <c r="G54" s="58">
        <f t="shared" si="59"/>
        <v>-1.3416215945554854E-3</v>
      </c>
      <c r="H54" s="58">
        <f t="shared" si="60"/>
        <v>-1.1975945279051259</v>
      </c>
      <c r="I54">
        <f t="shared" si="61"/>
        <v>21.406019923755416</v>
      </c>
      <c r="J54">
        <f t="shared" si="62"/>
        <v>-58.281503613099204</v>
      </c>
      <c r="K54" t="str">
        <f t="shared" si="63"/>
        <v>7142.85622207821-2.56456456736356i</v>
      </c>
      <c r="L54" t="str">
        <f t="shared" si="64"/>
        <v>3300-39788744.050787i</v>
      </c>
      <c r="M54" t="str">
        <f t="shared" si="65"/>
        <v>99999.3475053834-251.325665985888i</v>
      </c>
      <c r="N54">
        <f t="shared" si="21"/>
        <v>-23.521797156269393</v>
      </c>
      <c r="O54">
        <f t="shared" si="66"/>
        <v>0.11519966869228139</v>
      </c>
      <c r="P54" t="str">
        <f t="shared" si="67"/>
        <v>-1205719.51669051i</v>
      </c>
      <c r="Q54" t="str">
        <f t="shared" si="68"/>
        <v>3300-8465.6902235717i</v>
      </c>
      <c r="R54" t="str">
        <f t="shared" si="22"/>
        <v>3254.11906102163-8415.50898457029i</v>
      </c>
      <c r="S54" t="str">
        <f t="shared" si="69"/>
        <v>79830008.8590708-40126930.7506537i</v>
      </c>
      <c r="T54" t="str">
        <f t="shared" si="23"/>
        <v>3254.44598922735-8414.65856820753i</v>
      </c>
      <c r="U54" t="str">
        <f t="shared" si="24"/>
        <v>0.999996000016-0.001999992000032i</v>
      </c>
      <c r="V54">
        <f t="shared" si="70"/>
        <v>19.106114501611994</v>
      </c>
      <c r="W54">
        <f t="shared" si="71"/>
        <v>-68.970172608004717</v>
      </c>
      <c r="X54">
        <f t="shared" si="25"/>
        <v>-1.7371744533178545E-5</v>
      </c>
      <c r="Y54">
        <f t="shared" si="72"/>
        <v>-0.11459143007785606</v>
      </c>
      <c r="AA54" s="123">
        <f t="shared" si="26"/>
        <v>21.40467830216086</v>
      </c>
      <c r="AB54" s="123">
        <f t="shared" si="27"/>
        <v>-59.479098141004329</v>
      </c>
      <c r="AC54">
        <f t="shared" si="28"/>
        <v>-4.4156826546573988</v>
      </c>
      <c r="AD54">
        <f t="shared" si="29"/>
        <v>-68.854972939312432</v>
      </c>
      <c r="AE54" s="123">
        <f t="shared" si="30"/>
        <v>16.988995647503462</v>
      </c>
      <c r="AF54" s="123">
        <f t="shared" si="31"/>
        <v>-128.33407108031676</v>
      </c>
      <c r="AI54" s="123">
        <f t="shared" si="32"/>
        <v>0</v>
      </c>
      <c r="AJ54" s="123">
        <f t="shared" si="33"/>
        <v>0</v>
      </c>
      <c r="AK54" s="123">
        <f t="shared" si="34"/>
        <v>0</v>
      </c>
      <c r="AL54" s="123">
        <f t="shared" si="35"/>
        <v>0</v>
      </c>
      <c r="AM54" s="123">
        <f t="shared" si="36"/>
        <v>0</v>
      </c>
      <c r="AN54" s="123">
        <f t="shared" si="37"/>
        <v>0</v>
      </c>
      <c r="AO54" s="123">
        <f t="shared" si="38"/>
        <v>0</v>
      </c>
      <c r="AP54" s="123"/>
      <c r="AQ54" s="123">
        <f t="shared" si="39"/>
        <v>0</v>
      </c>
      <c r="AR54" s="123">
        <f t="shared" si="40"/>
        <v>0</v>
      </c>
      <c r="AS54" s="123">
        <f t="shared" si="41"/>
        <v>0</v>
      </c>
      <c r="AW54" t="str">
        <f t="shared" si="73"/>
        <v>12700</v>
      </c>
      <c r="AX54" t="str">
        <f t="shared" si="74"/>
        <v>75-3978.8744050787i</v>
      </c>
      <c r="AY54" t="str">
        <f t="shared" si="42"/>
        <v>1191.00169639874-3584.56820182335i</v>
      </c>
      <c r="AZ54">
        <f t="shared" si="75"/>
        <v>-2.4358865023721537</v>
      </c>
      <c r="BA54">
        <f t="shared" si="76"/>
        <v>-71.620531429728814</v>
      </c>
      <c r="BB54">
        <f t="shared" si="77"/>
        <v>-0.93718570724093853</v>
      </c>
      <c r="BC54">
        <f t="shared" si="78"/>
        <v>14.108198966126645</v>
      </c>
      <c r="BD54" s="123">
        <f t="shared" si="43"/>
        <v>-0.93852732883549406</v>
      </c>
      <c r="BE54" s="123">
        <f t="shared" si="44"/>
        <v>12.910604438221519</v>
      </c>
      <c r="BF54">
        <f t="shared" si="45"/>
        <v>16.670227999239842</v>
      </c>
      <c r="BG54">
        <f t="shared" si="46"/>
        <v>-140.59070403773353</v>
      </c>
      <c r="BH54" s="123">
        <f t="shared" si="47"/>
        <v>15.731700670404347</v>
      </c>
      <c r="BI54" s="123">
        <f t="shared" si="48"/>
        <v>-127.680099599512</v>
      </c>
      <c r="BL54" s="123">
        <f t="shared" si="49"/>
        <v>0</v>
      </c>
      <c r="BM54" s="123">
        <f t="shared" si="50"/>
        <v>0</v>
      </c>
      <c r="BN54" s="123">
        <f t="shared" si="51"/>
        <v>0</v>
      </c>
      <c r="BO54" s="123">
        <f t="shared" si="52"/>
        <v>0</v>
      </c>
      <c r="BP54" s="123">
        <f t="shared" si="53"/>
        <v>0</v>
      </c>
      <c r="BQ54" s="123">
        <f t="shared" si="54"/>
        <v>0</v>
      </c>
      <c r="BR54" s="123">
        <f t="shared" si="55"/>
        <v>0</v>
      </c>
      <c r="BS54" s="123"/>
      <c r="BT54" s="123"/>
      <c r="BU54" s="123">
        <f t="shared" si="56"/>
        <v>0</v>
      </c>
      <c r="BV54" s="123">
        <f t="shared" si="57"/>
        <v>0</v>
      </c>
      <c r="BX54" s="123">
        <f t="shared" si="58"/>
        <v>0</v>
      </c>
      <c r="BY54" s="123"/>
    </row>
    <row r="55" spans="5:77" x14ac:dyDescent="0.2">
      <c r="E55">
        <v>44</v>
      </c>
      <c r="F55">
        <v>450</v>
      </c>
      <c r="G55" s="58">
        <f t="shared" si="59"/>
        <v>-1.6979261536660057E-3</v>
      </c>
      <c r="H55" s="58">
        <f t="shared" si="60"/>
        <v>-1.3472646310252603</v>
      </c>
      <c r="I55">
        <f t="shared" si="61"/>
        <v>20.626116556853127</v>
      </c>
      <c r="J55">
        <f t="shared" si="62"/>
        <v>-61.009487451920869</v>
      </c>
      <c r="K55" t="str">
        <f t="shared" si="63"/>
        <v>7142.85597749634-2.88513503949275i</v>
      </c>
      <c r="L55" t="str">
        <f t="shared" si="64"/>
        <v>3300-35367772.4895884i</v>
      </c>
      <c r="M55" t="str">
        <f t="shared" si="65"/>
        <v>99999.1741879793-282.740868019383i</v>
      </c>
      <c r="N55">
        <f t="shared" si="21"/>
        <v>-23.521789712203251</v>
      </c>
      <c r="O55">
        <f t="shared" si="66"/>
        <v>0.12959952827526378</v>
      </c>
      <c r="P55" t="str">
        <f t="shared" si="67"/>
        <v>-1071750.68150268i</v>
      </c>
      <c r="Q55" t="str">
        <f t="shared" si="68"/>
        <v>3300-7525.05797650818i</v>
      </c>
      <c r="R55" t="str">
        <f t="shared" si="22"/>
        <v>3254.11267608881-7482.540643782i</v>
      </c>
      <c r="S55" t="str">
        <f t="shared" si="69"/>
        <v>75770488.3379985-42847192.7997749i</v>
      </c>
      <c r="T55" t="str">
        <f t="shared" si="23"/>
        <v>3254.29123142647-7481.79698258856i</v>
      </c>
      <c r="U55" t="str">
        <f t="shared" si="24"/>
        <v>0.999994937525629-0.00224998860943266i</v>
      </c>
      <c r="V55">
        <f t="shared" si="70"/>
        <v>18.232613369048451</v>
      </c>
      <c r="W55">
        <f t="shared" si="71"/>
        <v>-66.621759342704252</v>
      </c>
      <c r="X55">
        <f t="shared" si="25"/>
        <v>-2.1986102492940332E-5</v>
      </c>
      <c r="Y55">
        <f t="shared" si="72"/>
        <v>-0.12891531318025223</v>
      </c>
      <c r="AA55" s="123">
        <f t="shared" si="26"/>
        <v>20.624418630699459</v>
      </c>
      <c r="AB55" s="123">
        <f t="shared" si="27"/>
        <v>-62.35675208294613</v>
      </c>
      <c r="AC55">
        <f t="shared" si="28"/>
        <v>-5.2891763431548</v>
      </c>
      <c r="AD55">
        <f t="shared" si="29"/>
        <v>-66.492159814428987</v>
      </c>
      <c r="AE55" s="123">
        <f t="shared" si="30"/>
        <v>15.335242287544659</v>
      </c>
      <c r="AF55" s="123">
        <f t="shared" si="31"/>
        <v>-128.8489118973751</v>
      </c>
      <c r="AI55" s="123">
        <f t="shared" si="32"/>
        <v>0</v>
      </c>
      <c r="AJ55" s="123">
        <f t="shared" si="33"/>
        <v>0</v>
      </c>
      <c r="AK55" s="123">
        <f t="shared" si="34"/>
        <v>0</v>
      </c>
      <c r="AL55" s="123">
        <f t="shared" si="35"/>
        <v>0</v>
      </c>
      <c r="AM55" s="123">
        <f t="shared" si="36"/>
        <v>0</v>
      </c>
      <c r="AN55" s="123">
        <f t="shared" si="37"/>
        <v>0</v>
      </c>
      <c r="AO55" s="123">
        <f t="shared" si="38"/>
        <v>0</v>
      </c>
      <c r="AP55" s="123"/>
      <c r="AQ55" s="123">
        <f t="shared" si="39"/>
        <v>0</v>
      </c>
      <c r="AR55" s="123">
        <f t="shared" si="40"/>
        <v>0</v>
      </c>
      <c r="AS55" s="123">
        <f t="shared" si="41"/>
        <v>0</v>
      </c>
      <c r="AW55" t="str">
        <f t="shared" si="73"/>
        <v>12700</v>
      </c>
      <c r="AX55" t="str">
        <f t="shared" si="74"/>
        <v>75-3536.77724895884i</v>
      </c>
      <c r="AY55" t="str">
        <f t="shared" si="42"/>
        <v>973.367643962212-3246.53514862928i</v>
      </c>
      <c r="AZ55">
        <f t="shared" si="75"/>
        <v>-3.3771694009117619</v>
      </c>
      <c r="BA55">
        <f t="shared" si="76"/>
        <v>-73.310371206295514</v>
      </c>
      <c r="BB55">
        <f t="shared" si="77"/>
        <v>-0.76847727714827718</v>
      </c>
      <c r="BC55">
        <f t="shared" si="78"/>
        <v>12.986159938557337</v>
      </c>
      <c r="BD55" s="123">
        <f t="shared" si="43"/>
        <v>-0.77017520330194322</v>
      </c>
      <c r="BE55" s="123">
        <f t="shared" si="44"/>
        <v>11.638895307532078</v>
      </c>
      <c r="BF55">
        <f t="shared" si="45"/>
        <v>14.85544396813669</v>
      </c>
      <c r="BG55">
        <f t="shared" si="46"/>
        <v>-139.93213054899977</v>
      </c>
      <c r="BH55" s="123">
        <f t="shared" si="47"/>
        <v>14.085268764834748</v>
      </c>
      <c r="BI55" s="123">
        <f t="shared" si="48"/>
        <v>-128.2932352414677</v>
      </c>
      <c r="BL55" s="123">
        <f t="shared" si="49"/>
        <v>0</v>
      </c>
      <c r="BM55" s="123">
        <f t="shared" si="50"/>
        <v>0</v>
      </c>
      <c r="BN55" s="123">
        <f t="shared" si="51"/>
        <v>0</v>
      </c>
      <c r="BO55" s="123">
        <f t="shared" si="52"/>
        <v>0</v>
      </c>
      <c r="BP55" s="123">
        <f t="shared" si="53"/>
        <v>0</v>
      </c>
      <c r="BQ55" s="123">
        <f t="shared" si="54"/>
        <v>0</v>
      </c>
      <c r="BR55" s="123">
        <f t="shared" si="55"/>
        <v>0</v>
      </c>
      <c r="BS55" s="123"/>
      <c r="BT55" s="123"/>
      <c r="BU55" s="123">
        <f t="shared" si="56"/>
        <v>0</v>
      </c>
      <c r="BV55" s="123">
        <f t="shared" si="57"/>
        <v>0</v>
      </c>
      <c r="BX55" s="123">
        <f t="shared" si="58"/>
        <v>0</v>
      </c>
      <c r="BY55" s="123"/>
    </row>
    <row r="56" spans="5:77" x14ac:dyDescent="0.2">
      <c r="E56">
        <v>45</v>
      </c>
      <c r="F56">
        <v>500</v>
      </c>
      <c r="G56" s="58">
        <f t="shared" si="59"/>
        <v>-2.0961172755242967E-3</v>
      </c>
      <c r="H56" s="58">
        <f t="shared" si="60"/>
        <v>-1.4969244272980256</v>
      </c>
      <c r="I56">
        <f t="shared" si="61"/>
        <v>19.89378474231486</v>
      </c>
      <c r="J56">
        <f t="shared" si="62"/>
        <v>-63.278485039747061</v>
      </c>
      <c r="K56" t="str">
        <f t="shared" si="63"/>
        <v>7142.85570414016-3.20570547675444i</v>
      </c>
      <c r="L56" t="str">
        <f t="shared" si="64"/>
        <v>3300-31830995.2406296i</v>
      </c>
      <c r="M56" t="str">
        <f t="shared" si="65"/>
        <v>99998.9804810269-314.155891391233i</v>
      </c>
      <c r="N56">
        <f t="shared" si="21"/>
        <v>-23.521781392381016</v>
      </c>
      <c r="O56">
        <f t="shared" si="66"/>
        <v>0.14399935291609695</v>
      </c>
      <c r="P56" t="str">
        <f t="shared" si="67"/>
        <v>-964575.613352412i</v>
      </c>
      <c r="Q56" t="str">
        <f t="shared" si="68"/>
        <v>3300-6772.55217885736i</v>
      </c>
      <c r="R56" t="str">
        <f t="shared" si="22"/>
        <v>3254.1055400171-6736.38706733519i</v>
      </c>
      <c r="S56" t="str">
        <f t="shared" si="69"/>
        <v>71695688.4761569-45047720.2702373i</v>
      </c>
      <c r="T56" t="str">
        <f t="shared" si="23"/>
        <v>3254.1779345743-6735.73010469817i</v>
      </c>
      <c r="U56" t="str">
        <f t="shared" si="24"/>
        <v>0.999993750039062-0.00249998437509766i</v>
      </c>
      <c r="V56">
        <f t="shared" si="70"/>
        <v>17.478729276776637</v>
      </c>
      <c r="W56">
        <f t="shared" si="71"/>
        <v>-64.357052460133957</v>
      </c>
      <c r="X56">
        <f t="shared" si="25"/>
        <v>-2.7143320298713954E-5</v>
      </c>
      <c r="Y56">
        <f t="shared" si="72"/>
        <v>-0.14323918016837212</v>
      </c>
      <c r="AA56" s="123">
        <f t="shared" si="26"/>
        <v>19.891688625039336</v>
      </c>
      <c r="AB56" s="123">
        <f t="shared" si="27"/>
        <v>-64.77540946704508</v>
      </c>
      <c r="AC56">
        <f t="shared" si="28"/>
        <v>-6.0430521156043788</v>
      </c>
      <c r="AD56">
        <f t="shared" si="29"/>
        <v>-64.21305310721786</v>
      </c>
      <c r="AE56" s="123">
        <f t="shared" si="30"/>
        <v>13.848636509434957</v>
      </c>
      <c r="AF56" s="123">
        <f t="shared" si="31"/>
        <v>-128.98846257426294</v>
      </c>
      <c r="AI56" s="123">
        <f t="shared" si="32"/>
        <v>0</v>
      </c>
      <c r="AJ56" s="123">
        <f t="shared" si="33"/>
        <v>0</v>
      </c>
      <c r="AK56" s="123">
        <f t="shared" si="34"/>
        <v>0</v>
      </c>
      <c r="AL56" s="123">
        <f t="shared" si="35"/>
        <v>0</v>
      </c>
      <c r="AM56" s="123">
        <f t="shared" si="36"/>
        <v>0</v>
      </c>
      <c r="AN56" s="123">
        <f t="shared" si="37"/>
        <v>0</v>
      </c>
      <c r="AO56" s="123">
        <f t="shared" si="38"/>
        <v>0</v>
      </c>
      <c r="AP56" s="123"/>
      <c r="AQ56" s="123">
        <f t="shared" si="39"/>
        <v>0</v>
      </c>
      <c r="AR56" s="123">
        <f t="shared" si="40"/>
        <v>0</v>
      </c>
      <c r="AS56" s="123">
        <f t="shared" si="41"/>
        <v>0</v>
      </c>
      <c r="AW56" t="str">
        <f t="shared" si="73"/>
        <v>12700</v>
      </c>
      <c r="AX56" t="str">
        <f t="shared" si="74"/>
        <v>75-3183.09952406296i</v>
      </c>
      <c r="AY56" t="str">
        <f t="shared" si="42"/>
        <v>812.576655210879-2961.94533002999i</v>
      </c>
      <c r="AZ56">
        <f t="shared" si="75"/>
        <v>-4.2327171452362586</v>
      </c>
      <c r="BA56">
        <f t="shared" si="76"/>
        <v>-74.658988361349941</v>
      </c>
      <c r="BB56">
        <f t="shared" si="77"/>
        <v>-0.63986904979143622</v>
      </c>
      <c r="BC56">
        <f t="shared" si="78"/>
        <v>11.994346454458013</v>
      </c>
      <c r="BD56" s="123">
        <f t="shared" si="43"/>
        <v>-0.6419651670669605</v>
      </c>
      <c r="BE56" s="123">
        <f t="shared" si="44"/>
        <v>10.497422027159987</v>
      </c>
      <c r="BF56">
        <f t="shared" si="45"/>
        <v>13.246012131540379</v>
      </c>
      <c r="BG56">
        <f t="shared" si="46"/>
        <v>-139.0160408214839</v>
      </c>
      <c r="BH56" s="123">
        <f t="shared" si="47"/>
        <v>12.604046964473419</v>
      </c>
      <c r="BI56" s="123">
        <f t="shared" si="48"/>
        <v>-128.51861879432391</v>
      </c>
      <c r="BL56" s="123">
        <f t="shared" si="49"/>
        <v>0</v>
      </c>
      <c r="BM56" s="123">
        <f t="shared" si="50"/>
        <v>0</v>
      </c>
      <c r="BN56" s="123">
        <f t="shared" si="51"/>
        <v>0</v>
      </c>
      <c r="BO56" s="123">
        <f t="shared" si="52"/>
        <v>0</v>
      </c>
      <c r="BP56" s="123">
        <f t="shared" si="53"/>
        <v>0</v>
      </c>
      <c r="BQ56" s="123">
        <f t="shared" si="54"/>
        <v>0</v>
      </c>
      <c r="BR56" s="123">
        <f t="shared" si="55"/>
        <v>0</v>
      </c>
      <c r="BS56" s="123"/>
      <c r="BT56" s="123"/>
      <c r="BU56" s="123">
        <f t="shared" si="56"/>
        <v>0</v>
      </c>
      <c r="BV56" s="123">
        <f t="shared" si="57"/>
        <v>0</v>
      </c>
      <c r="BX56" s="123">
        <f t="shared" si="58"/>
        <v>0</v>
      </c>
      <c r="BY56" s="123"/>
    </row>
    <row r="57" spans="5:77" x14ac:dyDescent="0.2">
      <c r="E57">
        <v>46</v>
      </c>
      <c r="F57">
        <v>550</v>
      </c>
      <c r="G57" s="58">
        <f t="shared" si="59"/>
        <v>-2.5361844266892104E-3</v>
      </c>
      <c r="H57" s="58">
        <f t="shared" si="60"/>
        <v>-1.6465727735042845</v>
      </c>
      <c r="I57">
        <f t="shared" si="61"/>
        <v>19.206482331147644</v>
      </c>
      <c r="J57">
        <f t="shared" si="62"/>
        <v>-65.183688183748927</v>
      </c>
      <c r="K57" t="str">
        <f t="shared" si="63"/>
        <v>7142.85540200967-3.52627587527448i</v>
      </c>
      <c r="L57" t="str">
        <f t="shared" si="64"/>
        <v>3300-28937268.4005724i</v>
      </c>
      <c r="M57" t="str">
        <f t="shared" si="65"/>
        <v>99998.7663847708-345.57071625147i</v>
      </c>
      <c r="N57">
        <f t="shared" si="21"/>
        <v>-23.521772196808215</v>
      </c>
      <c r="O57">
        <f t="shared" si="66"/>
        <v>0.15839913873247932</v>
      </c>
      <c r="P57" t="str">
        <f t="shared" si="67"/>
        <v>-876886.921229465i</v>
      </c>
      <c r="Q57" t="str">
        <f t="shared" si="68"/>
        <v>3300-6156.86561714305i</v>
      </c>
      <c r="R57" t="str">
        <f t="shared" si="22"/>
        <v>3254.09765281635-6126.09877140114i</v>
      </c>
      <c r="S57" t="str">
        <f t="shared" si="69"/>
        <v>67673254.248958-46772385.9157483i</v>
      </c>
      <c r="T57" t="str">
        <f t="shared" si="23"/>
        <v>3254.09146940575-6125.51392153986i</v>
      </c>
      <c r="U57" t="str">
        <f t="shared" si="24"/>
        <v>0.999992437557191-0.00274997920328228i</v>
      </c>
      <c r="V57">
        <f t="shared" si="70"/>
        <v>16.822413892959609</v>
      </c>
      <c r="W57">
        <f t="shared" si="71"/>
        <v>-62.178742044322213</v>
      </c>
      <c r="X57">
        <f t="shared" si="25"/>
        <v>-3.2843396005182155E-5</v>
      </c>
      <c r="Y57">
        <f t="shared" si="72"/>
        <v>-0.15756302925178148</v>
      </c>
      <c r="AA57" s="123">
        <f t="shared" si="26"/>
        <v>19.203946146720956</v>
      </c>
      <c r="AB57" s="123">
        <f t="shared" si="27"/>
        <v>-66.830260957253216</v>
      </c>
      <c r="AC57">
        <f t="shared" si="28"/>
        <v>-6.6993583038486051</v>
      </c>
      <c r="AD57">
        <f t="shared" si="29"/>
        <v>-62.020342905589736</v>
      </c>
      <c r="AE57" s="123">
        <f t="shared" si="30"/>
        <v>12.50458784287235</v>
      </c>
      <c r="AF57" s="123">
        <f t="shared" si="31"/>
        <v>-128.85060386284295</v>
      </c>
      <c r="AI57" s="123">
        <f t="shared" si="32"/>
        <v>0</v>
      </c>
      <c r="AJ57" s="123">
        <f t="shared" si="33"/>
        <v>0</v>
      </c>
      <c r="AK57" s="123">
        <f t="shared" si="34"/>
        <v>0</v>
      </c>
      <c r="AL57" s="123">
        <f t="shared" si="35"/>
        <v>0</v>
      </c>
      <c r="AM57" s="123">
        <f t="shared" si="36"/>
        <v>0</v>
      </c>
      <c r="AN57" s="123">
        <f t="shared" si="37"/>
        <v>0</v>
      </c>
      <c r="AO57" s="123">
        <f t="shared" si="38"/>
        <v>0</v>
      </c>
      <c r="AP57" s="123"/>
      <c r="AQ57" s="123">
        <f t="shared" si="39"/>
        <v>0</v>
      </c>
      <c r="AR57" s="123">
        <f t="shared" si="40"/>
        <v>0</v>
      </c>
      <c r="AS57" s="123">
        <f t="shared" si="41"/>
        <v>0</v>
      </c>
      <c r="AW57" t="str">
        <f t="shared" si="73"/>
        <v>12700</v>
      </c>
      <c r="AX57" t="str">
        <f t="shared" si="74"/>
        <v>75-2893.72684005724i</v>
      </c>
      <c r="AY57" t="str">
        <f t="shared" si="42"/>
        <v>690.742262177305-2720.27486850119i</v>
      </c>
      <c r="AZ57">
        <f t="shared" si="75"/>
        <v>-5.0157804767012149</v>
      </c>
      <c r="BA57">
        <f t="shared" si="76"/>
        <v>-75.752381115631579</v>
      </c>
      <c r="BB57">
        <f t="shared" si="77"/>
        <v>-0.54004154301705476</v>
      </c>
      <c r="BC57">
        <f t="shared" si="78"/>
        <v>11.121056953143004</v>
      </c>
      <c r="BD57" s="123">
        <f t="shared" si="43"/>
        <v>-0.542577727443744</v>
      </c>
      <c r="BE57" s="123">
        <f t="shared" si="44"/>
        <v>9.4744841796387185</v>
      </c>
      <c r="BF57">
        <f t="shared" si="45"/>
        <v>11.806633416258395</v>
      </c>
      <c r="BG57">
        <f t="shared" si="46"/>
        <v>-137.93112315995378</v>
      </c>
      <c r="BH57" s="123">
        <f t="shared" si="47"/>
        <v>11.264055688814651</v>
      </c>
      <c r="BI57" s="123">
        <f t="shared" si="48"/>
        <v>-128.45663898031506</v>
      </c>
      <c r="BL57" s="123">
        <f t="shared" si="49"/>
        <v>0</v>
      </c>
      <c r="BM57" s="123">
        <f t="shared" si="50"/>
        <v>0</v>
      </c>
      <c r="BN57" s="123">
        <f t="shared" si="51"/>
        <v>0</v>
      </c>
      <c r="BO57" s="123">
        <f t="shared" si="52"/>
        <v>0</v>
      </c>
      <c r="BP57" s="123">
        <f t="shared" si="53"/>
        <v>0</v>
      </c>
      <c r="BQ57" s="123">
        <f t="shared" si="54"/>
        <v>0</v>
      </c>
      <c r="BR57" s="123">
        <f t="shared" si="55"/>
        <v>0</v>
      </c>
      <c r="BS57" s="123"/>
      <c r="BT57" s="123"/>
      <c r="BU57" s="123">
        <f t="shared" si="56"/>
        <v>0</v>
      </c>
      <c r="BV57" s="123">
        <f t="shared" si="57"/>
        <v>0</v>
      </c>
      <c r="BX57" s="123">
        <f t="shared" si="58"/>
        <v>0</v>
      </c>
      <c r="BY57" s="123"/>
    </row>
    <row r="58" spans="5:77" x14ac:dyDescent="0.2">
      <c r="E58">
        <v>47</v>
      </c>
      <c r="F58">
        <v>600</v>
      </c>
      <c r="G58" s="58">
        <f t="shared" si="59"/>
        <v>-3.0181159685070003E-3</v>
      </c>
      <c r="H58" s="58">
        <f t="shared" si="60"/>
        <v>-1.796208527051437</v>
      </c>
      <c r="I58">
        <f t="shared" si="61"/>
        <v>18.560902722664789</v>
      </c>
      <c r="J58">
        <f t="shared" si="62"/>
        <v>-66.797481832564188</v>
      </c>
      <c r="K58" t="str">
        <f t="shared" si="63"/>
        <v>7142.85507110491-3.84684623117872i</v>
      </c>
      <c r="L58" t="str">
        <f t="shared" si="64"/>
        <v>3300-26525829.3671913i</v>
      </c>
      <c r="M58" t="str">
        <f t="shared" si="65"/>
        <v>99998.5318994818-376.985322750544i</v>
      </c>
      <c r="N58">
        <f t="shared" si="21"/>
        <v>-23.521762125490984</v>
      </c>
      <c r="O58">
        <f t="shared" si="66"/>
        <v>0.17279888184215123</v>
      </c>
      <c r="P58" t="str">
        <f t="shared" si="67"/>
        <v>-803813.01112701i</v>
      </c>
      <c r="Q58" t="str">
        <f t="shared" si="68"/>
        <v>3300-5643.79348238113i</v>
      </c>
      <c r="R58" t="str">
        <f t="shared" si="22"/>
        <v>3254.08901449749-5617.70943317221i</v>
      </c>
      <c r="S58" t="str">
        <f t="shared" si="69"/>
        <v>63755628.1675281-48070601.1374593i</v>
      </c>
      <c r="T58" t="str">
        <f t="shared" si="23"/>
        <v>3254.02303472006-5617.18575719632i</v>
      </c>
      <c r="U58" t="str">
        <f t="shared" si="24"/>
        <v>0.999991000080999-0.002999973000243i</v>
      </c>
      <c r="V58">
        <f t="shared" si="70"/>
        <v>16.247054809591365</v>
      </c>
      <c r="W58">
        <f t="shared" si="71"/>
        <v>-60.088283345280338</v>
      </c>
      <c r="X58">
        <f t="shared" si="25"/>
        <v>-3.9086327486256407E-5</v>
      </c>
      <c r="Y58">
        <f t="shared" si="72"/>
        <v>-0.17188685864006162</v>
      </c>
      <c r="AA58" s="123">
        <f t="shared" si="26"/>
        <v>18.55788460669628</v>
      </c>
      <c r="AB58" s="123">
        <f t="shared" si="27"/>
        <v>-68.593690359615621</v>
      </c>
      <c r="AC58">
        <f t="shared" si="28"/>
        <v>-7.2747073158996187</v>
      </c>
      <c r="AD58">
        <f t="shared" si="29"/>
        <v>-59.91548446343819</v>
      </c>
      <c r="AE58" s="123">
        <f t="shared" si="30"/>
        <v>11.283177290796662</v>
      </c>
      <c r="AF58" s="123">
        <f t="shared" si="31"/>
        <v>-128.5091748230538</v>
      </c>
      <c r="AI58" s="123">
        <f t="shared" si="32"/>
        <v>0</v>
      </c>
      <c r="AJ58" s="123">
        <f t="shared" si="33"/>
        <v>0</v>
      </c>
      <c r="AK58" s="123">
        <f t="shared" si="34"/>
        <v>0</v>
      </c>
      <c r="AL58" s="123">
        <f t="shared" si="35"/>
        <v>0</v>
      </c>
      <c r="AM58" s="123">
        <f t="shared" si="36"/>
        <v>0</v>
      </c>
      <c r="AN58" s="123">
        <f t="shared" si="37"/>
        <v>0</v>
      </c>
      <c r="AO58" s="123">
        <f t="shared" si="38"/>
        <v>0</v>
      </c>
      <c r="AP58" s="123"/>
      <c r="AQ58" s="123">
        <f t="shared" si="39"/>
        <v>0</v>
      </c>
      <c r="AR58" s="123">
        <f t="shared" si="40"/>
        <v>0</v>
      </c>
      <c r="AS58" s="123">
        <f t="shared" si="41"/>
        <v>0</v>
      </c>
      <c r="AW58" t="str">
        <f t="shared" si="73"/>
        <v>12700</v>
      </c>
      <c r="AX58" t="str">
        <f t="shared" si="74"/>
        <v>75-2652.58293671913i</v>
      </c>
      <c r="AY58" t="str">
        <f t="shared" si="42"/>
        <v>596.392008275055-2513.17604943928i</v>
      </c>
      <c r="AZ58">
        <f t="shared" si="75"/>
        <v>-5.7370107217929114</v>
      </c>
      <c r="BA58">
        <f t="shared" si="76"/>
        <v>-76.650314388373587</v>
      </c>
      <c r="BB58">
        <f t="shared" si="77"/>
        <v>-0.46125938912716152</v>
      </c>
      <c r="BC58">
        <f t="shared" si="78"/>
        <v>10.351705368722367</v>
      </c>
      <c r="BD58" s="123">
        <f t="shared" si="43"/>
        <v>-0.46427750509566851</v>
      </c>
      <c r="BE58" s="123">
        <f t="shared" si="44"/>
        <v>8.5554968416709301</v>
      </c>
      <c r="BF58">
        <f t="shared" si="45"/>
        <v>10.510044087798454</v>
      </c>
      <c r="BG58">
        <f t="shared" si="46"/>
        <v>-136.73859773365393</v>
      </c>
      <c r="BH58" s="123">
        <f t="shared" si="47"/>
        <v>10.045766582702784</v>
      </c>
      <c r="BI58" s="123">
        <f t="shared" si="48"/>
        <v>-128.183100891983</v>
      </c>
      <c r="BL58" s="123">
        <f t="shared" si="49"/>
        <v>0</v>
      </c>
      <c r="BM58" s="123">
        <f t="shared" si="50"/>
        <v>0</v>
      </c>
      <c r="BN58" s="123">
        <f t="shared" si="51"/>
        <v>0</v>
      </c>
      <c r="BO58" s="123">
        <f t="shared" si="52"/>
        <v>0</v>
      </c>
      <c r="BP58" s="123">
        <f t="shared" si="53"/>
        <v>0</v>
      </c>
      <c r="BQ58" s="123">
        <f t="shared" si="54"/>
        <v>0</v>
      </c>
      <c r="BR58" s="123">
        <f t="shared" si="55"/>
        <v>0</v>
      </c>
      <c r="BS58" s="123"/>
      <c r="BT58" s="123"/>
      <c r="BU58" s="123">
        <f t="shared" si="56"/>
        <v>0</v>
      </c>
      <c r="BV58" s="123">
        <f t="shared" si="57"/>
        <v>0</v>
      </c>
      <c r="BX58" s="123">
        <f t="shared" si="58"/>
        <v>0</v>
      </c>
      <c r="BY58" s="123"/>
    </row>
    <row r="59" spans="5:77" x14ac:dyDescent="0.2">
      <c r="E59">
        <v>48</v>
      </c>
      <c r="F59">
        <v>650</v>
      </c>
      <c r="G59" s="58">
        <f t="shared" si="59"/>
        <v>-3.541899158176823E-3</v>
      </c>
      <c r="H59" s="58">
        <f t="shared" si="60"/>
        <v>-1.9458305460356939</v>
      </c>
      <c r="I59">
        <f t="shared" si="61"/>
        <v>17.953557878574703</v>
      </c>
      <c r="J59">
        <f t="shared" si="62"/>
        <v>-68.17529804499172</v>
      </c>
      <c r="K59" t="str">
        <f t="shared" si="63"/>
        <v>7142.85471142582-4.167416540593i</v>
      </c>
      <c r="L59" t="str">
        <f t="shared" si="64"/>
        <v>3300-24485380.9543305i</v>
      </c>
      <c r="M59" t="str">
        <f t="shared" si="65"/>
        <v>99998.277025456-408.39969103936i</v>
      </c>
      <c r="N59">
        <f t="shared" si="21"/>
        <v>-23.521751178435842</v>
      </c>
      <c r="O59">
        <f t="shared" si="66"/>
        <v>0.18719857836291495</v>
      </c>
      <c r="P59" t="str">
        <f t="shared" si="67"/>
        <v>-741981.241040317i</v>
      </c>
      <c r="Q59" t="str">
        <f t="shared" si="68"/>
        <v>3300-5209.65552219797i</v>
      </c>
      <c r="R59" t="str">
        <f t="shared" si="22"/>
        <v>3254.0796250725-5187.70390585376i</v>
      </c>
      <c r="S59" t="str">
        <f t="shared" si="69"/>
        <v>59981346.5243983-48993598.7814723i</v>
      </c>
      <c r="T59" t="str">
        <f t="shared" si="23"/>
        <v>3253.96707795837-5187.23298947085i</v>
      </c>
      <c r="U59" t="str">
        <f t="shared" si="24"/>
        <v>0.999989437611565-0.00324996567223759i</v>
      </c>
      <c r="V59">
        <f t="shared" si="70"/>
        <v>15.739767376185764</v>
      </c>
      <c r="W59">
        <f t="shared" si="71"/>
        <v>-58.086048664945146</v>
      </c>
      <c r="X59">
        <f t="shared" si="25"/>
        <v>-4.587211239167966E-5</v>
      </c>
      <c r="Y59">
        <f t="shared" si="72"/>
        <v>-0.18621066654280816</v>
      </c>
      <c r="AA59" s="123">
        <f t="shared" si="26"/>
        <v>17.950015979416527</v>
      </c>
      <c r="AB59" s="123">
        <f t="shared" si="27"/>
        <v>-70.121128591027414</v>
      </c>
      <c r="AC59">
        <f t="shared" si="28"/>
        <v>-7.7819838022500782</v>
      </c>
      <c r="AD59">
        <f t="shared" si="29"/>
        <v>-57.898850086582229</v>
      </c>
      <c r="AE59" s="123">
        <f t="shared" si="30"/>
        <v>10.168032177166449</v>
      </c>
      <c r="AF59" s="123">
        <f t="shared" si="31"/>
        <v>-128.01997867760963</v>
      </c>
      <c r="AI59" s="123">
        <f t="shared" si="32"/>
        <v>0</v>
      </c>
      <c r="AJ59" s="123">
        <f t="shared" si="33"/>
        <v>0</v>
      </c>
      <c r="AK59" s="123">
        <f t="shared" si="34"/>
        <v>0</v>
      </c>
      <c r="AL59" s="123">
        <f t="shared" si="35"/>
        <v>0</v>
      </c>
      <c r="AM59" s="123">
        <f t="shared" si="36"/>
        <v>0</v>
      </c>
      <c r="AN59" s="123">
        <f t="shared" si="37"/>
        <v>0</v>
      </c>
      <c r="AO59" s="123">
        <f t="shared" si="38"/>
        <v>0</v>
      </c>
      <c r="AP59" s="123"/>
      <c r="AQ59" s="123">
        <f t="shared" si="39"/>
        <v>0</v>
      </c>
      <c r="AR59" s="123">
        <f t="shared" si="40"/>
        <v>0</v>
      </c>
      <c r="AS59" s="123">
        <f t="shared" si="41"/>
        <v>0</v>
      </c>
      <c r="AW59" t="str">
        <f t="shared" si="73"/>
        <v>12700</v>
      </c>
      <c r="AX59" t="str">
        <f t="shared" si="74"/>
        <v>75-2448.53809543305i</v>
      </c>
      <c r="AY59" t="str">
        <f t="shared" si="42"/>
        <v>521.933197074854-2334.12606619888i</v>
      </c>
      <c r="AZ59">
        <f t="shared" si="75"/>
        <v>-6.4050155812850296</v>
      </c>
      <c r="BA59">
        <f t="shared" si="76"/>
        <v>-77.395475841407745</v>
      </c>
      <c r="BB59">
        <f t="shared" si="77"/>
        <v>-0.39814497832800211</v>
      </c>
      <c r="BC59">
        <f t="shared" si="78"/>
        <v>9.6720226888891396</v>
      </c>
      <c r="BD59" s="123">
        <f t="shared" si="43"/>
        <v>-0.40168687748617893</v>
      </c>
      <c r="BE59" s="123">
        <f t="shared" si="44"/>
        <v>7.7261921428534457</v>
      </c>
      <c r="BF59">
        <f t="shared" si="45"/>
        <v>9.3347517949007344</v>
      </c>
      <c r="BG59">
        <f t="shared" si="46"/>
        <v>-135.48152450635288</v>
      </c>
      <c r="BH59" s="123">
        <f t="shared" si="47"/>
        <v>8.9330649174145549</v>
      </c>
      <c r="BI59" s="123">
        <f t="shared" si="48"/>
        <v>-127.75533236349943</v>
      </c>
      <c r="BL59" s="123">
        <f t="shared" si="49"/>
        <v>0</v>
      </c>
      <c r="BM59" s="123">
        <f t="shared" si="50"/>
        <v>0</v>
      </c>
      <c r="BN59" s="123">
        <f t="shared" si="51"/>
        <v>0</v>
      </c>
      <c r="BO59" s="123">
        <f t="shared" si="52"/>
        <v>0</v>
      </c>
      <c r="BP59" s="123">
        <f t="shared" si="53"/>
        <v>0</v>
      </c>
      <c r="BQ59" s="123">
        <f t="shared" si="54"/>
        <v>0</v>
      </c>
      <c r="BR59" s="123">
        <f t="shared" si="55"/>
        <v>0</v>
      </c>
      <c r="BS59" s="123"/>
      <c r="BT59" s="123"/>
      <c r="BU59" s="123">
        <f t="shared" si="56"/>
        <v>0</v>
      </c>
      <c r="BV59" s="123">
        <f t="shared" si="57"/>
        <v>0</v>
      </c>
      <c r="BX59" s="123">
        <f t="shared" si="58"/>
        <v>0</v>
      </c>
      <c r="BY59" s="123"/>
    </row>
    <row r="60" spans="5:77" x14ac:dyDescent="0.2">
      <c r="E60">
        <v>49</v>
      </c>
      <c r="F60">
        <v>700</v>
      </c>
      <c r="G60" s="58">
        <f t="shared" si="59"/>
        <v>-4.1075201499222967E-3</v>
      </c>
      <c r="H60" s="58">
        <f t="shared" si="60"/>
        <v>-2.095437689304374</v>
      </c>
      <c r="I60">
        <f t="shared" si="61"/>
        <v>17.381065358574556</v>
      </c>
      <c r="J60">
        <f t="shared" si="62"/>
        <v>-69.359984016198368</v>
      </c>
      <c r="K60" t="str">
        <f t="shared" si="63"/>
        <v>7142.85432297245-4.48798679964315i</v>
      </c>
      <c r="L60" t="str">
        <f t="shared" si="64"/>
        <v>3300-22736425.1718783i</v>
      </c>
      <c r="M60" t="str">
        <f t="shared" si="65"/>
        <v>99998.0017630156-439.813801269332i</v>
      </c>
      <c r="N60">
        <f t="shared" si="21"/>
        <v>-23.521739355650027</v>
      </c>
      <c r="O60">
        <f t="shared" si="66"/>
        <v>0.20159822441263217</v>
      </c>
      <c r="P60" t="str">
        <f t="shared" si="67"/>
        <v>-688982.580966008i</v>
      </c>
      <c r="Q60" t="str">
        <f t="shared" si="68"/>
        <v>3300-4837.5372706124i</v>
      </c>
      <c r="R60" t="str">
        <f t="shared" si="22"/>
        <v>3254.06948455436-4819.28565580233i</v>
      </c>
      <c r="S60" t="str">
        <f t="shared" si="69"/>
        <v>56376883.3366101-49591686.3890639i</v>
      </c>
      <c r="T60" t="str">
        <f t="shared" si="23"/>
        <v>3253.9199557022-4818.86088790858i</v>
      </c>
      <c r="U60" t="str">
        <f t="shared" si="24"/>
        <v>0.999987750150061-0.00349995712552521i</v>
      </c>
      <c r="V60">
        <f t="shared" si="70"/>
        <v>15.290323405187729</v>
      </c>
      <c r="W60">
        <f t="shared" si="71"/>
        <v>-56.171486347049516</v>
      </c>
      <c r="X60">
        <f t="shared" si="25"/>
        <v>-5.3200748176918117E-5</v>
      </c>
      <c r="Y60">
        <f t="shared" si="72"/>
        <v>-0.20053445116963217</v>
      </c>
      <c r="AA60" s="123">
        <f t="shared" si="26"/>
        <v>17.376957838424634</v>
      </c>
      <c r="AB60" s="123">
        <f t="shared" si="27"/>
        <v>-71.455421705502744</v>
      </c>
      <c r="AC60">
        <f t="shared" si="28"/>
        <v>-8.2314159504622975</v>
      </c>
      <c r="AD60">
        <f t="shared" si="29"/>
        <v>-55.969888122636881</v>
      </c>
      <c r="AE60" s="123">
        <f t="shared" si="30"/>
        <v>9.1455418879623362</v>
      </c>
      <c r="AF60" s="123">
        <f t="shared" si="31"/>
        <v>-127.42530982813963</v>
      </c>
      <c r="AI60" s="123">
        <f t="shared" si="32"/>
        <v>0</v>
      </c>
      <c r="AJ60" s="123">
        <f t="shared" si="33"/>
        <v>0</v>
      </c>
      <c r="AK60" s="123">
        <f t="shared" si="34"/>
        <v>0</v>
      </c>
      <c r="AL60" s="123">
        <f t="shared" si="35"/>
        <v>0</v>
      </c>
      <c r="AM60" s="123">
        <f t="shared" si="36"/>
        <v>0</v>
      </c>
      <c r="AN60" s="123">
        <f t="shared" si="37"/>
        <v>0</v>
      </c>
      <c r="AO60" s="123">
        <f t="shared" si="38"/>
        <v>0</v>
      </c>
      <c r="AP60" s="123"/>
      <c r="AQ60" s="123">
        <f t="shared" si="39"/>
        <v>0</v>
      </c>
      <c r="AR60" s="123">
        <f t="shared" si="40"/>
        <v>0</v>
      </c>
      <c r="AS60" s="123">
        <f t="shared" si="41"/>
        <v>0</v>
      </c>
      <c r="AW60" t="str">
        <f t="shared" si="73"/>
        <v>12700</v>
      </c>
      <c r="AX60" t="str">
        <f t="shared" si="74"/>
        <v>75-2273.64251718783i</v>
      </c>
      <c r="AY60" t="str">
        <f t="shared" si="42"/>
        <v>462.197371605088-2178.03431490189i</v>
      </c>
      <c r="AZ60">
        <f t="shared" si="75"/>
        <v>-7.0268079983087528</v>
      </c>
      <c r="BA60">
        <f t="shared" si="76"/>
        <v>-78.019098574519163</v>
      </c>
      <c r="BB60">
        <f t="shared" si="77"/>
        <v>-0.34689252589681419</v>
      </c>
      <c r="BC60">
        <f t="shared" si="78"/>
        <v>9.0692112387962869</v>
      </c>
      <c r="BD60" s="123">
        <f t="shared" si="43"/>
        <v>-0.35100004604673646</v>
      </c>
      <c r="BE60" s="123">
        <f t="shared" si="44"/>
        <v>6.9737735494919129</v>
      </c>
      <c r="BF60">
        <f t="shared" si="45"/>
        <v>8.2635154068789767</v>
      </c>
      <c r="BG60">
        <f t="shared" si="46"/>
        <v>-134.19058492156867</v>
      </c>
      <c r="BH60" s="123">
        <f t="shared" si="47"/>
        <v>7.9125153608322405</v>
      </c>
      <c r="BI60" s="123">
        <f t="shared" si="48"/>
        <v>-127.21681137207676</v>
      </c>
      <c r="BL60" s="123">
        <f t="shared" si="49"/>
        <v>0</v>
      </c>
      <c r="BM60" s="123">
        <f t="shared" si="50"/>
        <v>0</v>
      </c>
      <c r="BN60" s="123">
        <f t="shared" si="51"/>
        <v>0</v>
      </c>
      <c r="BO60" s="123">
        <f t="shared" si="52"/>
        <v>0</v>
      </c>
      <c r="BP60" s="123">
        <f t="shared" si="53"/>
        <v>0</v>
      </c>
      <c r="BQ60" s="123">
        <f t="shared" si="54"/>
        <v>0</v>
      </c>
      <c r="BR60" s="123">
        <f t="shared" si="55"/>
        <v>0</v>
      </c>
      <c r="BS60" s="123"/>
      <c r="BT60" s="123"/>
      <c r="BU60" s="123">
        <f t="shared" si="56"/>
        <v>0</v>
      </c>
      <c r="BV60" s="123">
        <f t="shared" si="57"/>
        <v>0</v>
      </c>
      <c r="BX60" s="123">
        <f t="shared" si="58"/>
        <v>0</v>
      </c>
      <c r="BY60" s="123"/>
    </row>
    <row r="61" spans="5:77" x14ac:dyDescent="0.2">
      <c r="E61">
        <v>50</v>
      </c>
      <c r="F61">
        <v>750</v>
      </c>
      <c r="G61" s="58">
        <f t="shared" si="59"/>
        <v>-4.7149639962655344E-3</v>
      </c>
      <c r="H61" s="58">
        <f t="shared" si="60"/>
        <v>-2.2450288165179826</v>
      </c>
      <c r="I61">
        <f t="shared" si="61"/>
        <v>16.840277978530935</v>
      </c>
      <c r="J61">
        <f t="shared" si="62"/>
        <v>-70.385000606758751</v>
      </c>
      <c r="K61" t="str">
        <f t="shared" si="63"/>
        <v>7142.85390574481-4.80855700445501i</v>
      </c>
      <c r="L61" t="str">
        <f t="shared" si="64"/>
        <v>3300-21220663.4937531i</v>
      </c>
      <c r="M61" t="str">
        <f t="shared" si="65"/>
        <v>99997.7061125085-471.22763359241i</v>
      </c>
      <c r="N61">
        <f t="shared" si="21"/>
        <v>-23.521726657141343</v>
      </c>
      <c r="O61">
        <f t="shared" si="66"/>
        <v>0.21599781610922239</v>
      </c>
      <c r="P61" t="str">
        <f t="shared" si="67"/>
        <v>-643050.408901608i</v>
      </c>
      <c r="Q61" t="str">
        <f t="shared" si="68"/>
        <v>3300-4515.03478590491i</v>
      </c>
      <c r="R61" t="str">
        <f t="shared" si="22"/>
        <v>3254.05859295712-4500.13722480864i</v>
      </c>
      <c r="S61" t="str">
        <f t="shared" si="69"/>
        <v>52958695.7101873-49912384.4320678i</v>
      </c>
      <c r="T61" t="str">
        <f t="shared" si="23"/>
        <v>3253.87919690121-4499.75331658234i</v>
      </c>
      <c r="U61" t="str">
        <f t="shared" si="24"/>
        <v>0.999985937697751-0.00374994726636657i</v>
      </c>
      <c r="V61">
        <f t="shared" si="70"/>
        <v>14.89045024868545</v>
      </c>
      <c r="W61">
        <f t="shared" si="71"/>
        <v>-54.343278272963801</v>
      </c>
      <c r="X61">
        <f t="shared" si="25"/>
        <v>-6.1072232106051366E-5</v>
      </c>
      <c r="Y61">
        <f t="shared" si="72"/>
        <v>-0.21485821073016392</v>
      </c>
      <c r="AA61" s="123">
        <f t="shared" si="26"/>
        <v>16.835563014534671</v>
      </c>
      <c r="AB61" s="123">
        <f t="shared" si="27"/>
        <v>-72.630029423276738</v>
      </c>
      <c r="AC61">
        <f t="shared" si="28"/>
        <v>-8.6312764084558928</v>
      </c>
      <c r="AD61">
        <f t="shared" si="29"/>
        <v>-54.127280456854578</v>
      </c>
      <c r="AE61" s="123">
        <f t="shared" si="30"/>
        <v>8.204286606078778</v>
      </c>
      <c r="AF61" s="123">
        <f t="shared" si="31"/>
        <v>-126.75730988013132</v>
      </c>
      <c r="AI61" s="123">
        <f t="shared" si="32"/>
        <v>0</v>
      </c>
      <c r="AJ61" s="123">
        <f t="shared" si="33"/>
        <v>0</v>
      </c>
      <c r="AK61" s="123">
        <f t="shared" si="34"/>
        <v>0</v>
      </c>
      <c r="AL61" s="123">
        <f t="shared" si="35"/>
        <v>0</v>
      </c>
      <c r="AM61" s="123">
        <f t="shared" si="36"/>
        <v>0</v>
      </c>
      <c r="AN61" s="123">
        <f t="shared" si="37"/>
        <v>0</v>
      </c>
      <c r="AO61" s="123">
        <f t="shared" si="38"/>
        <v>0</v>
      </c>
      <c r="AP61" s="123"/>
      <c r="AQ61" s="123">
        <f t="shared" si="39"/>
        <v>0</v>
      </c>
      <c r="AR61" s="123">
        <f t="shared" si="40"/>
        <v>0</v>
      </c>
      <c r="AS61" s="123">
        <f t="shared" si="41"/>
        <v>0</v>
      </c>
      <c r="AW61" t="str">
        <f t="shared" si="73"/>
        <v>12700</v>
      </c>
      <c r="AX61" t="str">
        <f t="shared" si="74"/>
        <v>75-2122.06634937531i</v>
      </c>
      <c r="AY61" t="str">
        <f t="shared" si="42"/>
        <v>413.57676092551-2040.90843912507i</v>
      </c>
      <c r="AZ61">
        <f t="shared" si="75"/>
        <v>-7.6081538063601597</v>
      </c>
      <c r="BA61">
        <f t="shared" si="76"/>
        <v>-78.54452406695745</v>
      </c>
      <c r="BB61">
        <f t="shared" si="77"/>
        <v>-0.30476119667286355</v>
      </c>
      <c r="BC61">
        <f t="shared" si="78"/>
        <v>8.532227005540733</v>
      </c>
      <c r="BD61" s="123">
        <f t="shared" si="43"/>
        <v>-0.30947616066912909</v>
      </c>
      <c r="BE61" s="123">
        <f t="shared" si="44"/>
        <v>6.2871981890227504</v>
      </c>
      <c r="BF61">
        <f t="shared" si="45"/>
        <v>7.2822964423252907</v>
      </c>
      <c r="BG61">
        <f t="shared" si="46"/>
        <v>-132.88780233992125</v>
      </c>
      <c r="BH61" s="123">
        <f t="shared" si="47"/>
        <v>6.972820281656162</v>
      </c>
      <c r="BI61" s="123">
        <f t="shared" si="48"/>
        <v>-126.6006041508985</v>
      </c>
      <c r="BL61" s="123">
        <f t="shared" si="49"/>
        <v>0</v>
      </c>
      <c r="BM61" s="123">
        <f t="shared" si="50"/>
        <v>0</v>
      </c>
      <c r="BN61" s="123">
        <f t="shared" si="51"/>
        <v>0</v>
      </c>
      <c r="BO61" s="123">
        <f t="shared" si="52"/>
        <v>0</v>
      </c>
      <c r="BP61" s="123">
        <f t="shared" si="53"/>
        <v>0</v>
      </c>
      <c r="BQ61" s="123">
        <f t="shared" si="54"/>
        <v>0</v>
      </c>
      <c r="BR61" s="123">
        <f t="shared" si="55"/>
        <v>0</v>
      </c>
      <c r="BS61" s="123"/>
      <c r="BT61" s="123"/>
      <c r="BU61" s="123">
        <f t="shared" si="56"/>
        <v>0</v>
      </c>
      <c r="BV61" s="123">
        <f t="shared" si="57"/>
        <v>0</v>
      </c>
      <c r="BX61" s="123">
        <f t="shared" si="58"/>
        <v>0</v>
      </c>
      <c r="BY61" s="123"/>
    </row>
    <row r="62" spans="5:77" x14ac:dyDescent="0.2">
      <c r="E62">
        <v>51</v>
      </c>
      <c r="F62">
        <v>800</v>
      </c>
      <c r="G62" s="58">
        <f t="shared" si="59"/>
        <v>-5.3642146493991299E-3</v>
      </c>
      <c r="H62" s="58">
        <f t="shared" si="60"/>
        <v>-2.3946027882122021</v>
      </c>
      <c r="I62">
        <f t="shared" si="61"/>
        <v>16.328331218146037</v>
      </c>
      <c r="J62">
        <f t="shared" si="62"/>
        <v>-71.276753162439718</v>
      </c>
      <c r="K62" t="str">
        <f t="shared" si="63"/>
        <v>7142.85345974289-5.12912715115442i</v>
      </c>
      <c r="L62" t="str">
        <f t="shared" si="64"/>
        <v>3300-19894372.0253935i</v>
      </c>
      <c r="M62" t="str">
        <f t="shared" si="65"/>
        <v>99997.3900743082-502.641168161137i</v>
      </c>
      <c r="N62">
        <f t="shared" si="21"/>
        <v>-23.521713082918208</v>
      </c>
      <c r="O62">
        <f t="shared" si="66"/>
        <v>0.23039734957067978</v>
      </c>
      <c r="P62" t="str">
        <f t="shared" si="67"/>
        <v>-602859.758345257i</v>
      </c>
      <c r="Q62" t="str">
        <f t="shared" si="68"/>
        <v>3300-4232.84511178585i</v>
      </c>
      <c r="R62" t="str">
        <f t="shared" si="22"/>
        <v>3254.04695029587-4221.02051902436i</v>
      </c>
      <c r="S62" t="str">
        <f t="shared" si="69"/>
        <v>49735232.7439469-49999298.9780869i</v>
      </c>
      <c r="T62" t="str">
        <f t="shared" si="23"/>
        <v>3253.84307768464-4220.67317332053i</v>
      </c>
      <c r="U62" t="str">
        <f t="shared" si="24"/>
        <v>0.999984000255996-0.00399993600102398i</v>
      </c>
      <c r="V62">
        <f t="shared" si="70"/>
        <v>14.533355033962694</v>
      </c>
      <c r="W62">
        <f t="shared" si="71"/>
        <v>-52.599489301293964</v>
      </c>
      <c r="X62">
        <f t="shared" si="25"/>
        <v>-6.9486561212231803E-5</v>
      </c>
      <c r="Y62">
        <f t="shared" si="72"/>
        <v>-0.22918194343404966</v>
      </c>
      <c r="AA62" s="123">
        <f t="shared" si="26"/>
        <v>16.322967003496636</v>
      </c>
      <c r="AB62" s="123">
        <f t="shared" si="27"/>
        <v>-73.671355950651915</v>
      </c>
      <c r="AC62">
        <f t="shared" si="28"/>
        <v>-8.9883580489555133</v>
      </c>
      <c r="AD62">
        <f t="shared" si="29"/>
        <v>-52.369091951723284</v>
      </c>
      <c r="AE62" s="123">
        <f t="shared" si="30"/>
        <v>7.3346089545411228</v>
      </c>
      <c r="AF62" s="123">
        <f t="shared" si="31"/>
        <v>-126.04044790237521</v>
      </c>
      <c r="AI62" s="123">
        <f t="shared" si="32"/>
        <v>0</v>
      </c>
      <c r="AJ62" s="123">
        <f t="shared" si="33"/>
        <v>0</v>
      </c>
      <c r="AK62" s="123">
        <f t="shared" si="34"/>
        <v>0</v>
      </c>
      <c r="AL62" s="123">
        <f t="shared" si="35"/>
        <v>0</v>
      </c>
      <c r="AM62" s="123">
        <f t="shared" si="36"/>
        <v>0</v>
      </c>
      <c r="AN62" s="123">
        <f t="shared" si="37"/>
        <v>0</v>
      </c>
      <c r="AO62" s="123">
        <f t="shared" si="38"/>
        <v>0</v>
      </c>
      <c r="AP62" s="123"/>
      <c r="AQ62" s="123">
        <f t="shared" si="39"/>
        <v>0</v>
      </c>
      <c r="AR62" s="123">
        <f t="shared" si="40"/>
        <v>0</v>
      </c>
      <c r="AS62" s="123">
        <f t="shared" si="41"/>
        <v>0</v>
      </c>
      <c r="AW62" t="str">
        <f t="shared" si="73"/>
        <v>12700</v>
      </c>
      <c r="AX62" t="str">
        <f t="shared" si="74"/>
        <v>75-1989.43720253935i</v>
      </c>
      <c r="AY62" t="str">
        <f t="shared" si="42"/>
        <v>373.495932433058-1919.5934065965i</v>
      </c>
      <c r="AZ62">
        <f t="shared" si="75"/>
        <v>-8.1538373324829578</v>
      </c>
      <c r="BA62">
        <f t="shared" si="76"/>
        <v>-78.9895255192273</v>
      </c>
      <c r="BB62">
        <f t="shared" si="77"/>
        <v>-0.26974405558234404</v>
      </c>
      <c r="BC62">
        <f t="shared" si="78"/>
        <v>8.0517093065891672</v>
      </c>
      <c r="BD62" s="123">
        <f t="shared" si="43"/>
        <v>-0.27510827023174317</v>
      </c>
      <c r="BE62" s="123">
        <f t="shared" si="44"/>
        <v>5.6571065183769651</v>
      </c>
      <c r="BF62">
        <f t="shared" si="45"/>
        <v>6.3795177014797364</v>
      </c>
      <c r="BG62">
        <f t="shared" si="46"/>
        <v>-131.58901482052127</v>
      </c>
      <c r="BH62" s="123">
        <f t="shared" si="47"/>
        <v>6.1044094312479933</v>
      </c>
      <c r="BI62" s="123">
        <f t="shared" si="48"/>
        <v>-125.93190830214431</v>
      </c>
      <c r="BL62" s="123">
        <f t="shared" si="49"/>
        <v>0</v>
      </c>
      <c r="BM62" s="123">
        <f t="shared" si="50"/>
        <v>0</v>
      </c>
      <c r="BN62" s="123">
        <f t="shared" si="51"/>
        <v>0</v>
      </c>
      <c r="BO62" s="123">
        <f t="shared" si="52"/>
        <v>0</v>
      </c>
      <c r="BP62" s="123">
        <f t="shared" si="53"/>
        <v>0</v>
      </c>
      <c r="BQ62" s="123">
        <f t="shared" si="54"/>
        <v>0</v>
      </c>
      <c r="BR62" s="123">
        <f t="shared" si="55"/>
        <v>0</v>
      </c>
      <c r="BS62" s="123"/>
      <c r="BT62" s="123"/>
      <c r="BU62" s="123">
        <f t="shared" si="56"/>
        <v>0</v>
      </c>
      <c r="BV62" s="123">
        <f t="shared" si="57"/>
        <v>0</v>
      </c>
      <c r="BX62" s="123">
        <f t="shared" si="58"/>
        <v>0</v>
      </c>
      <c r="BY62" s="123"/>
    </row>
    <row r="63" spans="5:77" x14ac:dyDescent="0.2">
      <c r="E63">
        <v>52</v>
      </c>
      <c r="F63">
        <v>850</v>
      </c>
      <c r="G63" s="58">
        <f t="shared" si="59"/>
        <v>-6.0552549626429249E-3</v>
      </c>
      <c r="H63" s="58">
        <f t="shared" si="60"/>
        <v>-2.5441584658598297</v>
      </c>
      <c r="I63">
        <f t="shared" si="61"/>
        <v>15.842648816248193</v>
      </c>
      <c r="J63">
        <f t="shared" si="62"/>
        <v>-72.056294036000793</v>
      </c>
      <c r="K63" t="str">
        <f t="shared" si="63"/>
        <v>7142.85298496673-5.44969723586727i</v>
      </c>
      <c r="L63" t="str">
        <f t="shared" si="64"/>
        <v>3300-18724114.8474292i</v>
      </c>
      <c r="M63" t="str">
        <f t="shared" si="65"/>
        <v>99997.0536488142-534.054385128676i</v>
      </c>
      <c r="N63">
        <f t="shared" si="21"/>
        <v>-23.521698632989501</v>
      </c>
      <c r="O63">
        <f t="shared" si="66"/>
        <v>0.24479682091507091</v>
      </c>
      <c r="P63" t="str">
        <f t="shared" si="67"/>
        <v>-567397.419619066i</v>
      </c>
      <c r="Q63" t="str">
        <f t="shared" si="68"/>
        <v>3300-3983.85422285727i</v>
      </c>
      <c r="R63" t="str">
        <f t="shared" si="22"/>
        <v>3254.03455658674-3974.87111356191i</v>
      </c>
      <c r="S63" t="str">
        <f t="shared" si="69"/>
        <v>46708765.095167-49891560.135971i</v>
      </c>
      <c r="T63" t="str">
        <f t="shared" si="23"/>
        <v>3253.81036577945-3974.55679155392i</v>
      </c>
      <c r="U63" t="str">
        <f t="shared" si="24"/>
        <v>0.999981937826248-0.00424992323576155i</v>
      </c>
      <c r="V63">
        <f t="shared" si="70"/>
        <v>14.213391079038518</v>
      </c>
      <c r="W63">
        <f t="shared" si="71"/>
        <v>-50.937704188942639</v>
      </c>
      <c r="X63">
        <f t="shared" si="25"/>
        <v>-7.8443732350719708E-5</v>
      </c>
      <c r="Y63">
        <f t="shared" si="72"/>
        <v>-0.24350564749095852</v>
      </c>
      <c r="AA63" s="123">
        <f t="shared" si="26"/>
        <v>15.83659356128555</v>
      </c>
      <c r="AB63" s="123">
        <f t="shared" si="27"/>
        <v>-74.600452501860616</v>
      </c>
      <c r="AC63">
        <f t="shared" si="28"/>
        <v>-9.3083075539509839</v>
      </c>
      <c r="AD63">
        <f t="shared" si="29"/>
        <v>-50.692907368027569</v>
      </c>
      <c r="AE63" s="123">
        <f t="shared" si="30"/>
        <v>6.5282860073345663</v>
      </c>
      <c r="AF63" s="123">
        <f t="shared" si="31"/>
        <v>-125.29335986988818</v>
      </c>
      <c r="AI63" s="123">
        <f t="shared" si="32"/>
        <v>0</v>
      </c>
      <c r="AJ63" s="123">
        <f t="shared" si="33"/>
        <v>0</v>
      </c>
      <c r="AK63" s="123">
        <f t="shared" si="34"/>
        <v>0</v>
      </c>
      <c r="AL63" s="123">
        <f t="shared" si="35"/>
        <v>0</v>
      </c>
      <c r="AM63" s="123">
        <f t="shared" si="36"/>
        <v>0</v>
      </c>
      <c r="AN63" s="123">
        <f t="shared" si="37"/>
        <v>0</v>
      </c>
      <c r="AO63" s="123">
        <f t="shared" si="38"/>
        <v>0</v>
      </c>
      <c r="AP63" s="123"/>
      <c r="AQ63" s="123">
        <f t="shared" si="39"/>
        <v>0</v>
      </c>
      <c r="AR63" s="123">
        <f t="shared" si="40"/>
        <v>0</v>
      </c>
      <c r="AS63" s="123">
        <f t="shared" si="41"/>
        <v>0</v>
      </c>
      <c r="AW63" t="str">
        <f t="shared" si="73"/>
        <v>12700</v>
      </c>
      <c r="AX63" t="str">
        <f t="shared" si="74"/>
        <v>75-1872.41148474292i</v>
      </c>
      <c r="AY63" t="str">
        <f t="shared" si="42"/>
        <v>340.079211854217-1811.57398311052i</v>
      </c>
      <c r="AZ63">
        <f t="shared" si="75"/>
        <v>-8.6678640208105211</v>
      </c>
      <c r="BA63">
        <f t="shared" si="76"/>
        <v>-79.36786262449931</v>
      </c>
      <c r="BB63">
        <f t="shared" si="77"/>
        <v>-0.24034852002727453</v>
      </c>
      <c r="BC63">
        <f t="shared" si="78"/>
        <v>7.6197860442749272</v>
      </c>
      <c r="BD63" s="123">
        <f t="shared" si="43"/>
        <v>-0.24640377498991745</v>
      </c>
      <c r="BE63" s="123">
        <f t="shared" si="44"/>
        <v>5.0756275784150979</v>
      </c>
      <c r="BF63">
        <f t="shared" si="45"/>
        <v>5.5455270582279965</v>
      </c>
      <c r="BG63">
        <f t="shared" si="46"/>
        <v>-130.30556681344194</v>
      </c>
      <c r="BH63" s="123">
        <f t="shared" si="47"/>
        <v>5.299123283238079</v>
      </c>
      <c r="BI63" s="123">
        <f t="shared" si="48"/>
        <v>-125.22993923502685</v>
      </c>
      <c r="BL63" s="123">
        <f t="shared" si="49"/>
        <v>0</v>
      </c>
      <c r="BM63" s="123">
        <f t="shared" si="50"/>
        <v>0</v>
      </c>
      <c r="BN63" s="123">
        <f t="shared" si="51"/>
        <v>0</v>
      </c>
      <c r="BO63" s="123">
        <f t="shared" si="52"/>
        <v>0</v>
      </c>
      <c r="BP63" s="123">
        <f t="shared" si="53"/>
        <v>0</v>
      </c>
      <c r="BQ63" s="123">
        <f t="shared" si="54"/>
        <v>0</v>
      </c>
      <c r="BR63" s="123">
        <f t="shared" si="55"/>
        <v>0</v>
      </c>
      <c r="BS63" s="123"/>
      <c r="BT63" s="123"/>
      <c r="BU63" s="123">
        <f t="shared" si="56"/>
        <v>0</v>
      </c>
      <c r="BV63" s="123">
        <f t="shared" si="57"/>
        <v>0</v>
      </c>
      <c r="BX63" s="123">
        <f t="shared" si="58"/>
        <v>0</v>
      </c>
      <c r="BY63" s="123"/>
    </row>
    <row r="64" spans="5:77" x14ac:dyDescent="0.2">
      <c r="E64">
        <v>53</v>
      </c>
      <c r="F64">
        <v>900</v>
      </c>
      <c r="G64" s="58">
        <f t="shared" si="59"/>
        <v>-6.7880666920293233E-3</v>
      </c>
      <c r="H64" s="58">
        <f t="shared" si="60"/>
        <v>-2.693694711932515</v>
      </c>
      <c r="I64">
        <f t="shared" si="61"/>
        <v>15.380928208519233</v>
      </c>
      <c r="J64">
        <f t="shared" si="62"/>
        <v>-72.740573895458184</v>
      </c>
      <c r="K64" t="str">
        <f t="shared" si="63"/>
        <v>7142.85248141632-5.77026725471939i</v>
      </c>
      <c r="L64" t="str">
        <f t="shared" si="64"/>
        <v>3300-17683886.2447942i</v>
      </c>
      <c r="M64" t="str">
        <f t="shared" si="65"/>
        <v>99996.6968364515-565.467264648864i</v>
      </c>
      <c r="N64">
        <f t="shared" si="21"/>
        <v>-23.521683307364732</v>
      </c>
      <c r="O64">
        <f t="shared" si="66"/>
        <v>0.25919622626054267</v>
      </c>
      <c r="P64" t="str">
        <f t="shared" si="67"/>
        <v>-535875.34075134i</v>
      </c>
      <c r="Q64" t="str">
        <f t="shared" si="68"/>
        <v>3300-3762.52898825409i</v>
      </c>
      <c r="R64" t="str">
        <f t="shared" si="22"/>
        <v>3254.02141184687-3756.19445556089i</v>
      </c>
      <c r="S64" t="str">
        <f t="shared" si="69"/>
        <v>43876965.1639811-49623668.187639i</v>
      </c>
      <c r="T64" t="str">
        <f t="shared" si="23"/>
        <v>3253.78016140013-3755.91020820982i</v>
      </c>
      <c r="U64" t="str">
        <f t="shared" si="24"/>
        <v>0.999979750410054-0.00449990887684524i</v>
      </c>
      <c r="V64">
        <f t="shared" si="70"/>
        <v>13.925817143456154</v>
      </c>
      <c r="W64">
        <f t="shared" si="71"/>
        <v>-49.355149403257819</v>
      </c>
      <c r="X64">
        <f t="shared" si="25"/>
        <v>-8.7943742159342088E-5</v>
      </c>
      <c r="Y64">
        <f t="shared" si="72"/>
        <v>-0.25782932111057977</v>
      </c>
      <c r="AA64" s="123">
        <f t="shared" si="26"/>
        <v>15.374140141827203</v>
      </c>
      <c r="AB64" s="123">
        <f t="shared" si="27"/>
        <v>-75.434268607390692</v>
      </c>
      <c r="AC64">
        <f t="shared" si="28"/>
        <v>-9.5958661639085783</v>
      </c>
      <c r="AD64">
        <f t="shared" si="29"/>
        <v>-49.095953176997277</v>
      </c>
      <c r="AE64" s="123">
        <f t="shared" si="30"/>
        <v>5.7782739779186247</v>
      </c>
      <c r="AF64" s="123">
        <f t="shared" si="31"/>
        <v>-124.53022178438798</v>
      </c>
      <c r="AI64" s="123">
        <f t="shared" si="32"/>
        <v>0</v>
      </c>
      <c r="AJ64" s="123">
        <f t="shared" si="33"/>
        <v>0</v>
      </c>
      <c r="AK64" s="123">
        <f t="shared" si="34"/>
        <v>0</v>
      </c>
      <c r="AL64" s="123">
        <f t="shared" si="35"/>
        <v>0</v>
      </c>
      <c r="AM64" s="123">
        <f t="shared" si="36"/>
        <v>0</v>
      </c>
      <c r="AN64" s="123">
        <f t="shared" si="37"/>
        <v>0</v>
      </c>
      <c r="AO64" s="123">
        <f t="shared" si="38"/>
        <v>0</v>
      </c>
      <c r="AP64" s="123"/>
      <c r="AQ64" s="123">
        <f t="shared" si="39"/>
        <v>0</v>
      </c>
      <c r="AR64" s="123">
        <f t="shared" si="40"/>
        <v>0</v>
      </c>
      <c r="AS64" s="123">
        <f t="shared" si="41"/>
        <v>0</v>
      </c>
      <c r="AW64" t="str">
        <f t="shared" si="73"/>
        <v>12700</v>
      </c>
      <c r="AX64" t="str">
        <f t="shared" si="74"/>
        <v>75-1768.38862447942i</v>
      </c>
      <c r="AY64" t="str">
        <f t="shared" si="42"/>
        <v>311.935821785081-1714.82675319579i</v>
      </c>
      <c r="AZ64">
        <f t="shared" si="75"/>
        <v>-9.1536156694330533</v>
      </c>
      <c r="BA64">
        <f t="shared" si="76"/>
        <v>-79.690346597476307</v>
      </c>
      <c r="BB64">
        <f t="shared" si="77"/>
        <v>-0.21544837984120838</v>
      </c>
      <c r="BC64">
        <f t="shared" si="78"/>
        <v>7.2298525142807648</v>
      </c>
      <c r="BD64" s="123">
        <f t="shared" si="43"/>
        <v>-0.22223644653323771</v>
      </c>
      <c r="BE64" s="123">
        <f t="shared" si="44"/>
        <v>4.5361578023482494</v>
      </c>
      <c r="BF64">
        <f t="shared" si="45"/>
        <v>4.7722014740231007</v>
      </c>
      <c r="BG64">
        <f t="shared" si="46"/>
        <v>-129.04549600073412</v>
      </c>
      <c r="BH64" s="123">
        <f t="shared" si="47"/>
        <v>4.5499650274898631</v>
      </c>
      <c r="BI64" s="123">
        <f t="shared" si="48"/>
        <v>-124.50933819838588</v>
      </c>
      <c r="BL64" s="123">
        <f t="shared" si="49"/>
        <v>0</v>
      </c>
      <c r="BM64" s="123">
        <f t="shared" si="50"/>
        <v>0</v>
      </c>
      <c r="BN64" s="123">
        <f t="shared" si="51"/>
        <v>0</v>
      </c>
      <c r="BO64" s="123">
        <f t="shared" si="52"/>
        <v>0</v>
      </c>
      <c r="BP64" s="123">
        <f t="shared" si="53"/>
        <v>0</v>
      </c>
      <c r="BQ64" s="123">
        <f t="shared" si="54"/>
        <v>0</v>
      </c>
      <c r="BR64" s="123">
        <f t="shared" si="55"/>
        <v>0</v>
      </c>
      <c r="BS64" s="123"/>
      <c r="BT64" s="123"/>
      <c r="BU64" s="123">
        <f t="shared" si="56"/>
        <v>0</v>
      </c>
      <c r="BV64" s="123">
        <f t="shared" si="57"/>
        <v>0</v>
      </c>
      <c r="BX64" s="123">
        <f t="shared" si="58"/>
        <v>0</v>
      </c>
      <c r="BY64" s="123"/>
    </row>
    <row r="65" spans="5:77" x14ac:dyDescent="0.2">
      <c r="E65">
        <v>54</v>
      </c>
      <c r="F65">
        <v>950</v>
      </c>
      <c r="G65" s="58">
        <f t="shared" si="59"/>
        <v>-7.562630497973153E-3</v>
      </c>
      <c r="H65" s="58">
        <f t="shared" si="60"/>
        <v>-2.8432103899623717</v>
      </c>
      <c r="I65">
        <f t="shared" si="61"/>
        <v>14.941117305498384</v>
      </c>
      <c r="J65">
        <f t="shared" si="62"/>
        <v>-73.343368963875179</v>
      </c>
      <c r="K65" t="str">
        <f t="shared" si="63"/>
        <v>7142.85194909167-6.09083720383665i</v>
      </c>
      <c r="L65" t="str">
        <f t="shared" si="64"/>
        <v>3300-16753155.389805i</v>
      </c>
      <c r="M65" t="str">
        <f t="shared" si="65"/>
        <v>99996.3196376712-596.879786876246i</v>
      </c>
      <c r="N65">
        <f t="shared" si="21"/>
        <v>-23.521667106054043</v>
      </c>
      <c r="O65">
        <f t="shared" si="66"/>
        <v>0.27359556172532457</v>
      </c>
      <c r="P65" t="str">
        <f t="shared" si="67"/>
        <v>-507671.375448638i</v>
      </c>
      <c r="Q65" t="str">
        <f t="shared" si="68"/>
        <v>3300-3564.50114676703i</v>
      </c>
      <c r="R65" t="str">
        <f t="shared" si="22"/>
        <v>3254.0075160945-3560.65273997037i</v>
      </c>
      <c r="S65" t="str">
        <f t="shared" si="69"/>
        <v>41234217.9519307-49225613.912736i</v>
      </c>
      <c r="T65" t="str">
        <f t="shared" si="23"/>
        <v>3253.75179513184-3560.39608384809i</v>
      </c>
      <c r="U65" t="str">
        <f t="shared" si="24"/>
        <v>0.999977438009055-0.00474989283054301i</v>
      </c>
      <c r="V65">
        <f t="shared" si="70"/>
        <v>13.666619150409415</v>
      </c>
      <c r="W65">
        <f t="shared" si="71"/>
        <v>-47.848798751835993</v>
      </c>
      <c r="X65">
        <f t="shared" si="25"/>
        <v>-9.7986587071025372E-5</v>
      </c>
      <c r="Y65">
        <f t="shared" si="72"/>
        <v>-0.27215296250262561</v>
      </c>
      <c r="AA65" s="123">
        <f t="shared" si="26"/>
        <v>14.93355467500041</v>
      </c>
      <c r="AB65" s="123">
        <f t="shared" si="27"/>
        <v>-76.186579353837544</v>
      </c>
      <c r="AC65">
        <f t="shared" si="28"/>
        <v>-9.8550479556446273</v>
      </c>
      <c r="AD65">
        <f t="shared" si="29"/>
        <v>-47.57520319011067</v>
      </c>
      <c r="AE65" s="123">
        <f t="shared" si="30"/>
        <v>5.0785067193557829</v>
      </c>
      <c r="AF65" s="123">
        <f t="shared" si="31"/>
        <v>-123.76178254394821</v>
      </c>
      <c r="AI65" s="123">
        <f t="shared" si="32"/>
        <v>0</v>
      </c>
      <c r="AJ65" s="123">
        <f t="shared" si="33"/>
        <v>0</v>
      </c>
      <c r="AK65" s="123">
        <f t="shared" si="34"/>
        <v>0</v>
      </c>
      <c r="AL65" s="123">
        <f t="shared" si="35"/>
        <v>0</v>
      </c>
      <c r="AM65" s="123">
        <f t="shared" si="36"/>
        <v>0</v>
      </c>
      <c r="AN65" s="123">
        <f t="shared" si="37"/>
        <v>0</v>
      </c>
      <c r="AO65" s="123">
        <f t="shared" si="38"/>
        <v>0</v>
      </c>
      <c r="AP65" s="123"/>
      <c r="AQ65" s="123">
        <f t="shared" si="39"/>
        <v>0</v>
      </c>
      <c r="AR65" s="123">
        <f t="shared" si="40"/>
        <v>0</v>
      </c>
      <c r="AS65" s="123">
        <f t="shared" si="41"/>
        <v>0</v>
      </c>
      <c r="AW65" t="str">
        <f t="shared" si="73"/>
        <v>12700</v>
      </c>
      <c r="AX65" t="str">
        <f t="shared" si="74"/>
        <v>75-1675.3155389805i</v>
      </c>
      <c r="AY65" t="str">
        <f t="shared" si="42"/>
        <v>288.017748674841-1627.70933347908i</v>
      </c>
      <c r="AZ65">
        <f t="shared" si="75"/>
        <v>-9.6139701978767551</v>
      </c>
      <c r="BA65">
        <f t="shared" si="76"/>
        <v>-79.965585251060588</v>
      </c>
      <c r="BB65">
        <f t="shared" si="77"/>
        <v>-0.19418242640767275</v>
      </c>
      <c r="BC65">
        <f t="shared" si="78"/>
        <v>6.8763632634101919</v>
      </c>
      <c r="BD65" s="123">
        <f t="shared" si="43"/>
        <v>-0.2017450569056459</v>
      </c>
      <c r="BE65" s="123">
        <f t="shared" si="44"/>
        <v>4.0331528734478201</v>
      </c>
      <c r="BF65">
        <f t="shared" si="45"/>
        <v>4.0526489525326603</v>
      </c>
      <c r="BG65">
        <f t="shared" si="46"/>
        <v>-127.81438400289659</v>
      </c>
      <c r="BH65" s="123">
        <f t="shared" si="47"/>
        <v>3.8509038956270145</v>
      </c>
      <c r="BI65" s="123">
        <f t="shared" si="48"/>
        <v>-123.78123112944877</v>
      </c>
      <c r="BL65" s="123">
        <f t="shared" si="49"/>
        <v>0</v>
      </c>
      <c r="BM65" s="123">
        <f t="shared" si="50"/>
        <v>0</v>
      </c>
      <c r="BN65" s="123">
        <f t="shared" si="51"/>
        <v>0</v>
      </c>
      <c r="BO65" s="123">
        <f t="shared" si="52"/>
        <v>0</v>
      </c>
      <c r="BP65" s="123">
        <f t="shared" si="53"/>
        <v>0</v>
      </c>
      <c r="BQ65" s="123">
        <f t="shared" si="54"/>
        <v>0</v>
      </c>
      <c r="BR65" s="123">
        <f t="shared" si="55"/>
        <v>0</v>
      </c>
      <c r="BS65" s="123"/>
      <c r="BT65" s="123"/>
      <c r="BU65" s="123">
        <f t="shared" si="56"/>
        <v>0</v>
      </c>
      <c r="BV65" s="123">
        <f t="shared" si="57"/>
        <v>0</v>
      </c>
      <c r="BX65" s="123">
        <f t="shared" si="58"/>
        <v>0</v>
      </c>
      <c r="BY65" s="123"/>
    </row>
    <row r="66" spans="5:77" x14ac:dyDescent="0.2">
      <c r="E66">
        <v>55</v>
      </c>
      <c r="F66">
        <v>1000</v>
      </c>
      <c r="G66" s="58">
        <f t="shared" si="59"/>
        <v>-8.3789259470476978E-3</v>
      </c>
      <c r="H66" s="58">
        <f t="shared" si="60"/>
        <v>-2.9927043646034508</v>
      </c>
      <c r="I66">
        <f t="shared" si="61"/>
        <v>14.521388610392869</v>
      </c>
      <c r="J66">
        <f t="shared" si="62"/>
        <v>-73.875974438825892</v>
      </c>
      <c r="K66" t="str">
        <f t="shared" si="63"/>
        <v>7142.8513879928-6.41140707934488i</v>
      </c>
      <c r="L66" t="str">
        <f t="shared" si="64"/>
        <v>3300-15915497.6203148i</v>
      </c>
      <c r="M66" t="str">
        <f t="shared" si="65"/>
        <v>99995.9220529499-628.291931966117i</v>
      </c>
      <c r="N66">
        <f t="shared" si="21"/>
        <v>-23.521650029068102</v>
      </c>
      <c r="O66">
        <f t="shared" si="66"/>
        <v>0.28799482342773236</v>
      </c>
      <c r="P66" t="str">
        <f t="shared" si="67"/>
        <v>-482287.806676206i</v>
      </c>
      <c r="Q66" t="str">
        <f t="shared" si="68"/>
        <v>3300-3386.27608942868i</v>
      </c>
      <c r="R66" t="str">
        <f t="shared" si="22"/>
        <v>3253.99286934883-3384.7757225966i</v>
      </c>
      <c r="S66" t="str">
        <f t="shared" si="69"/>
        <v>38772673.5516293-48723168.4193641i</v>
      </c>
      <c r="T66" t="str">
        <f t="shared" si="23"/>
        <v>3253.72476061535-3384.54454675543i</v>
      </c>
      <c r="U66" t="str">
        <f t="shared" si="24"/>
        <v>0.999975000624984-0.00499987500312492i</v>
      </c>
      <c r="V66">
        <f t="shared" si="70"/>
        <v>13.432375125683365</v>
      </c>
      <c r="W66">
        <f t="shared" si="71"/>
        <v>-46.415462890707452</v>
      </c>
      <c r="X66">
        <f t="shared" si="25"/>
        <v>-1.0857226333114956E-4</v>
      </c>
      <c r="Y66">
        <f t="shared" si="72"/>
        <v>-0.28647656987683245</v>
      </c>
      <c r="AA66" s="123">
        <f t="shared" si="26"/>
        <v>14.513009684445821</v>
      </c>
      <c r="AB66" s="123">
        <f t="shared" si="27"/>
        <v>-76.868678803429347</v>
      </c>
      <c r="AC66">
        <f t="shared" si="28"/>
        <v>-10.089274903384737</v>
      </c>
      <c r="AD66">
        <f t="shared" si="29"/>
        <v>-46.127468067279722</v>
      </c>
      <c r="AE66" s="123">
        <f t="shared" si="30"/>
        <v>4.4237347810610839</v>
      </c>
      <c r="AF66" s="123">
        <f t="shared" si="31"/>
        <v>-122.99614687070907</v>
      </c>
      <c r="AI66" s="123">
        <f t="shared" si="32"/>
        <v>1456.4077155106802</v>
      </c>
      <c r="AJ66" s="123">
        <f t="shared" si="33"/>
        <v>-116.84874478114486</v>
      </c>
      <c r="AK66" s="123">
        <f t="shared" si="34"/>
        <v>0</v>
      </c>
      <c r="AL66" s="123">
        <f t="shared" si="35"/>
        <v>0</v>
      </c>
      <c r="AM66" s="123">
        <f t="shared" si="36"/>
        <v>0</v>
      </c>
      <c r="AN66" s="123">
        <f t="shared" si="37"/>
        <v>0</v>
      </c>
      <c r="AO66" s="123">
        <f t="shared" si="38"/>
        <v>0</v>
      </c>
      <c r="AP66" s="123"/>
      <c r="AQ66" s="123">
        <f t="shared" si="39"/>
        <v>4.1703312769405434</v>
      </c>
      <c r="AR66" s="123">
        <f t="shared" si="40"/>
        <v>0</v>
      </c>
      <c r="AS66" s="123">
        <f t="shared" si="41"/>
        <v>0</v>
      </c>
      <c r="AW66" t="str">
        <f t="shared" si="73"/>
        <v>12700</v>
      </c>
      <c r="AX66" t="str">
        <f t="shared" si="74"/>
        <v>75-1591.54976203148i</v>
      </c>
      <c r="AY66" t="str">
        <f t="shared" si="42"/>
        <v>267.523675376775-1548.87708304627i</v>
      </c>
      <c r="AZ66">
        <f t="shared" si="75"/>
        <v>-10.051394814488731</v>
      </c>
      <c r="BA66">
        <f t="shared" si="76"/>
        <v>-80.20051424990713</v>
      </c>
      <c r="BB66">
        <f t="shared" si="77"/>
        <v>-0.1758839100162857</v>
      </c>
      <c r="BC66">
        <f t="shared" si="78"/>
        <v>6.5546504818779434</v>
      </c>
      <c r="BD66" s="123">
        <f t="shared" si="43"/>
        <v>-0.1842628359633334</v>
      </c>
      <c r="BE66" s="123">
        <f t="shared" si="44"/>
        <v>3.5619461172744926</v>
      </c>
      <c r="BF66">
        <f t="shared" si="45"/>
        <v>3.3809803111946337</v>
      </c>
      <c r="BG66">
        <f t="shared" si="46"/>
        <v>-126.61597714061458</v>
      </c>
      <c r="BH66" s="123">
        <f t="shared" si="47"/>
        <v>3.1967174752313001</v>
      </c>
      <c r="BI66" s="123">
        <f t="shared" si="48"/>
        <v>-123.05403102334009</v>
      </c>
      <c r="BL66" s="123">
        <f t="shared" si="49"/>
        <v>1329.9665787869264</v>
      </c>
      <c r="BM66" s="123">
        <f t="shared" si="50"/>
        <v>-118.82086488335355</v>
      </c>
      <c r="BN66" s="123">
        <f t="shared" si="51"/>
        <v>0</v>
      </c>
      <c r="BO66" s="123">
        <f t="shared" si="52"/>
        <v>0</v>
      </c>
      <c r="BP66" s="123">
        <f t="shared" si="53"/>
        <v>0</v>
      </c>
      <c r="BQ66" s="123">
        <f t="shared" si="54"/>
        <v>0</v>
      </c>
      <c r="BR66" s="123">
        <f t="shared" si="55"/>
        <v>0</v>
      </c>
      <c r="BS66" s="123"/>
      <c r="BT66" s="123"/>
      <c r="BU66" s="123">
        <f t="shared" si="56"/>
        <v>0</v>
      </c>
      <c r="BV66" s="123">
        <f t="shared" si="57"/>
        <v>0</v>
      </c>
      <c r="BX66" s="123">
        <f t="shared" si="58"/>
        <v>0</v>
      </c>
      <c r="BY66" s="123"/>
    </row>
    <row r="67" spans="5:77" x14ac:dyDescent="0.2">
      <c r="E67">
        <v>56</v>
      </c>
      <c r="F67">
        <v>1500</v>
      </c>
      <c r="G67" s="58">
        <f t="shared" si="59"/>
        <v>-1.8831847389076586E-2</v>
      </c>
      <c r="H67" s="58">
        <f t="shared" si="60"/>
        <v>-4.4862015729695379</v>
      </c>
      <c r="I67">
        <f t="shared" si="61"/>
        <v>11.142365217414422</v>
      </c>
      <c r="J67">
        <f t="shared" si="62"/>
        <v>-76.815627149097651</v>
      </c>
      <c r="K67" t="str">
        <f t="shared" si="63"/>
        <v>7142.84419442542-9.61710093362285i</v>
      </c>
      <c r="L67" t="str">
        <f t="shared" si="64"/>
        <v>3300-10610331.7468765i</v>
      </c>
      <c r="M67" t="str">
        <f t="shared" si="65"/>
        <v>99990.8251022551-942.388275089184i</v>
      </c>
      <c r="N67">
        <f t="shared" si="21"/>
        <v>-23.521431099829297</v>
      </c>
      <c r="O67">
        <f t="shared" si="66"/>
        <v>0.43198252962518829</v>
      </c>
      <c r="P67" t="str">
        <f t="shared" si="67"/>
        <v>-321525.204450804i</v>
      </c>
      <c r="Q67" t="str">
        <f t="shared" si="68"/>
        <v>3300-2257.51739295245i</v>
      </c>
      <c r="R67" t="str">
        <f t="shared" si="22"/>
        <v>3253.80510223906-2274.940101693i</v>
      </c>
      <c r="S67" t="str">
        <f t="shared" si="69"/>
        <v>21963269.8723097-41399779.7548135i</v>
      </c>
      <c r="T67" t="str">
        <f t="shared" si="23"/>
        <v>3253.47195344062-2274.89405987681i</v>
      </c>
      <c r="U67" t="str">
        <f t="shared" si="24"/>
        <v>0.999943753163884-0.00749957814872913i</v>
      </c>
      <c r="V67">
        <f t="shared" si="70"/>
        <v>11.975379226001836</v>
      </c>
      <c r="W67">
        <f t="shared" si="71"/>
        <v>-35.391749660997561</v>
      </c>
      <c r="X67">
        <f t="shared" si="25"/>
        <v>-2.4428377565909336E-4</v>
      </c>
      <c r="Y67">
        <f t="shared" si="72"/>
        <v>-0.42971037879974944</v>
      </c>
      <c r="AA67" s="123">
        <f t="shared" si="26"/>
        <v>11.123533370025346</v>
      </c>
      <c r="AB67" s="123">
        <f t="shared" si="27"/>
        <v>-81.301828722067185</v>
      </c>
      <c r="AC67">
        <f t="shared" si="28"/>
        <v>-11.54605187382746</v>
      </c>
      <c r="AD67">
        <f t="shared" si="29"/>
        <v>-34.959767131372374</v>
      </c>
      <c r="AE67" s="123">
        <f t="shared" si="30"/>
        <v>-0.42251850380211486</v>
      </c>
      <c r="AF67" s="123">
        <f t="shared" si="31"/>
        <v>-116.26159585343956</v>
      </c>
      <c r="AI67" s="123">
        <f t="shared" si="32"/>
        <v>0</v>
      </c>
      <c r="AJ67" s="123">
        <f t="shared" si="33"/>
        <v>0</v>
      </c>
      <c r="AK67" s="123">
        <f t="shared" si="34"/>
        <v>0</v>
      </c>
      <c r="AL67" s="123">
        <f t="shared" si="35"/>
        <v>0</v>
      </c>
      <c r="AM67" s="123">
        <f t="shared" si="36"/>
        <v>0</v>
      </c>
      <c r="AN67" s="123">
        <f t="shared" si="37"/>
        <v>0</v>
      </c>
      <c r="AO67" s="123">
        <f t="shared" si="38"/>
        <v>0</v>
      </c>
      <c r="AP67" s="123"/>
      <c r="AQ67" s="123">
        <f t="shared" si="39"/>
        <v>0</v>
      </c>
      <c r="AR67" s="123">
        <f t="shared" si="40"/>
        <v>0</v>
      </c>
      <c r="AS67" s="123">
        <f t="shared" si="41"/>
        <v>0</v>
      </c>
      <c r="AW67" t="str">
        <f t="shared" si="73"/>
        <v>12700</v>
      </c>
      <c r="AX67" t="str">
        <f t="shared" si="74"/>
        <v>75-1061.03317468765i</v>
      </c>
      <c r="AY67" t="str">
        <f t="shared" si="42"/>
        <v>161.05589613686-1041.42744968712i</v>
      </c>
      <c r="AZ67">
        <f t="shared" si="75"/>
        <v>-13.52417482348438</v>
      </c>
      <c r="BA67">
        <f t="shared" si="76"/>
        <v>-81.208914139157088</v>
      </c>
      <c r="BB67">
        <f t="shared" si="77"/>
        <v>-7.9656989095826025E-2</v>
      </c>
      <c r="BC67">
        <f t="shared" si="78"/>
        <v>4.4473720819828362</v>
      </c>
      <c r="BD67" s="123">
        <f t="shared" si="43"/>
        <v>-9.8488836484902614E-2</v>
      </c>
      <c r="BE67" s="123">
        <f t="shared" si="44"/>
        <v>-3.8829490986701742E-2</v>
      </c>
      <c r="BF67">
        <f t="shared" si="45"/>
        <v>-1.5487955974825436</v>
      </c>
      <c r="BG67">
        <f t="shared" si="46"/>
        <v>-116.60066380015465</v>
      </c>
      <c r="BH67" s="123">
        <f t="shared" si="47"/>
        <v>-1.6472844339674462</v>
      </c>
      <c r="BI67" s="123">
        <f t="shared" si="48"/>
        <v>-116.63949329114135</v>
      </c>
      <c r="BL67" s="123">
        <f t="shared" si="49"/>
        <v>0</v>
      </c>
      <c r="BM67" s="123">
        <f t="shared" si="50"/>
        <v>0</v>
      </c>
      <c r="BN67" s="123">
        <f t="shared" si="51"/>
        <v>0</v>
      </c>
      <c r="BO67" s="123">
        <f t="shared" si="52"/>
        <v>0</v>
      </c>
      <c r="BP67" s="123">
        <f t="shared" si="53"/>
        <v>0</v>
      </c>
      <c r="BQ67" s="123">
        <f t="shared" si="54"/>
        <v>0</v>
      </c>
      <c r="BR67" s="123">
        <f t="shared" si="55"/>
        <v>0</v>
      </c>
      <c r="BS67" s="123"/>
      <c r="BT67" s="123"/>
      <c r="BU67" s="123">
        <f t="shared" si="56"/>
        <v>0</v>
      </c>
      <c r="BV67" s="123">
        <f t="shared" si="57"/>
        <v>0</v>
      </c>
      <c r="BX67" s="123">
        <f t="shared" si="58"/>
        <v>0</v>
      </c>
      <c r="BY67" s="123"/>
    </row>
    <row r="68" spans="5:77" x14ac:dyDescent="0.2">
      <c r="E68">
        <v>57</v>
      </c>
      <c r="F68">
        <v>2000</v>
      </c>
      <c r="G68" s="58">
        <f t="shared" si="59"/>
        <v>-3.3427419046131973E-2</v>
      </c>
      <c r="H68" s="58">
        <f t="shared" si="60"/>
        <v>-5.9762902296444151</v>
      </c>
      <c r="I68">
        <f t="shared" si="61"/>
        <v>8.7082127070201416</v>
      </c>
      <c r="J68">
        <f t="shared" si="62"/>
        <v>-77.630532890281472</v>
      </c>
      <c r="K68" t="str">
        <f t="shared" si="63"/>
        <v>7142.83412345541-12.8227831654712i</v>
      </c>
      <c r="L68" t="str">
        <f t="shared" si="64"/>
        <v>3300-7957748.8101574i</v>
      </c>
      <c r="M68" t="str">
        <f t="shared" si="65"/>
        <v>99983.6902729507-1256.42508248486i</v>
      </c>
      <c r="N68">
        <f t="shared" si="21"/>
        <v>-23.521124619086521</v>
      </c>
      <c r="O68">
        <f t="shared" si="66"/>
        <v>0.57595859058807508</v>
      </c>
      <c r="P68" t="str">
        <f t="shared" si="67"/>
        <v>-241143.903338103i</v>
      </c>
      <c r="Q68" t="str">
        <f t="shared" si="68"/>
        <v>3300-1693.13804471434i</v>
      </c>
      <c r="R68" t="str">
        <f t="shared" si="22"/>
        <v>3253.54226468751-1725.54649850786i</v>
      </c>
      <c r="S68" t="str">
        <f t="shared" si="69"/>
        <v>13667654.7594377-34350555.8808091i</v>
      </c>
      <c r="T68" t="str">
        <f t="shared" si="23"/>
        <v>3253.1840092049-1725.62539715988i</v>
      </c>
      <c r="U68" t="str">
        <f t="shared" si="24"/>
        <v>0.999900009999-0.00999900009999i</v>
      </c>
      <c r="V68">
        <f t="shared" si="70"/>
        <v>11.322479431075079</v>
      </c>
      <c r="W68">
        <f t="shared" si="71"/>
        <v>-28.516301295056394</v>
      </c>
      <c r="X68">
        <f t="shared" si="25"/>
        <v>-4.3427276862828968E-4</v>
      </c>
      <c r="Y68">
        <f t="shared" si="72"/>
        <v>-0.57293881688002213</v>
      </c>
      <c r="AA68" s="123">
        <f t="shared" si="26"/>
        <v>8.6747852879740091</v>
      </c>
      <c r="AB68" s="123">
        <f t="shared" si="27"/>
        <v>-83.606823119925892</v>
      </c>
      <c r="AC68">
        <f t="shared" si="28"/>
        <v>-12.198645188011442</v>
      </c>
      <c r="AD68">
        <f t="shared" si="29"/>
        <v>-27.940342704468318</v>
      </c>
      <c r="AE68" s="123">
        <f t="shared" si="30"/>
        <v>-3.5238599000374329</v>
      </c>
      <c r="AF68" s="123">
        <f t="shared" si="31"/>
        <v>-111.54716582439421</v>
      </c>
      <c r="AI68" s="123">
        <f t="shared" si="32"/>
        <v>0</v>
      </c>
      <c r="AJ68" s="123">
        <f t="shared" si="33"/>
        <v>0</v>
      </c>
      <c r="AK68" s="123">
        <f t="shared" si="34"/>
        <v>0</v>
      </c>
      <c r="AL68" s="123">
        <f t="shared" si="35"/>
        <v>0</v>
      </c>
      <c r="AM68" s="123">
        <f t="shared" si="36"/>
        <v>0</v>
      </c>
      <c r="AN68" s="123">
        <f t="shared" si="37"/>
        <v>0</v>
      </c>
      <c r="AO68" s="123">
        <f t="shared" si="38"/>
        <v>0</v>
      </c>
      <c r="AP68" s="123"/>
      <c r="AQ68" s="123">
        <f t="shared" si="39"/>
        <v>0</v>
      </c>
      <c r="AR68" s="123">
        <f t="shared" si="40"/>
        <v>0</v>
      </c>
      <c r="AS68" s="123">
        <f t="shared" si="41"/>
        <v>0</v>
      </c>
      <c r="AW68" t="str">
        <f t="shared" si="73"/>
        <v>12700</v>
      </c>
      <c r="AX68" t="str">
        <f t="shared" si="74"/>
        <v>75-795.77488101574i</v>
      </c>
      <c r="AY68" t="str">
        <f t="shared" si="42"/>
        <v>123.360073445454-783.418719462368i</v>
      </c>
      <c r="AZ68">
        <f t="shared" si="75"/>
        <v>-15.99315188480846</v>
      </c>
      <c r="BA68">
        <f t="shared" si="76"/>
        <v>-81.051483197614061</v>
      </c>
      <c r="BB68">
        <f t="shared" si="77"/>
        <v>-4.5108146302604832E-2</v>
      </c>
      <c r="BC68">
        <f t="shared" si="78"/>
        <v>3.3564593497781003</v>
      </c>
      <c r="BD68" s="123">
        <f t="shared" si="43"/>
        <v>-7.8535565348736805E-2</v>
      </c>
      <c r="BE68" s="123">
        <f t="shared" si="44"/>
        <v>-2.6198308798663148</v>
      </c>
      <c r="BF68">
        <f t="shared" si="45"/>
        <v>-4.6706724537333812</v>
      </c>
      <c r="BG68">
        <f t="shared" si="46"/>
        <v>-109.56778449267046</v>
      </c>
      <c r="BH68" s="123">
        <f t="shared" si="47"/>
        <v>-4.7492080190821184</v>
      </c>
      <c r="BI68" s="123">
        <f t="shared" si="48"/>
        <v>-112.18761537253677</v>
      </c>
      <c r="BL68" s="123">
        <f t="shared" si="49"/>
        <v>0</v>
      </c>
      <c r="BM68" s="123">
        <f t="shared" si="50"/>
        <v>0</v>
      </c>
      <c r="BN68" s="123">
        <f t="shared" si="51"/>
        <v>0</v>
      </c>
      <c r="BO68" s="123">
        <f t="shared" si="52"/>
        <v>0</v>
      </c>
      <c r="BP68" s="123">
        <f t="shared" si="53"/>
        <v>0</v>
      </c>
      <c r="BQ68" s="123">
        <f t="shared" si="54"/>
        <v>0</v>
      </c>
      <c r="BR68" s="123">
        <f t="shared" si="55"/>
        <v>0</v>
      </c>
      <c r="BS68" s="123"/>
      <c r="BT68" s="123"/>
      <c r="BU68" s="123">
        <f t="shared" si="56"/>
        <v>0</v>
      </c>
      <c r="BV68" s="123">
        <f t="shared" si="57"/>
        <v>0</v>
      </c>
      <c r="BX68" s="123">
        <f t="shared" si="58"/>
        <v>0</v>
      </c>
      <c r="BY68" s="123"/>
    </row>
    <row r="69" spans="5:77" x14ac:dyDescent="0.2">
      <c r="E69">
        <v>58</v>
      </c>
      <c r="F69">
        <v>2500</v>
      </c>
      <c r="G69" s="58">
        <f t="shared" si="59"/>
        <v>-5.2127543771419808E-2</v>
      </c>
      <c r="H69" s="58">
        <f t="shared" si="60"/>
        <v>-7.4618629236226219</v>
      </c>
      <c r="I69">
        <f t="shared" si="61"/>
        <v>6.8150400713499337</v>
      </c>
      <c r="J69">
        <f t="shared" si="62"/>
        <v>-77.57612626667742</v>
      </c>
      <c r="K69" t="str">
        <f t="shared" si="63"/>
        <v>7142.82117510716-16.0284499008195i</v>
      </c>
      <c r="L69" t="str">
        <f t="shared" si="64"/>
        <v>3300-6366199.04812592i</v>
      </c>
      <c r="M69" t="str">
        <f t="shared" si="65"/>
        <v>99974.5184663629-1570.38252841282i</v>
      </c>
      <c r="N69">
        <f t="shared" si="21"/>
        <v>-23.520730607026277</v>
      </c>
      <c r="O69">
        <f t="shared" si="66"/>
        <v>0.71991912687960635</v>
      </c>
      <c r="P69" t="str">
        <f t="shared" si="67"/>
        <v>-192915.122670482i</v>
      </c>
      <c r="Q69" t="str">
        <f t="shared" si="68"/>
        <v>3300-1354.51043577147i</v>
      </c>
      <c r="R69" t="str">
        <f t="shared" si="22"/>
        <v>3253.20439308115-1400.32756032272i</v>
      </c>
      <c r="S69" t="str">
        <f t="shared" si="69"/>
        <v>9199970.31086149-28902553.1288399i</v>
      </c>
      <c r="T69" t="str">
        <f t="shared" si="23"/>
        <v>3252.83194781544-1400.50728399019i</v>
      </c>
      <c r="U69" t="str">
        <f t="shared" si="24"/>
        <v>0.999843774410248-0.0124980471801281i</v>
      </c>
      <c r="V69">
        <f t="shared" si="70"/>
        <v>10.983105893533269</v>
      </c>
      <c r="W69">
        <f t="shared" si="71"/>
        <v>-24.010466928015042</v>
      </c>
      <c r="X69">
        <f t="shared" si="25"/>
        <v>-6.7853211903576923E-4</v>
      </c>
      <c r="Y69">
        <f t="shared" si="72"/>
        <v>-0.71616009446328555</v>
      </c>
      <c r="AA69" s="123">
        <f t="shared" si="26"/>
        <v>6.7629125275785142</v>
      </c>
      <c r="AB69" s="123">
        <f t="shared" si="27"/>
        <v>-85.037989190300038</v>
      </c>
      <c r="AC69">
        <f t="shared" si="28"/>
        <v>-12.537624713493008</v>
      </c>
      <c r="AD69">
        <f t="shared" si="29"/>
        <v>-23.290547801135435</v>
      </c>
      <c r="AE69" s="123">
        <f t="shared" si="30"/>
        <v>-5.7747121859144936</v>
      </c>
      <c r="AF69" s="123">
        <f t="shared" si="31"/>
        <v>-108.32853699143547</v>
      </c>
      <c r="AI69" s="123">
        <f t="shared" si="32"/>
        <v>0</v>
      </c>
      <c r="AJ69" s="123">
        <f t="shared" si="33"/>
        <v>0</v>
      </c>
      <c r="AK69" s="123">
        <f t="shared" si="34"/>
        <v>0</v>
      </c>
      <c r="AL69" s="123">
        <f t="shared" si="35"/>
        <v>0</v>
      </c>
      <c r="AM69" s="123">
        <f t="shared" si="36"/>
        <v>0</v>
      </c>
      <c r="AN69" s="123">
        <f t="shared" si="37"/>
        <v>0</v>
      </c>
      <c r="AO69" s="123">
        <f t="shared" si="38"/>
        <v>0</v>
      </c>
      <c r="AP69" s="123"/>
      <c r="AQ69" s="123">
        <f t="shared" si="39"/>
        <v>0</v>
      </c>
      <c r="AR69" s="123">
        <f t="shared" si="40"/>
        <v>0</v>
      </c>
      <c r="AS69" s="123">
        <f t="shared" si="41"/>
        <v>0</v>
      </c>
      <c r="AW69" t="str">
        <f t="shared" si="73"/>
        <v>12700</v>
      </c>
      <c r="AX69" t="str">
        <f t="shared" si="74"/>
        <v>75-636.619904812592i</v>
      </c>
      <c r="AY69" t="str">
        <f t="shared" si="42"/>
        <v>105.835454116114-627.608284492738i</v>
      </c>
      <c r="AZ69">
        <f t="shared" si="75"/>
        <v>-17.903849461349488</v>
      </c>
      <c r="BA69">
        <f t="shared" si="76"/>
        <v>-80.428113152454685</v>
      </c>
      <c r="BB69">
        <f t="shared" si="77"/>
        <v>-2.8959389311637135E-2</v>
      </c>
      <c r="BC69">
        <f t="shared" si="78"/>
        <v>2.6929988286134789</v>
      </c>
      <c r="BD69" s="123">
        <f t="shared" si="43"/>
        <v>-8.108693308305695E-2</v>
      </c>
      <c r="BE69" s="123">
        <f t="shared" si="44"/>
        <v>-4.7688640950091425</v>
      </c>
      <c r="BF69">
        <f t="shared" si="45"/>
        <v>-6.9207435678162188</v>
      </c>
      <c r="BG69">
        <f t="shared" si="46"/>
        <v>-104.43858008046973</v>
      </c>
      <c r="BH69" s="123">
        <f t="shared" si="47"/>
        <v>-7.0018305008992758</v>
      </c>
      <c r="BI69" s="123">
        <f t="shared" si="48"/>
        <v>-109.20744417547888</v>
      </c>
      <c r="BL69" s="123">
        <f t="shared" si="49"/>
        <v>0</v>
      </c>
      <c r="BM69" s="123">
        <f t="shared" si="50"/>
        <v>0</v>
      </c>
      <c r="BN69" s="123">
        <f t="shared" si="51"/>
        <v>0</v>
      </c>
      <c r="BO69" s="123">
        <f t="shared" si="52"/>
        <v>0</v>
      </c>
      <c r="BP69" s="123">
        <f t="shared" si="53"/>
        <v>0</v>
      </c>
      <c r="BQ69" s="123">
        <f t="shared" si="54"/>
        <v>0</v>
      </c>
      <c r="BR69" s="123">
        <f t="shared" si="55"/>
        <v>0</v>
      </c>
      <c r="BS69" s="123"/>
      <c r="BT69" s="123"/>
      <c r="BU69" s="123">
        <f t="shared" si="56"/>
        <v>0</v>
      </c>
      <c r="BV69" s="123">
        <f t="shared" si="57"/>
        <v>0</v>
      </c>
      <c r="BX69" s="123">
        <f t="shared" si="58"/>
        <v>0</v>
      </c>
      <c r="BY69" s="123"/>
    </row>
    <row r="70" spans="5:77" x14ac:dyDescent="0.2">
      <c r="E70">
        <v>59</v>
      </c>
      <c r="F70">
        <v>3000</v>
      </c>
      <c r="G70" s="58">
        <f t="shared" si="59"/>
        <v>-7.4883832231138273E-2</v>
      </c>
      <c r="H70" s="58">
        <f t="shared" si="60"/>
        <v>-8.9418364021990229</v>
      </c>
      <c r="I70">
        <f t="shared" si="61"/>
        <v>5.2716520074845885</v>
      </c>
      <c r="J70">
        <f t="shared" si="62"/>
        <v>-77.086882575153311</v>
      </c>
      <c r="K70" t="str">
        <f t="shared" si="63"/>
        <v>7142.80534941191-19.2340972656597i</v>
      </c>
      <c r="L70" t="str">
        <f t="shared" si="64"/>
        <v>3300-5305165.87343827i</v>
      </c>
      <c r="M70" t="str">
        <f t="shared" si="65"/>
        <v>99963.3108408521-1884.24080383777i</v>
      </c>
      <c r="N70">
        <f t="shared" si="21"/>
        <v>-23.520249089595332</v>
      </c>
      <c r="O70">
        <f t="shared" si="66"/>
        <v>0.86386026104041247</v>
      </c>
      <c r="P70" t="str">
        <f t="shared" si="67"/>
        <v>-160762.602225402i</v>
      </c>
      <c r="Q70" t="str">
        <f t="shared" si="68"/>
        <v>3300-1128.75869647623i</v>
      </c>
      <c r="R70" t="str">
        <f t="shared" si="22"/>
        <v>3252.79153418169-1187.19366060315i</v>
      </c>
      <c r="S70" t="str">
        <f t="shared" si="69"/>
        <v>6573660.57800507-24782111.3790914i</v>
      </c>
      <c r="T70" t="str">
        <f t="shared" si="23"/>
        <v>3252.40865703106-1187.46211050729i</v>
      </c>
      <c r="U70" t="str">
        <f t="shared" si="24"/>
        <v>0.999775050613612-0.0149966257592042i</v>
      </c>
      <c r="V70">
        <f t="shared" si="70"/>
        <v>10.786573009632681</v>
      </c>
      <c r="W70">
        <f t="shared" si="71"/>
        <v>-20.91663441607977</v>
      </c>
      <c r="X70">
        <f t="shared" si="25"/>
        <v>-9.7705266997797973E-4</v>
      </c>
      <c r="Y70">
        <f t="shared" si="72"/>
        <v>-0.85937242243203782</v>
      </c>
      <c r="AA70" s="123">
        <f t="shared" si="26"/>
        <v>5.1967681752534505</v>
      </c>
      <c r="AB70" s="123">
        <f t="shared" si="27"/>
        <v>-86.028718977352327</v>
      </c>
      <c r="AC70">
        <f t="shared" si="28"/>
        <v>-12.733676079962651</v>
      </c>
      <c r="AD70">
        <f t="shared" si="29"/>
        <v>-20.052774155039359</v>
      </c>
      <c r="AE70" s="123">
        <f t="shared" si="30"/>
        <v>-7.5369079047092002</v>
      </c>
      <c r="AF70" s="123">
        <f t="shared" si="31"/>
        <v>-106.08149313239169</v>
      </c>
      <c r="AI70" s="123">
        <f t="shared" si="32"/>
        <v>0</v>
      </c>
      <c r="AJ70" s="123">
        <f t="shared" si="33"/>
        <v>0</v>
      </c>
      <c r="AK70" s="123">
        <f t="shared" si="34"/>
        <v>0</v>
      </c>
      <c r="AL70" s="123">
        <f t="shared" si="35"/>
        <v>0</v>
      </c>
      <c r="AM70" s="123">
        <f t="shared" si="36"/>
        <v>0</v>
      </c>
      <c r="AN70" s="123">
        <f t="shared" si="37"/>
        <v>0</v>
      </c>
      <c r="AO70" s="123">
        <f t="shared" si="38"/>
        <v>0</v>
      </c>
      <c r="AP70" s="123"/>
      <c r="AQ70" s="123">
        <f t="shared" si="39"/>
        <v>0</v>
      </c>
      <c r="AR70" s="123">
        <f t="shared" si="40"/>
        <v>0</v>
      </c>
      <c r="AS70" s="123">
        <f t="shared" si="41"/>
        <v>0</v>
      </c>
      <c r="AW70" t="str">
        <f t="shared" si="73"/>
        <v>12700</v>
      </c>
      <c r="AX70" t="str">
        <f t="shared" si="74"/>
        <v>75-530.516587343826i</v>
      </c>
      <c r="AY70" t="str">
        <f t="shared" si="42"/>
        <v>96.2954219602641-523.403079501479i</v>
      </c>
      <c r="AZ70">
        <f t="shared" si="75"/>
        <v>-19.458105823419412</v>
      </c>
      <c r="BA70">
        <f t="shared" si="76"/>
        <v>-79.575345711314682</v>
      </c>
      <c r="BB70">
        <f t="shared" si="77"/>
        <v>-2.0144887747025275E-2</v>
      </c>
      <c r="BC70">
        <f t="shared" si="78"/>
        <v>2.2477289278463366</v>
      </c>
      <c r="BD70" s="123">
        <f t="shared" si="43"/>
        <v>-9.5028719978163548E-2</v>
      </c>
      <c r="BE70" s="123">
        <f t="shared" si="44"/>
        <v>-6.6941074743526858</v>
      </c>
      <c r="BF70">
        <f t="shared" si="45"/>
        <v>-8.6715328137867314</v>
      </c>
      <c r="BG70">
        <f t="shared" si="46"/>
        <v>-100.49198012739446</v>
      </c>
      <c r="BH70" s="123">
        <f t="shared" si="47"/>
        <v>-8.7665615337648948</v>
      </c>
      <c r="BI70" s="123">
        <f t="shared" si="48"/>
        <v>-107.18608760174715</v>
      </c>
      <c r="BL70" s="123">
        <f t="shared" si="49"/>
        <v>0</v>
      </c>
      <c r="BM70" s="123">
        <f t="shared" si="50"/>
        <v>0</v>
      </c>
      <c r="BN70" s="123">
        <f t="shared" si="51"/>
        <v>0</v>
      </c>
      <c r="BO70" s="123">
        <f t="shared" si="52"/>
        <v>0</v>
      </c>
      <c r="BP70" s="123">
        <f t="shared" si="53"/>
        <v>0</v>
      </c>
      <c r="BQ70" s="123">
        <f t="shared" si="54"/>
        <v>0</v>
      </c>
      <c r="BR70" s="123">
        <f t="shared" si="55"/>
        <v>0</v>
      </c>
      <c r="BS70" s="123"/>
      <c r="BT70" s="123"/>
      <c r="BU70" s="123">
        <f t="shared" si="56"/>
        <v>0</v>
      </c>
      <c r="BV70" s="123">
        <f t="shared" si="57"/>
        <v>0</v>
      </c>
      <c r="BX70" s="123">
        <f t="shared" si="58"/>
        <v>0</v>
      </c>
      <c r="BY70" s="123"/>
    </row>
    <row r="71" spans="5:77" x14ac:dyDescent="0.2">
      <c r="E71">
        <v>60</v>
      </c>
      <c r="F71">
        <v>3500</v>
      </c>
      <c r="G71" s="58">
        <f t="shared" si="59"/>
        <v>-0.10163803196536719</v>
      </c>
      <c r="H71" s="58">
        <f t="shared" si="60"/>
        <v>-10.41515699536199</v>
      </c>
      <c r="I71">
        <f t="shared" si="61"/>
        <v>3.9732254193829379</v>
      </c>
      <c r="J71">
        <f t="shared" si="62"/>
        <v>-76.352722120475804</v>
      </c>
      <c r="K71" t="str">
        <f t="shared" si="63"/>
        <v>7142.78664640796-22.439721386062i</v>
      </c>
      <c r="L71" t="str">
        <f t="shared" si="64"/>
        <v>3300-4547285.03437566i</v>
      </c>
      <c r="M71" t="str">
        <f t="shared" si="65"/>
        <v>99950.0688114467-2197.98012059183i</v>
      </c>
      <c r="N71">
        <f t="shared" si="21"/>
        <v>-23.519680098495172</v>
      </c>
      <c r="O71">
        <f t="shared" si="66"/>
        <v>1.0077781180816869</v>
      </c>
      <c r="P71" t="str">
        <f t="shared" si="67"/>
        <v>-137796.516193202i</v>
      </c>
      <c r="Q71" t="str">
        <f t="shared" si="68"/>
        <v>3300-967.50745412248i</v>
      </c>
      <c r="R71" t="str">
        <f t="shared" si="22"/>
        <v>3252.30374510933-1038.10595240455i</v>
      </c>
      <c r="S71" t="str">
        <f t="shared" si="69"/>
        <v>4915353.53794902-21618849.4927892i</v>
      </c>
      <c r="T71" t="str">
        <f t="shared" si="23"/>
        <v>3251.91174198138-1038.45617193147i</v>
      </c>
      <c r="U71" t="str">
        <f t="shared" si="24"/>
        <v>0.999693843760348-0.0174946422658061i</v>
      </c>
      <c r="V71">
        <f t="shared" si="70"/>
        <v>10.663167346862446</v>
      </c>
      <c r="W71">
        <f t="shared" si="71"/>
        <v>-18.712791053310127</v>
      </c>
      <c r="X71">
        <f t="shared" si="25"/>
        <v>-1.3298232320420092E-3</v>
      </c>
      <c r="Y71">
        <f t="shared" si="72"/>
        <v>-1.0025740123396638</v>
      </c>
      <c r="AA71" s="123">
        <f t="shared" si="26"/>
        <v>3.8715873874175708</v>
      </c>
      <c r="AB71" s="123">
        <f t="shared" si="27"/>
        <v>-86.767879115837786</v>
      </c>
      <c r="AC71">
        <f t="shared" si="28"/>
        <v>-12.856512751632726</v>
      </c>
      <c r="AD71">
        <f t="shared" si="29"/>
        <v>-17.705012935228439</v>
      </c>
      <c r="AE71" s="123">
        <f t="shared" si="30"/>
        <v>-8.9849253642151545</v>
      </c>
      <c r="AF71" s="123">
        <f t="shared" si="31"/>
        <v>-104.47289205106622</v>
      </c>
      <c r="AI71" s="123">
        <f t="shared" si="32"/>
        <v>0</v>
      </c>
      <c r="AJ71" s="123">
        <f t="shared" si="33"/>
        <v>0</v>
      </c>
      <c r="AK71" s="123">
        <f t="shared" si="34"/>
        <v>0</v>
      </c>
      <c r="AL71" s="123">
        <f t="shared" si="35"/>
        <v>0</v>
      </c>
      <c r="AM71" s="123">
        <f t="shared" si="36"/>
        <v>0</v>
      </c>
      <c r="AN71" s="123">
        <f t="shared" si="37"/>
        <v>0</v>
      </c>
      <c r="AO71" s="123">
        <f t="shared" si="38"/>
        <v>0</v>
      </c>
      <c r="AP71" s="123"/>
      <c r="AQ71" s="123">
        <f t="shared" si="39"/>
        <v>0</v>
      </c>
      <c r="AR71" s="123">
        <f t="shared" si="40"/>
        <v>0</v>
      </c>
      <c r="AS71" s="123">
        <f t="shared" si="41"/>
        <v>0</v>
      </c>
      <c r="AW71" t="str">
        <f t="shared" si="73"/>
        <v>12700</v>
      </c>
      <c r="AX71" t="str">
        <f t="shared" si="74"/>
        <v>75-454.728503437566i</v>
      </c>
      <c r="AY71" t="str">
        <f t="shared" si="42"/>
        <v>90.5360955358798-448.836215297611i</v>
      </c>
      <c r="AZ71">
        <f t="shared" si="75"/>
        <v>-20.764436240120542</v>
      </c>
      <c r="BA71">
        <f t="shared" si="76"/>
        <v>-78.595742766837873</v>
      </c>
      <c r="BB71">
        <f t="shared" si="77"/>
        <v>-1.4815522796740192E-2</v>
      </c>
      <c r="BC71">
        <f t="shared" si="78"/>
        <v>1.9284717222813352</v>
      </c>
      <c r="BD71" s="123">
        <f t="shared" si="43"/>
        <v>-0.11645355476210739</v>
      </c>
      <c r="BE71" s="123">
        <f t="shared" si="44"/>
        <v>-8.4866852730806546</v>
      </c>
      <c r="BF71">
        <f t="shared" si="45"/>
        <v>-10.101268893258096</v>
      </c>
      <c r="BG71">
        <f t="shared" si="46"/>
        <v>-97.308533820148</v>
      </c>
      <c r="BH71" s="123">
        <f t="shared" si="47"/>
        <v>-10.217722448020204</v>
      </c>
      <c r="BI71" s="123">
        <f t="shared" si="48"/>
        <v>-105.79521909322865</v>
      </c>
      <c r="BL71" s="123">
        <f t="shared" si="49"/>
        <v>0</v>
      </c>
      <c r="BM71" s="123">
        <f t="shared" si="50"/>
        <v>0</v>
      </c>
      <c r="BN71" s="123">
        <f t="shared" si="51"/>
        <v>0</v>
      </c>
      <c r="BO71" s="123">
        <f t="shared" si="52"/>
        <v>0</v>
      </c>
      <c r="BP71" s="123">
        <f t="shared" si="53"/>
        <v>0</v>
      </c>
      <c r="BQ71" s="123">
        <f t="shared" si="54"/>
        <v>0</v>
      </c>
      <c r="BR71" s="123">
        <f t="shared" si="55"/>
        <v>0</v>
      </c>
      <c r="BS71" s="123"/>
      <c r="BT71" s="123"/>
      <c r="BU71" s="123">
        <f t="shared" si="56"/>
        <v>0</v>
      </c>
      <c r="BV71" s="123">
        <f t="shared" si="57"/>
        <v>0</v>
      </c>
      <c r="BX71" s="123">
        <f t="shared" si="58"/>
        <v>0</v>
      </c>
      <c r="BY71" s="123"/>
    </row>
    <row r="72" spans="5:77" x14ac:dyDescent="0.2">
      <c r="E72">
        <v>61</v>
      </c>
      <c r="F72">
        <v>4000</v>
      </c>
      <c r="G72" s="58">
        <f t="shared" si="59"/>
        <v>-0.132322535222888</v>
      </c>
      <c r="H72" s="58">
        <f t="shared" si="60"/>
        <v>-11.88080565277507</v>
      </c>
      <c r="I72">
        <f t="shared" si="61"/>
        <v>2.8562236038689099</v>
      </c>
      <c r="J72">
        <f t="shared" si="62"/>
        <v>-75.470077536800403</v>
      </c>
      <c r="K72" t="str">
        <f t="shared" si="63"/>
        <v>7142.76506614046-25.6453183881901i</v>
      </c>
      <c r="L72" t="str">
        <f t="shared" si="64"/>
        <v>3300-3978874.4050787i</v>
      </c>
      <c r="M72" t="str">
        <f t="shared" si="65"/>
        <v>99934.7940493968-2511.58071552777i</v>
      </c>
      <c r="N72">
        <f t="shared" si="21"/>
        <v>-23.519023671175376</v>
      </c>
      <c r="O72">
        <f t="shared" si="66"/>
        <v>1.1516688259776608</v>
      </c>
      <c r="P72" t="str">
        <f t="shared" si="67"/>
        <v>-120571.951669051i</v>
      </c>
      <c r="Q72" t="str">
        <f t="shared" si="68"/>
        <v>3300-846.56902235717i</v>
      </c>
      <c r="R72" t="str">
        <f t="shared" si="22"/>
        <v>3251.74109332305-929.044631855018i</v>
      </c>
      <c r="S72" t="str">
        <f t="shared" si="69"/>
        <v>3807177.60857323-19136957.9482765i</v>
      </c>
      <c r="T72" t="str">
        <f t="shared" si="23"/>
        <v>3251.34024694703-929.472228664274i</v>
      </c>
      <c r="U72" t="str">
        <f t="shared" si="24"/>
        <v>0.999600159936026-0.0199920031987205i</v>
      </c>
      <c r="V72">
        <f t="shared" si="70"/>
        <v>10.580675000966078</v>
      </c>
      <c r="W72">
        <f t="shared" si="71"/>
        <v>-17.099599235551548</v>
      </c>
      <c r="X72">
        <f t="shared" si="25"/>
        <v>-1.7368305846464187E-3</v>
      </c>
      <c r="Y72">
        <f t="shared" si="72"/>
        <v>-1.1457630765443418</v>
      </c>
      <c r="AA72" s="123">
        <f t="shared" si="26"/>
        <v>2.7239010686460219</v>
      </c>
      <c r="AB72" s="123">
        <f t="shared" si="27"/>
        <v>-87.35088318957547</v>
      </c>
      <c r="AC72">
        <f t="shared" si="28"/>
        <v>-12.938348670209297</v>
      </c>
      <c r="AD72">
        <f t="shared" si="29"/>
        <v>-15.947930409573887</v>
      </c>
      <c r="AE72" s="123">
        <f t="shared" si="30"/>
        <v>-10.214447601563275</v>
      </c>
      <c r="AF72" s="123">
        <f t="shared" si="31"/>
        <v>-103.29881359914936</v>
      </c>
      <c r="AI72" s="123">
        <f t="shared" si="32"/>
        <v>0</v>
      </c>
      <c r="AJ72" s="123">
        <f t="shared" si="33"/>
        <v>0</v>
      </c>
      <c r="AK72" s="123">
        <f t="shared" si="34"/>
        <v>0</v>
      </c>
      <c r="AL72" s="123">
        <f t="shared" si="35"/>
        <v>0</v>
      </c>
      <c r="AM72" s="123">
        <f t="shared" si="36"/>
        <v>0</v>
      </c>
      <c r="AN72" s="123">
        <f t="shared" si="37"/>
        <v>0</v>
      </c>
      <c r="AO72" s="123">
        <f t="shared" si="38"/>
        <v>0</v>
      </c>
      <c r="AP72" s="123"/>
      <c r="AQ72" s="123">
        <f t="shared" si="39"/>
        <v>0</v>
      </c>
      <c r="AR72" s="123">
        <f t="shared" si="40"/>
        <v>0</v>
      </c>
      <c r="AS72" s="123">
        <f t="shared" si="41"/>
        <v>0</v>
      </c>
      <c r="AW72" t="str">
        <f t="shared" si="73"/>
        <v>12700</v>
      </c>
      <c r="AX72" t="str">
        <f t="shared" si="74"/>
        <v>75-397.88744050787i</v>
      </c>
      <c r="AY72" t="str">
        <f t="shared" si="42"/>
        <v>86.7952536006573-392.848199854916i</v>
      </c>
      <c r="AZ72">
        <f t="shared" si="75"/>
        <v>-21.88792090064705</v>
      </c>
      <c r="BA72">
        <f t="shared" si="76"/>
        <v>-77.541323388407847</v>
      </c>
      <c r="BB72">
        <f t="shared" si="77"/>
        <v>-1.1350700711396631E-2</v>
      </c>
      <c r="BC72">
        <f t="shared" si="78"/>
        <v>1.6884635309456841</v>
      </c>
      <c r="BD72" s="123">
        <f t="shared" si="43"/>
        <v>-0.14367323593428463</v>
      </c>
      <c r="BE72" s="123">
        <f t="shared" si="44"/>
        <v>-10.192342121829386</v>
      </c>
      <c r="BF72">
        <f t="shared" si="45"/>
        <v>-11.307245899680971</v>
      </c>
      <c r="BG72">
        <f t="shared" si="46"/>
        <v>-94.640922623959398</v>
      </c>
      <c r="BH72" s="123">
        <f t="shared" si="47"/>
        <v>-11.450919135615257</v>
      </c>
      <c r="BI72" s="123">
        <f t="shared" si="48"/>
        <v>-104.83326474578878</v>
      </c>
      <c r="BL72" s="123">
        <f t="shared" si="49"/>
        <v>0</v>
      </c>
      <c r="BM72" s="123">
        <f t="shared" si="50"/>
        <v>0</v>
      </c>
      <c r="BN72" s="123">
        <f t="shared" si="51"/>
        <v>0</v>
      </c>
      <c r="BO72" s="123">
        <f t="shared" si="52"/>
        <v>0</v>
      </c>
      <c r="BP72" s="123">
        <f t="shared" si="53"/>
        <v>0</v>
      </c>
      <c r="BQ72" s="123">
        <f t="shared" si="54"/>
        <v>0</v>
      </c>
      <c r="BR72" s="123">
        <f t="shared" si="55"/>
        <v>0</v>
      </c>
      <c r="BS72" s="123"/>
      <c r="BT72" s="123"/>
      <c r="BU72" s="123">
        <f t="shared" si="56"/>
        <v>0</v>
      </c>
      <c r="BV72" s="123">
        <f t="shared" si="57"/>
        <v>0</v>
      </c>
      <c r="BX72" s="123">
        <f t="shared" si="58"/>
        <v>0</v>
      </c>
      <c r="BY72" s="123"/>
    </row>
    <row r="73" spans="5:77" x14ac:dyDescent="0.2">
      <c r="E73">
        <v>62</v>
      </c>
      <c r="F73">
        <v>4500</v>
      </c>
      <c r="G73" s="58">
        <f t="shared" si="59"/>
        <v>-0.16686095645808435</v>
      </c>
      <c r="H73" s="58">
        <f t="shared" si="60"/>
        <v>-13.337802537393483</v>
      </c>
      <c r="I73">
        <f t="shared" si="61"/>
        <v>1.8792503487714813</v>
      </c>
      <c r="J73">
        <f t="shared" si="62"/>
        <v>-74.493358115362312</v>
      </c>
      <c r="K73" t="str">
        <f t="shared" si="63"/>
        <v>7142.74060866161-28.8508843983169i</v>
      </c>
      <c r="L73" t="str">
        <f t="shared" si="64"/>
        <v>3300-3536777.24895884i</v>
      </c>
      <c r="M73" t="str">
        <f t="shared" si="65"/>
        <v>99917.4884816474-2825.02285466111i</v>
      </c>
      <c r="N73">
        <f t="shared" si="21"/>
        <v>-23.518279850825927</v>
      </c>
      <c r="O73">
        <f t="shared" si="66"/>
        <v>1.2955285161569616</v>
      </c>
      <c r="P73" t="str">
        <f t="shared" si="67"/>
        <v>-107175.068150268i</v>
      </c>
      <c r="Q73" t="str">
        <f t="shared" si="68"/>
        <v>3300-752.505797650818i</v>
      </c>
      <c r="R73" t="str">
        <f t="shared" si="22"/>
        <v>3251.10365659731-846.665026099489i</v>
      </c>
      <c r="S73" t="str">
        <f t="shared" si="69"/>
        <v>3032370.10014241-17147645.3657639i</v>
      </c>
      <c r="T73" t="str">
        <f t="shared" si="23"/>
        <v>3250.69376199306-847.167026424186i</v>
      </c>
      <c r="U73" t="str">
        <f t="shared" si="24"/>
        <v>0.999494006159382-0.0224886151385861i</v>
      </c>
      <c r="V73">
        <f t="shared" si="70"/>
        <v>10.522702853563196</v>
      </c>
      <c r="W73">
        <f t="shared" si="71"/>
        <v>-15.895951059760991</v>
      </c>
      <c r="X73">
        <f t="shared" si="25"/>
        <v>-2.1980594777616471E-3</v>
      </c>
      <c r="Y73">
        <f t="shared" si="72"/>
        <v>-1.2889378283427966</v>
      </c>
      <c r="AA73" s="123">
        <f t="shared" si="26"/>
        <v>1.712389392313397</v>
      </c>
      <c r="AB73" s="123">
        <f t="shared" si="27"/>
        <v>-87.831160652755798</v>
      </c>
      <c r="AC73">
        <f t="shared" si="28"/>
        <v>-12.995576997262731</v>
      </c>
      <c r="AD73">
        <f t="shared" si="29"/>
        <v>-14.600422543604029</v>
      </c>
      <c r="AE73" s="123">
        <f t="shared" si="30"/>
        <v>-11.283187604949333</v>
      </c>
      <c r="AF73" s="123">
        <f t="shared" si="31"/>
        <v>-102.43158319635982</v>
      </c>
      <c r="AI73" s="123">
        <f t="shared" si="32"/>
        <v>0</v>
      </c>
      <c r="AJ73" s="123">
        <f t="shared" si="33"/>
        <v>0</v>
      </c>
      <c r="AK73" s="123">
        <f t="shared" si="34"/>
        <v>0</v>
      </c>
      <c r="AL73" s="123">
        <f t="shared" si="35"/>
        <v>0</v>
      </c>
      <c r="AM73" s="123">
        <f t="shared" si="36"/>
        <v>0</v>
      </c>
      <c r="AN73" s="123">
        <f t="shared" si="37"/>
        <v>0</v>
      </c>
      <c r="AO73" s="123">
        <f t="shared" si="38"/>
        <v>0</v>
      </c>
      <c r="AP73" s="123"/>
      <c r="AQ73" s="123">
        <f t="shared" si="39"/>
        <v>0</v>
      </c>
      <c r="AR73" s="123">
        <f t="shared" si="40"/>
        <v>0</v>
      </c>
      <c r="AS73" s="123">
        <f t="shared" si="41"/>
        <v>0</v>
      </c>
      <c r="AW73" t="str">
        <f t="shared" si="73"/>
        <v>12700</v>
      </c>
      <c r="AX73" t="str">
        <f t="shared" si="74"/>
        <v>75-353.677724895884i</v>
      </c>
      <c r="AY73" t="str">
        <f t="shared" si="42"/>
        <v>84.2292619034677-349.269439722744i</v>
      </c>
      <c r="AZ73">
        <f t="shared" si="75"/>
        <v>-22.870685693998404</v>
      </c>
      <c r="BA73">
        <f t="shared" si="76"/>
        <v>-76.441542081229073</v>
      </c>
      <c r="BB73">
        <f t="shared" si="77"/>
        <v>-8.9725586300750341E-3</v>
      </c>
      <c r="BC73">
        <f t="shared" si="78"/>
        <v>1.5014975991761816</v>
      </c>
      <c r="BD73" s="123">
        <f t="shared" si="43"/>
        <v>-0.17583351508815939</v>
      </c>
      <c r="BE73" s="123">
        <f t="shared" si="44"/>
        <v>-11.836304938217301</v>
      </c>
      <c r="BF73">
        <f t="shared" si="45"/>
        <v>-12.347982840435208</v>
      </c>
      <c r="BG73">
        <f t="shared" si="46"/>
        <v>-92.337493140990063</v>
      </c>
      <c r="BH73" s="123">
        <f t="shared" si="47"/>
        <v>-12.523816355523367</v>
      </c>
      <c r="BI73" s="123">
        <f t="shared" si="48"/>
        <v>-104.17379807920736</v>
      </c>
      <c r="BL73" s="123">
        <f t="shared" si="49"/>
        <v>0</v>
      </c>
      <c r="BM73" s="123">
        <f t="shared" si="50"/>
        <v>0</v>
      </c>
      <c r="BN73" s="123">
        <f t="shared" si="51"/>
        <v>0</v>
      </c>
      <c r="BO73" s="123">
        <f t="shared" si="52"/>
        <v>0</v>
      </c>
      <c r="BP73" s="123">
        <f t="shared" si="53"/>
        <v>0</v>
      </c>
      <c r="BQ73" s="123">
        <f t="shared" si="54"/>
        <v>0</v>
      </c>
      <c r="BR73" s="123">
        <f t="shared" si="55"/>
        <v>0</v>
      </c>
      <c r="BS73" s="123"/>
      <c r="BT73" s="123"/>
      <c r="BU73" s="123">
        <f t="shared" si="56"/>
        <v>0</v>
      </c>
      <c r="BV73" s="123">
        <f t="shared" si="57"/>
        <v>0</v>
      </c>
      <c r="BX73" s="123">
        <f t="shared" si="58"/>
        <v>0</v>
      </c>
      <c r="BY73" s="123"/>
    </row>
    <row r="74" spans="5:77" x14ac:dyDescent="0.2">
      <c r="E74">
        <v>63</v>
      </c>
      <c r="F74">
        <v>5000</v>
      </c>
      <c r="G74" s="58">
        <f t="shared" si="59"/>
        <v>-0.20516876942225543</v>
      </c>
      <c r="H74" s="58">
        <f t="shared" si="60"/>
        <v>-14.785211130075183</v>
      </c>
      <c r="I74">
        <f t="shared" si="61"/>
        <v>1.0138261334436902</v>
      </c>
      <c r="J74">
        <f t="shared" si="62"/>
        <v>-73.455784764749041</v>
      </c>
      <c r="K74" t="str">
        <f t="shared" si="63"/>
        <v>7142.71327403052-32.0564155428401i</v>
      </c>
      <c r="L74" t="str">
        <f t="shared" si="64"/>
        <v>3300-3183099.52406296i</v>
      </c>
      <c r="M74" t="str">
        <f t="shared" si="65"/>
        <v>99898.1542902312-3138.28683729943i</v>
      </c>
      <c r="N74">
        <f t="shared" si="21"/>
        <v>-23.517448686367764</v>
      </c>
      <c r="O74">
        <f t="shared" si="66"/>
        <v>1.4393533239930985</v>
      </c>
      <c r="P74" t="str">
        <f t="shared" si="67"/>
        <v>-96457.5613352412i</v>
      </c>
      <c r="Q74" t="str">
        <f t="shared" si="68"/>
        <v>3300-677.255217885736i</v>
      </c>
      <c r="R74" t="str">
        <f t="shared" si="22"/>
        <v>3250.39152299519-782.960028581651i</v>
      </c>
      <c r="S74" t="str">
        <f t="shared" si="69"/>
        <v>2470453.30571766-15522312.6832323i</v>
      </c>
      <c r="T74" t="str">
        <f t="shared" si="23"/>
        <v>3249.97211943968-783.534304404294i</v>
      </c>
      <c r="U74" t="str">
        <f t="shared" si="24"/>
        <v>0.999375390381012-0.0249843847595253i</v>
      </c>
      <c r="V74">
        <f t="shared" si="70"/>
        <v>10.480245559113035</v>
      </c>
      <c r="W74">
        <f t="shared" si="71"/>
        <v>-14.986844461397565</v>
      </c>
      <c r="X74">
        <f t="shared" si="25"/>
        <v>-2.7134926337472106E-3</v>
      </c>
      <c r="Y74">
        <f t="shared" si="72"/>
        <v>-1.4320964821038593</v>
      </c>
      <c r="AA74" s="123">
        <f t="shared" si="26"/>
        <v>0.80865736402143473</v>
      </c>
      <c r="AB74" s="123">
        <f t="shared" si="27"/>
        <v>-88.240995894824223</v>
      </c>
      <c r="AC74">
        <f t="shared" si="28"/>
        <v>-13.037203127254729</v>
      </c>
      <c r="AD74">
        <f t="shared" si="29"/>
        <v>-13.547491137404467</v>
      </c>
      <c r="AE74" s="123">
        <f t="shared" si="30"/>
        <v>-12.228545763233294</v>
      </c>
      <c r="AF74" s="123">
        <f t="shared" si="31"/>
        <v>-101.78848703222869</v>
      </c>
      <c r="AI74" s="123">
        <f t="shared" si="32"/>
        <v>0</v>
      </c>
      <c r="AJ74" s="123">
        <f t="shared" si="33"/>
        <v>0</v>
      </c>
      <c r="AK74" s="123">
        <f t="shared" si="34"/>
        <v>0</v>
      </c>
      <c r="AL74" s="123">
        <f t="shared" si="35"/>
        <v>0</v>
      </c>
      <c r="AM74" s="123">
        <f t="shared" si="36"/>
        <v>0</v>
      </c>
      <c r="AN74" s="123">
        <f t="shared" si="37"/>
        <v>0</v>
      </c>
      <c r="AO74" s="123">
        <f t="shared" si="38"/>
        <v>0</v>
      </c>
      <c r="AP74" s="123"/>
      <c r="AQ74" s="123">
        <f t="shared" si="39"/>
        <v>0</v>
      </c>
      <c r="AR74" s="123">
        <f t="shared" si="40"/>
        <v>0</v>
      </c>
      <c r="AS74" s="123">
        <f t="shared" si="41"/>
        <v>0</v>
      </c>
      <c r="AW74" t="str">
        <f t="shared" si="73"/>
        <v>12700</v>
      </c>
      <c r="AX74" t="str">
        <f t="shared" si="74"/>
        <v>75-318.309952406296i</v>
      </c>
      <c r="AY74" t="str">
        <f t="shared" si="42"/>
        <v>82.3931825593-314.388244660736i</v>
      </c>
      <c r="AZ74">
        <f t="shared" si="75"/>
        <v>-23.741584647767247</v>
      </c>
      <c r="BA74">
        <f t="shared" si="76"/>
        <v>-75.314514996167674</v>
      </c>
      <c r="BB74">
        <f t="shared" si="77"/>
        <v>-7.2701522430349014E-3</v>
      </c>
      <c r="BC74">
        <f t="shared" si="78"/>
        <v>1.3517609186497364</v>
      </c>
      <c r="BD74" s="123">
        <f t="shared" si="43"/>
        <v>-0.21243892166529033</v>
      </c>
      <c r="BE74" s="123">
        <f t="shared" si="44"/>
        <v>-13.433450211425447</v>
      </c>
      <c r="BF74">
        <f t="shared" si="45"/>
        <v>-13.261339088654212</v>
      </c>
      <c r="BG74">
        <f t="shared" si="46"/>
        <v>-90.301359457565241</v>
      </c>
      <c r="BH74" s="123">
        <f t="shared" si="47"/>
        <v>-13.473778010319503</v>
      </c>
      <c r="BI74" s="123">
        <f t="shared" si="48"/>
        <v>-103.73480966899069</v>
      </c>
      <c r="BL74" s="123">
        <f t="shared" si="49"/>
        <v>0</v>
      </c>
      <c r="BM74" s="123">
        <f t="shared" si="50"/>
        <v>0</v>
      </c>
      <c r="BN74" s="123">
        <f t="shared" si="51"/>
        <v>0</v>
      </c>
      <c r="BO74" s="123">
        <f t="shared" si="52"/>
        <v>0</v>
      </c>
      <c r="BP74" s="123">
        <f t="shared" si="53"/>
        <v>0</v>
      </c>
      <c r="BQ74" s="123">
        <f t="shared" si="54"/>
        <v>0</v>
      </c>
      <c r="BR74" s="123">
        <f t="shared" si="55"/>
        <v>0</v>
      </c>
      <c r="BS74" s="123"/>
      <c r="BT74" s="123"/>
      <c r="BU74" s="123">
        <f t="shared" si="56"/>
        <v>0</v>
      </c>
      <c r="BV74" s="123">
        <f t="shared" si="57"/>
        <v>0</v>
      </c>
      <c r="BX74" s="123">
        <f t="shared" si="58"/>
        <v>0</v>
      </c>
      <c r="BY74" s="123"/>
    </row>
    <row r="75" spans="5:77" x14ac:dyDescent="0.2">
      <c r="E75">
        <v>64</v>
      </c>
      <c r="F75">
        <v>5500</v>
      </c>
      <c r="G75" s="58">
        <f t="shared" si="59"/>
        <v>-0.24715399311699321</v>
      </c>
      <c r="H75" s="58">
        <f t="shared" si="60"/>
        <v>-16.222141810516302</v>
      </c>
      <c r="I75">
        <f t="shared" si="61"/>
        <v>0.23950639070489152</v>
      </c>
      <c r="J75">
        <f t="shared" si="62"/>
        <v>-72.378930171599762</v>
      </c>
      <c r="K75" t="str">
        <f t="shared" si="63"/>
        <v>7142.68306231325-35.261907948298i</v>
      </c>
      <c r="L75" t="str">
        <f t="shared" si="64"/>
        <v>3300-2893726.84005724i</v>
      </c>
      <c r="M75" t="str">
        <f t="shared" si="65"/>
        <v>99876.7939115811-3451.35300015698i</v>
      </c>
      <c r="N75">
        <f t="shared" si="21"/>
        <v>-23.516530232442612</v>
      </c>
      <c r="O75">
        <f t="shared" si="66"/>
        <v>1.5831393892935539</v>
      </c>
      <c r="P75" t="str">
        <f t="shared" si="67"/>
        <v>-87688.6921229465i</v>
      </c>
      <c r="Q75" t="str">
        <f t="shared" si="68"/>
        <v>3300-615.686561714305i</v>
      </c>
      <c r="R75" t="str">
        <f t="shared" si="22"/>
        <v>3249.60479083796-732.833933357458i</v>
      </c>
      <c r="S75" t="str">
        <f t="shared" si="69"/>
        <v>2050488.54690633-14171956.5131156i</v>
      </c>
      <c r="T75" t="str">
        <f t="shared" si="23"/>
        <v>3249.17527367252-733.47888998562i</v>
      </c>
      <c r="U75" t="str">
        <f t="shared" si="24"/>
        <v>0.999244321481879-0.0274792188407517i</v>
      </c>
      <c r="V75">
        <f t="shared" si="70"/>
        <v>10.448041326673106</v>
      </c>
      <c r="W75">
        <f t="shared" si="71"/>
        <v>-14.296141709933305</v>
      </c>
      <c r="X75">
        <f t="shared" si="25"/>
        <v>-3.2831107495560861E-3</v>
      </c>
      <c r="Y75">
        <f t="shared" si="72"/>
        <v>-1.5752372534018613</v>
      </c>
      <c r="AA75" s="123">
        <f t="shared" si="26"/>
        <v>-7.6476024121016895E-3</v>
      </c>
      <c r="AB75" s="123">
        <f t="shared" si="27"/>
        <v>-88.601071982116068</v>
      </c>
      <c r="AC75">
        <f t="shared" si="28"/>
        <v>-13.068488905769506</v>
      </c>
      <c r="AD75">
        <f t="shared" si="29"/>
        <v>-12.713002320639752</v>
      </c>
      <c r="AE75" s="123">
        <f t="shared" si="30"/>
        <v>-13.076136508181607</v>
      </c>
      <c r="AF75" s="123">
        <f t="shared" si="31"/>
        <v>-101.31407430275581</v>
      </c>
      <c r="AI75" s="123">
        <f t="shared" si="32"/>
        <v>0</v>
      </c>
      <c r="AJ75" s="123">
        <f t="shared" si="33"/>
        <v>0</v>
      </c>
      <c r="AK75" s="123">
        <f t="shared" si="34"/>
        <v>0</v>
      </c>
      <c r="AL75" s="123">
        <f t="shared" si="35"/>
        <v>0</v>
      </c>
      <c r="AM75" s="123">
        <f t="shared" si="36"/>
        <v>0</v>
      </c>
      <c r="AN75" s="123">
        <f t="shared" si="37"/>
        <v>0</v>
      </c>
      <c r="AO75" s="123">
        <f t="shared" si="38"/>
        <v>0</v>
      </c>
      <c r="AP75" s="123"/>
      <c r="AQ75" s="123">
        <f t="shared" si="39"/>
        <v>0</v>
      </c>
      <c r="AR75" s="123">
        <f t="shared" si="40"/>
        <v>0</v>
      </c>
      <c r="AS75" s="123">
        <f t="shared" si="41"/>
        <v>0</v>
      </c>
      <c r="AW75" t="str">
        <f t="shared" si="73"/>
        <v>12700</v>
      </c>
      <c r="AX75" t="str">
        <f t="shared" si="74"/>
        <v>75-289.372684005724i</v>
      </c>
      <c r="AY75" t="str">
        <f t="shared" si="42"/>
        <v>81.0343474570057-285.83827477514i</v>
      </c>
      <c r="AZ75">
        <f t="shared" si="75"/>
        <v>-24.521264648915384</v>
      </c>
      <c r="BA75">
        <f t="shared" si="76"/>
        <v>-74.172131270027506</v>
      </c>
      <c r="BB75">
        <f t="shared" si="77"/>
        <v>-6.0098463753539798E-3</v>
      </c>
      <c r="BC75">
        <f t="shared" si="78"/>
        <v>1.2291515779458162</v>
      </c>
      <c r="BD75" s="123">
        <f t="shared" si="43"/>
        <v>-0.25316383949234716</v>
      </c>
      <c r="BE75" s="123">
        <f t="shared" si="44"/>
        <v>-14.992990232570486</v>
      </c>
      <c r="BF75">
        <f t="shared" si="45"/>
        <v>-14.073223322242278</v>
      </c>
      <c r="BG75">
        <f t="shared" si="46"/>
        <v>-88.468272979960815</v>
      </c>
      <c r="BH75" s="123">
        <f t="shared" si="47"/>
        <v>-14.326387161734624</v>
      </c>
      <c r="BI75" s="123">
        <f t="shared" si="48"/>
        <v>-103.46126321253131</v>
      </c>
      <c r="BL75" s="123">
        <f t="shared" si="49"/>
        <v>0</v>
      </c>
      <c r="BM75" s="123">
        <f t="shared" si="50"/>
        <v>0</v>
      </c>
      <c r="BN75" s="123">
        <f t="shared" si="51"/>
        <v>0</v>
      </c>
      <c r="BO75" s="123">
        <f t="shared" si="52"/>
        <v>0</v>
      </c>
      <c r="BP75" s="123">
        <f t="shared" si="53"/>
        <v>0</v>
      </c>
      <c r="BQ75" s="123">
        <f t="shared" si="54"/>
        <v>0</v>
      </c>
      <c r="BR75" s="123">
        <f t="shared" si="55"/>
        <v>0</v>
      </c>
      <c r="BS75" s="123"/>
      <c r="BT75" s="123"/>
      <c r="BU75" s="123">
        <f t="shared" si="56"/>
        <v>0</v>
      </c>
      <c r="BV75" s="123">
        <f t="shared" si="57"/>
        <v>0</v>
      </c>
      <c r="BX75" s="123">
        <f t="shared" si="58"/>
        <v>0</v>
      </c>
      <c r="BY75" s="123"/>
    </row>
    <row r="76" spans="5:77" x14ac:dyDescent="0.2">
      <c r="E76">
        <v>65</v>
      </c>
      <c r="F76">
        <v>6000</v>
      </c>
      <c r="G76" s="58">
        <f t="shared" ref="G76:G107" si="79">20*LOG(IMABS(IMDIV(1,IMSUM(0,IMSUM(COMPLEX(0,2*PI*F76/Wsh),COMPLEX(1-(F76/fsw_sh)^2,0))))))</f>
        <v>-0.29271791550765414</v>
      </c>
      <c r="H76" s="58">
        <f t="shared" ref="H76:H107" si="80">180/PI*IMARGUMENT(IMDIV(1,IMSUM(0,IMSUM(COMPLEX(0,2*PI*F76/Wsh),COMPLEX(1-(F76/fsw_sh)^2,0)))))</f>
        <v>-17.647754891077216</v>
      </c>
      <c r="I76">
        <f t="shared" ref="I76:I107" si="81">20*LOG(IMABS(IMPRODUCT(A_COMP2VOUT,IMDIV(COMPLEX(1, 2*PI*F76/Wesr_zero),COMPLEX(1, 2*PI*F76/Wload_pole)))))</f>
        <v>-0.45889638618855511</v>
      </c>
      <c r="J76">
        <f t="shared" ref="J76:J107" si="82">180/PI*(IMARGUMENT(IMPRODUCT(A_COMP2VOUT,IMDIV(COMPLEX(1, 2*PI*F76/Wesr_zero),COMPLEX(1, 2*PI*F76/Wload_pole)))))</f>
        <v>-71.277511627411371</v>
      </c>
      <c r="K76" t="str">
        <f t="shared" ref="K76:K107" si="83">IMDIV(IMPRODUCT(COMPLEX(R.fbb,0),IMDIV(COMPLEX(1,0),COMPLEX(0,2*PI*F76*C.fbb))),IMSUM(COMPLEX(R.fbb,0),IMDIV(COMPLEX(1,0),COMPLEX(0,2*PI*F76*C.fbb))) )</f>
        <v>7142.64997358284-38.4673577413851i</v>
      </c>
      <c r="L76" t="str">
        <f t="shared" ref="L76:L107" si="84">IMSUM(COMPLEX(R.ff,0),IMDIV(COMPLEX(1,0),COMPLEX(0,2*PI*F76*C.ff)))</f>
        <v>3300-2652582.93671913i</v>
      </c>
      <c r="M76" t="str">
        <f t="shared" ref="M76:M107" si="85">IMDIV(IMPRODUCT(COMPLEX(R.fbt,0),L76),IMSUM(COMPLEX(R.fbt,0),L76))</f>
        <v>99853.4100357642-3764.20172145279i</v>
      </c>
      <c r="N76">
        <f t="shared" si="21"/>
        <v>-23.51552454940181</v>
      </c>
      <c r="O76">
        <f t="shared" ref="O76:O107" si="86">180/PI*IMARGUMENT((IMDIV(K76,IMSUM(K76,M76))))</f>
        <v>1.7268828567874497</v>
      </c>
      <c r="P76" t="str">
        <f t="shared" ref="P76:P107" si="87">IMDIV(COMPLEX(1,0),COMPLEX(0,2*PI*F76*C.hf))</f>
        <v>-80381.301112701i</v>
      </c>
      <c r="Q76" t="str">
        <f t="shared" ref="Q76:Q107" si="88">IMSUM(R.comp,0,IMDIV(COMPLEX(1,0),COMPLEX(0,2*PI*F76*C.comp)))</f>
        <v>3300-564.379348238113i</v>
      </c>
      <c r="R76" t="str">
        <f t="shared" si="22"/>
        <v>3248.7435686713-692.889352337928i</v>
      </c>
      <c r="S76" t="str">
        <f t="shared" ref="S76:S107" si="89">IMDIV(IMPRODUCT(COMPLEX(R.eaout,0),IMDIV(1,COMPLEX(0,2*PI*F76*C.eaout))),IMSUM(COMPLEX(R.eaout,0),IMDIV(1,COMPLEX(0,2*PI*F76*C.eaout))))</f>
        <v>1728641.40861098-13033646.4483863i</v>
      </c>
      <c r="T76" t="str">
        <f t="shared" si="23"/>
        <v>3248.30324782581-693.603746181992i</v>
      </c>
      <c r="U76" t="str">
        <f t="shared" si="24"/>
        <v>0.999100809271656-0.0299730242781497i</v>
      </c>
      <c r="V76">
        <f t="shared" ref="V76:V107" si="90">20*LOG(IMABS(IMPRODUCT(IMPRODUCT(COMPLEX(GM,0),T76),U76)))</f>
        <v>10.42285614532593</v>
      </c>
      <c r="W76">
        <f t="shared" ref="W76:W107" si="91">180/PI*IMARGUMENT((IMPRODUCT(IMPRODUCT(COMPLEX(GM,0),T76),U76)))</f>
        <v>-13.771604497002119</v>
      </c>
      <c r="X76">
        <f t="shared" si="25"/>
        <v>-3.9068924990976498E-3</v>
      </c>
      <c r="Y76">
        <f t="shared" ref="Y76:Y107" si="92">180/PI*IMARGUMENT((U76))</f>
        <v>-1.718358359149764</v>
      </c>
      <c r="AA76" s="123">
        <f t="shared" si="26"/>
        <v>-0.75161430169620924</v>
      </c>
      <c r="AB76" s="123">
        <f t="shared" si="27"/>
        <v>-88.925266518488584</v>
      </c>
      <c r="AC76">
        <f t="shared" si="28"/>
        <v>-13.09266840407588</v>
      </c>
      <c r="AD76">
        <f t="shared" si="29"/>
        <v>-12.04472164021467</v>
      </c>
      <c r="AE76" s="123">
        <f t="shared" si="30"/>
        <v>-13.844282705772089</v>
      </c>
      <c r="AF76" s="123">
        <f t="shared" si="31"/>
        <v>-100.96998815870326</v>
      </c>
      <c r="AI76" s="123">
        <f t="shared" si="32"/>
        <v>0</v>
      </c>
      <c r="AJ76" s="123">
        <f t="shared" si="33"/>
        <v>0</v>
      </c>
      <c r="AK76" s="123">
        <f t="shared" si="34"/>
        <v>0</v>
      </c>
      <c r="AL76" s="123">
        <f t="shared" si="35"/>
        <v>0</v>
      </c>
      <c r="AM76" s="123">
        <f t="shared" si="36"/>
        <v>0</v>
      </c>
      <c r="AN76" s="123">
        <f t="shared" si="37"/>
        <v>0</v>
      </c>
      <c r="AO76" s="123">
        <f t="shared" si="38"/>
        <v>0</v>
      </c>
      <c r="AP76" s="123"/>
      <c r="AQ76" s="123">
        <f t="shared" si="39"/>
        <v>0</v>
      </c>
      <c r="AR76" s="123">
        <f t="shared" si="40"/>
        <v>0</v>
      </c>
      <c r="AS76" s="123">
        <f t="shared" si="41"/>
        <v>0</v>
      </c>
      <c r="AW76" t="str">
        <f t="shared" ref="AW76:AW107" si="93">COMPLEX(R.imon,0)</f>
        <v>12700</v>
      </c>
      <c r="AX76" t="str">
        <f t="shared" ref="AX76:AX107" si="94">IMSUM(R.imonhf,0,IMDIV(COMPLEX(1,0),COMPLEX(0,2*PI*F76*C.imon)))</f>
        <v>75-265.258293671913i</v>
      </c>
      <c r="AY76" t="str">
        <f t="shared" si="42"/>
        <v>80.0006459506803-262.039882175794i</v>
      </c>
      <c r="AZ76">
        <f t="shared" ref="AZ76:AZ107" si="95">20*LOG(IMABS(IMDIV(IMPRODUCT(IMPRODUCT(COMPLEX(-1,0),COMPLEX(GM.imon,0)),AY76),COMPLEX(A.s_typ,0))))</f>
        <v>-25.225025012043446</v>
      </c>
      <c r="BA76">
        <f t="shared" ref="BA76:BA107" si="96">180/PI*(IMARGUMENT(IMDIV(IMPRODUCT(IMPRODUCT(COMPLEX(1,0),COMPLEX(GM.imon,0)),AY76),COMPLEX(A.s_typ,0))))</f>
        <v>-73.02261080119618</v>
      </c>
      <c r="BB76">
        <f t="shared" ref="BB76:BB107" si="97">20*LOG(IMABS(IMPRODUCT(A_COMP2CS,IMPRODUCT(IMDIV(COMPLEX(1, 2*PI*F76/Wesr_zero),COMPLEX(1, 2*PI*F76/Wload_pole)),IMDIV(COMPLEX(1, 2*PI*F76/WloadZ),COMPLEX(1, 2*PI*F76/Wesr_zero))))))</f>
        <v>-5.0508713901946754E-3</v>
      </c>
      <c r="BC76">
        <f t="shared" ref="BC76:BC107" si="98">180/PI*(IMARGUMENT(IMPRODUCT(A_COMP2CS,IMPRODUCT(IMDIV(COMPLEX(1, 2*PI*F76/Wesr_zero),COMPLEX(1, 2*PI*F76/Wload_pole)),IMDIV(COMPLEX(1, 2*PI*F76/WloadZ),COMPLEX(1, 2*PI*F76/Wesr_zero))))))</f>
        <v>1.1269162001582034</v>
      </c>
      <c r="BD76" s="123">
        <f t="shared" si="43"/>
        <v>-0.2977687868978488</v>
      </c>
      <c r="BE76" s="123">
        <f t="shared" si="44"/>
        <v>-16.520838690919014</v>
      </c>
      <c r="BF76">
        <f t="shared" si="45"/>
        <v>-14.802168866717516</v>
      </c>
      <c r="BG76">
        <f t="shared" si="46"/>
        <v>-86.794215298198296</v>
      </c>
      <c r="BH76" s="123">
        <f t="shared" si="47"/>
        <v>-15.099937653615365</v>
      </c>
      <c r="BI76" s="123">
        <f t="shared" si="48"/>
        <v>-103.3150539891173</v>
      </c>
      <c r="BL76" s="123">
        <f t="shared" si="49"/>
        <v>0</v>
      </c>
      <c r="BM76" s="123">
        <f t="shared" si="50"/>
        <v>0</v>
      </c>
      <c r="BN76" s="123">
        <f t="shared" si="51"/>
        <v>0</v>
      </c>
      <c r="BO76" s="123">
        <f t="shared" si="52"/>
        <v>0</v>
      </c>
      <c r="BP76" s="123">
        <f t="shared" si="53"/>
        <v>0</v>
      </c>
      <c r="BQ76" s="123">
        <f t="shared" si="54"/>
        <v>0</v>
      </c>
      <c r="BR76" s="123">
        <f t="shared" si="55"/>
        <v>0</v>
      </c>
      <c r="BS76" s="123"/>
      <c r="BT76" s="123"/>
      <c r="BU76" s="123">
        <f t="shared" si="56"/>
        <v>0</v>
      </c>
      <c r="BV76" s="123">
        <f t="shared" si="57"/>
        <v>0</v>
      </c>
      <c r="BX76" s="123">
        <f t="shared" si="58"/>
        <v>0</v>
      </c>
      <c r="BY76" s="123"/>
    </row>
    <row r="77" spans="5:77" x14ac:dyDescent="0.2">
      <c r="E77">
        <v>66</v>
      </c>
      <c r="F77">
        <v>6500</v>
      </c>
      <c r="G77" s="58">
        <f t="shared" si="79"/>
        <v>-0.34175584381486135</v>
      </c>
      <c r="H77" s="58">
        <f t="shared" si="80"/>
        <v>-19.061263091213405</v>
      </c>
      <c r="I77">
        <f t="shared" si="81"/>
        <v>-1.0929869463504485</v>
      </c>
      <c r="J77">
        <f t="shared" si="82"/>
        <v>-70.161980269081056</v>
      </c>
      <c r="K77" t="str">
        <f t="shared" si="83"/>
        <v>7142.61400791921-41.6727610489672i</v>
      </c>
      <c r="L77" t="str">
        <f t="shared" si="84"/>
        <v>3300-2448538.09543305i</v>
      </c>
      <c r="M77" t="str">
        <f t="shared" si="85"/>
        <v>99828.0056056359-4076.81342499052i</v>
      </c>
      <c r="N77">
        <f t="shared" ref="N77:N138" si="99">20*LOG(IMABS(IMDIV(K77,IMSUM(K77,M77))))</f>
        <v>-23.514431703293166</v>
      </c>
      <c r="O77">
        <f t="shared" si="86"/>
        <v>1.8705798766118558</v>
      </c>
      <c r="P77" t="str">
        <f t="shared" si="87"/>
        <v>-74198.1241040317i</v>
      </c>
      <c r="Q77" t="str">
        <f t="shared" si="88"/>
        <v>3300-520.965552219797i</v>
      </c>
      <c r="R77" t="str">
        <f t="shared" ref="R77:R138" si="100">IMDIV(IMPRODUCT(P77,Q77),IMSUM(P77,Q77))</f>
        <v>3247.80797522782-660.774016960348i</v>
      </c>
      <c r="S77" t="str">
        <f t="shared" si="89"/>
        <v>1476701.388355-12061902.4969169i</v>
      </c>
      <c r="T77" t="str">
        <f t="shared" ref="T77:T138" si="101">IMDIV(IMPRODUCT(R77,S77),IMSUM(R77,S77))</f>
        <v>3247.35610794928-661.556843422239i</v>
      </c>
      <c r="U77" t="str">
        <f t="shared" ref="U77:U138" si="102">IMDIV(COMPLEX(1,0),IMSUM(COMPLEX(1,0),COMPLEX(0,F77/200000)))</f>
        <v>0.998944864486886-0.0324657080958238i</v>
      </c>
      <c r="V77">
        <f t="shared" si="90"/>
        <v>10.402616776442677</v>
      </c>
      <c r="W77">
        <f t="shared" si="91"/>
        <v>-13.376280550693677</v>
      </c>
      <c r="X77">
        <f t="shared" ref="X77:X138" si="103">20*LOG(IMABS(U77))</f>
        <v>-4.5848145359586217E-3</v>
      </c>
      <c r="Y77">
        <f t="shared" si="92"/>
        <v>-1.8614580177320734</v>
      </c>
      <c r="AA77" s="123">
        <f t="shared" ref="AA77:AA138" si="104">G77+I77</f>
        <v>-1.4347427901653098</v>
      </c>
      <c r="AB77" s="123">
        <f t="shared" ref="AB77:AB138" si="105">H77+J77</f>
        <v>-89.223243360294461</v>
      </c>
      <c r="AC77">
        <f t="shared" ref="AC77:AC138" si="106">N77+V77</f>
        <v>-13.111814926850489</v>
      </c>
      <c r="AD77">
        <f t="shared" ref="AD77:AD138" si="107">O77+W77</f>
        <v>-11.505700674081821</v>
      </c>
      <c r="AE77" s="123">
        <f t="shared" ref="AE77:AE138" si="108">AA77+AC77</f>
        <v>-14.546557717015798</v>
      </c>
      <c r="AF77" s="123">
        <f t="shared" ref="AF77:AF138" si="109">AB77+AD77</f>
        <v>-100.72894403437628</v>
      </c>
      <c r="AI77" s="123">
        <f t="shared" ref="AI77:AI138" si="110">IF(AND(AE78&lt;$AI$7,AE77&gt;=$AI$7),(($AI$7-AE77)/(AE78-AE77)*(F78-F77)+F77),0)</f>
        <v>0</v>
      </c>
      <c r="AJ77" s="123">
        <f t="shared" ref="AJ77:AJ138" si="111">IF(AND(F78&gt;$AJ$7,F77&lt;=$AJ$7),(($AJ$7-F77)/(F78-F77)*(AF78-AF77)+AF77),0)</f>
        <v>0</v>
      </c>
      <c r="AK77" s="123">
        <f t="shared" ref="AK77:AK138" si="112">IF(AND(AF78&lt;$AK$7,AF77&gt;=$AK$7),(($AK$7-AF77)/(AF78-AF77)*(F78-F77)+F77),0)</f>
        <v>0</v>
      </c>
      <c r="AL77" s="123">
        <f t="shared" ref="AL77:AL138" si="113">IF(AND(F78&gt;$AL$7,F77&lt;=$AL$7),(($AL$7-F77)/(F78-F77)*(AE78-AE77)+AE77),0)</f>
        <v>0</v>
      </c>
      <c r="AM77" s="123">
        <f t="shared" ref="AM77:AM138" si="114">IF(AND(AB78&lt;$AM$7,AB77&gt;=$AM$7),(($AM$7-AB77)/(AB78-AB77)*(F78-F77)+F77),0)</f>
        <v>0</v>
      </c>
      <c r="AN77" s="123">
        <f t="shared" ref="AN77:AN138" si="115">IF(AND(AB78&lt;$AN$7,AB77&gt;=$AN$7),(($AN$7-AB77)/(AB78-AB77)*(AE78-AE77)+AE77),0)</f>
        <v>0</v>
      </c>
      <c r="AO77" s="123">
        <f t="shared" ref="AO77:AO138" si="116">IF(AND(J78&gt;$AO$7,J77&lt;=$AO$7),(($AO$7-J77)/(J78-J77)*(F78-F77)+F77),0)</f>
        <v>0</v>
      </c>
      <c r="AP77" s="123"/>
      <c r="AQ77" s="123">
        <f t="shared" ref="AQ77:AQ137" si="117">IF(AND(F77&lt;$AP$8,F78&gt;=$AP$8),($AP$8-F77)/(F78-F77)*(AE78-AE77)+AE77,0)</f>
        <v>0</v>
      </c>
      <c r="AR77" s="123">
        <f t="shared" ref="AR77:AR137" si="118">IF(AND(AD78&lt;$AR$7,AD77&gt;=$AR$7),(($AR$7-AD77)/(AD78-AD77)*(F78-F77)+F77),0)</f>
        <v>0</v>
      </c>
      <c r="AS77" s="123">
        <f t="shared" ref="AS77:AS137" si="119">IF(AND(AD78&lt;$AS$7,AD77&gt;=$AS$7),(($AS$7-AD77)/(AD78-AD77)*(AE78-AE77)+AE77),0)</f>
        <v>0</v>
      </c>
      <c r="AW77" t="str">
        <f t="shared" si="93"/>
        <v>12700</v>
      </c>
      <c r="AX77" t="str">
        <f t="shared" si="94"/>
        <v>75-244.853809543305i</v>
      </c>
      <c r="AY77" t="str">
        <f t="shared" ref="AY77:AY138" si="120">IMDIV(IMPRODUCT(AW77,AX77),IMSUM(AW77,AX77))</f>
        <v>79.196065920311-241.898389257028i</v>
      </c>
      <c r="AZ77">
        <f t="shared" si="95"/>
        <v>-25.864531602420186</v>
      </c>
      <c r="BA77">
        <f t="shared" si="96"/>
        <v>-71.871882020682975</v>
      </c>
      <c r="BB77">
        <f t="shared" si="97"/>
        <v>-4.3043186717639697E-3</v>
      </c>
      <c r="BC77">
        <f t="shared" si="98"/>
        <v>1.040369693898638</v>
      </c>
      <c r="BD77" s="123">
        <f t="shared" ref="BD77:BD138" si="121">G77+BB77</f>
        <v>-0.3460601624866253</v>
      </c>
      <c r="BE77" s="123">
        <f t="shared" ref="BE77:BE138" si="122">H77+BC77</f>
        <v>-18.020893397314769</v>
      </c>
      <c r="BF77">
        <f t="shared" ref="BF77:BF138" si="123">AZ77+V77</f>
        <v>-15.461914825977509</v>
      </c>
      <c r="BG77">
        <f t="shared" ref="BG77:BG138" si="124">BA77+W77</f>
        <v>-85.248162571376653</v>
      </c>
      <c r="BH77" s="123">
        <f t="shared" ref="BH77:BH138" si="125">BD77+BF77</f>
        <v>-15.807974988464133</v>
      </c>
      <c r="BI77" s="123">
        <f t="shared" ref="BI77:BI138" si="126">BE77+BG77</f>
        <v>-103.26905596869142</v>
      </c>
      <c r="BL77" s="123">
        <f t="shared" ref="BL77:BL138" si="127">IF(AND(BH78&lt;$BL$7,BH77&gt;=$BL$7),(($BL$7-BH77)/(BH78-BH77)*(F78-F77)+F77),0)</f>
        <v>0</v>
      </c>
      <c r="BM77" s="123">
        <f t="shared" ref="BM77:BM138" si="128">IF(AND(F78&gt;$BM$7,F77&lt;=$BM$7),(($BM$7-F77)/(F78-F77)*(BI78-BI77)+BI77),0)</f>
        <v>0</v>
      </c>
      <c r="BN77" s="123">
        <f t="shared" ref="BN77:BN138" si="129">IF(AND(BI78&lt;$BN$7,BI77&gt;=$BN$7),(($BN$7-BI77)/(BI78-BI77)*(F78-F77)+F77),0)</f>
        <v>0</v>
      </c>
      <c r="BO77" s="123">
        <f t="shared" ref="BO77:BO138" si="130">IF(AND(F78&gt;$BO$7,F77&lt;=$BO$7),(($BO$7-F77)/(F78-F77)*(BH78-BH77)+BH77),0)</f>
        <v>0</v>
      </c>
      <c r="BP77" s="123">
        <f t="shared" ref="BP77:BP138" si="131">IF(AND(BE78&lt;$BP$7,BE77&gt;=$BP$7),(($BP$7-BE77)/(BE78-BE77)*(F78-F77)+F77),0)</f>
        <v>0</v>
      </c>
      <c r="BQ77" s="123">
        <f t="shared" ref="BQ77:BQ138" si="132">IF(AND(BE78&lt;$BQ$7,BE77&gt;=$BQ$7),(($BQ$7-BE77)/(BE78-BE77)*(BH78-BH77)+BH77),0)</f>
        <v>0</v>
      </c>
      <c r="BR77" s="123">
        <f t="shared" ref="BR77:BR138" si="133">IF(AND(AO78&gt;$BR$7,AO77&lt;=$BR$7),(($BR$7-AO77)/(AO78-AO77)*(F78-F77)+F77),0)</f>
        <v>0</v>
      </c>
      <c r="BS77" s="123"/>
      <c r="BT77" s="123"/>
      <c r="BU77" s="123">
        <f t="shared" ref="BU77:BU137" si="134">IF(AND(AD78&lt;$BU$7,AD77&gt;=$BU$7),(($BU$7-AD77)/(AD78-AD77)*(F78-F77)+F77),0)</f>
        <v>0</v>
      </c>
      <c r="BV77" s="123">
        <f t="shared" ref="BV77:BV137" si="135">IF(BU77=0,0,BH77)</f>
        <v>0</v>
      </c>
      <c r="BX77" s="123">
        <f t="shared" ref="BX77:BX138" si="136">IF(AND(F78&gt;$BX$7,F77&lt;=$BX$7),(($BX$7-F77)/(F78-F77)*(BH78-BH77)+BH77),0)</f>
        <v>0</v>
      </c>
      <c r="BY77" s="123"/>
    </row>
    <row r="78" spans="5:77" x14ac:dyDescent="0.2">
      <c r="E78">
        <v>67</v>
      </c>
      <c r="F78">
        <v>7000</v>
      </c>
      <c r="G78" s="58">
        <f t="shared" si="79"/>
        <v>-0.39415787039280198</v>
      </c>
      <c r="H78" s="58">
        <f t="shared" si="80"/>
        <v>-20.461933450944787</v>
      </c>
      <c r="I78">
        <f t="shared" si="81"/>
        <v>-1.6718446957569255</v>
      </c>
      <c r="J78">
        <f t="shared" si="82"/>
        <v>-69.040004409722329</v>
      </c>
      <c r="K78" t="str">
        <f t="shared" si="83"/>
        <v>7142.57516540931-44.8781139980973i</v>
      </c>
      <c r="L78" t="str">
        <f t="shared" si="84"/>
        <v>3300-2273642.51718783i</v>
      </c>
      <c r="M78" t="str">
        <f t="shared" si="85"/>
        <v>99800.5838159155-4389.1685842184i</v>
      </c>
      <c r="N78">
        <f t="shared" si="99"/>
        <v>-23.513251765847365</v>
      </c>
      <c r="O78">
        <f t="shared" si="86"/>
        <v>2.0142266047962214</v>
      </c>
      <c r="P78" t="str">
        <f t="shared" si="87"/>
        <v>-68898.2580966009i</v>
      </c>
      <c r="Q78" t="str">
        <f t="shared" si="88"/>
        <v>3300-483.75372706124i</v>
      </c>
      <c r="R78" t="str">
        <f t="shared" si="100"/>
        <v>3246.79813938626-634.807522073202i</v>
      </c>
      <c r="S78" t="str">
        <f t="shared" si="89"/>
        <v>1275873.66031374-11223168.5559066i</v>
      </c>
      <c r="T78" t="str">
        <f t="shared" si="101"/>
        <v>3246.33394957104-635.657943500726i</v>
      </c>
      <c r="U78" t="str">
        <f t="shared" si="102"/>
        <v>0.998776498788983-0.0349571774576144i</v>
      </c>
      <c r="V78">
        <f t="shared" si="90"/>
        <v>10.385945990672511</v>
      </c>
      <c r="W78">
        <f t="shared" si="91"/>
        <v>-13.083334442458137</v>
      </c>
      <c r="X78">
        <f t="shared" si="103"/>
        <v>-5.3168514962532573E-3</v>
      </c>
      <c r="Y78">
        <f t="shared" si="92"/>
        <v>-2.0045344491374539</v>
      </c>
      <c r="AA78" s="123">
        <f t="shared" si="104"/>
        <v>-2.0660025661497277</v>
      </c>
      <c r="AB78" s="123">
        <f t="shared" si="105"/>
        <v>-89.501937860667113</v>
      </c>
      <c r="AC78">
        <f t="shared" si="106"/>
        <v>-13.127305775174854</v>
      </c>
      <c r="AD78">
        <f t="shared" si="107"/>
        <v>-11.069107837661916</v>
      </c>
      <c r="AE78" s="123">
        <f t="shared" si="108"/>
        <v>-15.193308341324581</v>
      </c>
      <c r="AF78" s="123">
        <f t="shared" si="109"/>
        <v>-100.57104569832903</v>
      </c>
      <c r="AI78" s="123">
        <f t="shared" si="110"/>
        <v>0</v>
      </c>
      <c r="AJ78" s="123">
        <f t="shared" si="111"/>
        <v>0</v>
      </c>
      <c r="AK78" s="123">
        <f t="shared" si="112"/>
        <v>0</v>
      </c>
      <c r="AL78" s="123">
        <f t="shared" si="113"/>
        <v>0</v>
      </c>
      <c r="AM78" s="123">
        <f t="shared" si="114"/>
        <v>0</v>
      </c>
      <c r="AN78" s="123">
        <f t="shared" si="115"/>
        <v>0</v>
      </c>
      <c r="AO78" s="123">
        <f t="shared" si="116"/>
        <v>0</v>
      </c>
      <c r="AP78" s="123"/>
      <c r="AQ78" s="123">
        <f t="shared" si="117"/>
        <v>0</v>
      </c>
      <c r="AR78" s="123">
        <f t="shared" si="118"/>
        <v>0</v>
      </c>
      <c r="AS78" s="123">
        <f t="shared" si="119"/>
        <v>0</v>
      </c>
      <c r="AW78" t="str">
        <f t="shared" si="93"/>
        <v>12700</v>
      </c>
      <c r="AX78" t="str">
        <f t="shared" si="94"/>
        <v>75-227.364251718783i</v>
      </c>
      <c r="AY78" t="str">
        <f t="shared" si="120"/>
        <v>78.557583295807-224.631296335472i</v>
      </c>
      <c r="AZ78">
        <f t="shared" si="95"/>
        <v>-26.44889511444012</v>
      </c>
      <c r="BA78">
        <f t="shared" si="96"/>
        <v>-70.724369433574253</v>
      </c>
      <c r="BB78">
        <f t="shared" si="97"/>
        <v>-3.7117994797406027E-3</v>
      </c>
      <c r="BC78">
        <f t="shared" si="98"/>
        <v>0.96616027699319229</v>
      </c>
      <c r="BD78" s="123">
        <f t="shared" si="121"/>
        <v>-0.39786966987254258</v>
      </c>
      <c r="BE78" s="123">
        <f t="shared" si="122"/>
        <v>-19.495773173951594</v>
      </c>
      <c r="BF78">
        <f t="shared" si="123"/>
        <v>-16.062949123767609</v>
      </c>
      <c r="BG78">
        <f t="shared" si="124"/>
        <v>-83.807703876032392</v>
      </c>
      <c r="BH78" s="123">
        <f t="shared" si="125"/>
        <v>-16.460818793640151</v>
      </c>
      <c r="BI78" s="123">
        <f t="shared" si="126"/>
        <v>-103.30347704998398</v>
      </c>
      <c r="BL78" s="123">
        <f t="shared" si="127"/>
        <v>0</v>
      </c>
      <c r="BM78" s="123">
        <f t="shared" si="128"/>
        <v>0</v>
      </c>
      <c r="BN78" s="123">
        <f t="shared" si="129"/>
        <v>0</v>
      </c>
      <c r="BO78" s="123">
        <f t="shared" si="130"/>
        <v>0</v>
      </c>
      <c r="BP78" s="123">
        <f t="shared" si="131"/>
        <v>0</v>
      </c>
      <c r="BQ78" s="123">
        <f t="shared" si="132"/>
        <v>0</v>
      </c>
      <c r="BR78" s="123">
        <f t="shared" si="133"/>
        <v>0</v>
      </c>
      <c r="BS78" s="123"/>
      <c r="BT78" s="123"/>
      <c r="BU78" s="123">
        <f t="shared" si="134"/>
        <v>0</v>
      </c>
      <c r="BV78" s="123">
        <f t="shared" si="135"/>
        <v>0</v>
      </c>
      <c r="BX78" s="123">
        <f t="shared" si="136"/>
        <v>0</v>
      </c>
      <c r="BY78" s="123"/>
    </row>
    <row r="79" spans="5:77" x14ac:dyDescent="0.2">
      <c r="E79">
        <v>68</v>
      </c>
      <c r="F79">
        <v>7500</v>
      </c>
      <c r="G79" s="58">
        <f t="shared" si="79"/>
        <v>-0.44980964363897918</v>
      </c>
      <c r="H79" s="58">
        <f t="shared" si="80"/>
        <v>-21.84908869179371</v>
      </c>
      <c r="I79">
        <f t="shared" si="81"/>
        <v>-2.2027178654410715</v>
      </c>
      <c r="J79">
        <f t="shared" si="82"/>
        <v>-67.917361701142895</v>
      </c>
      <c r="K79" t="str">
        <f t="shared" si="83"/>
        <v>7142.53344614702-48.0834127160314i</v>
      </c>
      <c r="L79" t="str">
        <f t="shared" si="84"/>
        <v>3300-2122066.34937531i</v>
      </c>
      <c r="M79" t="str">
        <f t="shared" si="85"/>
        <v>99771.1481121849-4701.24772626715i</v>
      </c>
      <c r="N79">
        <f t="shared" si="99"/>
        <v>-23.511984814462746</v>
      </c>
      <c r="O79">
        <f t="shared" si="86"/>
        <v>2.1578192037450132</v>
      </c>
      <c r="P79" t="str">
        <f t="shared" si="87"/>
        <v>-64305.0408901608i</v>
      </c>
      <c r="Q79" t="str">
        <f t="shared" si="88"/>
        <v>3300-451.503478590491i</v>
      </c>
      <c r="R79" t="str">
        <f t="shared" si="100"/>
        <v>3245.71420012726-613.757372334563i</v>
      </c>
      <c r="S79" t="str">
        <f t="shared" si="89"/>
        <v>1113258.43014602-10492211.3342379i</v>
      </c>
      <c r="T79" t="str">
        <f t="shared" si="101"/>
        <v>3245.23689028384-614.674670016978i</v>
      </c>
      <c r="U79" t="str">
        <f t="shared" si="102"/>
        <v>0.998595724762053-0.037447339678577i</v>
      </c>
      <c r="V79">
        <f t="shared" si="90"/>
        <v>10.371900674852213</v>
      </c>
      <c r="W79">
        <f t="shared" si="91"/>
        <v>-12.872828694175714</v>
      </c>
      <c r="X79">
        <f t="shared" si="103"/>
        <v>-6.1029760017995132E-3</v>
      </c>
      <c r="Y79">
        <f t="shared" si="92"/>
        <v>-2.1475858750910586</v>
      </c>
      <c r="AA79" s="123">
        <f t="shared" si="104"/>
        <v>-2.6525275090800506</v>
      </c>
      <c r="AB79" s="123">
        <f t="shared" si="105"/>
        <v>-89.766450392936605</v>
      </c>
      <c r="AC79">
        <f t="shared" si="106"/>
        <v>-13.140084139610533</v>
      </c>
      <c r="AD79">
        <f t="shared" si="107"/>
        <v>-10.715009490430701</v>
      </c>
      <c r="AE79" s="123">
        <f t="shared" si="108"/>
        <v>-15.792611648690583</v>
      </c>
      <c r="AF79" s="123">
        <f t="shared" si="109"/>
        <v>-100.48145988336731</v>
      </c>
      <c r="AI79" s="123">
        <f t="shared" si="110"/>
        <v>0</v>
      </c>
      <c r="AJ79" s="123">
        <f t="shared" si="111"/>
        <v>0</v>
      </c>
      <c r="AK79" s="123">
        <f t="shared" si="112"/>
        <v>0</v>
      </c>
      <c r="AL79" s="123">
        <f t="shared" si="113"/>
        <v>0</v>
      </c>
      <c r="AM79" s="123">
        <f t="shared" si="114"/>
        <v>0</v>
      </c>
      <c r="AN79" s="123">
        <f t="shared" si="115"/>
        <v>0</v>
      </c>
      <c r="AO79" s="123">
        <f t="shared" si="116"/>
        <v>0</v>
      </c>
      <c r="AP79" s="123"/>
      <c r="AQ79" s="123">
        <f t="shared" si="117"/>
        <v>0</v>
      </c>
      <c r="AR79" s="123">
        <f t="shared" si="118"/>
        <v>0</v>
      </c>
      <c r="AS79" s="123">
        <f t="shared" si="119"/>
        <v>0</v>
      </c>
      <c r="AW79" t="str">
        <f t="shared" si="93"/>
        <v>12700</v>
      </c>
      <c r="AX79" t="str">
        <f t="shared" si="94"/>
        <v>75-212.206634937531i</v>
      </c>
      <c r="AY79" t="str">
        <f t="shared" si="120"/>
        <v>78.0424410122573-209.664433653003i</v>
      </c>
      <c r="AZ79">
        <f t="shared" si="95"/>
        <v>-26.985376853998698</v>
      </c>
      <c r="BA79">
        <f t="shared" si="96"/>
        <v>-69.583466508852112</v>
      </c>
      <c r="BB79">
        <f t="shared" si="97"/>
        <v>-3.2336868734511325E-3</v>
      </c>
      <c r="BC79">
        <f t="shared" si="98"/>
        <v>0.90182694142600806</v>
      </c>
      <c r="BD79" s="123">
        <f t="shared" si="121"/>
        <v>-0.45304333051243034</v>
      </c>
      <c r="BE79" s="123">
        <f t="shared" si="122"/>
        <v>-20.947261750367701</v>
      </c>
      <c r="BF79">
        <f t="shared" si="123"/>
        <v>-16.613476179146485</v>
      </c>
      <c r="BG79">
        <f t="shared" si="124"/>
        <v>-82.456295203027821</v>
      </c>
      <c r="BH79" s="123">
        <f t="shared" si="125"/>
        <v>-17.066519509658914</v>
      </c>
      <c r="BI79" s="123">
        <f t="shared" si="126"/>
        <v>-103.40355695339552</v>
      </c>
      <c r="BL79" s="123">
        <f t="shared" si="127"/>
        <v>0</v>
      </c>
      <c r="BM79" s="123">
        <f t="shared" si="128"/>
        <v>0</v>
      </c>
      <c r="BN79" s="123">
        <f t="shared" si="129"/>
        <v>0</v>
      </c>
      <c r="BO79" s="123">
        <f t="shared" si="130"/>
        <v>0</v>
      </c>
      <c r="BP79" s="123">
        <f t="shared" si="131"/>
        <v>0</v>
      </c>
      <c r="BQ79" s="123">
        <f t="shared" si="132"/>
        <v>0</v>
      </c>
      <c r="BR79" s="123">
        <f t="shared" si="133"/>
        <v>0</v>
      </c>
      <c r="BS79" s="123"/>
      <c r="BT79" s="123"/>
      <c r="BU79" s="123">
        <f t="shared" si="134"/>
        <v>0</v>
      </c>
      <c r="BV79" s="123">
        <f t="shared" si="135"/>
        <v>0</v>
      </c>
      <c r="BX79" s="123">
        <f t="shared" si="136"/>
        <v>0</v>
      </c>
      <c r="BY79" s="123"/>
    </row>
    <row r="80" spans="5:77" x14ac:dyDescent="0.2">
      <c r="E80">
        <v>69</v>
      </c>
      <c r="F80">
        <v>8000</v>
      </c>
      <c r="G80" s="58">
        <f t="shared" si="79"/>
        <v>-0.50859313402845674</v>
      </c>
      <c r="H80" s="58">
        <f t="shared" si="80"/>
        <v>-23.222108042664967</v>
      </c>
      <c r="I80">
        <f t="shared" si="81"/>
        <v>-2.6914943073326079</v>
      </c>
      <c r="J80">
        <f t="shared" si="82"/>
        <v>-66.798498395739131</v>
      </c>
      <c r="K80" t="str">
        <f t="shared" si="83"/>
        <v>7142.48885023316-51.2886533302438i</v>
      </c>
      <c r="L80" t="str">
        <f t="shared" si="84"/>
        <v>3300-1989437.20253935i</v>
      </c>
      <c r="M80" t="str">
        <f t="shared" si="85"/>
        <v>99739.7021898082-5013.03143596458i</v>
      </c>
      <c r="N80">
        <f t="shared" si="99"/>
        <v>-23.510630932189333</v>
      </c>
      <c r="O80">
        <f t="shared" si="86"/>
        <v>2.301353842718374</v>
      </c>
      <c r="P80" t="str">
        <f t="shared" si="87"/>
        <v>-60285.9758345257i</v>
      </c>
      <c r="Q80" t="str">
        <f t="shared" si="88"/>
        <v>3300-423.284511178585i</v>
      </c>
      <c r="R80" t="str">
        <f t="shared" si="100"/>
        <v>3244.55630648561-596.699011273771i</v>
      </c>
      <c r="S80" t="str">
        <f t="shared" si="89"/>
        <v>979770.607532322-9849726.40786778i</v>
      </c>
      <c r="T80" t="str">
        <f t="shared" si="101"/>
        <v>3244.06506544377-597.682552465015i</v>
      </c>
      <c r="U80" t="str">
        <f t="shared" si="102"/>
        <v>0.998402555910543-0.0399361022364217i</v>
      </c>
      <c r="V80">
        <f t="shared" si="90"/>
        <v>10.359817818010303</v>
      </c>
      <c r="W80">
        <f t="shared" si="91"/>
        <v>-12.729653082351577</v>
      </c>
      <c r="X80">
        <f t="shared" si="103"/>
        <v>-6.9431586635440327E-3</v>
      </c>
      <c r="Y80">
        <f t="shared" si="92"/>
        <v>-2.2906105191865156</v>
      </c>
      <c r="AA80" s="123">
        <f t="shared" si="104"/>
        <v>-3.2000874413610645</v>
      </c>
      <c r="AB80" s="123">
        <f t="shared" si="105"/>
        <v>-90.020606438404101</v>
      </c>
      <c r="AC80">
        <f t="shared" si="106"/>
        <v>-13.15081311417903</v>
      </c>
      <c r="AD80">
        <f t="shared" si="107"/>
        <v>-10.428299239633203</v>
      </c>
      <c r="AE80" s="123">
        <f t="shared" si="108"/>
        <v>-16.350900555540093</v>
      </c>
      <c r="AF80" s="123">
        <f t="shared" si="109"/>
        <v>-100.44890567803731</v>
      </c>
      <c r="AI80" s="123">
        <f t="shared" si="110"/>
        <v>0</v>
      </c>
      <c r="AJ80" s="123">
        <f t="shared" si="111"/>
        <v>0</v>
      </c>
      <c r="AK80" s="123">
        <f t="shared" si="112"/>
        <v>0</v>
      </c>
      <c r="AL80" s="123">
        <f t="shared" si="113"/>
        <v>0</v>
      </c>
      <c r="AM80" s="123">
        <f t="shared" si="114"/>
        <v>0</v>
      </c>
      <c r="AN80" s="123">
        <f t="shared" si="115"/>
        <v>0</v>
      </c>
      <c r="AO80" s="123">
        <f t="shared" si="116"/>
        <v>0</v>
      </c>
      <c r="AP80" s="123"/>
      <c r="AQ80" s="123">
        <f t="shared" si="117"/>
        <v>0</v>
      </c>
      <c r="AR80" s="123">
        <f t="shared" si="118"/>
        <v>0</v>
      </c>
      <c r="AS80" s="123">
        <f t="shared" si="119"/>
        <v>0</v>
      </c>
      <c r="AW80" t="str">
        <f t="shared" si="93"/>
        <v>12700</v>
      </c>
      <c r="AX80" t="str">
        <f t="shared" si="94"/>
        <v>75-198.943720253935i</v>
      </c>
      <c r="AY80" t="str">
        <f t="shared" si="120"/>
        <v>77.6208035085082-196.566972665823i</v>
      </c>
      <c r="AZ80">
        <f t="shared" si="95"/>
        <v>-27.479866344999657</v>
      </c>
      <c r="BA80">
        <f t="shared" si="96"/>
        <v>-68.45183181330593</v>
      </c>
      <c r="BB80">
        <f t="shared" si="97"/>
        <v>-2.8423213568930534E-3</v>
      </c>
      <c r="BC80">
        <f t="shared" si="98"/>
        <v>0.84552211651738818</v>
      </c>
      <c r="BD80" s="123">
        <f t="shared" si="121"/>
        <v>-0.51143545538534985</v>
      </c>
      <c r="BE80" s="123">
        <f t="shared" si="122"/>
        <v>-22.37658592614758</v>
      </c>
      <c r="BF80">
        <f t="shared" si="123"/>
        <v>-17.120048526989354</v>
      </c>
      <c r="BG80">
        <f t="shared" si="124"/>
        <v>-81.181484895657505</v>
      </c>
      <c r="BH80" s="123">
        <f t="shared" si="125"/>
        <v>-17.631483982374704</v>
      </c>
      <c r="BI80" s="123">
        <f t="shared" si="126"/>
        <v>-103.55807082180509</v>
      </c>
      <c r="BL80" s="123">
        <f t="shared" si="127"/>
        <v>0</v>
      </c>
      <c r="BM80" s="123">
        <f t="shared" si="128"/>
        <v>0</v>
      </c>
      <c r="BN80" s="123">
        <f t="shared" si="129"/>
        <v>0</v>
      </c>
      <c r="BO80" s="123">
        <f t="shared" si="130"/>
        <v>0</v>
      </c>
      <c r="BP80" s="123">
        <f t="shared" si="131"/>
        <v>0</v>
      </c>
      <c r="BQ80" s="123">
        <f t="shared" si="132"/>
        <v>0</v>
      </c>
      <c r="BR80" s="123">
        <f t="shared" si="133"/>
        <v>0</v>
      </c>
      <c r="BS80" s="123"/>
      <c r="BT80" s="123"/>
      <c r="BU80" s="123">
        <f t="shared" si="134"/>
        <v>0</v>
      </c>
      <c r="BV80" s="123">
        <f t="shared" si="135"/>
        <v>0</v>
      </c>
      <c r="BX80" s="123">
        <f t="shared" si="136"/>
        <v>0</v>
      </c>
      <c r="BY80" s="123"/>
    </row>
    <row r="81" spans="5:77" x14ac:dyDescent="0.2">
      <c r="E81">
        <v>70</v>
      </c>
      <c r="F81">
        <v>8500</v>
      </c>
      <c r="G81" s="58">
        <f t="shared" si="79"/>
        <v>-0.57038738618730045</v>
      </c>
      <c r="H81" s="58">
        <f t="shared" si="80"/>
        <v>-24.580427556039652</v>
      </c>
      <c r="I81">
        <f t="shared" si="81"/>
        <v>-3.1430297979208115</v>
      </c>
      <c r="J81">
        <f t="shared" si="82"/>
        <v>-65.686892769279794</v>
      </c>
      <c r="K81" t="str">
        <f t="shared" si="83"/>
        <v>7142.44137777549-54.4938319684434i</v>
      </c>
      <c r="L81" t="str">
        <f t="shared" si="84"/>
        <v>3300-1872411.48474292i</v>
      </c>
      <c r="M81" t="str">
        <f t="shared" si="85"/>
        <v>99706.2499927758-5324.50035982479i</v>
      </c>
      <c r="N81">
        <f t="shared" si="99"/>
        <v>-23.509190207711331</v>
      </c>
      <c r="O81">
        <f t="shared" si="86"/>
        <v>2.4448266983105369</v>
      </c>
      <c r="P81" t="str">
        <f t="shared" si="87"/>
        <v>-56739.7419619066i</v>
      </c>
      <c r="Q81" t="str">
        <f t="shared" si="88"/>
        <v>3300-398.385422285727i</v>
      </c>
      <c r="R81" t="str">
        <f t="shared" si="100"/>
        <v>3243.32461749924-582.925251919255i</v>
      </c>
      <c r="S81" t="str">
        <f t="shared" si="89"/>
        <v>868865.747191007-9280713.71352758i</v>
      </c>
      <c r="T81" t="str">
        <f t="shared" si="101"/>
        <v>3242.8186255617-583.974466586682i</v>
      </c>
      <c r="U81" t="str">
        <f t="shared" si="102"/>
        <v>0.998197006656726-0.0424233727829109i</v>
      </c>
      <c r="V81">
        <f t="shared" si="90"/>
        <v>10.349220535021153</v>
      </c>
      <c r="W81">
        <f t="shared" si="91"/>
        <v>-12.642153780403534</v>
      </c>
      <c r="X81">
        <f t="shared" si="103"/>
        <v>-7.8373680852157779E-3</v>
      </c>
      <c r="Y81">
        <f t="shared" si="92"/>
        <v>-2.4336066070176021</v>
      </c>
      <c r="AA81" s="123">
        <f t="shared" si="104"/>
        <v>-3.7134171841081121</v>
      </c>
      <c r="AB81" s="123">
        <f t="shared" si="105"/>
        <v>-90.267320325319446</v>
      </c>
      <c r="AC81">
        <f t="shared" si="106"/>
        <v>-13.159969672690178</v>
      </c>
      <c r="AD81">
        <f t="shared" si="107"/>
        <v>-10.197327082092997</v>
      </c>
      <c r="AE81" s="123">
        <f t="shared" si="108"/>
        <v>-16.873386856798291</v>
      </c>
      <c r="AF81" s="123">
        <f t="shared" si="109"/>
        <v>-100.46464740741244</v>
      </c>
      <c r="AI81" s="123">
        <f t="shared" si="110"/>
        <v>0</v>
      </c>
      <c r="AJ81" s="123">
        <f t="shared" si="111"/>
        <v>0</v>
      </c>
      <c r="AK81" s="123">
        <f t="shared" si="112"/>
        <v>0</v>
      </c>
      <c r="AL81" s="123">
        <f t="shared" si="113"/>
        <v>0</v>
      </c>
      <c r="AM81" s="123">
        <f t="shared" si="114"/>
        <v>0</v>
      </c>
      <c r="AN81" s="123">
        <f t="shared" si="115"/>
        <v>0</v>
      </c>
      <c r="AO81" s="123">
        <f t="shared" si="116"/>
        <v>0</v>
      </c>
      <c r="AP81" s="123"/>
      <c r="AQ81" s="123">
        <f t="shared" si="117"/>
        <v>0</v>
      </c>
      <c r="AR81" s="123">
        <f t="shared" si="118"/>
        <v>0</v>
      </c>
      <c r="AS81" s="123">
        <f t="shared" si="119"/>
        <v>0</v>
      </c>
      <c r="AW81" t="str">
        <f t="shared" si="93"/>
        <v>12700</v>
      </c>
      <c r="AX81" t="str">
        <f t="shared" si="94"/>
        <v>75-187.241148474292i</v>
      </c>
      <c r="AY81" t="str">
        <f t="shared" si="120"/>
        <v>77.2713393134208-185.009331609105i</v>
      </c>
      <c r="AZ81">
        <f t="shared" si="95"/>
        <v>-27.9372138120365</v>
      </c>
      <c r="BA81">
        <f t="shared" si="96"/>
        <v>-67.331581412816149</v>
      </c>
      <c r="BB81">
        <f t="shared" si="97"/>
        <v>-2.5179225800816304E-3</v>
      </c>
      <c r="BC81">
        <f t="shared" si="98"/>
        <v>0.79583182958828402</v>
      </c>
      <c r="BD81" s="123">
        <f t="shared" si="121"/>
        <v>-0.5729053087673821</v>
      </c>
      <c r="BE81" s="123">
        <f t="shared" si="122"/>
        <v>-23.784595726451368</v>
      </c>
      <c r="BF81">
        <f t="shared" si="123"/>
        <v>-17.587993277015347</v>
      </c>
      <c r="BG81">
        <f t="shared" si="124"/>
        <v>-79.973735193219682</v>
      </c>
      <c r="BH81" s="123">
        <f t="shared" si="125"/>
        <v>-18.160898585782729</v>
      </c>
      <c r="BI81" s="123">
        <f t="shared" si="126"/>
        <v>-103.75833091967105</v>
      </c>
      <c r="BL81" s="123">
        <f t="shared" si="127"/>
        <v>0</v>
      </c>
      <c r="BM81" s="123">
        <f t="shared" si="128"/>
        <v>0</v>
      </c>
      <c r="BN81" s="123">
        <f t="shared" si="129"/>
        <v>0</v>
      </c>
      <c r="BO81" s="123">
        <f t="shared" si="130"/>
        <v>0</v>
      </c>
      <c r="BP81" s="123">
        <f t="shared" si="131"/>
        <v>0</v>
      </c>
      <c r="BQ81" s="123">
        <f t="shared" si="132"/>
        <v>0</v>
      </c>
      <c r="BR81" s="123">
        <f t="shared" si="133"/>
        <v>0</v>
      </c>
      <c r="BS81" s="123"/>
      <c r="BT81" s="123"/>
      <c r="BU81" s="123">
        <f t="shared" si="134"/>
        <v>0</v>
      </c>
      <c r="BV81" s="123">
        <f t="shared" si="135"/>
        <v>0</v>
      </c>
      <c r="BX81" s="123">
        <f t="shared" si="136"/>
        <v>0</v>
      </c>
      <c r="BY81" s="123"/>
    </row>
    <row r="82" spans="5:77" x14ac:dyDescent="0.2">
      <c r="E82">
        <v>71</v>
      </c>
      <c r="F82">
        <v>9000</v>
      </c>
      <c r="G82" s="58">
        <f t="shared" si="79"/>
        <v>-0.63506924887618321</v>
      </c>
      <c r="H82" s="58">
        <f t="shared" si="80"/>
        <v>-25.92353994649098</v>
      </c>
      <c r="I82">
        <f t="shared" si="81"/>
        <v>-3.5613825423493339</v>
      </c>
      <c r="J82">
        <f t="shared" si="82"/>
        <v>-64.585298963569542</v>
      </c>
      <c r="K82" t="str">
        <f t="shared" si="83"/>
        <v>7142.39102888876-57.698944758588i</v>
      </c>
      <c r="L82" t="str">
        <f t="shared" si="84"/>
        <v>3300-1768388.62447942i</v>
      </c>
      <c r="M82" t="str">
        <f t="shared" si="85"/>
        <v>99670.7957124722-5635.63521001057i</v>
      </c>
      <c r="N82">
        <f t="shared" si="99"/>
        <v>-23.507662735328484</v>
      </c>
      <c r="O82">
        <f t="shared" si="86"/>
        <v>2.5882339549261828</v>
      </c>
      <c r="P82" t="str">
        <f t="shared" si="87"/>
        <v>-53587.534075134i</v>
      </c>
      <c r="Q82" t="str">
        <f t="shared" si="88"/>
        <v>3300-376.252898825409i</v>
      </c>
      <c r="R82" t="str">
        <f t="shared" si="100"/>
        <v>3242.01930215478-571.885897271767i</v>
      </c>
      <c r="S82" t="str">
        <f t="shared" si="89"/>
        <v>775734.889673732-8773353.08467157i</v>
      </c>
      <c r="T82" t="str">
        <f t="shared" si="101"/>
        <v>3241.49773465561-573.000261330101i</v>
      </c>
      <c r="U82" t="str">
        <f t="shared" si="102"/>
        <v>0.997979092338016-0.0449090591552107i</v>
      </c>
      <c r="V82">
        <f t="shared" si="90"/>
        <v>10.339758849255574</v>
      </c>
      <c r="W82">
        <f t="shared" si="91"/>
        <v>-12.601202440107583</v>
      </c>
      <c r="X82">
        <f t="shared" si="103"/>
        <v>-8.7855708671930096E-3</v>
      </c>
      <c r="Y82">
        <f t="shared" si="92"/>
        <v>-2.5765723663094895</v>
      </c>
      <c r="AA82" s="123">
        <f t="shared" si="104"/>
        <v>-4.1964517912255168</v>
      </c>
      <c r="AB82" s="123">
        <f t="shared" si="105"/>
        <v>-90.508838910060518</v>
      </c>
      <c r="AC82">
        <f t="shared" si="106"/>
        <v>-13.16790388607291</v>
      </c>
      <c r="AD82">
        <f t="shared" si="107"/>
        <v>-10.0129684851814</v>
      </c>
      <c r="AE82" s="123">
        <f t="shared" si="108"/>
        <v>-17.364355677298427</v>
      </c>
      <c r="AF82" s="123">
        <f t="shared" si="109"/>
        <v>-100.52180739524192</v>
      </c>
      <c r="AI82" s="123">
        <f t="shared" si="110"/>
        <v>0</v>
      </c>
      <c r="AJ82" s="123">
        <f t="shared" si="111"/>
        <v>0</v>
      </c>
      <c r="AK82" s="123">
        <f t="shared" si="112"/>
        <v>0</v>
      </c>
      <c r="AL82" s="123">
        <f t="shared" si="113"/>
        <v>0</v>
      </c>
      <c r="AM82" s="123">
        <f t="shared" si="114"/>
        <v>0</v>
      </c>
      <c r="AN82" s="123">
        <f t="shared" si="115"/>
        <v>0</v>
      </c>
      <c r="AO82" s="123">
        <f t="shared" si="116"/>
        <v>0</v>
      </c>
      <c r="AP82" s="123"/>
      <c r="AQ82" s="123">
        <f t="shared" si="117"/>
        <v>0</v>
      </c>
      <c r="AR82" s="123">
        <f t="shared" si="118"/>
        <v>0</v>
      </c>
      <c r="AS82" s="123">
        <f t="shared" si="119"/>
        <v>0</v>
      </c>
      <c r="AW82" t="str">
        <f t="shared" si="93"/>
        <v>12700</v>
      </c>
      <c r="AX82" t="str">
        <f t="shared" si="94"/>
        <v>75-176.838862447942i</v>
      </c>
      <c r="AY82" t="str">
        <f t="shared" si="120"/>
        <v>76.9784700158242-174.735089473055i</v>
      </c>
      <c r="AZ82">
        <f t="shared" si="95"/>
        <v>-28.361467351935801</v>
      </c>
      <c r="BA82">
        <f t="shared" si="96"/>
        <v>-66.224418095527</v>
      </c>
      <c r="BB82">
        <f t="shared" si="97"/>
        <v>-2.2460421024654365E-3</v>
      </c>
      <c r="BC82">
        <f t="shared" si="98"/>
        <v>0.75165560539064102</v>
      </c>
      <c r="BD82" s="123">
        <f t="shared" si="121"/>
        <v>-0.6373152909786487</v>
      </c>
      <c r="BE82" s="123">
        <f t="shared" si="122"/>
        <v>-25.171884341100338</v>
      </c>
      <c r="BF82">
        <f t="shared" si="123"/>
        <v>-18.021708502680227</v>
      </c>
      <c r="BG82">
        <f t="shared" si="124"/>
        <v>-78.825620535634584</v>
      </c>
      <c r="BH82" s="123">
        <f t="shared" si="125"/>
        <v>-18.659023793658875</v>
      </c>
      <c r="BI82" s="123">
        <f t="shared" si="126"/>
        <v>-103.99750487673492</v>
      </c>
      <c r="BL82" s="123">
        <f t="shared" si="127"/>
        <v>0</v>
      </c>
      <c r="BM82" s="123">
        <f t="shared" si="128"/>
        <v>0</v>
      </c>
      <c r="BN82" s="123">
        <f t="shared" si="129"/>
        <v>0</v>
      </c>
      <c r="BO82" s="123">
        <f t="shared" si="130"/>
        <v>0</v>
      </c>
      <c r="BP82" s="123">
        <f t="shared" si="131"/>
        <v>0</v>
      </c>
      <c r="BQ82" s="123">
        <f t="shared" si="132"/>
        <v>0</v>
      </c>
      <c r="BR82" s="123">
        <f t="shared" si="133"/>
        <v>0</v>
      </c>
      <c r="BS82" s="123"/>
      <c r="BT82" s="123"/>
      <c r="BU82" s="123">
        <f t="shared" si="134"/>
        <v>0</v>
      </c>
      <c r="BV82" s="123">
        <f t="shared" si="135"/>
        <v>0</v>
      </c>
      <c r="BX82" s="123">
        <f t="shared" si="136"/>
        <v>0</v>
      </c>
      <c r="BY82" s="123"/>
    </row>
    <row r="83" spans="5:77" x14ac:dyDescent="0.2">
      <c r="E83">
        <v>72</v>
      </c>
      <c r="F83">
        <v>9500</v>
      </c>
      <c r="G83" s="58">
        <f t="shared" si="79"/>
        <v>-0.70251407580371006</v>
      </c>
      <c r="H83" s="58">
        <f t="shared" si="80"/>
        <v>-27.250993988842549</v>
      </c>
      <c r="I83">
        <f t="shared" si="81"/>
        <v>-3.9499842295173959</v>
      </c>
      <c r="J83">
        <f t="shared" si="82"/>
        <v>-63.495915424096395</v>
      </c>
      <c r="K83" t="str">
        <f t="shared" si="83"/>
        <v>7142.33780369462-60.903987828901i</v>
      </c>
      <c r="L83" t="str">
        <f t="shared" si="84"/>
        <v>3300-1675315.5389805i</v>
      </c>
      <c r="M83" t="str">
        <f t="shared" si="85"/>
        <v>99633.3437863677-5946.41676826692i</v>
      </c>
      <c r="N83">
        <f t="shared" si="99"/>
        <v>-23.506048614936446</v>
      </c>
      <c r="O83">
        <f t="shared" si="86"/>
        <v>2.7315718052540592</v>
      </c>
      <c r="P83" t="str">
        <f t="shared" si="87"/>
        <v>-50767.1375448638i</v>
      </c>
      <c r="Q83" t="str">
        <f t="shared" si="88"/>
        <v>3300-356.450114676703i</v>
      </c>
      <c r="R83" t="str">
        <f t="shared" si="100"/>
        <v>3240.6405393299-563.146428047889i</v>
      </c>
      <c r="S83" t="str">
        <f t="shared" si="89"/>
        <v>696781.42878188-8318211.25715695i</v>
      </c>
      <c r="T83" t="str">
        <f t="shared" si="101"/>
        <v>3240.10256916981-564.325451031948i</v>
      </c>
      <c r="U83" t="str">
        <f t="shared" si="102"/>
        <v>0.997748829204108-0.0473930693871951i</v>
      </c>
      <c r="V83">
        <f t="shared" si="90"/>
        <v>10.331171307300524</v>
      </c>
      <c r="W83">
        <f t="shared" si="91"/>
        <v>-12.599549557522884</v>
      </c>
      <c r="X83">
        <f t="shared" si="103"/>
        <v>-9.7877316107141711E-3</v>
      </c>
      <c r="Y83">
        <f t="shared" si="92"/>
        <v>-2.7195060270496665</v>
      </c>
      <c r="AA83" s="123">
        <f t="shared" si="104"/>
        <v>-4.6524983053211058</v>
      </c>
      <c r="AB83" s="123">
        <f t="shared" si="105"/>
        <v>-90.746909412938948</v>
      </c>
      <c r="AC83">
        <f t="shared" si="106"/>
        <v>-13.174877307635922</v>
      </c>
      <c r="AD83">
        <f t="shared" si="107"/>
        <v>-9.8679777522688248</v>
      </c>
      <c r="AE83" s="123">
        <f t="shared" si="108"/>
        <v>-17.827375612957027</v>
      </c>
      <c r="AF83" s="123">
        <f t="shared" si="109"/>
        <v>-100.61488716520778</v>
      </c>
      <c r="AI83" s="123">
        <f t="shared" si="110"/>
        <v>0</v>
      </c>
      <c r="AJ83" s="123">
        <f t="shared" si="111"/>
        <v>0</v>
      </c>
      <c r="AK83" s="123">
        <f t="shared" si="112"/>
        <v>0</v>
      </c>
      <c r="AL83" s="123">
        <f t="shared" si="113"/>
        <v>0</v>
      </c>
      <c r="AM83" s="123">
        <f t="shared" si="114"/>
        <v>0</v>
      </c>
      <c r="AN83" s="123">
        <f t="shared" si="115"/>
        <v>0</v>
      </c>
      <c r="AO83" s="123">
        <f t="shared" si="116"/>
        <v>0</v>
      </c>
      <c r="AP83" s="123"/>
      <c r="AQ83" s="123">
        <f t="shared" si="117"/>
        <v>0</v>
      </c>
      <c r="AR83" s="123">
        <f t="shared" si="118"/>
        <v>0</v>
      </c>
      <c r="AS83" s="123">
        <f t="shared" si="119"/>
        <v>0</v>
      </c>
      <c r="AW83" t="str">
        <f t="shared" si="93"/>
        <v>12700</v>
      </c>
      <c r="AX83" t="str">
        <f t="shared" si="94"/>
        <v>75-167.53155389805i</v>
      </c>
      <c r="AY83" t="str">
        <f t="shared" si="120"/>
        <v>76.7306041231798-165.54175633385i</v>
      </c>
      <c r="AZ83">
        <f t="shared" si="95"/>
        <v>-28.756045750063386</v>
      </c>
      <c r="BA83">
        <f t="shared" si="96"/>
        <v>-65.131720868786289</v>
      </c>
      <c r="BB83">
        <f t="shared" si="97"/>
        <v>-2.0159274715424984E-3</v>
      </c>
      <c r="BC83">
        <f t="shared" si="98"/>
        <v>0.71212417568080288</v>
      </c>
      <c r="BD83" s="123">
        <f t="shared" si="121"/>
        <v>-0.7045300032752525</v>
      </c>
      <c r="BE83" s="123">
        <f t="shared" si="122"/>
        <v>-26.538869813161746</v>
      </c>
      <c r="BF83">
        <f t="shared" si="123"/>
        <v>-18.424874442762864</v>
      </c>
      <c r="BG83">
        <f t="shared" si="124"/>
        <v>-77.73127042630918</v>
      </c>
      <c r="BH83" s="123">
        <f t="shared" si="125"/>
        <v>-19.129404446038116</v>
      </c>
      <c r="BI83" s="123">
        <f t="shared" si="126"/>
        <v>-104.27014023947092</v>
      </c>
      <c r="BL83" s="123">
        <f t="shared" si="127"/>
        <v>0</v>
      </c>
      <c r="BM83" s="123">
        <f t="shared" si="128"/>
        <v>0</v>
      </c>
      <c r="BN83" s="123">
        <f t="shared" si="129"/>
        <v>0</v>
      </c>
      <c r="BO83" s="123">
        <f t="shared" si="130"/>
        <v>0</v>
      </c>
      <c r="BP83" s="123">
        <f t="shared" si="131"/>
        <v>0</v>
      </c>
      <c r="BQ83" s="123">
        <f t="shared" si="132"/>
        <v>0</v>
      </c>
      <c r="BR83" s="123">
        <f t="shared" si="133"/>
        <v>0</v>
      </c>
      <c r="BS83" s="123"/>
      <c r="BT83" s="123"/>
      <c r="BU83" s="123">
        <f t="shared" si="134"/>
        <v>0</v>
      </c>
      <c r="BV83" s="123">
        <f t="shared" si="135"/>
        <v>0</v>
      </c>
      <c r="BX83" s="123">
        <f t="shared" si="136"/>
        <v>0</v>
      </c>
      <c r="BY83" s="123"/>
    </row>
    <row r="84" spans="5:77" x14ac:dyDescent="0.2">
      <c r="E84">
        <v>73</v>
      </c>
      <c r="F84">
        <v>10000</v>
      </c>
      <c r="G84" s="58">
        <f t="shared" si="79"/>
        <v>-0.77259639129152125</v>
      </c>
      <c r="H84" s="58">
        <f t="shared" si="80"/>
        <v>-28.562393517262066</v>
      </c>
      <c r="I84">
        <f t="shared" si="81"/>
        <v>-4.3117671362804666</v>
      </c>
      <c r="J84">
        <f t="shared" si="82"/>
        <v>-62.420504426375125</v>
      </c>
      <c r="K84" t="str">
        <f t="shared" si="83"/>
        <v>7142.28170232169-64.1089573078863i</v>
      </c>
      <c r="L84" t="str">
        <f t="shared" si="84"/>
        <v>3300-1591549.76203148i</v>
      </c>
      <c r="M84" t="str">
        <f t="shared" si="85"/>
        <v>99593.8988966365-6256.82588982448i</v>
      </c>
      <c r="N84">
        <f t="shared" si="99"/>
        <v>-23.50434795200616</v>
      </c>
      <c r="O84">
        <f t="shared" si="86"/>
        <v>2.874836450738179</v>
      </c>
      <c r="P84" t="str">
        <f t="shared" si="87"/>
        <v>-48228.7806676206i</v>
      </c>
      <c r="Q84" t="str">
        <f t="shared" si="88"/>
        <v>3300-338.627608942868i</v>
      </c>
      <c r="R84" t="str">
        <f t="shared" si="100"/>
        <v>3239.18851773222-556.359084148656i</v>
      </c>
      <c r="S84" t="str">
        <f t="shared" si="89"/>
        <v>629272.743397855-7907672.86590701i</v>
      </c>
      <c r="T84" t="str">
        <f t="shared" si="101"/>
        <v>3238.63331723843-557.602299994613i</v>
      </c>
      <c r="U84" t="str">
        <f t="shared" si="102"/>
        <v>0.997506234413965-0.0498753117206983i</v>
      </c>
      <c r="V84">
        <f t="shared" si="90"/>
        <v>10.323259465864165</v>
      </c>
      <c r="W84">
        <f t="shared" si="91"/>
        <v>-12.631366126858728</v>
      </c>
      <c r="X84">
        <f t="shared" si="103"/>
        <v>-1.0843812922199398E-2</v>
      </c>
      <c r="Y84">
        <f t="shared" si="92"/>
        <v>-2.8624058216183719</v>
      </c>
      <c r="AA84" s="123">
        <f t="shared" si="104"/>
        <v>-5.0843635275719876</v>
      </c>
      <c r="AB84" s="123">
        <f t="shared" si="105"/>
        <v>-90.982897943637198</v>
      </c>
      <c r="AC84">
        <f t="shared" si="106"/>
        <v>-13.181088486141995</v>
      </c>
      <c r="AD84">
        <f t="shared" si="107"/>
        <v>-9.7565296761205484</v>
      </c>
      <c r="AE84" s="123">
        <f t="shared" si="108"/>
        <v>-18.265452013713983</v>
      </c>
      <c r="AF84" s="123">
        <f t="shared" si="109"/>
        <v>-100.73942761975775</v>
      </c>
      <c r="AI84" s="123">
        <f t="shared" si="110"/>
        <v>0</v>
      </c>
      <c r="AJ84" s="123">
        <f t="shared" si="111"/>
        <v>0</v>
      </c>
      <c r="AK84" s="123">
        <f t="shared" si="112"/>
        <v>0</v>
      </c>
      <c r="AL84" s="123">
        <f t="shared" si="113"/>
        <v>0</v>
      </c>
      <c r="AM84" s="123">
        <f t="shared" si="114"/>
        <v>0</v>
      </c>
      <c r="AN84" s="123">
        <f t="shared" si="115"/>
        <v>0</v>
      </c>
      <c r="AO84" s="123">
        <f t="shared" si="116"/>
        <v>0</v>
      </c>
      <c r="AP84" s="123"/>
      <c r="AQ84" s="123">
        <f t="shared" si="117"/>
        <v>0</v>
      </c>
      <c r="AR84" s="123">
        <f t="shared" si="118"/>
        <v>0</v>
      </c>
      <c r="AS84" s="123">
        <f t="shared" si="119"/>
        <v>0</v>
      </c>
      <c r="AW84" t="str">
        <f t="shared" si="93"/>
        <v>12700</v>
      </c>
      <c r="AX84" t="str">
        <f t="shared" si="94"/>
        <v>75-159.154976203148i</v>
      </c>
      <c r="AY84" t="str">
        <f t="shared" si="120"/>
        <v>76.518972540051-157.26730509012i</v>
      </c>
      <c r="AZ84">
        <f t="shared" si="95"/>
        <v>-29.123866780401197</v>
      </c>
      <c r="BA84">
        <f t="shared" si="96"/>
        <v>-64.054608769682702</v>
      </c>
      <c r="BB84">
        <f t="shared" si="97"/>
        <v>-1.8194432277937301E-3</v>
      </c>
      <c r="BC84">
        <f t="shared" si="98"/>
        <v>0.67654180836235933</v>
      </c>
      <c r="BD84" s="123">
        <f t="shared" si="121"/>
        <v>-0.77441583451931495</v>
      </c>
      <c r="BE84" s="123">
        <f t="shared" si="122"/>
        <v>-27.885851708899708</v>
      </c>
      <c r="BF84">
        <f t="shared" si="123"/>
        <v>-18.800607314537032</v>
      </c>
      <c r="BG84">
        <f t="shared" si="124"/>
        <v>-76.685974896541424</v>
      </c>
      <c r="BH84" s="123">
        <f t="shared" si="125"/>
        <v>-19.575023149056346</v>
      </c>
      <c r="BI84" s="123">
        <f t="shared" si="126"/>
        <v>-104.57182660544113</v>
      </c>
      <c r="BL84" s="123">
        <f t="shared" si="127"/>
        <v>0</v>
      </c>
      <c r="BM84" s="123">
        <f t="shared" si="128"/>
        <v>0</v>
      </c>
      <c r="BN84" s="123">
        <f t="shared" si="129"/>
        <v>0</v>
      </c>
      <c r="BO84" s="123">
        <f t="shared" si="130"/>
        <v>0</v>
      </c>
      <c r="BP84" s="123">
        <f t="shared" si="131"/>
        <v>0</v>
      </c>
      <c r="BQ84" s="123">
        <f t="shared" si="132"/>
        <v>0</v>
      </c>
      <c r="BR84" s="123">
        <f t="shared" si="133"/>
        <v>0</v>
      </c>
      <c r="BS84" s="123"/>
      <c r="BT84" s="123"/>
      <c r="BU84" s="123">
        <f t="shared" si="134"/>
        <v>0</v>
      </c>
      <c r="BV84" s="123">
        <f t="shared" si="135"/>
        <v>0</v>
      </c>
      <c r="BX84" s="123">
        <f t="shared" si="136"/>
        <v>0</v>
      </c>
      <c r="BY84" s="123"/>
    </row>
    <row r="85" spans="5:77" x14ac:dyDescent="0.2">
      <c r="E85">
        <v>74</v>
      </c>
      <c r="F85">
        <v>15000</v>
      </c>
      <c r="G85" s="58">
        <f t="shared" si="79"/>
        <v>-1.5913984647949109</v>
      </c>
      <c r="H85" s="58">
        <f t="shared" si="80"/>
        <v>-40.742110510108056</v>
      </c>
      <c r="I85">
        <f t="shared" si="81"/>
        <v>-6.8837245026445348</v>
      </c>
      <c r="J85">
        <f t="shared" si="82"/>
        <v>-52.636081028569713</v>
      </c>
      <c r="K85" t="str">
        <f t="shared" si="83"/>
        <v>7141.56253202241-96.153753077577i</v>
      </c>
      <c r="L85" t="str">
        <f t="shared" si="84"/>
        <v>3300-1061033.17468765i</v>
      </c>
      <c r="M85" t="str">
        <f t="shared" si="85"/>
        <v>99091.0389098693-9336.28142428787i</v>
      </c>
      <c r="N85">
        <f t="shared" si="99"/>
        <v>-23.482608625588529</v>
      </c>
      <c r="O85">
        <f t="shared" si="86"/>
        <v>4.3026281456484545</v>
      </c>
      <c r="P85" t="str">
        <f t="shared" si="87"/>
        <v>-32152.5204450804i</v>
      </c>
      <c r="Q85" t="str">
        <f t="shared" si="88"/>
        <v>3300-225.751739295245i</v>
      </c>
      <c r="R85" t="str">
        <f t="shared" si="100"/>
        <v>3220.68747537995-552.430839425337i</v>
      </c>
      <c r="S85" t="str">
        <f t="shared" si="89"/>
        <v>280657.943700094-5290276.503988i</v>
      </c>
      <c r="T85" t="str">
        <f t="shared" si="101"/>
        <v>3219.91503933492-554.29224337846i</v>
      </c>
      <c r="U85" t="str">
        <f t="shared" si="102"/>
        <v>0.994406463642014-0.074580484773151i</v>
      </c>
      <c r="V85">
        <f t="shared" si="90"/>
        <v>10.259355956811348</v>
      </c>
      <c r="W85">
        <f t="shared" si="91"/>
        <v>-14.056605958167918</v>
      </c>
      <c r="X85">
        <f t="shared" si="103"/>
        <v>-2.4360614431044699E-2</v>
      </c>
      <c r="Y85">
        <f t="shared" si="92"/>
        <v>-4.2891542211522138</v>
      </c>
      <c r="AA85" s="123">
        <f t="shared" si="104"/>
        <v>-8.4751229674394466</v>
      </c>
      <c r="AB85" s="123">
        <f t="shared" si="105"/>
        <v>-93.378191538677768</v>
      </c>
      <c r="AC85">
        <f t="shared" si="106"/>
        <v>-13.223252668777182</v>
      </c>
      <c r="AD85">
        <f t="shared" si="107"/>
        <v>-9.7539778125194623</v>
      </c>
      <c r="AE85" s="123">
        <f t="shared" si="108"/>
        <v>-21.698375636216628</v>
      </c>
      <c r="AF85" s="123">
        <f t="shared" si="109"/>
        <v>-103.13216935119723</v>
      </c>
      <c r="AI85" s="123">
        <f t="shared" si="110"/>
        <v>0</v>
      </c>
      <c r="AJ85" s="123">
        <f t="shared" si="111"/>
        <v>0</v>
      </c>
      <c r="AK85" s="123">
        <f t="shared" si="112"/>
        <v>0</v>
      </c>
      <c r="AL85" s="123">
        <f t="shared" si="113"/>
        <v>0</v>
      </c>
      <c r="AM85" s="123">
        <f t="shared" si="114"/>
        <v>0</v>
      </c>
      <c r="AN85" s="123">
        <f t="shared" si="115"/>
        <v>0</v>
      </c>
      <c r="AO85" s="123">
        <f t="shared" si="116"/>
        <v>19841.292546311488</v>
      </c>
      <c r="AP85" s="123"/>
      <c r="AQ85" s="123">
        <f t="shared" si="117"/>
        <v>0</v>
      </c>
      <c r="AR85" s="123">
        <f t="shared" si="118"/>
        <v>0</v>
      </c>
      <c r="AS85" s="123">
        <f t="shared" si="119"/>
        <v>0</v>
      </c>
      <c r="AW85" t="str">
        <f t="shared" si="93"/>
        <v>12700</v>
      </c>
      <c r="AX85" t="str">
        <f t="shared" si="94"/>
        <v>75-106.103317468765i</v>
      </c>
      <c r="AY85" t="str">
        <f t="shared" si="120"/>
        <v>75.4305555926203-104.853909954319i</v>
      </c>
      <c r="AZ85">
        <f t="shared" si="95"/>
        <v>-31.756369342143071</v>
      </c>
      <c r="BA85">
        <f t="shared" si="96"/>
        <v>-54.269256178241228</v>
      </c>
      <c r="BB85">
        <f t="shared" si="97"/>
        <v>-8.0879845667658999E-4</v>
      </c>
      <c r="BC85">
        <f t="shared" si="98"/>
        <v>0.45110962808681043</v>
      </c>
      <c r="BD85" s="123">
        <f t="shared" si="121"/>
        <v>-1.5922072632515876</v>
      </c>
      <c r="BE85" s="123">
        <f t="shared" si="122"/>
        <v>-40.291000882021244</v>
      </c>
      <c r="BF85">
        <f t="shared" si="123"/>
        <v>-21.497013385331723</v>
      </c>
      <c r="BG85">
        <f t="shared" si="124"/>
        <v>-68.325862136409143</v>
      </c>
      <c r="BH85" s="123">
        <f t="shared" si="125"/>
        <v>-23.089220648583311</v>
      </c>
      <c r="BI85" s="123">
        <f t="shared" si="126"/>
        <v>-108.61686301843039</v>
      </c>
      <c r="BL85" s="123">
        <f t="shared" si="127"/>
        <v>0</v>
      </c>
      <c r="BM85" s="123">
        <f t="shared" si="128"/>
        <v>0</v>
      </c>
      <c r="BN85" s="123">
        <f t="shared" si="129"/>
        <v>0</v>
      </c>
      <c r="BO85" s="123">
        <f t="shared" si="130"/>
        <v>0</v>
      </c>
      <c r="BP85" s="123">
        <f t="shared" si="131"/>
        <v>17224.945132971054</v>
      </c>
      <c r="BQ85" s="123">
        <f t="shared" si="132"/>
        <v>-24.209163599073204</v>
      </c>
      <c r="BR85" s="123">
        <f t="shared" si="133"/>
        <v>0</v>
      </c>
      <c r="BS85" s="123"/>
      <c r="BT85" s="123"/>
      <c r="BU85" s="123">
        <f t="shared" si="134"/>
        <v>0</v>
      </c>
      <c r="BV85" s="123">
        <f t="shared" si="135"/>
        <v>0</v>
      </c>
      <c r="BX85" s="123">
        <f t="shared" si="136"/>
        <v>0</v>
      </c>
      <c r="BY85" s="123"/>
    </row>
    <row r="86" spans="5:77" x14ac:dyDescent="0.2">
      <c r="E86">
        <v>75</v>
      </c>
      <c r="F86">
        <v>20000</v>
      </c>
      <c r="G86" s="58">
        <f t="shared" si="79"/>
        <v>-2.5479174838110619</v>
      </c>
      <c r="H86" s="58">
        <f t="shared" si="80"/>
        <v>-51.211636011878717</v>
      </c>
      <c r="I86">
        <f t="shared" si="81"/>
        <v>-8.3280160476458231</v>
      </c>
      <c r="J86">
        <f t="shared" si="82"/>
        <v>-44.749673674001215</v>
      </c>
      <c r="K86" t="str">
        <f t="shared" si="83"/>
        <v>7140.55593688236-128.186933753498i</v>
      </c>
      <c r="L86" t="str">
        <f t="shared" si="84"/>
        <v>3300-795774.88101574i</v>
      </c>
      <c r="M86" t="str">
        <f t="shared" si="85"/>
        <v>98395.7847528492-12358.1238860124i</v>
      </c>
      <c r="N86">
        <f t="shared" si="99"/>
        <v>-23.452371472410132</v>
      </c>
      <c r="O86">
        <f t="shared" si="86"/>
        <v>5.719003573344958</v>
      </c>
      <c r="P86" t="str">
        <f t="shared" si="87"/>
        <v>-24114.3903338103i</v>
      </c>
      <c r="Q86" t="str">
        <f t="shared" si="88"/>
        <v>3300-169.313804471434i</v>
      </c>
      <c r="R86" t="str">
        <f t="shared" si="100"/>
        <v>3195.13825433962-602.33213705602i</v>
      </c>
      <c r="S86" t="str">
        <f t="shared" si="89"/>
        <v>158064.176936366-3972585.22999898i</v>
      </c>
      <c r="T86" t="str">
        <f t="shared" si="101"/>
        <v>3194.0706721452-604.7669445591i</v>
      </c>
      <c r="U86" t="str">
        <f t="shared" si="102"/>
        <v>0.99009900990099-0.099009900990099i</v>
      </c>
      <c r="V86">
        <f t="shared" si="90"/>
        <v>10.196644657780084</v>
      </c>
      <c r="W86">
        <f t="shared" si="91"/>
        <v>-16.432089350496831</v>
      </c>
      <c r="X86">
        <f t="shared" si="103"/>
        <v>-4.3213737826427526E-2</v>
      </c>
      <c r="Y86">
        <f t="shared" si="92"/>
        <v>-5.710594325555058</v>
      </c>
      <c r="AA86" s="123">
        <f t="shared" si="104"/>
        <v>-10.875933531456885</v>
      </c>
      <c r="AB86" s="123">
        <f t="shared" si="105"/>
        <v>-95.961309685879939</v>
      </c>
      <c r="AC86">
        <f t="shared" si="106"/>
        <v>-13.255726814630048</v>
      </c>
      <c r="AD86">
        <f t="shared" si="107"/>
        <v>-10.713085777151873</v>
      </c>
      <c r="AE86" s="123">
        <f t="shared" si="108"/>
        <v>-24.131660346086932</v>
      </c>
      <c r="AF86" s="123">
        <f t="shared" si="109"/>
        <v>-106.67439546303181</v>
      </c>
      <c r="AI86" s="123">
        <f t="shared" si="110"/>
        <v>0</v>
      </c>
      <c r="AJ86" s="123">
        <f t="shared" si="111"/>
        <v>0</v>
      </c>
      <c r="AK86" s="123">
        <f t="shared" si="112"/>
        <v>0</v>
      </c>
      <c r="AL86" s="123">
        <f t="shared" si="113"/>
        <v>0</v>
      </c>
      <c r="AM86" s="123">
        <f t="shared" si="114"/>
        <v>0</v>
      </c>
      <c r="AN86" s="123">
        <f t="shared" si="115"/>
        <v>0</v>
      </c>
      <c r="AO86" s="123">
        <f t="shared" si="116"/>
        <v>0</v>
      </c>
      <c r="AP86" s="123"/>
      <c r="AQ86" s="123">
        <f t="shared" si="117"/>
        <v>0</v>
      </c>
      <c r="AR86" s="123">
        <f t="shared" si="118"/>
        <v>0</v>
      </c>
      <c r="AS86" s="123">
        <f t="shared" si="119"/>
        <v>0</v>
      </c>
      <c r="AW86" t="str">
        <f t="shared" si="93"/>
        <v>12700</v>
      </c>
      <c r="AX86" t="str">
        <f t="shared" si="94"/>
        <v>75-79.577488101574i</v>
      </c>
      <c r="AY86" t="str">
        <f t="shared" si="120"/>
        <v>75.0495653178862-78.6428057141978i</v>
      </c>
      <c r="AZ86">
        <f t="shared" si="95"/>
        <v>-33.254280636258699</v>
      </c>
      <c r="BA86">
        <f t="shared" si="96"/>
        <v>-46.339308459840048</v>
      </c>
      <c r="BB86">
        <f t="shared" si="97"/>
        <v>-4.549800546188019E-4</v>
      </c>
      <c r="BC86">
        <f t="shared" si="98"/>
        <v>0.33835368795367121</v>
      </c>
      <c r="BD86" s="123">
        <f t="shared" si="121"/>
        <v>-2.5483724638656806</v>
      </c>
      <c r="BE86" s="123">
        <f t="shared" si="122"/>
        <v>-50.873282323925046</v>
      </c>
      <c r="BF86">
        <f t="shared" si="123"/>
        <v>-23.057635978478615</v>
      </c>
      <c r="BG86">
        <f t="shared" si="124"/>
        <v>-62.771397810336879</v>
      </c>
      <c r="BH86" s="123">
        <f t="shared" si="125"/>
        <v>-25.606008442344297</v>
      </c>
      <c r="BI86" s="123">
        <f t="shared" si="126"/>
        <v>-113.64468013426193</v>
      </c>
      <c r="BL86" s="123">
        <f t="shared" si="127"/>
        <v>0</v>
      </c>
      <c r="BM86" s="123">
        <f t="shared" si="128"/>
        <v>0</v>
      </c>
      <c r="BN86" s="123">
        <f t="shared" si="129"/>
        <v>0</v>
      </c>
      <c r="BO86" s="123">
        <f t="shared" si="130"/>
        <v>0</v>
      </c>
      <c r="BP86" s="123">
        <f t="shared" si="131"/>
        <v>0</v>
      </c>
      <c r="BQ86" s="123">
        <f t="shared" si="132"/>
        <v>0</v>
      </c>
      <c r="BR86" s="123">
        <f t="shared" si="133"/>
        <v>0</v>
      </c>
      <c r="BS86" s="123"/>
      <c r="BT86" s="123"/>
      <c r="BU86" s="123">
        <f t="shared" si="134"/>
        <v>0</v>
      </c>
      <c r="BV86" s="123">
        <f t="shared" si="135"/>
        <v>0</v>
      </c>
      <c r="BX86" s="123">
        <f t="shared" si="136"/>
        <v>0</v>
      </c>
      <c r="BY86" s="123"/>
    </row>
    <row r="87" spans="5:77" x14ac:dyDescent="0.2">
      <c r="E87">
        <v>76</v>
      </c>
      <c r="F87">
        <v>25000</v>
      </c>
      <c r="G87" s="58">
        <f t="shared" si="79"/>
        <v>-3.5590881765256048</v>
      </c>
      <c r="H87" s="58">
        <f t="shared" si="80"/>
        <v>-60.141521860616741</v>
      </c>
      <c r="I87">
        <f t="shared" si="81"/>
        <v>-9.2038928250696745</v>
      </c>
      <c r="J87">
        <f t="shared" si="82"/>
        <v>-38.53521546571087</v>
      </c>
      <c r="K87" t="str">
        <f t="shared" si="83"/>
        <v>7139.26216000426-160.204634912658i</v>
      </c>
      <c r="L87" t="str">
        <f t="shared" si="84"/>
        <v>3300-636619.904812592i</v>
      </c>
      <c r="M87" t="str">
        <f t="shared" si="85"/>
        <v>97516.5630173243-15304.9895016366i</v>
      </c>
      <c r="N87">
        <f t="shared" si="99"/>
        <v>-23.413829494510956</v>
      </c>
      <c r="O87">
        <f t="shared" si="86"/>
        <v>7.1203787699747254</v>
      </c>
      <c r="P87" t="str">
        <f t="shared" si="87"/>
        <v>-19291.5122670482i</v>
      </c>
      <c r="Q87" t="str">
        <f t="shared" si="88"/>
        <v>3300-135.451043577147i</v>
      </c>
      <c r="R87" t="str">
        <f t="shared" si="100"/>
        <v>3162.87886751398-671.775383670558i</v>
      </c>
      <c r="S87" t="str">
        <f t="shared" si="89"/>
        <v>101218.669803914-3179877.63306617i</v>
      </c>
      <c r="T87" t="str">
        <f t="shared" si="101"/>
        <v>3161.44575648719-674.731769190333i</v>
      </c>
      <c r="U87" t="str">
        <f t="shared" si="102"/>
        <v>0.984615384615385-0.123076923076923i</v>
      </c>
      <c r="V87">
        <f t="shared" si="90"/>
        <v>10.123830005303558</v>
      </c>
      <c r="W87">
        <f t="shared" si="91"/>
        <v>-19.172622491165715</v>
      </c>
      <c r="X87">
        <f t="shared" si="103"/>
        <v>-6.7333826589681289E-2</v>
      </c>
      <c r="Y87">
        <f t="shared" si="92"/>
        <v>-7.1250178312196599</v>
      </c>
      <c r="AA87" s="123">
        <f t="shared" si="104"/>
        <v>-12.762981001595278</v>
      </c>
      <c r="AB87" s="123">
        <f t="shared" si="105"/>
        <v>-98.676737326327611</v>
      </c>
      <c r="AC87">
        <f t="shared" si="106"/>
        <v>-13.289999489207398</v>
      </c>
      <c r="AD87">
        <f t="shared" si="107"/>
        <v>-12.05224372119099</v>
      </c>
      <c r="AE87" s="123">
        <f t="shared" si="108"/>
        <v>-26.052980490802675</v>
      </c>
      <c r="AF87" s="123">
        <f t="shared" si="109"/>
        <v>-110.7289810475186</v>
      </c>
      <c r="AI87" s="123">
        <f t="shared" si="110"/>
        <v>0</v>
      </c>
      <c r="AJ87" s="123">
        <f t="shared" si="111"/>
        <v>0</v>
      </c>
      <c r="AK87" s="123">
        <f t="shared" si="112"/>
        <v>0</v>
      </c>
      <c r="AL87" s="123">
        <f t="shared" si="113"/>
        <v>0</v>
      </c>
      <c r="AM87" s="123">
        <f t="shared" si="114"/>
        <v>0</v>
      </c>
      <c r="AN87" s="123">
        <f t="shared" si="115"/>
        <v>0</v>
      </c>
      <c r="AO87" s="123">
        <f t="shared" si="116"/>
        <v>0</v>
      </c>
      <c r="AP87" s="123"/>
      <c r="AQ87" s="123">
        <f t="shared" si="117"/>
        <v>0</v>
      </c>
      <c r="AR87" s="123">
        <f t="shared" si="118"/>
        <v>0</v>
      </c>
      <c r="AS87" s="123">
        <f t="shared" si="119"/>
        <v>0</v>
      </c>
      <c r="AW87" t="str">
        <f t="shared" si="93"/>
        <v>12700</v>
      </c>
      <c r="AX87" t="str">
        <f t="shared" si="94"/>
        <v>75-63.6619904812592i</v>
      </c>
      <c r="AY87" t="str">
        <f t="shared" si="120"/>
        <v>74.8732134627312-62.9151233901547i</v>
      </c>
      <c r="AZ87">
        <f t="shared" si="95"/>
        <v>-34.172863261861686</v>
      </c>
      <c r="BA87">
        <f t="shared" si="96"/>
        <v>-40.03996811868268</v>
      </c>
      <c r="BB87">
        <f t="shared" si="97"/>
        <v>-2.9119639620024581E-4</v>
      </c>
      <c r="BC87">
        <f t="shared" si="98"/>
        <v>0.27069090008492641</v>
      </c>
      <c r="BD87" s="123">
        <f t="shared" si="121"/>
        <v>-3.5593793729218053</v>
      </c>
      <c r="BE87" s="123">
        <f t="shared" si="122"/>
        <v>-59.870830960531812</v>
      </c>
      <c r="BF87">
        <f t="shared" si="123"/>
        <v>-24.049033256558126</v>
      </c>
      <c r="BG87">
        <f t="shared" si="124"/>
        <v>-59.212590609848391</v>
      </c>
      <c r="BH87" s="123">
        <f t="shared" si="125"/>
        <v>-27.608412629479929</v>
      </c>
      <c r="BI87" s="123">
        <f t="shared" si="126"/>
        <v>-119.08342157038021</v>
      </c>
      <c r="BL87" s="123">
        <f t="shared" si="127"/>
        <v>0</v>
      </c>
      <c r="BM87" s="123">
        <f t="shared" si="128"/>
        <v>0</v>
      </c>
      <c r="BN87" s="123">
        <f t="shared" si="129"/>
        <v>0</v>
      </c>
      <c r="BO87" s="123">
        <f t="shared" si="130"/>
        <v>0</v>
      </c>
      <c r="BP87" s="123">
        <f t="shared" si="131"/>
        <v>0</v>
      </c>
      <c r="BQ87" s="123">
        <f t="shared" si="132"/>
        <v>0</v>
      </c>
      <c r="BR87" s="123">
        <f t="shared" si="133"/>
        <v>0</v>
      </c>
      <c r="BS87" s="123"/>
      <c r="BT87" s="123"/>
      <c r="BU87" s="123">
        <f t="shared" si="134"/>
        <v>0</v>
      </c>
      <c r="BV87" s="123">
        <f t="shared" si="135"/>
        <v>0</v>
      </c>
      <c r="BX87" s="123">
        <f t="shared" si="136"/>
        <v>0</v>
      </c>
      <c r="BY87" s="123"/>
    </row>
    <row r="88" spans="5:77" x14ac:dyDescent="0.2">
      <c r="E88">
        <v>77</v>
      </c>
      <c r="F88">
        <v>30000</v>
      </c>
      <c r="G88" s="58">
        <f t="shared" si="79"/>
        <v>-4.5750633422883613</v>
      </c>
      <c r="H88" s="58">
        <f t="shared" si="80"/>
        <v>-67.793661716677462</v>
      </c>
      <c r="I88">
        <f t="shared" si="81"/>
        <v>-9.7659407747627593</v>
      </c>
      <c r="J88">
        <f t="shared" si="82"/>
        <v>-33.63380605771053</v>
      </c>
      <c r="K88" t="str">
        <f t="shared" si="83"/>
        <v>7137.68151369694-192.202998359813i</v>
      </c>
      <c r="L88" t="str">
        <f t="shared" si="84"/>
        <v>3300-530516.587343827i</v>
      </c>
      <c r="M88" t="str">
        <f t="shared" si="85"/>
        <v>96463.7667478788-18160.991258152i</v>
      </c>
      <c r="N88">
        <f t="shared" si="99"/>
        <v>-23.367224070427287</v>
      </c>
      <c r="O88">
        <f t="shared" si="86"/>
        <v>8.5033508811195126</v>
      </c>
      <c r="P88" t="str">
        <f t="shared" si="87"/>
        <v>-16076.2602225402i</v>
      </c>
      <c r="Q88" t="str">
        <f t="shared" si="88"/>
        <v>3300-112.875869647623i</v>
      </c>
      <c r="R88" t="str">
        <f t="shared" si="100"/>
        <v>3124.32457185866-748.952437695874i</v>
      </c>
      <c r="S88" t="str">
        <f t="shared" si="89"/>
        <v>70312.4891146084-2650717.83963049i</v>
      </c>
      <c r="T88" t="str">
        <f t="shared" si="101"/>
        <v>3122.46485368911-752.370886128558i</v>
      </c>
      <c r="U88" t="str">
        <f t="shared" si="102"/>
        <v>0.97799511002445-0.146699266503667i</v>
      </c>
      <c r="V88">
        <f t="shared" si="90"/>
        <v>10.038416476831602</v>
      </c>
      <c r="W88">
        <f t="shared" si="91"/>
        <v>-22.078183997610296</v>
      </c>
      <c r="X88">
        <f t="shared" si="103"/>
        <v>-9.663316679379233E-2</v>
      </c>
      <c r="Y88">
        <f t="shared" si="92"/>
        <v>-8.5307673847238625</v>
      </c>
      <c r="AA88" s="123">
        <f t="shared" si="104"/>
        <v>-14.341004117051121</v>
      </c>
      <c r="AB88" s="123">
        <f t="shared" si="105"/>
        <v>-101.42746777438799</v>
      </c>
      <c r="AC88">
        <f t="shared" si="106"/>
        <v>-13.328807593595686</v>
      </c>
      <c r="AD88">
        <f t="shared" si="107"/>
        <v>-13.574833116490783</v>
      </c>
      <c r="AE88" s="123">
        <f t="shared" si="108"/>
        <v>-27.669811710646805</v>
      </c>
      <c r="AF88" s="123">
        <f t="shared" si="109"/>
        <v>-115.00230089087877</v>
      </c>
      <c r="AI88" s="123">
        <f t="shared" si="110"/>
        <v>0</v>
      </c>
      <c r="AJ88" s="123">
        <f t="shared" si="111"/>
        <v>0</v>
      </c>
      <c r="AK88" s="123">
        <f t="shared" si="112"/>
        <v>0</v>
      </c>
      <c r="AL88" s="123">
        <f t="shared" si="113"/>
        <v>0</v>
      </c>
      <c r="AM88" s="123">
        <f t="shared" si="114"/>
        <v>0</v>
      </c>
      <c r="AN88" s="123">
        <f t="shared" si="115"/>
        <v>0</v>
      </c>
      <c r="AO88" s="123">
        <f t="shared" si="116"/>
        <v>0</v>
      </c>
      <c r="AP88" s="123"/>
      <c r="AQ88" s="123">
        <f t="shared" si="117"/>
        <v>0</v>
      </c>
      <c r="AR88" s="123">
        <f t="shared" si="118"/>
        <v>0</v>
      </c>
      <c r="AS88" s="123">
        <f t="shared" si="119"/>
        <v>0</v>
      </c>
      <c r="AW88" t="str">
        <f t="shared" si="93"/>
        <v>12700</v>
      </c>
      <c r="AX88" t="str">
        <f t="shared" si="94"/>
        <v>75-53.0516587343827i</v>
      </c>
      <c r="AY88" t="str">
        <f t="shared" si="120"/>
        <v>74.7774153282345-52.4296673195794i</v>
      </c>
      <c r="AZ88">
        <f t="shared" si="95"/>
        <v>-34.767462630931561</v>
      </c>
      <c r="BA88">
        <f t="shared" si="96"/>
        <v>-35.035959374308419</v>
      </c>
      <c r="BB88">
        <f t="shared" si="97"/>
        <v>-2.0222317563403254E-4</v>
      </c>
      <c r="BC88">
        <f t="shared" si="98"/>
        <v>0.22557934889614922</v>
      </c>
      <c r="BD88" s="123">
        <f t="shared" si="121"/>
        <v>-4.5752655654639955</v>
      </c>
      <c r="BE88" s="123">
        <f t="shared" si="122"/>
        <v>-67.568082367781315</v>
      </c>
      <c r="BF88">
        <f t="shared" si="123"/>
        <v>-24.729046154099962</v>
      </c>
      <c r="BG88">
        <f t="shared" si="124"/>
        <v>-57.114143371918715</v>
      </c>
      <c r="BH88" s="123">
        <f t="shared" si="125"/>
        <v>-29.304311719563955</v>
      </c>
      <c r="BI88" s="123">
        <f t="shared" si="126"/>
        <v>-124.68222573970003</v>
      </c>
      <c r="BL88" s="123">
        <f t="shared" si="127"/>
        <v>0</v>
      </c>
      <c r="BM88" s="123">
        <f t="shared" si="128"/>
        <v>0</v>
      </c>
      <c r="BN88" s="123">
        <f t="shared" si="129"/>
        <v>0</v>
      </c>
      <c r="BO88" s="123">
        <f t="shared" si="130"/>
        <v>0</v>
      </c>
      <c r="BP88" s="123">
        <f t="shared" si="131"/>
        <v>0</v>
      </c>
      <c r="BQ88" s="123">
        <f t="shared" si="132"/>
        <v>0</v>
      </c>
      <c r="BR88" s="123">
        <f t="shared" si="133"/>
        <v>0</v>
      </c>
      <c r="BS88" s="123"/>
      <c r="BT88" s="123"/>
      <c r="BU88" s="123">
        <f t="shared" si="134"/>
        <v>0</v>
      </c>
      <c r="BV88" s="123">
        <f t="shared" si="135"/>
        <v>0</v>
      </c>
      <c r="BX88" s="123">
        <f t="shared" si="136"/>
        <v>0</v>
      </c>
      <c r="BY88" s="123"/>
    </row>
    <row r="89" spans="5:77" x14ac:dyDescent="0.2">
      <c r="E89">
        <v>78</v>
      </c>
      <c r="F89">
        <v>35000</v>
      </c>
      <c r="G89" s="58">
        <f t="shared" si="79"/>
        <v>-5.5697768129961069</v>
      </c>
      <c r="H89" s="58">
        <f t="shared" si="80"/>
        <v>-74.419947447330998</v>
      </c>
      <c r="I89">
        <f t="shared" si="81"/>
        <v>-10.143725814234994</v>
      </c>
      <c r="J89">
        <f t="shared" si="82"/>
        <v>-29.727116274251273</v>
      </c>
      <c r="K89" t="str">
        <f t="shared" si="83"/>
        <v>7135.81437928724-224.178173674537i</v>
      </c>
      <c r="L89" t="str">
        <f t="shared" si="84"/>
        <v>3300-454728.503437566i</v>
      </c>
      <c r="M89" t="str">
        <f t="shared" si="85"/>
        <v>95249.4586486029-20911.9705637857i</v>
      </c>
      <c r="N89">
        <f t="shared" si="99"/>
        <v>-23.312840273748439</v>
      </c>
      <c r="O89">
        <f t="shared" si="86"/>
        <v>9.8647331279137269</v>
      </c>
      <c r="P89" t="str">
        <f t="shared" si="87"/>
        <v>-13779.6516193202i</v>
      </c>
      <c r="Q89" t="str">
        <f t="shared" si="88"/>
        <v>3300-96.750745412248i</v>
      </c>
      <c r="R89" t="str">
        <f t="shared" si="100"/>
        <v>3079.95499856461-828.53197527436i</v>
      </c>
      <c r="S89" t="str">
        <f t="shared" si="89"/>
        <v>51667.7935505759-2272467.77626597i</v>
      </c>
      <c r="T89" t="str">
        <f t="shared" si="101"/>
        <v>3077.61807348292-832.346575307339i</v>
      </c>
      <c r="U89" t="str">
        <f t="shared" si="102"/>
        <v>0.970285021224985-0.169799878714372i</v>
      </c>
      <c r="V89">
        <f t="shared" si="90"/>
        <v>9.9398679255115354</v>
      </c>
      <c r="W89">
        <f t="shared" si="91"/>
        <v>-25.059937048405153</v>
      </c>
      <c r="X89">
        <f t="shared" si="103"/>
        <v>-0.13100672988593903</v>
      </c>
      <c r="Y89">
        <f t="shared" si="92"/>
        <v>-9.9262475717488527</v>
      </c>
      <c r="AA89" s="123">
        <f t="shared" si="104"/>
        <v>-15.713502627231101</v>
      </c>
      <c r="AB89" s="123">
        <f t="shared" si="105"/>
        <v>-104.14706372158227</v>
      </c>
      <c r="AC89">
        <f t="shared" si="106"/>
        <v>-13.372972348236903</v>
      </c>
      <c r="AD89">
        <f t="shared" si="107"/>
        <v>-15.195203920491426</v>
      </c>
      <c r="AE89" s="123">
        <f t="shared" si="108"/>
        <v>-29.086474975468004</v>
      </c>
      <c r="AF89" s="123">
        <f t="shared" si="109"/>
        <v>-119.34226764207369</v>
      </c>
      <c r="AI89" s="123">
        <f t="shared" si="110"/>
        <v>0</v>
      </c>
      <c r="AJ89" s="123">
        <f t="shared" si="111"/>
        <v>0</v>
      </c>
      <c r="AK89" s="123">
        <f t="shared" si="112"/>
        <v>0</v>
      </c>
      <c r="AL89" s="123">
        <f t="shared" si="113"/>
        <v>0</v>
      </c>
      <c r="AM89" s="123">
        <f t="shared" si="114"/>
        <v>0</v>
      </c>
      <c r="AN89" s="123">
        <f t="shared" si="115"/>
        <v>0</v>
      </c>
      <c r="AO89" s="123">
        <f t="shared" si="116"/>
        <v>0</v>
      </c>
      <c r="AP89" s="123"/>
      <c r="AQ89" s="123">
        <f t="shared" si="117"/>
        <v>0</v>
      </c>
      <c r="AR89" s="123">
        <f t="shared" si="118"/>
        <v>0</v>
      </c>
      <c r="AS89" s="123">
        <f t="shared" si="119"/>
        <v>0</v>
      </c>
      <c r="AW89" t="str">
        <f t="shared" si="93"/>
        <v>12700</v>
      </c>
      <c r="AX89" t="str">
        <f t="shared" si="94"/>
        <v>75-45.4728503437566i</v>
      </c>
      <c r="AY89" t="str">
        <f t="shared" si="120"/>
        <v>74.7196513720088-44.9399204572315i</v>
      </c>
      <c r="AZ89">
        <f t="shared" si="95"/>
        <v>-35.169765676856997</v>
      </c>
      <c r="BA89">
        <f t="shared" si="96"/>
        <v>-31.024690895429501</v>
      </c>
      <c r="BB89">
        <f t="shared" si="97"/>
        <v>-1.4857366012390138E-4</v>
      </c>
      <c r="BC89">
        <f t="shared" si="98"/>
        <v>0.19335558766057864</v>
      </c>
      <c r="BD89" s="123">
        <f t="shared" si="121"/>
        <v>-5.569925386656231</v>
      </c>
      <c r="BE89" s="123">
        <f t="shared" si="122"/>
        <v>-74.226591859670421</v>
      </c>
      <c r="BF89">
        <f t="shared" si="123"/>
        <v>-25.229897751345462</v>
      </c>
      <c r="BG89">
        <f t="shared" si="124"/>
        <v>-56.084627943834654</v>
      </c>
      <c r="BH89" s="123">
        <f t="shared" si="125"/>
        <v>-30.799823138001692</v>
      </c>
      <c r="BI89" s="123">
        <f t="shared" si="126"/>
        <v>-130.31121980350508</v>
      </c>
      <c r="BL89" s="123">
        <f t="shared" si="127"/>
        <v>0</v>
      </c>
      <c r="BM89" s="123">
        <f t="shared" si="128"/>
        <v>0</v>
      </c>
      <c r="BN89" s="123">
        <f t="shared" si="129"/>
        <v>0</v>
      </c>
      <c r="BO89" s="123">
        <f t="shared" si="130"/>
        <v>0</v>
      </c>
      <c r="BP89" s="123">
        <f t="shared" si="131"/>
        <v>0</v>
      </c>
      <c r="BQ89" s="123">
        <f t="shared" si="132"/>
        <v>0</v>
      </c>
      <c r="BR89" s="123">
        <f t="shared" si="133"/>
        <v>0</v>
      </c>
      <c r="BS89" s="123"/>
      <c r="BT89" s="123"/>
      <c r="BU89" s="123">
        <f t="shared" si="134"/>
        <v>0</v>
      </c>
      <c r="BV89" s="123">
        <f t="shared" si="135"/>
        <v>0</v>
      </c>
      <c r="BX89" s="123">
        <f t="shared" si="136"/>
        <v>0</v>
      </c>
      <c r="BY89" s="123"/>
    </row>
    <row r="90" spans="5:77" x14ac:dyDescent="0.2">
      <c r="E90">
        <v>79</v>
      </c>
      <c r="F90">
        <v>40000</v>
      </c>
      <c r="G90" s="58">
        <f t="shared" si="79"/>
        <v>-6.5313859349498307</v>
      </c>
      <c r="H90" s="58">
        <f t="shared" si="80"/>
        <v>-80.228472910691522</v>
      </c>
      <c r="I90">
        <f t="shared" si="81"/>
        <v>-10.407777445736265</v>
      </c>
      <c r="J90">
        <f t="shared" si="82"/>
        <v>-26.569528178172529</v>
      </c>
      <c r="K90" t="str">
        <f t="shared" si="83"/>
        <v>7133.66120689003-256.126319751726i</v>
      </c>
      <c r="L90" t="str">
        <f t="shared" si="84"/>
        <v>3300-397887.44050787i</v>
      </c>
      <c r="M90" t="str">
        <f t="shared" si="85"/>
        <v>93887.0424379142-23545.6828490952i</v>
      </c>
      <c r="N90">
        <f t="shared" si="99"/>
        <v>-23.251001554013936</v>
      </c>
      <c r="O90">
        <f t="shared" si="86"/>
        <v>11.201583741533964</v>
      </c>
      <c r="P90" t="str">
        <f t="shared" si="87"/>
        <v>-12057.1951669051i</v>
      </c>
      <c r="Q90" t="str">
        <f t="shared" si="88"/>
        <v>3300-84.656902235717i</v>
      </c>
      <c r="R90" t="str">
        <f t="shared" si="100"/>
        <v>3030.30003750827-907.663415227131i</v>
      </c>
      <c r="S90" t="str">
        <f t="shared" si="89"/>
        <v>39562.9453670662-1988650.1225858i</v>
      </c>
      <c r="T90" t="str">
        <f t="shared" si="101"/>
        <v>3027.44647231396-911.803693482599i</v>
      </c>
      <c r="U90" t="str">
        <f t="shared" si="102"/>
        <v>0.961538461538461-0.192307692307692i</v>
      </c>
      <c r="V90">
        <f t="shared" si="90"/>
        <v>9.8282845133988381</v>
      </c>
      <c r="W90">
        <f t="shared" si="91"/>
        <v>-28.071143287578149</v>
      </c>
      <c r="X90">
        <f t="shared" si="103"/>
        <v>-0.17033339298780789</v>
      </c>
      <c r="Y90">
        <f t="shared" si="92"/>
        <v>-11.309934826985332</v>
      </c>
      <c r="AA90" s="123">
        <f t="shared" si="104"/>
        <v>-16.939163380686097</v>
      </c>
      <c r="AB90" s="123">
        <f t="shared" si="105"/>
        <v>-106.79800108886405</v>
      </c>
      <c r="AC90">
        <f t="shared" si="106"/>
        <v>-13.422717040615098</v>
      </c>
      <c r="AD90">
        <f t="shared" si="107"/>
        <v>-16.869559546044187</v>
      </c>
      <c r="AE90" s="123">
        <f t="shared" si="108"/>
        <v>-30.361880421301194</v>
      </c>
      <c r="AF90" s="123">
        <f t="shared" si="109"/>
        <v>-123.66756063490824</v>
      </c>
      <c r="AI90" s="123">
        <f t="shared" si="110"/>
        <v>0</v>
      </c>
      <c r="AJ90" s="123">
        <f t="shared" si="111"/>
        <v>0</v>
      </c>
      <c r="AK90" s="123">
        <f t="shared" si="112"/>
        <v>0</v>
      </c>
      <c r="AL90" s="123">
        <f t="shared" si="113"/>
        <v>0</v>
      </c>
      <c r="AM90" s="123">
        <f t="shared" si="114"/>
        <v>0</v>
      </c>
      <c r="AN90" s="123">
        <f t="shared" si="115"/>
        <v>0</v>
      </c>
      <c r="AO90" s="123">
        <f t="shared" si="116"/>
        <v>0</v>
      </c>
      <c r="AP90" s="123"/>
      <c r="AQ90" s="123">
        <f t="shared" si="117"/>
        <v>0</v>
      </c>
      <c r="AR90" s="123">
        <f t="shared" si="118"/>
        <v>0</v>
      </c>
      <c r="AS90" s="123">
        <f t="shared" si="119"/>
        <v>0</v>
      </c>
      <c r="AW90" t="str">
        <f t="shared" si="93"/>
        <v>12700</v>
      </c>
      <c r="AX90" t="str">
        <f t="shared" si="94"/>
        <v>75-39.788744050787i</v>
      </c>
      <c r="AY90" t="str">
        <f t="shared" si="120"/>
        <v>74.6821600598639-39.3225471697231i</v>
      </c>
      <c r="AZ90">
        <f t="shared" si="95"/>
        <v>-35.452351339102833</v>
      </c>
      <c r="BA90">
        <f t="shared" si="96"/>
        <v>-27.768246314734114</v>
      </c>
      <c r="BB90">
        <f t="shared" si="97"/>
        <v>-1.1375246938429752E-4</v>
      </c>
      <c r="BC90">
        <f t="shared" si="98"/>
        <v>0.16918719555252582</v>
      </c>
      <c r="BD90" s="123">
        <f t="shared" si="121"/>
        <v>-6.531499687419215</v>
      </c>
      <c r="BE90" s="123">
        <f t="shared" si="122"/>
        <v>-80.059285715138998</v>
      </c>
      <c r="BF90">
        <f t="shared" si="123"/>
        <v>-25.624066825703995</v>
      </c>
      <c r="BG90">
        <f t="shared" si="124"/>
        <v>-55.839389602312266</v>
      </c>
      <c r="BH90" s="123">
        <f t="shared" si="125"/>
        <v>-32.155566513123212</v>
      </c>
      <c r="BI90" s="123">
        <f t="shared" si="126"/>
        <v>-135.89867531745125</v>
      </c>
      <c r="BL90" s="123">
        <f t="shared" si="127"/>
        <v>0</v>
      </c>
      <c r="BM90" s="123">
        <f t="shared" si="128"/>
        <v>0</v>
      </c>
      <c r="BN90" s="123">
        <f t="shared" si="129"/>
        <v>0</v>
      </c>
      <c r="BO90" s="123">
        <f t="shared" si="130"/>
        <v>0</v>
      </c>
      <c r="BP90" s="123">
        <f t="shared" si="131"/>
        <v>0</v>
      </c>
      <c r="BQ90" s="123">
        <f t="shared" si="132"/>
        <v>0</v>
      </c>
      <c r="BR90" s="123">
        <f t="shared" si="133"/>
        <v>0</v>
      </c>
      <c r="BS90" s="123"/>
      <c r="BT90" s="123"/>
      <c r="BU90" s="123">
        <f t="shared" si="134"/>
        <v>0</v>
      </c>
      <c r="BV90" s="123">
        <f t="shared" si="135"/>
        <v>0</v>
      </c>
      <c r="BX90" s="123">
        <f t="shared" si="136"/>
        <v>0</v>
      </c>
      <c r="BY90" s="123"/>
    </row>
    <row r="91" spans="5:77" x14ac:dyDescent="0.2">
      <c r="E91">
        <v>80</v>
      </c>
      <c r="F91">
        <v>45000</v>
      </c>
      <c r="G91" s="58">
        <f t="shared" si="79"/>
        <v>-7.4557583108550931</v>
      </c>
      <c r="H91" s="58">
        <f t="shared" si="80"/>
        <v>-85.380901844568157</v>
      </c>
      <c r="I91">
        <f t="shared" si="81"/>
        <v>-10.598560193641422</v>
      </c>
      <c r="J91">
        <f t="shared" si="82"/>
        <v>-23.980000945271506</v>
      </c>
      <c r="K91" t="str">
        <f t="shared" si="83"/>
        <v>7131.22251513741-288.043606334257i</v>
      </c>
      <c r="L91" t="str">
        <f t="shared" si="84"/>
        <v>3300-353677.724895884i</v>
      </c>
      <c r="M91" t="str">
        <f t="shared" si="85"/>
        <v>92390.9181259329-26051.9144798313i</v>
      </c>
      <c r="N91">
        <f t="shared" si="99"/>
        <v>-23.182063977118048</v>
      </c>
      <c r="O91">
        <f t="shared" si="86"/>
        <v>12.511228405848746</v>
      </c>
      <c r="P91" t="str">
        <f t="shared" si="87"/>
        <v>-10717.5068150268i</v>
      </c>
      <c r="Q91" t="str">
        <f t="shared" si="88"/>
        <v>3300-75.2505797650818i</v>
      </c>
      <c r="R91" t="str">
        <f t="shared" si="100"/>
        <v>2975.92520297986-984.646590539379i</v>
      </c>
      <c r="S91" t="str">
        <f t="shared" si="89"/>
        <v>31262.2069597513-1767835.78716778i</v>
      </c>
      <c r="T91" t="str">
        <f t="shared" si="101"/>
        <v>2972.5269643512-989.039491262305i</v>
      </c>
      <c r="U91" t="str">
        <f t="shared" si="102"/>
        <v>0.951814396192742-0.214158239143367i</v>
      </c>
      <c r="V91">
        <f t="shared" si="90"/>
        <v>9.7040344148203488</v>
      </c>
      <c r="W91">
        <f t="shared" si="91"/>
        <v>-31.084058320646108</v>
      </c>
      <c r="X91">
        <f t="shared" si="103"/>
        <v>-0.2144773078354662</v>
      </c>
      <c r="Y91">
        <f t="shared" si="92"/>
        <v>-12.680386129899249</v>
      </c>
      <c r="AA91" s="123">
        <f t="shared" si="104"/>
        <v>-18.054318504496514</v>
      </c>
      <c r="AB91" s="123">
        <f t="shared" si="105"/>
        <v>-109.36090278983966</v>
      </c>
      <c r="AC91">
        <f t="shared" si="106"/>
        <v>-13.478029562297699</v>
      </c>
      <c r="AD91">
        <f t="shared" si="107"/>
        <v>-18.57282991479736</v>
      </c>
      <c r="AE91" s="123">
        <f t="shared" si="108"/>
        <v>-31.532348066794214</v>
      </c>
      <c r="AF91" s="123">
        <f t="shared" si="109"/>
        <v>-127.93373270463701</v>
      </c>
      <c r="AI91" s="123">
        <f t="shared" si="110"/>
        <v>0</v>
      </c>
      <c r="AJ91" s="123">
        <f t="shared" si="111"/>
        <v>0</v>
      </c>
      <c r="AK91" s="123">
        <f t="shared" si="112"/>
        <v>0</v>
      </c>
      <c r="AL91" s="123">
        <f t="shared" si="113"/>
        <v>0</v>
      </c>
      <c r="AM91" s="123">
        <f t="shared" si="114"/>
        <v>0</v>
      </c>
      <c r="AN91" s="123">
        <f t="shared" si="115"/>
        <v>0</v>
      </c>
      <c r="AO91" s="123">
        <f t="shared" si="116"/>
        <v>0</v>
      </c>
      <c r="AP91" s="123"/>
      <c r="AQ91" s="123">
        <f t="shared" si="117"/>
        <v>0</v>
      </c>
      <c r="AR91" s="123">
        <f t="shared" si="118"/>
        <v>0</v>
      </c>
      <c r="AS91" s="123">
        <f t="shared" si="119"/>
        <v>0</v>
      </c>
      <c r="AW91" t="str">
        <f t="shared" si="93"/>
        <v>12700</v>
      </c>
      <c r="AX91" t="str">
        <f t="shared" si="94"/>
        <v>75-35.3677724895884i</v>
      </c>
      <c r="AY91" t="str">
        <f t="shared" si="120"/>
        <v>74.6564560110256-34.9534464240075i</v>
      </c>
      <c r="AZ91">
        <f t="shared" si="95"/>
        <v>-35.657294667105347</v>
      </c>
      <c r="BA91">
        <f t="shared" si="96"/>
        <v>-25.088554205056958</v>
      </c>
      <c r="BB91">
        <f t="shared" si="97"/>
        <v>-8.987890645191404E-5</v>
      </c>
      <c r="BC91">
        <f t="shared" si="98"/>
        <v>0.15038926203616135</v>
      </c>
      <c r="BD91" s="123">
        <f t="shared" si="121"/>
        <v>-7.4558481897615447</v>
      </c>
      <c r="BE91" s="123">
        <f t="shared" si="122"/>
        <v>-85.230512582532</v>
      </c>
      <c r="BF91">
        <f t="shared" si="123"/>
        <v>-25.953260252284998</v>
      </c>
      <c r="BG91">
        <f t="shared" si="124"/>
        <v>-56.172612525703066</v>
      </c>
      <c r="BH91" s="123">
        <f t="shared" si="125"/>
        <v>-33.409108442046545</v>
      </c>
      <c r="BI91" s="123">
        <f t="shared" si="126"/>
        <v>-141.40312510823506</v>
      </c>
      <c r="BL91" s="123">
        <f t="shared" si="127"/>
        <v>0</v>
      </c>
      <c r="BM91" s="123">
        <f t="shared" si="128"/>
        <v>0</v>
      </c>
      <c r="BN91" s="123">
        <f t="shared" si="129"/>
        <v>0</v>
      </c>
      <c r="BO91" s="123">
        <f t="shared" si="130"/>
        <v>0</v>
      </c>
      <c r="BP91" s="123">
        <f t="shared" si="131"/>
        <v>0</v>
      </c>
      <c r="BQ91" s="123">
        <f t="shared" si="132"/>
        <v>0</v>
      </c>
      <c r="BR91" s="123">
        <f t="shared" si="133"/>
        <v>0</v>
      </c>
      <c r="BS91" s="123"/>
      <c r="BT91" s="123"/>
      <c r="BU91" s="123">
        <f t="shared" si="134"/>
        <v>0</v>
      </c>
      <c r="BV91" s="123">
        <f t="shared" si="135"/>
        <v>0</v>
      </c>
      <c r="BX91" s="123">
        <f t="shared" si="136"/>
        <v>0</v>
      </c>
      <c r="BY91" s="123"/>
    </row>
    <row r="92" spans="5:77" x14ac:dyDescent="0.2">
      <c r="E92">
        <v>81</v>
      </c>
      <c r="F92">
        <v>50000</v>
      </c>
      <c r="G92" s="58">
        <f t="shared" si="79"/>
        <v>-8.3426510101551283</v>
      </c>
      <c r="H92" s="58">
        <f t="shared" si="80"/>
        <v>-90.000018723972232</v>
      </c>
      <c r="I92">
        <f t="shared" si="81"/>
        <v>-10.740359447763177</v>
      </c>
      <c r="J92">
        <f t="shared" si="82"/>
        <v>-21.826566691555168</v>
      </c>
      <c r="K92" t="str">
        <f t="shared" si="83"/>
        <v>7128.49889086683-319.926215536516i</v>
      </c>
      <c r="L92" t="str">
        <f t="shared" si="84"/>
        <v>3300-318309.952406296i</v>
      </c>
      <c r="M92" t="str">
        <f t="shared" si="85"/>
        <v>90776.1364037761-28422.5322586273i</v>
      </c>
      <c r="N92">
        <f t="shared" si="99"/>
        <v>-23.106410224267535</v>
      </c>
      <c r="O92">
        <f t="shared" si="86"/>
        <v>13.791276047083974</v>
      </c>
      <c r="P92" t="str">
        <f t="shared" si="87"/>
        <v>-9645.75613352412i</v>
      </c>
      <c r="Q92" t="str">
        <f t="shared" si="88"/>
        <v>3300-67.7255217885736i</v>
      </c>
      <c r="R92" t="str">
        <f t="shared" si="100"/>
        <v>2917.41716553849-1058.39912796277i</v>
      </c>
      <c r="S92" t="str">
        <f t="shared" si="89"/>
        <v>25323.8918308187-1591146.71969131i</v>
      </c>
      <c r="T92" t="str">
        <f t="shared" si="101"/>
        <v>2913.45743832007-1062.9709549452i</v>
      </c>
      <c r="U92" t="str">
        <f t="shared" si="102"/>
        <v>0.941176470588235-0.235294117647059i</v>
      </c>
      <c r="V92">
        <f t="shared" si="90"/>
        <v>9.5676222312569799</v>
      </c>
      <c r="W92">
        <f t="shared" si="91"/>
        <v>-34.080679074408408</v>
      </c>
      <c r="X92">
        <f t="shared" si="103"/>
        <v>-0.2632893872234946</v>
      </c>
      <c r="Y92">
        <f t="shared" si="92"/>
        <v>-14.036246388084637</v>
      </c>
      <c r="AA92" s="123">
        <f t="shared" si="104"/>
        <v>-19.083010457918306</v>
      </c>
      <c r="AB92" s="123">
        <f t="shared" si="105"/>
        <v>-111.8265854155274</v>
      </c>
      <c r="AC92">
        <f t="shared" si="106"/>
        <v>-13.538787993010555</v>
      </c>
      <c r="AD92">
        <f t="shared" si="107"/>
        <v>-20.289403027324433</v>
      </c>
      <c r="AE92" s="123">
        <f t="shared" si="108"/>
        <v>-32.621798450928864</v>
      </c>
      <c r="AF92" s="123">
        <f t="shared" si="109"/>
        <v>-132.11598844285183</v>
      </c>
      <c r="AI92" s="123">
        <f t="shared" si="110"/>
        <v>0</v>
      </c>
      <c r="AJ92" s="123">
        <f t="shared" si="111"/>
        <v>0</v>
      </c>
      <c r="AK92" s="123">
        <f t="shared" si="112"/>
        <v>0</v>
      </c>
      <c r="AL92" s="123">
        <f t="shared" si="113"/>
        <v>0</v>
      </c>
      <c r="AM92" s="123">
        <f t="shared" si="114"/>
        <v>0</v>
      </c>
      <c r="AN92" s="123">
        <f t="shared" si="115"/>
        <v>0</v>
      </c>
      <c r="AO92" s="123">
        <f t="shared" si="116"/>
        <v>0</v>
      </c>
      <c r="AP92" s="123"/>
      <c r="AQ92" s="123">
        <f t="shared" si="117"/>
        <v>0</v>
      </c>
      <c r="AR92" s="123">
        <f t="shared" si="118"/>
        <v>0</v>
      </c>
      <c r="AS92" s="123">
        <f t="shared" si="119"/>
        <v>0</v>
      </c>
      <c r="AW92" t="str">
        <f t="shared" si="93"/>
        <v>12700</v>
      </c>
      <c r="AX92" t="str">
        <f t="shared" si="94"/>
        <v>75-31.8309952406296i</v>
      </c>
      <c r="AY92" t="str">
        <f t="shared" si="120"/>
        <v>74.6380699918844-31.458147593371i</v>
      </c>
      <c r="AZ92">
        <f t="shared" si="95"/>
        <v>-35.810059456951159</v>
      </c>
      <c r="BA92">
        <f t="shared" si="96"/>
        <v>-22.854255233040142</v>
      </c>
      <c r="BB92">
        <f t="shared" si="97"/>
        <v>-7.280215302167431E-5</v>
      </c>
      <c r="BC92">
        <f t="shared" si="98"/>
        <v>0.13535075027068222</v>
      </c>
      <c r="BD92" s="123">
        <f t="shared" si="121"/>
        <v>-8.3427238123081509</v>
      </c>
      <c r="BE92" s="123">
        <f t="shared" si="122"/>
        <v>-89.864667973701543</v>
      </c>
      <c r="BF92">
        <f t="shared" si="123"/>
        <v>-26.242437225694179</v>
      </c>
      <c r="BG92">
        <f t="shared" si="124"/>
        <v>-56.93493430744855</v>
      </c>
      <c r="BH92" s="123">
        <f t="shared" si="125"/>
        <v>-34.585161038002326</v>
      </c>
      <c r="BI92" s="123">
        <f t="shared" si="126"/>
        <v>-146.7996022811501</v>
      </c>
      <c r="BL92" s="123">
        <f t="shared" si="127"/>
        <v>0</v>
      </c>
      <c r="BM92" s="123">
        <f t="shared" si="128"/>
        <v>0</v>
      </c>
      <c r="BN92" s="123">
        <f t="shared" si="129"/>
        <v>0</v>
      </c>
      <c r="BO92" s="123">
        <f t="shared" si="130"/>
        <v>0</v>
      </c>
      <c r="BP92" s="123">
        <f t="shared" si="131"/>
        <v>0</v>
      </c>
      <c r="BQ92" s="123">
        <f t="shared" si="132"/>
        <v>0</v>
      </c>
      <c r="BR92" s="123">
        <f t="shared" si="133"/>
        <v>0</v>
      </c>
      <c r="BS92" s="123"/>
      <c r="BT92" s="123"/>
      <c r="BU92" s="123">
        <f t="shared" si="134"/>
        <v>0</v>
      </c>
      <c r="BV92" s="123">
        <f t="shared" si="135"/>
        <v>0</v>
      </c>
      <c r="BX92" s="123">
        <f t="shared" si="136"/>
        <v>0</v>
      </c>
      <c r="BY92" s="123"/>
    </row>
    <row r="93" spans="5:77" x14ac:dyDescent="0.2">
      <c r="E93">
        <v>82</v>
      </c>
      <c r="F93">
        <v>55000</v>
      </c>
      <c r="G93" s="58">
        <f t="shared" si="79"/>
        <v>-9.1936262046197044</v>
      </c>
      <c r="H93" s="58">
        <f t="shared" si="80"/>
        <v>-94.17876297320592</v>
      </c>
      <c r="I93">
        <f t="shared" si="81"/>
        <v>-10.848338691716151</v>
      </c>
      <c r="J93">
        <f t="shared" si="82"/>
        <v>-20.012666371212269</v>
      </c>
      <c r="K93" t="str">
        <f t="shared" si="83"/>
        <v>7125.4909887688-351.770343357527i</v>
      </c>
      <c r="L93" t="str">
        <f t="shared" si="84"/>
        <v>3300-289372.684005724i</v>
      </c>
      <c r="M93" t="str">
        <f t="shared" si="85"/>
        <v>89058.0657914356-30651.470185347i</v>
      </c>
      <c r="N93">
        <f t="shared" si="99"/>
        <v>-23.024443539723759</v>
      </c>
      <c r="O93">
        <f t="shared" si="86"/>
        <v>15.039628087645951</v>
      </c>
      <c r="P93" t="str">
        <f t="shared" si="87"/>
        <v>-8768.86921229465i</v>
      </c>
      <c r="Q93" t="str">
        <f t="shared" si="88"/>
        <v>3300-61.5686561714305i</v>
      </c>
      <c r="R93" t="str">
        <f t="shared" si="100"/>
        <v>2855.37004774072-1128.2123037936i</v>
      </c>
      <c r="S93" t="str">
        <f t="shared" si="89"/>
        <v>20929.7560982361-1446560.59504373i</v>
      </c>
      <c r="T93" t="str">
        <f t="shared" si="101"/>
        <v>2850.84269420474-1132.89051322492i</v>
      </c>
      <c r="U93" t="str">
        <f t="shared" si="102"/>
        <v>0.929692039511912-0.255665310865776i</v>
      </c>
      <c r="V93">
        <f t="shared" si="90"/>
        <v>9.419631171359887</v>
      </c>
      <c r="W93">
        <f t="shared" si="91"/>
        <v>-37.048535230149184</v>
      </c>
      <c r="X93">
        <f t="shared" si="103"/>
        <v>-0.31660887671635185</v>
      </c>
      <c r="Y93">
        <f t="shared" si="92"/>
        <v>-15.376254447765101</v>
      </c>
      <c r="AA93" s="123">
        <f t="shared" si="104"/>
        <v>-20.041964896335855</v>
      </c>
      <c r="AB93" s="123">
        <f t="shared" si="105"/>
        <v>-114.1914293444182</v>
      </c>
      <c r="AC93">
        <f t="shared" si="106"/>
        <v>-13.604812368363872</v>
      </c>
      <c r="AD93">
        <f t="shared" si="107"/>
        <v>-22.008907142503233</v>
      </c>
      <c r="AE93" s="123">
        <f t="shared" si="108"/>
        <v>-33.646777264699729</v>
      </c>
      <c r="AF93" s="123">
        <f t="shared" si="109"/>
        <v>-136.20033648692143</v>
      </c>
      <c r="AI93" s="123">
        <f t="shared" si="110"/>
        <v>0</v>
      </c>
      <c r="AJ93" s="123">
        <f t="shared" si="111"/>
        <v>0</v>
      </c>
      <c r="AK93" s="123">
        <f t="shared" si="112"/>
        <v>0</v>
      </c>
      <c r="AL93" s="123">
        <f t="shared" si="113"/>
        <v>0</v>
      </c>
      <c r="AM93" s="123">
        <f t="shared" si="114"/>
        <v>0</v>
      </c>
      <c r="AN93" s="123">
        <f t="shared" si="115"/>
        <v>0</v>
      </c>
      <c r="AO93" s="123">
        <f t="shared" si="116"/>
        <v>0</v>
      </c>
      <c r="AP93" s="123"/>
      <c r="AQ93" s="123">
        <f t="shared" si="117"/>
        <v>0</v>
      </c>
      <c r="AR93" s="123">
        <f t="shared" si="118"/>
        <v>0</v>
      </c>
      <c r="AS93" s="123">
        <f t="shared" si="119"/>
        <v>0</v>
      </c>
      <c r="AW93" t="str">
        <f t="shared" si="93"/>
        <v>12700</v>
      </c>
      <c r="AX93" t="str">
        <f t="shared" si="94"/>
        <v>75-28.9372684005724i</v>
      </c>
      <c r="AY93" t="str">
        <f t="shared" si="120"/>
        <v>74.6244663825754-28.5983468081649i</v>
      </c>
      <c r="AZ93">
        <f t="shared" si="95"/>
        <v>-35.926650952142531</v>
      </c>
      <c r="BA93">
        <f t="shared" si="96"/>
        <v>-20.968343979499785</v>
      </c>
      <c r="BB93">
        <f t="shared" si="97"/>
        <v>-6.0167214602405564E-5</v>
      </c>
      <c r="BC93">
        <f t="shared" si="98"/>
        <v>0.12304641537270977</v>
      </c>
      <c r="BD93" s="123">
        <f t="shared" si="121"/>
        <v>-9.1936863718343069</v>
      </c>
      <c r="BE93" s="123">
        <f t="shared" si="122"/>
        <v>-94.055716557833208</v>
      </c>
      <c r="BF93">
        <f t="shared" si="123"/>
        <v>-26.507019780782642</v>
      </c>
      <c r="BG93">
        <f t="shared" si="124"/>
        <v>-58.01687920964897</v>
      </c>
      <c r="BH93" s="123">
        <f t="shared" si="125"/>
        <v>-35.700706152616945</v>
      </c>
      <c r="BI93" s="123">
        <f t="shared" si="126"/>
        <v>-152.07259576748217</v>
      </c>
      <c r="BL93" s="123">
        <f t="shared" si="127"/>
        <v>0</v>
      </c>
      <c r="BM93" s="123">
        <f t="shared" si="128"/>
        <v>0</v>
      </c>
      <c r="BN93" s="123">
        <f t="shared" si="129"/>
        <v>0</v>
      </c>
      <c r="BO93" s="123">
        <f t="shared" si="130"/>
        <v>0</v>
      </c>
      <c r="BP93" s="123">
        <f t="shared" si="131"/>
        <v>0</v>
      </c>
      <c r="BQ93" s="123">
        <f t="shared" si="132"/>
        <v>0</v>
      </c>
      <c r="BR93" s="123">
        <f t="shared" si="133"/>
        <v>0</v>
      </c>
      <c r="BS93" s="123"/>
      <c r="BT93" s="123"/>
      <c r="BU93" s="123">
        <f t="shared" si="134"/>
        <v>0</v>
      </c>
      <c r="BV93" s="123">
        <f t="shared" si="135"/>
        <v>0</v>
      </c>
      <c r="BX93" s="123">
        <f t="shared" si="136"/>
        <v>0</v>
      </c>
      <c r="BY93" s="123"/>
    </row>
    <row r="94" spans="5:77" x14ac:dyDescent="0.2">
      <c r="E94">
        <v>83</v>
      </c>
      <c r="F94">
        <v>60000</v>
      </c>
      <c r="G94" s="58">
        <f t="shared" si="79"/>
        <v>-10.010963721308697</v>
      </c>
      <c r="H94" s="58">
        <f t="shared" si="80"/>
        <v>-97.98796265261953</v>
      </c>
      <c r="I94">
        <f t="shared" si="81"/>
        <v>-10.932302255229409</v>
      </c>
      <c r="J94">
        <f t="shared" si="82"/>
        <v>-18.466917404989037</v>
      </c>
      <c r="K94" t="str">
        <f t="shared" si="83"/>
        <v>7122.19953099445-383.572201182443i</v>
      </c>
      <c r="L94" t="str">
        <f t="shared" si="84"/>
        <v>3300-265258.293671913i</v>
      </c>
      <c r="M94" t="str">
        <f t="shared" si="85"/>
        <v>87252.0839401206-32734.6608123562i</v>
      </c>
      <c r="N94">
        <f t="shared" si="99"/>
        <v>-22.936581799886184</v>
      </c>
      <c r="O94">
        <f t="shared" si="86"/>
        <v>16.2544815226568</v>
      </c>
      <c r="P94" t="str">
        <f t="shared" si="87"/>
        <v>-8038.1301112701i</v>
      </c>
      <c r="Q94" t="str">
        <f t="shared" si="88"/>
        <v>3300-56.4379348238113i</v>
      </c>
      <c r="R94" t="str">
        <f t="shared" si="100"/>
        <v>2790.37296342874-1193.62592143535i</v>
      </c>
      <c r="S94" t="str">
        <f t="shared" si="89"/>
        <v>17587.3968810404-1326058.20821523i</v>
      </c>
      <c r="T94" t="str">
        <f t="shared" si="101"/>
        <v>2785.28169185356-1198.34069335232i</v>
      </c>
      <c r="U94" t="str">
        <f t="shared" si="102"/>
        <v>0.91743119266055-0.275229357798165i</v>
      </c>
      <c r="V94">
        <f t="shared" si="90"/>
        <v>9.2606923993194172</v>
      </c>
      <c r="W94">
        <f t="shared" si="91"/>
        <v>-39.978580601624444</v>
      </c>
      <c r="X94">
        <f t="shared" si="103"/>
        <v>-0.37426497940624104</v>
      </c>
      <c r="Y94">
        <f t="shared" si="92"/>
        <v>-16.699247708173459</v>
      </c>
      <c r="AA94" s="123">
        <f t="shared" si="104"/>
        <v>-20.943265976538108</v>
      </c>
      <c r="AB94" s="123">
        <f t="shared" si="105"/>
        <v>-116.45488005760856</v>
      </c>
      <c r="AC94">
        <f t="shared" si="106"/>
        <v>-13.675889400566767</v>
      </c>
      <c r="AD94">
        <f t="shared" si="107"/>
        <v>-23.724099078967644</v>
      </c>
      <c r="AE94" s="123">
        <f t="shared" si="108"/>
        <v>-34.619155377104875</v>
      </c>
      <c r="AF94" s="123">
        <f t="shared" si="109"/>
        <v>-140.1789791365762</v>
      </c>
      <c r="AI94" s="123">
        <f t="shared" si="110"/>
        <v>0</v>
      </c>
      <c r="AJ94" s="123">
        <f t="shared" si="111"/>
        <v>0</v>
      </c>
      <c r="AK94" s="123">
        <f t="shared" si="112"/>
        <v>0</v>
      </c>
      <c r="AL94" s="123">
        <f t="shared" si="113"/>
        <v>0</v>
      </c>
      <c r="AM94" s="123">
        <f t="shared" si="114"/>
        <v>0</v>
      </c>
      <c r="AN94" s="123">
        <f t="shared" si="115"/>
        <v>0</v>
      </c>
      <c r="AO94" s="123">
        <f t="shared" si="116"/>
        <v>0</v>
      </c>
      <c r="AP94" s="123"/>
      <c r="AQ94" s="123">
        <f t="shared" si="117"/>
        <v>0</v>
      </c>
      <c r="AR94" s="123">
        <f t="shared" si="118"/>
        <v>0</v>
      </c>
      <c r="AS94" s="123">
        <f t="shared" si="119"/>
        <v>0</v>
      </c>
      <c r="AW94" t="str">
        <f t="shared" si="93"/>
        <v>12700</v>
      </c>
      <c r="AX94" t="str">
        <f t="shared" si="94"/>
        <v>75-26.5258293671913i</v>
      </c>
      <c r="AY94" t="str">
        <f t="shared" si="120"/>
        <v>74.6141197024283-26.2151727245182i</v>
      </c>
      <c r="AZ94">
        <f t="shared" si="95"/>
        <v>-36.017472632245443</v>
      </c>
      <c r="BA94">
        <f t="shared" si="96"/>
        <v>-19.358588733044986</v>
      </c>
      <c r="BB94">
        <f t="shared" si="97"/>
        <v>-5.0557266763684849E-5</v>
      </c>
      <c r="BC94">
        <f t="shared" si="98"/>
        <v>0.11279274177939964</v>
      </c>
      <c r="BD94" s="123">
        <f t="shared" si="121"/>
        <v>-10.011014278575461</v>
      </c>
      <c r="BE94" s="123">
        <f t="shared" si="122"/>
        <v>-97.875169910840128</v>
      </c>
      <c r="BF94">
        <f t="shared" si="123"/>
        <v>-26.756780232926026</v>
      </c>
      <c r="BG94">
        <f t="shared" si="124"/>
        <v>-59.337169334669426</v>
      </c>
      <c r="BH94" s="123">
        <f t="shared" si="125"/>
        <v>-36.767794511501485</v>
      </c>
      <c r="BI94" s="123">
        <f t="shared" si="126"/>
        <v>-157.21233924550955</v>
      </c>
      <c r="BL94" s="123">
        <f t="shared" si="127"/>
        <v>0</v>
      </c>
      <c r="BM94" s="123">
        <f t="shared" si="128"/>
        <v>0</v>
      </c>
      <c r="BN94" s="123">
        <f t="shared" si="129"/>
        <v>0</v>
      </c>
      <c r="BO94" s="123">
        <f t="shared" si="130"/>
        <v>0</v>
      </c>
      <c r="BP94" s="123">
        <f t="shared" si="131"/>
        <v>0</v>
      </c>
      <c r="BQ94" s="123">
        <f t="shared" si="132"/>
        <v>0</v>
      </c>
      <c r="BR94" s="123">
        <f t="shared" si="133"/>
        <v>0</v>
      </c>
      <c r="BS94" s="123"/>
      <c r="BT94" s="123"/>
      <c r="BU94" s="123">
        <f t="shared" si="134"/>
        <v>0</v>
      </c>
      <c r="BV94" s="123">
        <f t="shared" si="135"/>
        <v>0</v>
      </c>
      <c r="BX94" s="123">
        <f t="shared" si="136"/>
        <v>0</v>
      </c>
      <c r="BY94" s="123"/>
    </row>
    <row r="95" spans="5:77" x14ac:dyDescent="0.2">
      <c r="E95">
        <v>84</v>
      </c>
      <c r="F95">
        <v>65000</v>
      </c>
      <c r="G95" s="58">
        <f t="shared" si="79"/>
        <v>-10.797116705897206</v>
      </c>
      <c r="H95" s="58">
        <f t="shared" si="80"/>
        <v>-101.48226493092645</v>
      </c>
      <c r="I95">
        <f t="shared" si="81"/>
        <v>-10.998788066448199</v>
      </c>
      <c r="J95">
        <f t="shared" si="82"/>
        <v>-17.135860113880959</v>
      </c>
      <c r="K95" t="str">
        <f t="shared" si="83"/>
        <v>7118.62530672335-415.328017271136i</v>
      </c>
      <c r="L95" t="str">
        <f t="shared" si="84"/>
        <v>3300-244853.809543305i</v>
      </c>
      <c r="M95" t="str">
        <f t="shared" si="85"/>
        <v>85373.3018084824-34669.920360438i</v>
      </c>
      <c r="N95">
        <f t="shared" si="99"/>
        <v>-22.843251852040957</v>
      </c>
      <c r="O95">
        <f t="shared" si="86"/>
        <v>17.434326371393471</v>
      </c>
      <c r="P95" t="str">
        <f t="shared" si="87"/>
        <v>-7419.81241040317i</v>
      </c>
      <c r="Q95" t="str">
        <f t="shared" si="88"/>
        <v>3300-52.0965552219797i</v>
      </c>
      <c r="R95" t="str">
        <f t="shared" si="100"/>
        <v>2722.99914629382-1254.3573393176i</v>
      </c>
      <c r="S95" t="str">
        <f t="shared" si="89"/>
        <v>14986.1008431692-1224085.57752244i</v>
      </c>
      <c r="T95" t="str">
        <f t="shared" si="101"/>
        <v>2717.35646338342-1259.04288413402i</v>
      </c>
      <c r="U95" t="str">
        <f t="shared" si="102"/>
        <v>0.904465799886942-0.293951384963256i</v>
      </c>
      <c r="V95">
        <f t="shared" si="90"/>
        <v>9.0914659075658477</v>
      </c>
      <c r="W95">
        <f t="shared" si="91"/>
        <v>-42.864050625513585</v>
      </c>
      <c r="X95">
        <f t="shared" si="103"/>
        <v>-0.43607850253798275</v>
      </c>
      <c r="Y95">
        <f t="shared" si="92"/>
        <v>-18.004165351573619</v>
      </c>
      <c r="AA95" s="123">
        <f t="shared" si="104"/>
        <v>-21.795904772345406</v>
      </c>
      <c r="AB95" s="123">
        <f t="shared" si="105"/>
        <v>-118.61812504480741</v>
      </c>
      <c r="AC95">
        <f t="shared" si="106"/>
        <v>-13.75178594447511</v>
      </c>
      <c r="AD95">
        <f t="shared" si="107"/>
        <v>-25.429724254120114</v>
      </c>
      <c r="AE95" s="123">
        <f t="shared" si="108"/>
        <v>-35.547690716820512</v>
      </c>
      <c r="AF95" s="123">
        <f t="shared" si="109"/>
        <v>-144.04784929892753</v>
      </c>
      <c r="AI95" s="123">
        <f t="shared" si="110"/>
        <v>0</v>
      </c>
      <c r="AJ95" s="123">
        <f t="shared" si="111"/>
        <v>0</v>
      </c>
      <c r="AK95" s="123">
        <f t="shared" si="112"/>
        <v>0</v>
      </c>
      <c r="AL95" s="123">
        <f t="shared" si="113"/>
        <v>0</v>
      </c>
      <c r="AM95" s="123">
        <f t="shared" si="114"/>
        <v>0</v>
      </c>
      <c r="AN95" s="123">
        <f t="shared" si="115"/>
        <v>0</v>
      </c>
      <c r="AO95" s="123">
        <f t="shared" si="116"/>
        <v>0</v>
      </c>
      <c r="AP95" s="123"/>
      <c r="AQ95" s="123">
        <f t="shared" si="117"/>
        <v>0</v>
      </c>
      <c r="AR95" s="123">
        <f t="shared" si="118"/>
        <v>0</v>
      </c>
      <c r="AS95" s="123">
        <f t="shared" si="119"/>
        <v>0</v>
      </c>
      <c r="AW95" t="str">
        <f t="shared" si="93"/>
        <v>12700</v>
      </c>
      <c r="AX95" t="str">
        <f t="shared" si="94"/>
        <v>75-24.4853809543305i</v>
      </c>
      <c r="AY95" t="str">
        <f t="shared" si="120"/>
        <v>74.6060675405924-24.198636409766i</v>
      </c>
      <c r="AZ95">
        <f t="shared" si="95"/>
        <v>-36.089491446241432</v>
      </c>
      <c r="BA95">
        <f t="shared" si="96"/>
        <v>-17.970584633885835</v>
      </c>
      <c r="BB95">
        <f t="shared" si="97"/>
        <v>-4.3078442970886842E-5</v>
      </c>
      <c r="BC95">
        <f t="shared" si="98"/>
        <v>0.10411651664621968</v>
      </c>
      <c r="BD95" s="123">
        <f t="shared" si="121"/>
        <v>-10.797159784340177</v>
      </c>
      <c r="BE95" s="123">
        <f t="shared" si="122"/>
        <v>-101.37814841428023</v>
      </c>
      <c r="BF95">
        <f t="shared" si="123"/>
        <v>-26.998025538675584</v>
      </c>
      <c r="BG95">
        <f t="shared" si="124"/>
        <v>-60.83463525939942</v>
      </c>
      <c r="BH95" s="123">
        <f t="shared" si="125"/>
        <v>-37.795185323015758</v>
      </c>
      <c r="BI95" s="123">
        <f t="shared" si="126"/>
        <v>-162.21278367367967</v>
      </c>
      <c r="BL95" s="123">
        <f t="shared" si="127"/>
        <v>0</v>
      </c>
      <c r="BM95" s="123">
        <f t="shared" si="128"/>
        <v>0</v>
      </c>
      <c r="BN95" s="123">
        <f t="shared" si="129"/>
        <v>0</v>
      </c>
      <c r="BO95" s="123">
        <f t="shared" si="130"/>
        <v>0</v>
      </c>
      <c r="BP95" s="123">
        <f t="shared" si="131"/>
        <v>0</v>
      </c>
      <c r="BQ95" s="123">
        <f t="shared" si="132"/>
        <v>0</v>
      </c>
      <c r="BR95" s="123">
        <f t="shared" si="133"/>
        <v>0</v>
      </c>
      <c r="BS95" s="123"/>
      <c r="BT95" s="123"/>
      <c r="BU95" s="123">
        <f t="shared" si="134"/>
        <v>0</v>
      </c>
      <c r="BV95" s="123">
        <f t="shared" si="135"/>
        <v>0</v>
      </c>
      <c r="BX95" s="123">
        <f t="shared" si="136"/>
        <v>0</v>
      </c>
      <c r="BY95" s="123"/>
    </row>
    <row r="96" spans="5:77" x14ac:dyDescent="0.2">
      <c r="E96">
        <v>85</v>
      </c>
      <c r="F96">
        <v>70000</v>
      </c>
      <c r="G96" s="58">
        <f t="shared" si="79"/>
        <v>-11.554454939499729</v>
      </c>
      <c r="H96" s="58">
        <f t="shared" si="80"/>
        <v>-104.70448167798469</v>
      </c>
      <c r="I96">
        <f t="shared" si="81"/>
        <v>-11.052276656979911</v>
      </c>
      <c r="J96">
        <f t="shared" si="82"/>
        <v>-15.978902712251864</v>
      </c>
      <c r="K96" t="str">
        <f t="shared" si="83"/>
        <v>7114.76917169234-447.034038232707i</v>
      </c>
      <c r="L96" t="str">
        <f t="shared" si="84"/>
        <v>3300-227364.251718783i</v>
      </c>
      <c r="M96" t="str">
        <f t="shared" si="85"/>
        <v>83436.3266071541-36456.7977413234i</v>
      </c>
      <c r="N96">
        <f t="shared" si="99"/>
        <v>-22.744884242779932</v>
      </c>
      <c r="O96">
        <f t="shared" si="86"/>
        <v>18.577938196199749</v>
      </c>
      <c r="P96" t="str">
        <f t="shared" si="87"/>
        <v>-6889.82580966009i</v>
      </c>
      <c r="Q96" t="str">
        <f t="shared" si="88"/>
        <v>3300-48.375372706124i</v>
      </c>
      <c r="R96" t="str">
        <f t="shared" si="100"/>
        <v>2653.79687759404-1310.25713272594i</v>
      </c>
      <c r="S96" t="str">
        <f t="shared" si="89"/>
        <v>12921.9557547104-1136674.35905386i</v>
      </c>
      <c r="T96" t="str">
        <f t="shared" si="101"/>
        <v>2647.62289940631-1314.85271308992i</v>
      </c>
      <c r="U96" t="str">
        <f t="shared" si="102"/>
        <v>0.89086859688196-0.311804008908686i</v>
      </c>
      <c r="V96">
        <f t="shared" si="90"/>
        <v>8.9126270080131622</v>
      </c>
      <c r="W96">
        <f t="shared" si="91"/>
        <v>-45.699800129018918</v>
      </c>
      <c r="X96">
        <f t="shared" si="103"/>
        <v>-0.50186349675360742</v>
      </c>
      <c r="Y96">
        <f t="shared" si="92"/>
        <v>-19.29005023236973</v>
      </c>
      <c r="AA96" s="123">
        <f t="shared" si="104"/>
        <v>-22.606731596479641</v>
      </c>
      <c r="AB96" s="123">
        <f t="shared" si="105"/>
        <v>-120.68338439023655</v>
      </c>
      <c r="AC96">
        <f t="shared" si="106"/>
        <v>-13.83225723476677</v>
      </c>
      <c r="AD96">
        <f t="shared" si="107"/>
        <v>-27.121861932819169</v>
      </c>
      <c r="AE96" s="123">
        <f t="shared" si="108"/>
        <v>-36.438988831246412</v>
      </c>
      <c r="AF96" s="123">
        <f t="shared" si="109"/>
        <v>-147.80524632305571</v>
      </c>
      <c r="AI96" s="123">
        <f t="shared" si="110"/>
        <v>0</v>
      </c>
      <c r="AJ96" s="123">
        <f t="shared" si="111"/>
        <v>0</v>
      </c>
      <c r="AK96" s="123">
        <f t="shared" si="112"/>
        <v>0</v>
      </c>
      <c r="AL96" s="123">
        <f t="shared" si="113"/>
        <v>0</v>
      </c>
      <c r="AM96" s="123">
        <f t="shared" si="114"/>
        <v>0</v>
      </c>
      <c r="AN96" s="123">
        <f t="shared" si="115"/>
        <v>0</v>
      </c>
      <c r="AO96" s="123">
        <f t="shared" si="116"/>
        <v>0</v>
      </c>
      <c r="AP96" s="123"/>
      <c r="AQ96" s="123">
        <f t="shared" si="117"/>
        <v>0</v>
      </c>
      <c r="AR96" s="123">
        <f t="shared" si="118"/>
        <v>0</v>
      </c>
      <c r="AS96" s="123">
        <f t="shared" si="119"/>
        <v>0</v>
      </c>
      <c r="AW96" t="str">
        <f t="shared" si="93"/>
        <v>12700</v>
      </c>
      <c r="AX96" t="str">
        <f t="shared" si="94"/>
        <v>75-22.7364251718783i</v>
      </c>
      <c r="AY96" t="str">
        <f t="shared" si="120"/>
        <v>74.5996783893623-22.4701737516484i</v>
      </c>
      <c r="AZ96">
        <f t="shared" si="95"/>
        <v>-36.147498348288309</v>
      </c>
      <c r="BA96">
        <f t="shared" si="96"/>
        <v>-16.762833348380024</v>
      </c>
      <c r="BB96">
        <f t="shared" si="97"/>
        <v>-3.7144210058967855E-5</v>
      </c>
      <c r="BC96">
        <f t="shared" si="98"/>
        <v>9.6679725470604105E-2</v>
      </c>
      <c r="BD96" s="123">
        <f t="shared" si="121"/>
        <v>-11.554492083709789</v>
      </c>
      <c r="BE96" s="123">
        <f t="shared" si="122"/>
        <v>-104.60780195251408</v>
      </c>
      <c r="BF96">
        <f t="shared" si="123"/>
        <v>-27.234871340275149</v>
      </c>
      <c r="BG96">
        <f t="shared" si="124"/>
        <v>-62.462633477398938</v>
      </c>
      <c r="BH96" s="123">
        <f t="shared" si="125"/>
        <v>-38.789363423984938</v>
      </c>
      <c r="BI96" s="123">
        <f t="shared" si="126"/>
        <v>-167.070435429913</v>
      </c>
      <c r="BL96" s="123">
        <f t="shared" si="127"/>
        <v>0</v>
      </c>
      <c r="BM96" s="123">
        <f t="shared" si="128"/>
        <v>0</v>
      </c>
      <c r="BN96" s="123">
        <f t="shared" si="129"/>
        <v>0</v>
      </c>
      <c r="BO96" s="123">
        <f t="shared" si="130"/>
        <v>0</v>
      </c>
      <c r="BP96" s="123">
        <f t="shared" si="131"/>
        <v>0</v>
      </c>
      <c r="BQ96" s="123">
        <f t="shared" si="132"/>
        <v>0</v>
      </c>
      <c r="BR96" s="123">
        <f t="shared" si="133"/>
        <v>0</v>
      </c>
      <c r="BS96" s="123"/>
      <c r="BT96" s="123"/>
      <c r="BU96" s="123">
        <f t="shared" si="134"/>
        <v>0</v>
      </c>
      <c r="BV96" s="123">
        <f t="shared" si="135"/>
        <v>0</v>
      </c>
      <c r="BX96" s="123">
        <f t="shared" si="136"/>
        <v>0</v>
      </c>
      <c r="BY96" s="123"/>
    </row>
    <row r="97" spans="5:77" x14ac:dyDescent="0.2">
      <c r="E97">
        <v>86</v>
      </c>
      <c r="F97">
        <v>75000</v>
      </c>
      <c r="G97" s="58">
        <f t="shared" si="79"/>
        <v>-12.285157186269029</v>
      </c>
      <c r="H97" s="58">
        <f t="shared" si="80"/>
        <v>-107.68871474714754</v>
      </c>
      <c r="I97">
        <f t="shared" si="81"/>
        <v>-11.095913991910811</v>
      </c>
      <c r="J97">
        <f t="shared" si="82"/>
        <v>-14.964801033867653</v>
      </c>
      <c r="K97" t="str">
        <f t="shared" si="83"/>
        <v>7110.63204768546-478.686530484692i</v>
      </c>
      <c r="L97" t="str">
        <f t="shared" si="84"/>
        <v>3300-212206.634937531i</v>
      </c>
      <c r="M97" t="str">
        <f t="shared" si="85"/>
        <v>81455.0666743127-38096.3978333493i</v>
      </c>
      <c r="N97">
        <f t="shared" si="99"/>
        <v>-22.641908426085784</v>
      </c>
      <c r="O97">
        <f t="shared" si="86"/>
        <v>19.684366468105249</v>
      </c>
      <c r="P97" t="str">
        <f t="shared" si="87"/>
        <v>-6430.50408901608i</v>
      </c>
      <c r="Q97" t="str">
        <f t="shared" si="88"/>
        <v>3300-45.1503478590491i</v>
      </c>
      <c r="R97" t="str">
        <f t="shared" si="100"/>
        <v>2583.28229674581-1361.27879610004i</v>
      </c>
      <c r="S97" t="str">
        <f t="shared" si="89"/>
        <v>11256.6467142736-1060913.73793165i</v>
      </c>
      <c r="T97" t="str">
        <f t="shared" si="101"/>
        <v>2576.60348792075-1365.72946391157i</v>
      </c>
      <c r="U97" t="str">
        <f t="shared" si="102"/>
        <v>0.876712328767123-0.328767123287671i</v>
      </c>
      <c r="V97">
        <f t="shared" si="90"/>
        <v>8.7248560009510747</v>
      </c>
      <c r="W97">
        <f t="shared" si="91"/>
        <v>-48.481895148407254</v>
      </c>
      <c r="X97">
        <f t="shared" si="103"/>
        <v>-0.57142886136569104</v>
      </c>
      <c r="Y97">
        <f t="shared" si="92"/>
        <v>-20.55604949614812</v>
      </c>
      <c r="AA97" s="123">
        <f t="shared" si="104"/>
        <v>-23.381071178179837</v>
      </c>
      <c r="AB97" s="123">
        <f t="shared" si="105"/>
        <v>-122.6535157810152</v>
      </c>
      <c r="AC97">
        <f t="shared" si="106"/>
        <v>-13.91705242513471</v>
      </c>
      <c r="AD97">
        <f t="shared" si="107"/>
        <v>-28.797528680302005</v>
      </c>
      <c r="AE97" s="123">
        <f t="shared" si="108"/>
        <v>-37.298123603314551</v>
      </c>
      <c r="AF97" s="123">
        <f t="shared" si="109"/>
        <v>-151.4510444613172</v>
      </c>
      <c r="AI97" s="123">
        <f t="shared" si="110"/>
        <v>0</v>
      </c>
      <c r="AJ97" s="123">
        <f t="shared" si="111"/>
        <v>0</v>
      </c>
      <c r="AK97" s="123">
        <f t="shared" si="112"/>
        <v>0</v>
      </c>
      <c r="AL97" s="123">
        <f t="shared" si="113"/>
        <v>0</v>
      </c>
      <c r="AM97" s="123">
        <f t="shared" si="114"/>
        <v>0</v>
      </c>
      <c r="AN97" s="123">
        <f t="shared" si="115"/>
        <v>0</v>
      </c>
      <c r="AO97" s="123">
        <f t="shared" si="116"/>
        <v>0</v>
      </c>
      <c r="AP97" s="123"/>
      <c r="AQ97" s="123">
        <f t="shared" si="117"/>
        <v>0</v>
      </c>
      <c r="AR97" s="123">
        <f t="shared" si="118"/>
        <v>0</v>
      </c>
      <c r="AS97" s="123">
        <f t="shared" si="119"/>
        <v>0</v>
      </c>
      <c r="AW97" t="str">
        <f t="shared" si="93"/>
        <v>12700</v>
      </c>
      <c r="AX97" t="str">
        <f t="shared" si="94"/>
        <v>75-21.2206634937531i</v>
      </c>
      <c r="AY97" t="str">
        <f t="shared" si="120"/>
        <v>74.5945239434678-20.9721707303i</v>
      </c>
      <c r="AZ97">
        <f t="shared" si="95"/>
        <v>-36.194866705997875</v>
      </c>
      <c r="BA97">
        <f t="shared" si="96"/>
        <v>-15.703274659841632</v>
      </c>
      <c r="BB97">
        <f t="shared" si="97"/>
        <v>-3.2356763843616234E-5</v>
      </c>
      <c r="BC97">
        <f t="shared" si="98"/>
        <v>9.0234487897467533E-2</v>
      </c>
      <c r="BD97" s="123">
        <f t="shared" si="121"/>
        <v>-12.285189543032873</v>
      </c>
      <c r="BE97" s="123">
        <f t="shared" si="122"/>
        <v>-107.59848025925008</v>
      </c>
      <c r="BF97">
        <f t="shared" si="123"/>
        <v>-27.4700107050468</v>
      </c>
      <c r="BG97">
        <f t="shared" si="124"/>
        <v>-64.185169808248887</v>
      </c>
      <c r="BH97" s="123">
        <f t="shared" si="125"/>
        <v>-39.755200248079674</v>
      </c>
      <c r="BI97" s="123">
        <f t="shared" si="126"/>
        <v>-171.78365006749897</v>
      </c>
      <c r="BL97" s="123">
        <f t="shared" si="127"/>
        <v>0</v>
      </c>
      <c r="BM97" s="123">
        <f t="shared" si="128"/>
        <v>0</v>
      </c>
      <c r="BN97" s="123">
        <f t="shared" si="129"/>
        <v>0</v>
      </c>
      <c r="BO97" s="123">
        <f t="shared" si="130"/>
        <v>0</v>
      </c>
      <c r="BP97" s="123">
        <f t="shared" si="131"/>
        <v>0</v>
      </c>
      <c r="BQ97" s="123">
        <f t="shared" si="132"/>
        <v>0</v>
      </c>
      <c r="BR97" s="123">
        <f t="shared" si="133"/>
        <v>0</v>
      </c>
      <c r="BS97" s="123"/>
      <c r="BT97" s="123"/>
      <c r="BU97" s="123">
        <f t="shared" si="134"/>
        <v>0</v>
      </c>
      <c r="BV97" s="123">
        <f t="shared" si="135"/>
        <v>0</v>
      </c>
      <c r="BX97" s="123">
        <f t="shared" si="136"/>
        <v>0</v>
      </c>
      <c r="BY97" s="123"/>
    </row>
    <row r="98" spans="5:77" x14ac:dyDescent="0.2">
      <c r="E98">
        <v>87</v>
      </c>
      <c r="F98">
        <v>80000</v>
      </c>
      <c r="G98" s="58">
        <f t="shared" si="79"/>
        <v>-12.991178612181661</v>
      </c>
      <c r="H98" s="58">
        <f t="shared" si="80"/>
        <v>-110.46259089871472</v>
      </c>
      <c r="I98">
        <f t="shared" si="81"/>
        <v>-11.131957229251444</v>
      </c>
      <c r="J98">
        <f t="shared" si="82"/>
        <v>-14.069190002306263</v>
      </c>
      <c r="K98" t="str">
        <f t="shared" si="83"/>
        <v>7106.2149219858-510.281781695798i</v>
      </c>
      <c r="L98" t="str">
        <f t="shared" si="84"/>
        <v>3300-198943.720253935i</v>
      </c>
      <c r="M98" t="str">
        <f t="shared" si="85"/>
        <v>79442.5789934105-39591.188904911i</v>
      </c>
      <c r="N98">
        <f t="shared" si="99"/>
        <v>-22.534748511468475</v>
      </c>
      <c r="O98">
        <f t="shared" si="86"/>
        <v>20.752919595024231</v>
      </c>
      <c r="P98" t="str">
        <f t="shared" si="87"/>
        <v>-6028.59758345257i</v>
      </c>
      <c r="Q98" t="str">
        <f t="shared" si="88"/>
        <v>3300-42.3284511178585i</v>
      </c>
      <c r="R98" t="str">
        <f t="shared" si="100"/>
        <v>2511.93407024561-1407.45638824696i</v>
      </c>
      <c r="S98" t="str">
        <f t="shared" si="89"/>
        <v>9893.67201280648-994620.187073815i</v>
      </c>
      <c r="T98" t="str">
        <f t="shared" si="101"/>
        <v>2504.78197280044-1411.71345200689i</v>
      </c>
      <c r="U98" t="str">
        <f t="shared" si="102"/>
        <v>0.862068965517241-0.344827586206897i</v>
      </c>
      <c r="V98">
        <f t="shared" si="90"/>
        <v>8.5288299300599206</v>
      </c>
      <c r="W98">
        <f t="shared" si="91"/>
        <v>-51.207346256101246</v>
      </c>
      <c r="X98">
        <f t="shared" si="103"/>
        <v>-0.64457989226918699</v>
      </c>
      <c r="Y98">
        <f t="shared" si="92"/>
        <v>-21.801414022007247</v>
      </c>
      <c r="AA98" s="123">
        <f t="shared" si="104"/>
        <v>-24.123135841433104</v>
      </c>
      <c r="AB98" s="123">
        <f t="shared" si="105"/>
        <v>-124.53178090102098</v>
      </c>
      <c r="AC98">
        <f t="shared" si="106"/>
        <v>-14.005918581408555</v>
      </c>
      <c r="AD98">
        <f t="shared" si="107"/>
        <v>-30.454426661077015</v>
      </c>
      <c r="AE98" s="123">
        <f t="shared" si="108"/>
        <v>-38.129054422841662</v>
      </c>
      <c r="AF98" s="123">
        <f t="shared" si="109"/>
        <v>-154.986207562098</v>
      </c>
      <c r="AI98" s="123">
        <f t="shared" si="110"/>
        <v>0</v>
      </c>
      <c r="AJ98" s="123">
        <f t="shared" si="111"/>
        <v>0</v>
      </c>
      <c r="AK98" s="123">
        <f t="shared" si="112"/>
        <v>0</v>
      </c>
      <c r="AL98" s="123">
        <f t="shared" si="113"/>
        <v>0</v>
      </c>
      <c r="AM98" s="123">
        <f t="shared" si="114"/>
        <v>0</v>
      </c>
      <c r="AN98" s="123">
        <f t="shared" si="115"/>
        <v>0</v>
      </c>
      <c r="AO98" s="123">
        <f t="shared" si="116"/>
        <v>0</v>
      </c>
      <c r="AP98" s="123"/>
      <c r="AQ98" s="123">
        <f t="shared" si="117"/>
        <v>0</v>
      </c>
      <c r="AR98" s="123">
        <f t="shared" si="118"/>
        <v>0</v>
      </c>
      <c r="AS98" s="123">
        <f t="shared" si="119"/>
        <v>0</v>
      </c>
      <c r="AW98" t="str">
        <f t="shared" si="93"/>
        <v>12700</v>
      </c>
      <c r="AX98" t="str">
        <f t="shared" si="94"/>
        <v>75-19.8943720253935i</v>
      </c>
      <c r="AY98" t="str">
        <f t="shared" si="120"/>
        <v>74.5903054040678-19.6614166291429i</v>
      </c>
      <c r="AZ98">
        <f t="shared" si="95"/>
        <v>-36.234022437184976</v>
      </c>
      <c r="BA98">
        <f t="shared" si="96"/>
        <v>-14.766831269399157</v>
      </c>
      <c r="BB98">
        <f t="shared" si="97"/>
        <v>-2.8438583420824063E-5</v>
      </c>
      <c r="BC98">
        <f t="shared" si="98"/>
        <v>8.4594891835727326E-2</v>
      </c>
      <c r="BD98" s="123">
        <f t="shared" si="121"/>
        <v>-12.991207050765082</v>
      </c>
      <c r="BE98" s="123">
        <f t="shared" si="122"/>
        <v>-110.377996006879</v>
      </c>
      <c r="BF98">
        <f t="shared" si="123"/>
        <v>-27.705192507125055</v>
      </c>
      <c r="BG98">
        <f t="shared" si="124"/>
        <v>-65.974177525500409</v>
      </c>
      <c r="BH98" s="123">
        <f t="shared" si="125"/>
        <v>-40.696399557890139</v>
      </c>
      <c r="BI98" s="123">
        <f t="shared" si="126"/>
        <v>-176.35217353237942</v>
      </c>
      <c r="BL98" s="123">
        <f t="shared" si="127"/>
        <v>0</v>
      </c>
      <c r="BM98" s="123">
        <f t="shared" si="128"/>
        <v>0</v>
      </c>
      <c r="BN98" s="123">
        <f t="shared" si="129"/>
        <v>84122.163901935608</v>
      </c>
      <c r="BO98" s="123">
        <f t="shared" si="130"/>
        <v>-41.454389182645883</v>
      </c>
      <c r="BP98" s="123">
        <f t="shared" si="131"/>
        <v>0</v>
      </c>
      <c r="BQ98" s="123">
        <f t="shared" si="132"/>
        <v>0</v>
      </c>
      <c r="BR98" s="123">
        <f t="shared" si="133"/>
        <v>0</v>
      </c>
      <c r="BS98" s="123"/>
      <c r="BT98" s="123"/>
      <c r="BU98" s="123">
        <f t="shared" si="134"/>
        <v>0</v>
      </c>
      <c r="BV98" s="123">
        <f t="shared" si="135"/>
        <v>0</v>
      </c>
      <c r="BX98" s="123">
        <f t="shared" si="136"/>
        <v>0</v>
      </c>
      <c r="BY98" s="123"/>
    </row>
    <row r="99" spans="5:77" x14ac:dyDescent="0.2">
      <c r="E99">
        <v>88</v>
      </c>
      <c r="F99">
        <v>85000</v>
      </c>
      <c r="G99" s="58">
        <f t="shared" si="79"/>
        <v>-13.674254234564726</v>
      </c>
      <c r="H99" s="58">
        <f t="shared" si="80"/>
        <v>-113.04886208717089</v>
      </c>
      <c r="I99">
        <f t="shared" si="81"/>
        <v>-11.162057417899923</v>
      </c>
      <c r="J99">
        <f t="shared" si="82"/>
        <v>-13.272834281402663</v>
      </c>
      <c r="K99" t="str">
        <f t="shared" si="83"/>
        <v>7101.51884678998-541.816102211026i</v>
      </c>
      <c r="L99" t="str">
        <f t="shared" si="84"/>
        <v>3300-187241.148474292i</v>
      </c>
      <c r="M99" t="str">
        <f t="shared" si="85"/>
        <v>77410.9580167033-40944.8031353966i</v>
      </c>
      <c r="N99">
        <f t="shared" si="99"/>
        <v>-22.423819585003642</v>
      </c>
      <c r="O99">
        <f t="shared" si="86"/>
        <v>21.783147421684887</v>
      </c>
      <c r="P99" t="str">
        <f t="shared" si="87"/>
        <v>-5673.97419619066i</v>
      </c>
      <c r="Q99" t="str">
        <f t="shared" si="88"/>
        <v>3300-39.8385422285727i</v>
      </c>
      <c r="R99" t="str">
        <f t="shared" si="100"/>
        <v>2440.18980872789-1448.88704065425i</v>
      </c>
      <c r="S99" t="str">
        <f t="shared" si="89"/>
        <v>8764.04376854-936123.692890434i</v>
      </c>
      <c r="T99" t="str">
        <f t="shared" si="101"/>
        <v>2432.59981095761-1452.90828937555i</v>
      </c>
      <c r="U99" t="str">
        <f t="shared" si="102"/>
        <v>0.847008999470619-0.359978824775013i</v>
      </c>
      <c r="V99">
        <f t="shared" si="90"/>
        <v>8.3252158919792727</v>
      </c>
      <c r="W99">
        <f t="shared" si="91"/>
        <v>-53.873924347453759</v>
      </c>
      <c r="X99">
        <f t="shared" si="103"/>
        <v>-0.72111975265909201</v>
      </c>
      <c r="Y99">
        <f t="shared" si="92"/>
        <v>-23.025496798846621</v>
      </c>
      <c r="AA99" s="123">
        <f t="shared" si="104"/>
        <v>-24.836311652464651</v>
      </c>
      <c r="AB99" s="123">
        <f t="shared" si="105"/>
        <v>-126.32169636857355</v>
      </c>
      <c r="AC99">
        <f t="shared" si="106"/>
        <v>-14.098603693024369</v>
      </c>
      <c r="AD99">
        <f t="shared" si="107"/>
        <v>-32.090776925768871</v>
      </c>
      <c r="AE99" s="123">
        <f t="shared" si="108"/>
        <v>-38.934915345489017</v>
      </c>
      <c r="AF99" s="123">
        <f t="shared" si="109"/>
        <v>-158.41247329434242</v>
      </c>
      <c r="AI99" s="123">
        <f t="shared" si="110"/>
        <v>0</v>
      </c>
      <c r="AJ99" s="123">
        <f t="shared" si="111"/>
        <v>0</v>
      </c>
      <c r="AK99" s="123">
        <f t="shared" si="112"/>
        <v>0</v>
      </c>
      <c r="AL99" s="123">
        <f t="shared" si="113"/>
        <v>0</v>
      </c>
      <c r="AM99" s="123">
        <f t="shared" si="114"/>
        <v>0</v>
      </c>
      <c r="AN99" s="123">
        <f t="shared" si="115"/>
        <v>0</v>
      </c>
      <c r="AO99" s="123">
        <f t="shared" si="116"/>
        <v>0</v>
      </c>
      <c r="AP99" s="123"/>
      <c r="AQ99" s="123">
        <f t="shared" si="117"/>
        <v>0</v>
      </c>
      <c r="AR99" s="123">
        <f t="shared" si="118"/>
        <v>0</v>
      </c>
      <c r="AS99" s="123">
        <f t="shared" si="119"/>
        <v>0</v>
      </c>
      <c r="AW99" t="str">
        <f t="shared" si="93"/>
        <v>12700</v>
      </c>
      <c r="AX99" t="str">
        <f t="shared" si="94"/>
        <v>75-18.7241148474292i</v>
      </c>
      <c r="AY99" t="str">
        <f t="shared" si="120"/>
        <v>74.5868091796918-18.5048678341422i</v>
      </c>
      <c r="AZ99">
        <f t="shared" si="95"/>
        <v>-36.266743455148685</v>
      </c>
      <c r="BA99">
        <f t="shared" si="96"/>
        <v>-13.933655824455741</v>
      </c>
      <c r="BB99">
        <f t="shared" si="97"/>
        <v>-2.5191286792700424E-5</v>
      </c>
      <c r="BC99">
        <f t="shared" si="98"/>
        <v>7.9618768086145042E-2</v>
      </c>
      <c r="BD99" s="123">
        <f t="shared" si="121"/>
        <v>-13.67427942585152</v>
      </c>
      <c r="BE99" s="123">
        <f t="shared" si="122"/>
        <v>-112.96924331908474</v>
      </c>
      <c r="BF99">
        <f t="shared" si="123"/>
        <v>-27.941527563169412</v>
      </c>
      <c r="BG99">
        <f t="shared" si="124"/>
        <v>-67.807580171909507</v>
      </c>
      <c r="BH99" s="123">
        <f t="shared" si="125"/>
        <v>-41.615806989020932</v>
      </c>
      <c r="BI99" s="123">
        <f t="shared" si="126"/>
        <v>-180.77682349099425</v>
      </c>
      <c r="BL99" s="123">
        <f t="shared" si="127"/>
        <v>0</v>
      </c>
      <c r="BM99" s="123">
        <f t="shared" si="128"/>
        <v>0</v>
      </c>
      <c r="BN99" s="123">
        <f t="shared" si="129"/>
        <v>0</v>
      </c>
      <c r="BO99" s="123">
        <f t="shared" si="130"/>
        <v>0</v>
      </c>
      <c r="BP99" s="123">
        <f t="shared" si="131"/>
        <v>0</v>
      </c>
      <c r="BQ99" s="123">
        <f t="shared" si="132"/>
        <v>0</v>
      </c>
      <c r="BR99" s="123">
        <f t="shared" si="133"/>
        <v>0</v>
      </c>
      <c r="BS99" s="123"/>
      <c r="BT99" s="123"/>
      <c r="BU99" s="123">
        <f t="shared" si="134"/>
        <v>0</v>
      </c>
      <c r="BV99" s="123">
        <f t="shared" si="135"/>
        <v>0</v>
      </c>
      <c r="BX99" s="123">
        <f t="shared" si="136"/>
        <v>0</v>
      </c>
      <c r="BY99" s="123"/>
    </row>
    <row r="100" spans="5:77" x14ac:dyDescent="0.2">
      <c r="E100">
        <v>89</v>
      </c>
      <c r="F100">
        <v>90000</v>
      </c>
      <c r="G100" s="58">
        <f t="shared" si="79"/>
        <v>-14.335918052462834</v>
      </c>
      <c r="H100" s="58">
        <f t="shared" si="80"/>
        <v>-115.46655747334569</v>
      </c>
      <c r="I100">
        <f t="shared" si="81"/>
        <v>-11.187443380265911</v>
      </c>
      <c r="J100">
        <f t="shared" si="82"/>
        <v>-12.560373469130953</v>
      </c>
      <c r="K100" t="str">
        <f t="shared" si="83"/>
        <v>7096.54493858564-573.285826458029i</v>
      </c>
      <c r="L100" t="str">
        <f t="shared" si="84"/>
        <v>3300-176838.862447942i</v>
      </c>
      <c r="M100" t="str">
        <f t="shared" si="85"/>
        <v>75371.2628769163-42161.8379126382i</v>
      </c>
      <c r="N100">
        <f t="shared" si="99"/>
        <v>-22.309524611854421</v>
      </c>
      <c r="O100">
        <f t="shared" si="86"/>
        <v>22.7748219688213</v>
      </c>
      <c r="P100" t="str">
        <f t="shared" si="87"/>
        <v>-5358.7534075134i</v>
      </c>
      <c r="Q100" t="str">
        <f t="shared" si="88"/>
        <v>3300-37.6252898825409i</v>
      </c>
      <c r="R100" t="str">
        <f t="shared" si="100"/>
        <v>2368.44406046301-1485.71671846596i</v>
      </c>
      <c r="S100" t="str">
        <f t="shared" si="89"/>
        <v>7817.38465516514-884125.191369224i</v>
      </c>
      <c r="T100" t="str">
        <f t="shared" si="101"/>
        <v>2360.45424486293-1489.46643538624i</v>
      </c>
      <c r="U100" t="str">
        <f t="shared" si="102"/>
        <v>0.831600831600832-0.374220374220374i</v>
      </c>
      <c r="V100">
        <f t="shared" si="90"/>
        <v>8.1146656107069806</v>
      </c>
      <c r="W100">
        <f t="shared" si="91"/>
        <v>-56.480026535793428</v>
      </c>
      <c r="X100">
        <f t="shared" si="103"/>
        <v>-0.80085085045869064</v>
      </c>
      <c r="Y100">
        <f t="shared" si="92"/>
        <v>-24.227750358394488</v>
      </c>
      <c r="AA100" s="123">
        <f t="shared" si="104"/>
        <v>-25.523361432728745</v>
      </c>
      <c r="AB100" s="123">
        <f t="shared" si="105"/>
        <v>-128.02693094247664</v>
      </c>
      <c r="AC100">
        <f t="shared" si="106"/>
        <v>-14.19485900114744</v>
      </c>
      <c r="AD100">
        <f t="shared" si="107"/>
        <v>-33.705204566972128</v>
      </c>
      <c r="AE100" s="123">
        <f t="shared" si="108"/>
        <v>-39.718220433876184</v>
      </c>
      <c r="AF100" s="123">
        <f t="shared" si="109"/>
        <v>-161.73213550944877</v>
      </c>
      <c r="AI100" s="123">
        <f t="shared" si="110"/>
        <v>0</v>
      </c>
      <c r="AJ100" s="123">
        <f t="shared" si="111"/>
        <v>0</v>
      </c>
      <c r="AK100" s="123">
        <f t="shared" si="112"/>
        <v>0</v>
      </c>
      <c r="AL100" s="123">
        <f t="shared" si="113"/>
        <v>0</v>
      </c>
      <c r="AM100" s="123">
        <f t="shared" si="114"/>
        <v>0</v>
      </c>
      <c r="AN100" s="123">
        <f t="shared" si="115"/>
        <v>0</v>
      </c>
      <c r="AO100" s="123">
        <f t="shared" si="116"/>
        <v>0</v>
      </c>
      <c r="AP100" s="123"/>
      <c r="AQ100" s="123">
        <f t="shared" si="117"/>
        <v>0</v>
      </c>
      <c r="AR100" s="123">
        <f t="shared" si="118"/>
        <v>0</v>
      </c>
      <c r="AS100" s="123">
        <f t="shared" si="119"/>
        <v>0</v>
      </c>
      <c r="AW100" t="str">
        <f t="shared" si="93"/>
        <v>12700</v>
      </c>
      <c r="AX100" t="str">
        <f t="shared" si="94"/>
        <v>75-17.6838862447942i</v>
      </c>
      <c r="AY100" t="str">
        <f t="shared" si="120"/>
        <v>74.5838793081661-17.4768236768301i</v>
      </c>
      <c r="AZ100">
        <f t="shared" si="95"/>
        <v>-36.294355147010364</v>
      </c>
      <c r="BA100">
        <f t="shared" si="96"/>
        <v>-13.1878658832574</v>
      </c>
      <c r="BB100">
        <f t="shared" si="97"/>
        <v>-2.2470017528981637E-5</v>
      </c>
      <c r="BC100">
        <f t="shared" si="98"/>
        <v>7.519553988305018E-2</v>
      </c>
      <c r="BD100" s="123">
        <f t="shared" si="121"/>
        <v>-14.335940522480362</v>
      </c>
      <c r="BE100" s="123">
        <f t="shared" si="122"/>
        <v>-115.39136193346263</v>
      </c>
      <c r="BF100">
        <f t="shared" si="123"/>
        <v>-28.179689536303385</v>
      </c>
      <c r="BG100">
        <f t="shared" si="124"/>
        <v>-69.66789241905083</v>
      </c>
      <c r="BH100" s="123">
        <f t="shared" si="125"/>
        <v>-42.515630058783749</v>
      </c>
      <c r="BI100" s="123">
        <f t="shared" si="126"/>
        <v>-185.05925435251345</v>
      </c>
      <c r="BL100" s="123">
        <f t="shared" si="127"/>
        <v>0</v>
      </c>
      <c r="BM100" s="123">
        <f t="shared" si="128"/>
        <v>0</v>
      </c>
      <c r="BN100" s="123">
        <f t="shared" si="129"/>
        <v>0</v>
      </c>
      <c r="BO100" s="123">
        <f t="shared" si="130"/>
        <v>0</v>
      </c>
      <c r="BP100" s="123">
        <f t="shared" si="131"/>
        <v>0</v>
      </c>
      <c r="BQ100" s="123">
        <f t="shared" si="132"/>
        <v>0</v>
      </c>
      <c r="BR100" s="123">
        <f t="shared" si="133"/>
        <v>0</v>
      </c>
      <c r="BS100" s="123"/>
      <c r="BT100" s="123"/>
      <c r="BU100" s="123">
        <f t="shared" si="134"/>
        <v>0</v>
      </c>
      <c r="BV100" s="123">
        <f t="shared" si="135"/>
        <v>0</v>
      </c>
      <c r="BX100" s="123">
        <f t="shared" si="136"/>
        <v>0</v>
      </c>
      <c r="BY100" s="123"/>
    </row>
    <row r="101" spans="5:77" x14ac:dyDescent="0.2">
      <c r="E101">
        <v>90</v>
      </c>
      <c r="F101">
        <v>95000</v>
      </c>
      <c r="G101" s="58">
        <f t="shared" si="79"/>
        <v>-14.977527479618654</v>
      </c>
      <c r="H101" s="58">
        <f t="shared" si="80"/>
        <v>-117.73181933955409</v>
      </c>
      <c r="I101">
        <f t="shared" si="81"/>
        <v>-11.209044095287377</v>
      </c>
      <c r="J101">
        <f t="shared" si="82"/>
        <v>-11.919410594399</v>
      </c>
      <c r="K101" t="str">
        <f t="shared" si="83"/>
        <v>7091.29437749282-604.687314333646i</v>
      </c>
      <c r="L101" t="str">
        <f t="shared" si="84"/>
        <v>3300-167531.55389805i</v>
      </c>
      <c r="M101" t="str">
        <f t="shared" si="85"/>
        <v>73333.4789633404-43247.6641464339i</v>
      </c>
      <c r="N101">
        <f t="shared" si="99"/>
        <v>-22.192251908569954</v>
      </c>
      <c r="O101">
        <f t="shared" si="86"/>
        <v>23.727917111744809</v>
      </c>
      <c r="P101" t="str">
        <f t="shared" si="87"/>
        <v>-5076.71375448638i</v>
      </c>
      <c r="Q101" t="str">
        <f t="shared" si="88"/>
        <v>3300-35.6450114676703i</v>
      </c>
      <c r="R101" t="str">
        <f t="shared" si="100"/>
        <v>2297.04767124752-1518.12836117834i</v>
      </c>
      <c r="S101" t="str">
        <f t="shared" si="89"/>
        <v>7016.21308087257-837598.997636256i</v>
      </c>
      <c r="T101" t="str">
        <f t="shared" si="101"/>
        <v>2288.69776893261-1521.57716394471i</v>
      </c>
      <c r="U101" t="str">
        <f t="shared" si="102"/>
        <v>0.815910249872514-0.387557368689444i</v>
      </c>
      <c r="V101">
        <f t="shared" si="90"/>
        <v>7.8978110936854931</v>
      </c>
      <c r="W101">
        <f t="shared" si="91"/>
        <v>-59.024573788971459</v>
      </c>
      <c r="X101">
        <f t="shared" si="103"/>
        <v>-0.88357611011859283</v>
      </c>
      <c r="Y101">
        <f t="shared" si="92"/>
        <v>-25.407723394875223</v>
      </c>
      <c r="AA101" s="123">
        <f t="shared" si="104"/>
        <v>-26.186571574906033</v>
      </c>
      <c r="AB101" s="123">
        <f t="shared" si="105"/>
        <v>-129.65122993395309</v>
      </c>
      <c r="AC101">
        <f t="shared" si="106"/>
        <v>-14.29444081488446</v>
      </c>
      <c r="AD101">
        <f t="shared" si="107"/>
        <v>-35.29665667722665</v>
      </c>
      <c r="AE101" s="123">
        <f t="shared" si="108"/>
        <v>-40.481012389790493</v>
      </c>
      <c r="AF101" s="123">
        <f t="shared" si="109"/>
        <v>-164.94788661117974</v>
      </c>
      <c r="AI101" s="123">
        <f t="shared" si="110"/>
        <v>0</v>
      </c>
      <c r="AJ101" s="123">
        <f t="shared" si="111"/>
        <v>0</v>
      </c>
      <c r="AK101" s="123">
        <f t="shared" si="112"/>
        <v>0</v>
      </c>
      <c r="AL101" s="123">
        <f t="shared" si="113"/>
        <v>0</v>
      </c>
      <c r="AM101" s="123">
        <f t="shared" si="114"/>
        <v>0</v>
      </c>
      <c r="AN101" s="123">
        <f t="shared" si="115"/>
        <v>0</v>
      </c>
      <c r="AO101" s="123">
        <f t="shared" si="116"/>
        <v>0</v>
      </c>
      <c r="AP101" s="123"/>
      <c r="AQ101" s="123">
        <f t="shared" si="117"/>
        <v>0</v>
      </c>
      <c r="AR101" s="123">
        <f t="shared" si="118"/>
        <v>0</v>
      </c>
      <c r="AS101" s="123">
        <f t="shared" si="119"/>
        <v>0</v>
      </c>
      <c r="AW101" t="str">
        <f t="shared" si="93"/>
        <v>12700</v>
      </c>
      <c r="AX101" t="str">
        <f t="shared" si="94"/>
        <v>75-16.753155389805i</v>
      </c>
      <c r="AY101" t="str">
        <f t="shared" si="120"/>
        <v>74.5813997569474-16.5569941034212i</v>
      </c>
      <c r="AZ101">
        <f t="shared" si="95"/>
        <v>-36.317860869084285</v>
      </c>
      <c r="BA101">
        <f t="shared" si="96"/>
        <v>-12.516620404666698</v>
      </c>
      <c r="BB101">
        <f t="shared" si="97"/>
        <v>-2.0167005286078912E-5</v>
      </c>
      <c r="BC101">
        <f t="shared" si="98"/>
        <v>7.1237909306082065E-2</v>
      </c>
      <c r="BD101" s="123">
        <f t="shared" si="121"/>
        <v>-14.97754764662394</v>
      </c>
      <c r="BE101" s="123">
        <f t="shared" si="122"/>
        <v>-117.66058143024802</v>
      </c>
      <c r="BF101">
        <f t="shared" si="123"/>
        <v>-28.420049775398791</v>
      </c>
      <c r="BG101">
        <f t="shared" si="124"/>
        <v>-71.541194193638162</v>
      </c>
      <c r="BH101" s="123">
        <f t="shared" si="125"/>
        <v>-43.397597422022727</v>
      </c>
      <c r="BI101" s="123">
        <f t="shared" si="126"/>
        <v>-189.20177562388619</v>
      </c>
      <c r="BL101" s="123">
        <f t="shared" si="127"/>
        <v>0</v>
      </c>
      <c r="BM101" s="123">
        <f t="shared" si="128"/>
        <v>0</v>
      </c>
      <c r="BN101" s="123">
        <f t="shared" si="129"/>
        <v>0</v>
      </c>
      <c r="BO101" s="123">
        <f t="shared" si="130"/>
        <v>0</v>
      </c>
      <c r="BP101" s="123">
        <f t="shared" si="131"/>
        <v>0</v>
      </c>
      <c r="BQ101" s="123">
        <f t="shared" si="132"/>
        <v>0</v>
      </c>
      <c r="BR101" s="123">
        <f t="shared" si="133"/>
        <v>0</v>
      </c>
      <c r="BS101" s="123"/>
      <c r="BT101" s="123"/>
      <c r="BU101" s="123">
        <f t="shared" si="134"/>
        <v>0</v>
      </c>
      <c r="BV101" s="123">
        <f t="shared" si="135"/>
        <v>0</v>
      </c>
      <c r="BX101" s="123">
        <f t="shared" si="136"/>
        <v>0</v>
      </c>
      <c r="BY101" s="123"/>
    </row>
    <row r="102" spans="5:77" x14ac:dyDescent="0.2">
      <c r="E102">
        <v>91</v>
      </c>
      <c r="F102">
        <v>100000</v>
      </c>
      <c r="G102" s="58">
        <f t="shared" si="79"/>
        <v>-15.600288003084817</v>
      </c>
      <c r="H102" s="58">
        <f t="shared" si="80"/>
        <v>-119.85851558732776</v>
      </c>
      <c r="I102">
        <f t="shared" si="81"/>
        <v>-11.227571864879504</v>
      </c>
      <c r="J102">
        <f t="shared" si="82"/>
        <v>-11.339841628455144</v>
      </c>
      <c r="K102" t="str">
        <f t="shared" si="83"/>
        <v>7085.76840656981-636.016952569498i</v>
      </c>
      <c r="L102" t="str">
        <f t="shared" si="84"/>
        <v>3300-159154.976203148i</v>
      </c>
      <c r="M102" t="str">
        <f t="shared" si="85"/>
        <v>71306.5091759317-44208.2463629219i</v>
      </c>
      <c r="N102">
        <f t="shared" si="99"/>
        <v>-22.072373157438317</v>
      </c>
      <c r="O102">
        <f t="shared" si="86"/>
        <v>24.642587814098572</v>
      </c>
      <c r="P102" t="str">
        <f t="shared" si="87"/>
        <v>-4822.87806676206i</v>
      </c>
      <c r="Q102" t="str">
        <f t="shared" si="88"/>
        <v>3300-33.8627608942868i</v>
      </c>
      <c r="R102" t="str">
        <f t="shared" si="100"/>
        <v>2226.30828267742-1546.331905723i</v>
      </c>
      <c r="S102" t="str">
        <f t="shared" si="89"/>
        <v>6332.1756226836-795724.491152713i</v>
      </c>
      <c r="T102" t="str">
        <f t="shared" si="101"/>
        <v>2217.63875129256-1549.45645021903i</v>
      </c>
      <c r="U102" t="str">
        <f t="shared" si="102"/>
        <v>0.8-0.4i</v>
      </c>
      <c r="V102">
        <f t="shared" si="90"/>
        <v>7.6752612338077517</v>
      </c>
      <c r="W102">
        <f t="shared" si="91"/>
        <v>-61.506929562105249</v>
      </c>
      <c r="X102">
        <f t="shared" si="103"/>
        <v>-0.96910013008056328</v>
      </c>
      <c r="Y102">
        <f t="shared" si="92"/>
        <v>-26.565056703781107</v>
      </c>
      <c r="AA102" s="123">
        <f t="shared" si="104"/>
        <v>-26.827859867964321</v>
      </c>
      <c r="AB102" s="123">
        <f t="shared" si="105"/>
        <v>-131.19835721578289</v>
      </c>
      <c r="AC102">
        <f t="shared" si="106"/>
        <v>-14.397111923630565</v>
      </c>
      <c r="AD102">
        <f t="shared" si="107"/>
        <v>-36.86434174800668</v>
      </c>
      <c r="AE102" s="123">
        <f t="shared" si="108"/>
        <v>-41.224971791594882</v>
      </c>
      <c r="AF102" s="123">
        <f t="shared" si="109"/>
        <v>-168.06269896378956</v>
      </c>
      <c r="AI102" s="123">
        <f t="shared" si="110"/>
        <v>0</v>
      </c>
      <c r="AJ102" s="123">
        <f t="shared" si="111"/>
        <v>0</v>
      </c>
      <c r="AK102" s="123">
        <f t="shared" si="112"/>
        <v>122682.17545020494</v>
      </c>
      <c r="AL102" s="123">
        <f t="shared" si="113"/>
        <v>-44.233285156229314</v>
      </c>
      <c r="AM102" s="123">
        <f t="shared" si="114"/>
        <v>0</v>
      </c>
      <c r="AN102" s="123">
        <f t="shared" si="115"/>
        <v>0</v>
      </c>
      <c r="AO102" s="123">
        <f t="shared" si="116"/>
        <v>0</v>
      </c>
      <c r="AP102" s="123"/>
      <c r="AQ102" s="123">
        <f t="shared" si="117"/>
        <v>0</v>
      </c>
      <c r="AR102" s="123">
        <f t="shared" si="118"/>
        <v>128421.0193317869</v>
      </c>
      <c r="AS102" s="123">
        <f t="shared" si="119"/>
        <v>-44.994422057952619</v>
      </c>
      <c r="AW102" t="str">
        <f t="shared" si="93"/>
        <v>12700</v>
      </c>
      <c r="AX102" t="str">
        <f t="shared" si="94"/>
        <v>75-15.9154976203148i</v>
      </c>
      <c r="AY102" t="str">
        <f t="shared" si="120"/>
        <v>74.5792827555551-15.7291470356773i</v>
      </c>
      <c r="AZ102">
        <f t="shared" si="95"/>
        <v>-36.338030854396109</v>
      </c>
      <c r="BA102">
        <f t="shared" si="96"/>
        <v>-11.90943761495152</v>
      </c>
      <c r="BB102">
        <f t="shared" si="97"/>
        <v>-1.8200729140594157E-5</v>
      </c>
      <c r="BC102">
        <f t="shared" si="98"/>
        <v>6.767603770083086E-2</v>
      </c>
      <c r="BD102" s="123">
        <f t="shared" si="121"/>
        <v>-15.600306203813957</v>
      </c>
      <c r="BE102" s="123">
        <f t="shared" si="122"/>
        <v>-119.79083954962692</v>
      </c>
      <c r="BF102">
        <f t="shared" si="123"/>
        <v>-28.662769620588357</v>
      </c>
      <c r="BG102">
        <f t="shared" si="124"/>
        <v>-73.41636717705677</v>
      </c>
      <c r="BH102" s="123">
        <f t="shared" si="125"/>
        <v>-44.263075824402314</v>
      </c>
      <c r="BI102" s="123">
        <f t="shared" si="126"/>
        <v>-193.20720672668369</v>
      </c>
      <c r="BL102" s="123">
        <f t="shared" si="127"/>
        <v>0</v>
      </c>
      <c r="BM102" s="123">
        <f t="shared" si="128"/>
        <v>0</v>
      </c>
      <c r="BN102" s="123">
        <f t="shared" si="129"/>
        <v>0</v>
      </c>
      <c r="BO102" s="123">
        <f t="shared" si="130"/>
        <v>0</v>
      </c>
      <c r="BP102" s="123">
        <f t="shared" si="131"/>
        <v>0</v>
      </c>
      <c r="BQ102" s="123">
        <f t="shared" si="132"/>
        <v>0</v>
      </c>
      <c r="BR102" s="123">
        <f t="shared" si="133"/>
        <v>0</v>
      </c>
      <c r="BS102" s="123"/>
      <c r="BT102" s="123"/>
      <c r="BU102" s="123">
        <f t="shared" si="134"/>
        <v>128421.0193317869</v>
      </c>
      <c r="BV102" s="123">
        <f t="shared" si="135"/>
        <v>-44.263075824402314</v>
      </c>
      <c r="BX102" s="123">
        <f t="shared" si="136"/>
        <v>0</v>
      </c>
      <c r="BY102" s="123"/>
    </row>
    <row r="103" spans="5:77" x14ac:dyDescent="0.2">
      <c r="E103">
        <v>92</v>
      </c>
      <c r="F103">
        <v>150000</v>
      </c>
      <c r="G103" s="58">
        <f t="shared" si="79"/>
        <v>-20.984636724261211</v>
      </c>
      <c r="H103" s="58">
        <f t="shared" si="80"/>
        <v>-135.58285969250699</v>
      </c>
      <c r="I103">
        <f t="shared" si="81"/>
        <v>-11.324119131001593</v>
      </c>
      <c r="J103">
        <f t="shared" si="82"/>
        <v>-7.6170258222301186</v>
      </c>
      <c r="K103" t="str">
        <f t="shared" si="83"/>
        <v>7015.67807238336-944.588490290355i</v>
      </c>
      <c r="L103" t="str">
        <f t="shared" si="84"/>
        <v>3300-106103.317468765i</v>
      </c>
      <c r="M103" t="str">
        <f t="shared" si="85"/>
        <v>52893.0077061146-48385.3645533087i</v>
      </c>
      <c r="N103">
        <f t="shared" si="99"/>
        <v>-20.798348241104808</v>
      </c>
      <c r="O103">
        <f t="shared" si="86"/>
        <v>31.800528110154641</v>
      </c>
      <c r="P103" t="str">
        <f t="shared" si="87"/>
        <v>-3215.25204450804i</v>
      </c>
      <c r="Q103" t="str">
        <f t="shared" si="88"/>
        <v>3300-22.5751739295245i</v>
      </c>
      <c r="R103" t="str">
        <f t="shared" si="100"/>
        <v>1596.12842000084-1649.19506196244i</v>
      </c>
      <c r="S103" t="str">
        <f t="shared" si="89"/>
        <v>2814.39928380681-530501.656488792i</v>
      </c>
      <c r="T103" t="str">
        <f t="shared" si="101"/>
        <v>1586.23862030531-1648.78946709365i</v>
      </c>
      <c r="U103" t="str">
        <f t="shared" si="102"/>
        <v>0.64-0.48i</v>
      </c>
      <c r="V103">
        <f t="shared" si="90"/>
        <v>5.2506842515674856</v>
      </c>
      <c r="W103">
        <f t="shared" si="91"/>
        <v>-82.977618737815618</v>
      </c>
      <c r="X103">
        <f t="shared" si="103"/>
        <v>-1.9382002601611279</v>
      </c>
      <c r="Y103">
        <f t="shared" si="92"/>
        <v>-36.869905316410019</v>
      </c>
      <c r="AA103" s="123">
        <f t="shared" si="104"/>
        <v>-32.308755855262802</v>
      </c>
      <c r="AB103" s="123">
        <f t="shared" si="105"/>
        <v>-143.1998855147371</v>
      </c>
      <c r="AC103">
        <f t="shared" si="106"/>
        <v>-15.547663989537323</v>
      </c>
      <c r="AD103">
        <f t="shared" si="107"/>
        <v>-51.177090627660974</v>
      </c>
      <c r="AE103" s="123">
        <f t="shared" si="108"/>
        <v>-47.856419844800129</v>
      </c>
      <c r="AF103" s="123">
        <f t="shared" si="109"/>
        <v>-194.37697614239806</v>
      </c>
      <c r="AI103" s="123">
        <f t="shared" si="110"/>
        <v>0</v>
      </c>
      <c r="AJ103" s="123">
        <f t="shared" si="111"/>
        <v>0</v>
      </c>
      <c r="AK103" s="123">
        <f t="shared" si="112"/>
        <v>0</v>
      </c>
      <c r="AL103" s="123">
        <f t="shared" si="113"/>
        <v>0</v>
      </c>
      <c r="AM103" s="123">
        <f t="shared" si="114"/>
        <v>0</v>
      </c>
      <c r="AN103" s="123">
        <f t="shared" si="115"/>
        <v>0</v>
      </c>
      <c r="AO103" s="123">
        <f t="shared" si="116"/>
        <v>0</v>
      </c>
      <c r="AP103" s="123"/>
      <c r="AQ103" s="123">
        <f t="shared" si="117"/>
        <v>0</v>
      </c>
      <c r="AR103" s="123">
        <f t="shared" si="118"/>
        <v>0</v>
      </c>
      <c r="AS103" s="123">
        <f t="shared" si="119"/>
        <v>0</v>
      </c>
      <c r="AW103" t="str">
        <f t="shared" si="93"/>
        <v>12700</v>
      </c>
      <c r="AX103" t="str">
        <f t="shared" si="94"/>
        <v>75-10.6103317468765i</v>
      </c>
      <c r="AY103" t="str">
        <f t="shared" si="120"/>
        <v>74.5683961702309-10.4861070656856i</v>
      </c>
      <c r="AZ103">
        <f t="shared" si="95"/>
        <v>-36.443259950461822</v>
      </c>
      <c r="BA103">
        <f t="shared" si="96"/>
        <v>-8.0046750330852152</v>
      </c>
      <c r="BB103">
        <f t="shared" si="97"/>
        <v>-8.0892286868980858E-6</v>
      </c>
      <c r="BC103">
        <f t="shared" si="98"/>
        <v>4.511744026647125E-2</v>
      </c>
      <c r="BD103" s="123">
        <f t="shared" si="121"/>
        <v>-20.984644813489897</v>
      </c>
      <c r="BE103" s="123">
        <f t="shared" si="122"/>
        <v>-135.53774225224052</v>
      </c>
      <c r="BF103">
        <f t="shared" si="123"/>
        <v>-31.192575698894338</v>
      </c>
      <c r="BG103">
        <f t="shared" si="124"/>
        <v>-90.982293770900839</v>
      </c>
      <c r="BH103" s="123">
        <f t="shared" si="125"/>
        <v>-52.177220512384238</v>
      </c>
      <c r="BI103" s="123">
        <f t="shared" si="126"/>
        <v>-226.52003602314136</v>
      </c>
      <c r="BL103" s="123">
        <f t="shared" si="127"/>
        <v>0</v>
      </c>
      <c r="BM103" s="123">
        <f t="shared" si="128"/>
        <v>0</v>
      </c>
      <c r="BN103" s="123">
        <f t="shared" si="129"/>
        <v>0</v>
      </c>
      <c r="BO103" s="123">
        <f t="shared" si="130"/>
        <v>0</v>
      </c>
      <c r="BP103" s="123">
        <f t="shared" si="131"/>
        <v>0</v>
      </c>
      <c r="BQ103" s="123">
        <f t="shared" si="132"/>
        <v>0</v>
      </c>
      <c r="BR103" s="123">
        <f t="shared" si="133"/>
        <v>0</v>
      </c>
      <c r="BS103" s="123"/>
      <c r="BT103" s="123"/>
      <c r="BU103" s="123">
        <f t="shared" si="134"/>
        <v>0</v>
      </c>
      <c r="BV103" s="123">
        <f t="shared" si="135"/>
        <v>0</v>
      </c>
      <c r="BX103" s="123">
        <f t="shared" si="136"/>
        <v>0</v>
      </c>
      <c r="BY103" s="123"/>
    </row>
    <row r="104" spans="5:77" x14ac:dyDescent="0.2">
      <c r="E104">
        <v>93</v>
      </c>
      <c r="F104">
        <v>200000</v>
      </c>
      <c r="G104" s="58">
        <f t="shared" si="79"/>
        <v>-25.240595313165556</v>
      </c>
      <c r="H104" s="58">
        <f t="shared" si="80"/>
        <v>-145.13167087386819</v>
      </c>
      <c r="I104">
        <f t="shared" si="81"/>
        <v>-11.358424356996768</v>
      </c>
      <c r="J104">
        <f t="shared" si="82"/>
        <v>-5.7280406047162193</v>
      </c>
      <c r="K104" t="str">
        <f t="shared" si="83"/>
        <v>6919.8493164054-1242.24818592141i</v>
      </c>
      <c r="L104" t="str">
        <f t="shared" si="84"/>
        <v>3300-79577.488101574i</v>
      </c>
      <c r="M104" t="str">
        <f t="shared" si="85"/>
        <v>39247.6826321296-46800.7435864933i</v>
      </c>
      <c r="N104">
        <f t="shared" si="99"/>
        <v>-19.533723124763192</v>
      </c>
      <c r="O104">
        <f t="shared" si="86"/>
        <v>35.96314333191691</v>
      </c>
      <c r="P104" t="str">
        <f t="shared" si="87"/>
        <v>-2411.43903338103i</v>
      </c>
      <c r="Q104" t="str">
        <f t="shared" si="88"/>
        <v>3300-16.9313804471434i</v>
      </c>
      <c r="R104" t="str">
        <f t="shared" si="100"/>
        <v>1143.12537583255-1570.24756611801i</v>
      </c>
      <c r="S104" t="str">
        <f t="shared" si="89"/>
        <v>1583.11909008173-397881.141475842i</v>
      </c>
      <c r="T104" t="str">
        <f t="shared" si="101"/>
        <v>1134.15831955078-1567.28503246797i</v>
      </c>
      <c r="U104" t="str">
        <f t="shared" si="102"/>
        <v>0.5-0.5i</v>
      </c>
      <c r="V104">
        <f t="shared" si="90"/>
        <v>2.7215472757451797</v>
      </c>
      <c r="W104">
        <f t="shared" si="91"/>
        <v>-99.108821165023741</v>
      </c>
      <c r="X104">
        <f t="shared" si="103"/>
        <v>-3.0102999566398116</v>
      </c>
      <c r="Y104">
        <f t="shared" si="92"/>
        <v>-45.000009361986116</v>
      </c>
      <c r="AA104" s="123">
        <f t="shared" si="104"/>
        <v>-36.59901967016232</v>
      </c>
      <c r="AB104" s="123">
        <f t="shared" si="105"/>
        <v>-150.85971147858442</v>
      </c>
      <c r="AC104">
        <f t="shared" si="106"/>
        <v>-16.812175849018011</v>
      </c>
      <c r="AD104">
        <f t="shared" si="107"/>
        <v>-63.145677833106831</v>
      </c>
      <c r="AE104" s="123">
        <f t="shared" si="108"/>
        <v>-53.411195519180332</v>
      </c>
      <c r="AF104" s="123">
        <f t="shared" si="109"/>
        <v>-214.00538931169126</v>
      </c>
      <c r="AI104" s="123">
        <f t="shared" si="110"/>
        <v>0</v>
      </c>
      <c r="AJ104" s="123">
        <f t="shared" si="111"/>
        <v>0</v>
      </c>
      <c r="AK104" s="123">
        <f t="shared" si="112"/>
        <v>0</v>
      </c>
      <c r="AL104" s="123">
        <f t="shared" si="113"/>
        <v>0</v>
      </c>
      <c r="AM104" s="123">
        <f t="shared" si="114"/>
        <v>0</v>
      </c>
      <c r="AN104" s="123">
        <f t="shared" si="115"/>
        <v>0</v>
      </c>
      <c r="AO104" s="123">
        <f t="shared" si="116"/>
        <v>0</v>
      </c>
      <c r="AP104" s="123"/>
      <c r="AQ104" s="123">
        <f t="shared" si="117"/>
        <v>0</v>
      </c>
      <c r="AR104" s="123">
        <f t="shared" si="118"/>
        <v>0</v>
      </c>
      <c r="AS104" s="123">
        <f t="shared" si="119"/>
        <v>0</v>
      </c>
      <c r="AW104" t="str">
        <f t="shared" si="93"/>
        <v>12700</v>
      </c>
      <c r="AX104" t="str">
        <f t="shared" si="94"/>
        <v>75-7.9577488101574i</v>
      </c>
      <c r="AY104" t="str">
        <f t="shared" si="120"/>
        <v>74.564585860932-7.86458267276589i</v>
      </c>
      <c r="AZ104">
        <f t="shared" si="95"/>
        <v>-36.480700927390004</v>
      </c>
      <c r="BA104">
        <f t="shared" si="96"/>
        <v>-6.0209226582073034</v>
      </c>
      <c r="BB104">
        <f t="shared" si="97"/>
        <v>-4.5501942040079119E-6</v>
      </c>
      <c r="BC104">
        <f t="shared" si="98"/>
        <v>3.3838101672218381E-2</v>
      </c>
      <c r="BD104" s="123">
        <f t="shared" si="121"/>
        <v>-25.240599863359762</v>
      </c>
      <c r="BE104" s="123">
        <f t="shared" si="122"/>
        <v>-145.09783277219597</v>
      </c>
      <c r="BF104">
        <f t="shared" si="123"/>
        <v>-33.759153651644823</v>
      </c>
      <c r="BG104">
        <f t="shared" si="124"/>
        <v>-105.12974382323104</v>
      </c>
      <c r="BH104" s="123">
        <f t="shared" si="125"/>
        <v>-58.999753515004585</v>
      </c>
      <c r="BI104" s="123">
        <f t="shared" si="126"/>
        <v>-250.22757659542702</v>
      </c>
      <c r="BL104" s="123">
        <f t="shared" si="127"/>
        <v>0</v>
      </c>
      <c r="BM104" s="123">
        <f t="shared" si="128"/>
        <v>0</v>
      </c>
      <c r="BN104" s="123">
        <f t="shared" si="129"/>
        <v>0</v>
      </c>
      <c r="BO104" s="123">
        <f t="shared" si="130"/>
        <v>0</v>
      </c>
      <c r="BP104" s="123">
        <f t="shared" si="131"/>
        <v>0</v>
      </c>
      <c r="BQ104" s="123">
        <f t="shared" si="132"/>
        <v>0</v>
      </c>
      <c r="BR104" s="123">
        <f t="shared" si="133"/>
        <v>0</v>
      </c>
      <c r="BS104" s="123"/>
      <c r="BT104" s="123"/>
      <c r="BU104" s="123">
        <f t="shared" si="134"/>
        <v>0</v>
      </c>
      <c r="BV104" s="123">
        <f t="shared" si="135"/>
        <v>0</v>
      </c>
      <c r="BX104" s="123">
        <f t="shared" si="136"/>
        <v>0</v>
      </c>
      <c r="BY104" s="123"/>
    </row>
    <row r="105" spans="5:77" x14ac:dyDescent="0.2">
      <c r="E105">
        <v>94</v>
      </c>
      <c r="F105">
        <v>250000</v>
      </c>
      <c r="G105" s="58">
        <f t="shared" si="79"/>
        <v>-28.731396564732282</v>
      </c>
      <c r="H105" s="58">
        <f t="shared" si="80"/>
        <v>-151.43764393068224</v>
      </c>
      <c r="I105">
        <f t="shared" si="81"/>
        <v>-11.374395008163143</v>
      </c>
      <c r="J105">
        <f t="shared" si="82"/>
        <v>-4.5881266617236545</v>
      </c>
      <c r="K105" t="str">
        <f t="shared" si="83"/>
        <v>6800.4212277943-1526.01063756205i</v>
      </c>
      <c r="L105" t="str">
        <f t="shared" si="84"/>
        <v>3300-63661.9904812592i</v>
      </c>
      <c r="M105" t="str">
        <f t="shared" si="85"/>
        <v>29841.1906274353-43237.6520276156i</v>
      </c>
      <c r="N105">
        <f t="shared" si="99"/>
        <v>-18.381691922777126</v>
      </c>
      <c r="O105">
        <f t="shared" si="86"/>
        <v>38.050097886606935</v>
      </c>
      <c r="P105" t="str">
        <f t="shared" si="87"/>
        <v>-1929.15122670482i</v>
      </c>
      <c r="Q105" t="str">
        <f t="shared" si="88"/>
        <v>3300-13.5451043577147i</v>
      </c>
      <c r="R105" t="str">
        <f t="shared" si="100"/>
        <v>837.51383562485-1436.11030074043i</v>
      </c>
      <c r="S105" t="str">
        <f t="shared" si="89"/>
        <v>1013.2019921222-318306.727283517i</v>
      </c>
      <c r="T105" t="str">
        <f t="shared" si="101"/>
        <v>830.015413999563-1431.8104051462i</v>
      </c>
      <c r="U105" t="str">
        <f t="shared" si="102"/>
        <v>0.390243902439024-0.487804878048781i</v>
      </c>
      <c r="V105">
        <f t="shared" si="90"/>
        <v>0.28929208449265842</v>
      </c>
      <c r="W105">
        <f t="shared" si="91"/>
        <v>-111.23949746831924</v>
      </c>
      <c r="X105">
        <f t="shared" si="103"/>
        <v>-4.0866387406381053</v>
      </c>
      <c r="Y105">
        <f t="shared" si="92"/>
        <v>-51.340202426935797</v>
      </c>
      <c r="AA105" s="123">
        <f t="shared" si="104"/>
        <v>-40.105791572895427</v>
      </c>
      <c r="AB105" s="123">
        <f t="shared" si="105"/>
        <v>-156.02577059240591</v>
      </c>
      <c r="AC105">
        <f t="shared" si="106"/>
        <v>-18.092399838284468</v>
      </c>
      <c r="AD105">
        <f t="shared" si="107"/>
        <v>-73.189399581712308</v>
      </c>
      <c r="AE105" s="123">
        <f t="shared" si="108"/>
        <v>-58.198191411179891</v>
      </c>
      <c r="AF105" s="123">
        <f t="shared" si="109"/>
        <v>-229.21517017411821</v>
      </c>
      <c r="AI105" s="123">
        <f t="shared" si="110"/>
        <v>0</v>
      </c>
      <c r="AJ105" s="123">
        <f t="shared" si="111"/>
        <v>0</v>
      </c>
      <c r="AK105" s="123">
        <f t="shared" si="112"/>
        <v>0</v>
      </c>
      <c r="AL105" s="123">
        <f t="shared" si="113"/>
        <v>0</v>
      </c>
      <c r="AM105" s="123">
        <f t="shared" si="114"/>
        <v>0</v>
      </c>
      <c r="AN105" s="123">
        <f t="shared" si="115"/>
        <v>0</v>
      </c>
      <c r="AO105" s="123">
        <f t="shared" si="116"/>
        <v>0</v>
      </c>
      <c r="AP105" s="123"/>
      <c r="AQ105" s="123">
        <f t="shared" si="117"/>
        <v>0</v>
      </c>
      <c r="AR105" s="123">
        <f t="shared" si="118"/>
        <v>0</v>
      </c>
      <c r="AS105" s="123">
        <f t="shared" si="119"/>
        <v>0</v>
      </c>
      <c r="AW105" t="str">
        <f t="shared" si="93"/>
        <v>12700</v>
      </c>
      <c r="AX105" t="str">
        <f t="shared" si="94"/>
        <v>75-6.36619904812592i</v>
      </c>
      <c r="AY105" t="str">
        <f t="shared" si="120"/>
        <v>74.5628222312779-6.29166701708688i</v>
      </c>
      <c r="AZ105">
        <f t="shared" si="95"/>
        <v>-36.498140643930185</v>
      </c>
      <c r="BA105">
        <f t="shared" si="96"/>
        <v>-4.8232362999947327</v>
      </c>
      <c r="BB105">
        <f t="shared" si="97"/>
        <v>-2.9121251911350459E-6</v>
      </c>
      <c r="BC105">
        <f t="shared" si="98"/>
        <v>2.7070489288705528E-2</v>
      </c>
      <c r="BD105" s="123">
        <f t="shared" si="121"/>
        <v>-28.731399476857472</v>
      </c>
      <c r="BE105" s="123">
        <f t="shared" si="122"/>
        <v>-151.41057344139352</v>
      </c>
      <c r="BF105">
        <f t="shared" si="123"/>
        <v>-36.208848559437527</v>
      </c>
      <c r="BG105">
        <f t="shared" si="124"/>
        <v>-116.06273376831398</v>
      </c>
      <c r="BH105" s="123">
        <f t="shared" si="125"/>
        <v>-64.940248036295003</v>
      </c>
      <c r="BI105" s="123">
        <f t="shared" si="126"/>
        <v>-267.47330720970751</v>
      </c>
      <c r="BL105" s="123">
        <f t="shared" si="127"/>
        <v>0</v>
      </c>
      <c r="BM105" s="123">
        <f t="shared" si="128"/>
        <v>0</v>
      </c>
      <c r="BN105" s="123">
        <f t="shared" si="129"/>
        <v>0</v>
      </c>
      <c r="BO105" s="123">
        <f t="shared" si="130"/>
        <v>0</v>
      </c>
      <c r="BP105" s="123">
        <f t="shared" si="131"/>
        <v>0</v>
      </c>
      <c r="BQ105" s="123">
        <f t="shared" si="132"/>
        <v>0</v>
      </c>
      <c r="BR105" s="123">
        <f t="shared" si="133"/>
        <v>0</v>
      </c>
      <c r="BS105" s="123"/>
      <c r="BT105" s="123"/>
      <c r="BU105" s="123">
        <f t="shared" si="134"/>
        <v>0</v>
      </c>
      <c r="BV105" s="123">
        <f t="shared" si="135"/>
        <v>0</v>
      </c>
      <c r="BX105" s="123">
        <f t="shared" si="136"/>
        <v>0</v>
      </c>
      <c r="BY105" s="123"/>
    </row>
    <row r="106" spans="5:77" x14ac:dyDescent="0.2">
      <c r="E106">
        <v>95</v>
      </c>
      <c r="F106">
        <v>300000</v>
      </c>
      <c r="G106" s="58">
        <f t="shared" si="79"/>
        <v>-31.675512352970134</v>
      </c>
      <c r="H106" s="58">
        <f t="shared" si="80"/>
        <v>-155.87071727276481</v>
      </c>
      <c r="I106">
        <f t="shared" si="81"/>
        <v>-11.383095109845504</v>
      </c>
      <c r="J106">
        <f t="shared" si="82"/>
        <v>-3.826025302479322</v>
      </c>
      <c r="K106" t="str">
        <f t="shared" si="83"/>
        <v>6659.9361851383-1793.38304912066i</v>
      </c>
      <c r="L106" t="str">
        <f t="shared" si="84"/>
        <v>3300-53051.6587343827i</v>
      </c>
      <c r="M106" t="str">
        <f t="shared" si="85"/>
        <v>23398.4595657396-39340.1624554347i</v>
      </c>
      <c r="N106">
        <f t="shared" si="99"/>
        <v>-17.368749385267563</v>
      </c>
      <c r="O106">
        <f t="shared" si="86"/>
        <v>38.771407236524617</v>
      </c>
      <c r="P106" t="str">
        <f t="shared" si="87"/>
        <v>-1607.62602225402i</v>
      </c>
      <c r="Q106" t="str">
        <f t="shared" si="88"/>
        <v>3300-11.2875869647623i</v>
      </c>
      <c r="R106" t="str">
        <f t="shared" si="100"/>
        <v>631.248438756839-1297.94823792022i</v>
      </c>
      <c r="S106" t="str">
        <f t="shared" si="89"/>
        <v>703.614672846435-265256.427275638i</v>
      </c>
      <c r="T106" t="str">
        <f t="shared" si="101"/>
        <v>625.125209318292-1293.09231046642i</v>
      </c>
      <c r="U106" t="str">
        <f t="shared" si="102"/>
        <v>0.307692307692308-0.461538461538462i</v>
      </c>
      <c r="V106">
        <f t="shared" si="90"/>
        <v>-1.9741165869332336</v>
      </c>
      <c r="W106">
        <f t="shared" si="91"/>
        <v>-120.50924058261731</v>
      </c>
      <c r="X106">
        <f t="shared" si="103"/>
        <v>-5.1188336097887346</v>
      </c>
      <c r="Y106">
        <f t="shared" si="92"/>
        <v>-56.309944188971457</v>
      </c>
      <c r="AA106" s="123">
        <f t="shared" si="104"/>
        <v>-43.058607462815637</v>
      </c>
      <c r="AB106" s="123">
        <f t="shared" si="105"/>
        <v>-159.69674257524412</v>
      </c>
      <c r="AC106">
        <f t="shared" si="106"/>
        <v>-19.342865972200798</v>
      </c>
      <c r="AD106">
        <f t="shared" si="107"/>
        <v>-81.737833346092685</v>
      </c>
      <c r="AE106" s="123">
        <f t="shared" si="108"/>
        <v>-62.401473435016435</v>
      </c>
      <c r="AF106" s="123">
        <f t="shared" si="109"/>
        <v>-241.4345759213368</v>
      </c>
      <c r="AI106" s="123">
        <f t="shared" si="110"/>
        <v>0</v>
      </c>
      <c r="AJ106" s="123">
        <f t="shared" si="111"/>
        <v>0</v>
      </c>
      <c r="AK106" s="123">
        <f t="shared" si="112"/>
        <v>0</v>
      </c>
      <c r="AL106" s="123">
        <f t="shared" si="113"/>
        <v>0</v>
      </c>
      <c r="AM106" s="123">
        <f t="shared" si="114"/>
        <v>0</v>
      </c>
      <c r="AN106" s="123">
        <f t="shared" si="115"/>
        <v>0</v>
      </c>
      <c r="AO106" s="123">
        <f t="shared" si="116"/>
        <v>0</v>
      </c>
      <c r="AP106" s="123"/>
      <c r="AQ106" s="123">
        <f t="shared" si="117"/>
        <v>0</v>
      </c>
      <c r="AR106" s="123">
        <f t="shared" si="118"/>
        <v>0</v>
      </c>
      <c r="AS106" s="123">
        <f t="shared" si="119"/>
        <v>0</v>
      </c>
      <c r="AW106" t="str">
        <f t="shared" si="93"/>
        <v>12700</v>
      </c>
      <c r="AX106" t="str">
        <f t="shared" si="94"/>
        <v>75-5.30516587343827i</v>
      </c>
      <c r="AY106" t="str">
        <f t="shared" si="120"/>
        <v>74.5618642100247-5.24305624541675i</v>
      </c>
      <c r="AZ106">
        <f t="shared" si="95"/>
        <v>-36.507643507782682</v>
      </c>
      <c r="BA106">
        <f t="shared" si="96"/>
        <v>-4.0223161195724826</v>
      </c>
      <c r="BB106">
        <f t="shared" si="97"/>
        <v>-2.0223095026039841E-6</v>
      </c>
      <c r="BC106">
        <f t="shared" si="98"/>
        <v>2.2558744673113564E-2</v>
      </c>
      <c r="BD106" s="123">
        <f t="shared" si="121"/>
        <v>-31.675514375279636</v>
      </c>
      <c r="BE106" s="123">
        <f t="shared" si="122"/>
        <v>-155.84815852809169</v>
      </c>
      <c r="BF106">
        <f t="shared" si="123"/>
        <v>-38.481760094715916</v>
      </c>
      <c r="BG106">
        <f t="shared" si="124"/>
        <v>-124.53155670218979</v>
      </c>
      <c r="BH106" s="123">
        <f t="shared" si="125"/>
        <v>-70.157274469995556</v>
      </c>
      <c r="BI106" s="123">
        <f t="shared" si="126"/>
        <v>-280.37971523028148</v>
      </c>
      <c r="BL106" s="123">
        <f t="shared" si="127"/>
        <v>0</v>
      </c>
      <c r="BM106" s="123">
        <f t="shared" si="128"/>
        <v>0</v>
      </c>
      <c r="BN106" s="123">
        <f t="shared" si="129"/>
        <v>0</v>
      </c>
      <c r="BO106" s="123">
        <f t="shared" si="130"/>
        <v>0</v>
      </c>
      <c r="BP106" s="123">
        <f t="shared" si="131"/>
        <v>0</v>
      </c>
      <c r="BQ106" s="123">
        <f t="shared" si="132"/>
        <v>0</v>
      </c>
      <c r="BR106" s="123">
        <f t="shared" si="133"/>
        <v>0</v>
      </c>
      <c r="BS106" s="123"/>
      <c r="BT106" s="123"/>
      <c r="BU106" s="123">
        <f t="shared" si="134"/>
        <v>0</v>
      </c>
      <c r="BV106" s="123">
        <f t="shared" si="135"/>
        <v>0</v>
      </c>
      <c r="BX106" s="123">
        <f t="shared" si="136"/>
        <v>0</v>
      </c>
      <c r="BY106" s="123"/>
    </row>
    <row r="107" spans="5:77" x14ac:dyDescent="0.2">
      <c r="E107">
        <v>96</v>
      </c>
      <c r="F107">
        <v>350000</v>
      </c>
      <c r="G107" s="58">
        <f t="shared" si="79"/>
        <v>-34.213653470024063</v>
      </c>
      <c r="H107" s="58">
        <f t="shared" si="80"/>
        <v>-159.14036662329463</v>
      </c>
      <c r="I107">
        <f t="shared" si="81"/>
        <v>-11.388349434239913</v>
      </c>
      <c r="J107">
        <f t="shared" si="82"/>
        <v>-3.2807895785708787</v>
      </c>
      <c r="K107" t="str">
        <f t="shared" si="83"/>
        <v>6501.21336904241-2042.41599104766i</v>
      </c>
      <c r="L107" t="str">
        <f t="shared" si="84"/>
        <v>3300-45472.8503437566i</v>
      </c>
      <c r="M107" t="str">
        <f t="shared" si="85"/>
        <v>18908.3326281388-35696.7013990933i</v>
      </c>
      <c r="N107">
        <f t="shared" si="99"/>
        <v>-16.490800449672054</v>
      </c>
      <c r="O107">
        <f t="shared" si="86"/>
        <v>38.60724524797191</v>
      </c>
      <c r="P107" t="str">
        <f t="shared" si="87"/>
        <v>-1377.96516193202i</v>
      </c>
      <c r="Q107" t="str">
        <f t="shared" si="88"/>
        <v>3300-9.6750745412248i</v>
      </c>
      <c r="R107" t="str">
        <f t="shared" si="100"/>
        <v>488.937470120549-1172.36840233847i</v>
      </c>
      <c r="S107" t="str">
        <f t="shared" si="89"/>
        <v>516.942357288599-227363.076376661i</v>
      </c>
      <c r="T107" t="str">
        <f t="shared" si="101"/>
        <v>483.94301398659-1167.37831581211i</v>
      </c>
      <c r="U107" t="str">
        <f t="shared" si="102"/>
        <v>0.246153846153846-0.430769230769231i</v>
      </c>
      <c r="V107">
        <f t="shared" si="90"/>
        <v>-4.0549580773566243</v>
      </c>
      <c r="W107">
        <f t="shared" si="91"/>
        <v>-127.73842849930625</v>
      </c>
      <c r="X107">
        <f t="shared" si="103"/>
        <v>-6.0879337398693059</v>
      </c>
      <c r="Y107">
        <f t="shared" si="92"/>
        <v>-60.255131238781914</v>
      </c>
      <c r="AA107" s="123">
        <f t="shared" si="104"/>
        <v>-45.602002904263976</v>
      </c>
      <c r="AB107" s="123">
        <f t="shared" si="105"/>
        <v>-162.4211562018655</v>
      </c>
      <c r="AC107">
        <f t="shared" si="106"/>
        <v>-20.545758527028678</v>
      </c>
      <c r="AD107">
        <f t="shared" si="107"/>
        <v>-89.131183251334335</v>
      </c>
      <c r="AE107" s="123">
        <f t="shared" si="108"/>
        <v>-66.147761431292651</v>
      </c>
      <c r="AF107" s="123">
        <f t="shared" si="109"/>
        <v>-251.55233945319983</v>
      </c>
      <c r="AI107" s="123">
        <f t="shared" si="110"/>
        <v>0</v>
      </c>
      <c r="AJ107" s="123">
        <f t="shared" si="111"/>
        <v>0</v>
      </c>
      <c r="AK107" s="123">
        <f t="shared" si="112"/>
        <v>0</v>
      </c>
      <c r="AL107" s="123">
        <f t="shared" si="113"/>
        <v>0</v>
      </c>
      <c r="AM107" s="123">
        <f t="shared" si="114"/>
        <v>0</v>
      </c>
      <c r="AN107" s="123">
        <f t="shared" si="115"/>
        <v>0</v>
      </c>
      <c r="AO107" s="123">
        <f t="shared" si="116"/>
        <v>0</v>
      </c>
      <c r="AP107" s="123"/>
      <c r="AQ107" s="123">
        <f t="shared" si="117"/>
        <v>0</v>
      </c>
      <c r="AR107" s="123">
        <f t="shared" si="118"/>
        <v>0</v>
      </c>
      <c r="AS107" s="123">
        <f t="shared" si="119"/>
        <v>0</v>
      </c>
      <c r="AW107" t="str">
        <f t="shared" si="93"/>
        <v>12700</v>
      </c>
      <c r="AX107" t="str">
        <f t="shared" si="94"/>
        <v>75-4.54728503437566i</v>
      </c>
      <c r="AY107" t="str">
        <f t="shared" si="120"/>
        <v>74.5612865533546-4.49404841597518i</v>
      </c>
      <c r="AZ107">
        <f t="shared" si="95"/>
        <v>-36.513383500662194</v>
      </c>
      <c r="BA107">
        <f t="shared" si="96"/>
        <v>-3.4492287088312614</v>
      </c>
      <c r="BB107">
        <f t="shared" si="97"/>
        <v>-1.4857785823816996E-6</v>
      </c>
      <c r="BC107">
        <f t="shared" si="98"/>
        <v>1.9336068722832351E-2</v>
      </c>
      <c r="BD107" s="123">
        <f t="shared" si="121"/>
        <v>-34.213654955802646</v>
      </c>
      <c r="BE107" s="123">
        <f t="shared" si="122"/>
        <v>-159.1210305545718</v>
      </c>
      <c r="BF107">
        <f t="shared" si="123"/>
        <v>-40.568341578018817</v>
      </c>
      <c r="BG107">
        <f t="shared" si="124"/>
        <v>-131.18765720813752</v>
      </c>
      <c r="BH107" s="123">
        <f t="shared" si="125"/>
        <v>-74.781996533821456</v>
      </c>
      <c r="BI107" s="123">
        <f t="shared" si="126"/>
        <v>-290.30868776270933</v>
      </c>
      <c r="BL107" s="123">
        <f t="shared" si="127"/>
        <v>0</v>
      </c>
      <c r="BM107" s="123">
        <f t="shared" si="128"/>
        <v>0</v>
      </c>
      <c r="BN107" s="123">
        <f t="shared" si="129"/>
        <v>0</v>
      </c>
      <c r="BO107" s="123">
        <f t="shared" si="130"/>
        <v>0</v>
      </c>
      <c r="BP107" s="123">
        <f t="shared" si="131"/>
        <v>0</v>
      </c>
      <c r="BQ107" s="123">
        <f t="shared" si="132"/>
        <v>0</v>
      </c>
      <c r="BR107" s="123">
        <f t="shared" si="133"/>
        <v>0</v>
      </c>
      <c r="BS107" s="123"/>
      <c r="BT107" s="123"/>
      <c r="BU107" s="123">
        <f t="shared" si="134"/>
        <v>0</v>
      </c>
      <c r="BV107" s="123">
        <f t="shared" si="135"/>
        <v>0</v>
      </c>
      <c r="BX107" s="123">
        <f t="shared" si="136"/>
        <v>0</v>
      </c>
      <c r="BY107" s="123"/>
    </row>
    <row r="108" spans="5:77" x14ac:dyDescent="0.2">
      <c r="E108">
        <v>97</v>
      </c>
      <c r="F108">
        <v>400000</v>
      </c>
      <c r="G108" s="58">
        <f t="shared" ref="G108:G138" si="137">20*LOG(IMABS(IMDIV(1,IMSUM(0,IMSUM(COMPLEX(0,2*PI*F108/Wsh),COMPLEX(1-(F108/fsw_sh)^2,0))))))</f>
        <v>-36.440408864638364</v>
      </c>
      <c r="H108" s="58">
        <f t="shared" ref="H108:H138" si="138">180/PI*IMARGUMENT(IMDIV(1,IMSUM(0,IMSUM(COMPLEX(0,2*PI*F108/Wsh),COMPLEX(1-(F108/fsw_sh)^2,0)))))</f>
        <v>-161.64396824499633</v>
      </c>
      <c r="I108">
        <f t="shared" ref="I108:I138" si="139">20*LOG(IMABS(IMPRODUCT(A_COMP2VOUT,IMDIV(COMPLEX(1, 2*PI*F108/Wesr_zero),COMPLEX(1, 2*PI*F108/Wload_pole)))))</f>
        <v>-11.391763098838565</v>
      </c>
      <c r="J108">
        <f t="shared" ref="J108:J138" si="140">180/PI*(IMARGUMENT(IMPRODUCT(A_COMP2VOUT,IMDIV(COMPLEX(1, 2*PI*F108/Wesr_zero),COMPLEX(1, 2*PI*F108/Wload_pole)))))</f>
        <v>-2.8714524040034863</v>
      </c>
      <c r="K108" t="str">
        <f t="shared" ref="K108:K138" si="141">IMDIV(IMPRODUCT(COMPLEX(R.fbb,0),IMDIV(COMPLEX(1,0),COMPLEX(0,2*PI*F108*C.fbb))),IMSUM(COMPLEX(R.fbb,0),IMDIV(COMPLEX(1,0),COMPLEX(0,2*PI*F108*C.fbb))) )</f>
        <v>6327.22099933775-2271.71964271445i</v>
      </c>
      <c r="L108" t="str">
        <f t="shared" ref="L108:L138" si="142">IMSUM(COMPLEX(R.ff,0),IMDIV(COMPLEX(1,0),COMPLEX(0,2*PI*F108*C.ff)))</f>
        <v>3300-39788.744050787i</v>
      </c>
      <c r="M108" t="str">
        <f t="shared" ref="M108:M138" si="143">IMDIV(IMPRODUCT(COMPLEX(R.fbt,0),L108),IMSUM(COMPLEX(R.fbt,0),L108))</f>
        <v>15701.2305424836-32469.9144408656i</v>
      </c>
      <c r="N108">
        <f t="shared" si="99"/>
        <v>-15.733754011321102</v>
      </c>
      <c r="O108">
        <f t="shared" ref="O108:O138" si="144">180/PI*IMARGUMENT((IMDIV(K108,IMSUM(K108,M108))))</f>
        <v>37.872535535636374</v>
      </c>
      <c r="P108" t="str">
        <f t="shared" ref="P108:P138" si="145">IMDIV(COMPLEX(1,0),COMPLEX(0,2*PI*F108*C.hf))</f>
        <v>-1205.71951669051i</v>
      </c>
      <c r="Q108" t="str">
        <f t="shared" ref="Q108:Q138" si="146">IMSUM(R.comp,0,IMDIV(COMPLEX(1,0),COMPLEX(0,2*PI*F108*C.comp)))</f>
        <v>3300-8.4656902235717i</v>
      </c>
      <c r="R108" t="str">
        <f t="shared" si="100"/>
        <v>388.006404481938-1062.95841471782i</v>
      </c>
      <c r="S108" t="str">
        <f t="shared" ref="S108:S138" si="147">IMDIV(IMPRODUCT(COMPLEX(R.eaout,0),IMDIV(1,COMPLEX(0,2*PI*F108*C.eaout))),IMSUM(COMPLEX(R.eaout,0),IMDIV(1,COMPLEX(0,2*PI*F108*C.eaout))))</f>
        <v>395.784471825078-198942.932865583i</v>
      </c>
      <c r="T108" t="str">
        <f t="shared" si="101"/>
        <v>383.901430931264-1058.04581411377i</v>
      </c>
      <c r="U108" t="str">
        <f t="shared" si="102"/>
        <v>0.2-0.4i</v>
      </c>
      <c r="V108">
        <f t="shared" ref="V108:V138" si="148">20*LOG(IMABS(IMPRODUCT(IMPRODUCT(COMPLEX(GM,0),T108),U108)))</f>
        <v>-5.962478070348225</v>
      </c>
      <c r="W108">
        <f t="shared" ref="W108:W138" si="149">180/PI*IMARGUMENT((IMPRODUCT(IMPRODUCT(COMPLEX(GM,0),T108),U108)))</f>
        <v>-133.49217560365938</v>
      </c>
      <c r="X108">
        <f t="shared" si="103"/>
        <v>-6.9897000433601875</v>
      </c>
      <c r="Y108">
        <f t="shared" ref="Y108:Y138" si="150">180/PI*IMARGUMENT((U108))</f>
        <v>-63.434962020191122</v>
      </c>
      <c r="AA108" s="123">
        <f t="shared" si="104"/>
        <v>-47.832171963476931</v>
      </c>
      <c r="AB108" s="123">
        <f t="shared" si="105"/>
        <v>-164.51542064899982</v>
      </c>
      <c r="AC108">
        <f t="shared" si="106"/>
        <v>-21.696232081669326</v>
      </c>
      <c r="AD108">
        <f t="shared" si="107"/>
        <v>-95.619640068023003</v>
      </c>
      <c r="AE108" s="123">
        <f t="shared" si="108"/>
        <v>-69.52840404514626</v>
      </c>
      <c r="AF108" s="123">
        <f t="shared" si="109"/>
        <v>-260.13506071702284</v>
      </c>
      <c r="AI108" s="123">
        <f t="shared" si="110"/>
        <v>0</v>
      </c>
      <c r="AJ108" s="123">
        <f t="shared" si="111"/>
        <v>0</v>
      </c>
      <c r="AK108" s="123">
        <f t="shared" si="112"/>
        <v>0</v>
      </c>
      <c r="AL108" s="123">
        <f t="shared" si="113"/>
        <v>0</v>
      </c>
      <c r="AM108" s="123">
        <f t="shared" si="114"/>
        <v>0</v>
      </c>
      <c r="AN108" s="123">
        <f t="shared" si="115"/>
        <v>0</v>
      </c>
      <c r="AO108" s="123">
        <f t="shared" si="116"/>
        <v>0</v>
      </c>
      <c r="AP108" s="123"/>
      <c r="AQ108" s="123">
        <f t="shared" si="117"/>
        <v>0</v>
      </c>
      <c r="AR108" s="123">
        <f t="shared" si="118"/>
        <v>0</v>
      </c>
      <c r="AS108" s="123">
        <f t="shared" si="119"/>
        <v>0</v>
      </c>
      <c r="AW108" t="str">
        <f t="shared" ref="AW108:AW138" si="151">COMPLEX(R.imon,0)</f>
        <v>12700</v>
      </c>
      <c r="AX108" t="str">
        <f t="shared" ref="AX108:AX138" si="152">IMSUM(R.imonhf,0,IMDIV(COMPLEX(1,0),COMPLEX(0,2*PI*F108*C.imon)))</f>
        <v>75-3.9788744050787i</v>
      </c>
      <c r="AY108" t="str">
        <f t="shared" si="120"/>
        <v>74.5609116319299-3.93229248075052i</v>
      </c>
      <c r="AZ108">
        <f t="shared" ref="AZ108:AZ138" si="153">20*LOG(IMABS(IMDIV(IMPRODUCT(IMPRODUCT(COMPLEX(-1,0),COMPLEX(GM.imon,0)),AY108),COMPLEX(A.s_typ,0))))</f>
        <v>-36.517113041052738</v>
      </c>
      <c r="BA108">
        <f t="shared" ref="BA108:BA138" si="154">180/PI*(IMARGUMENT(IMDIV(IMPRODUCT(IMPRODUCT(COMPLEX(1,0),COMPLEX(GM.imon,0)),AY108),COMPLEX(A.s_typ,0))))</f>
        <v>-3.0189446907228565</v>
      </c>
      <c r="BB108">
        <f t="shared" ref="BB108:BB138" si="155">20*LOG(IMABS(IMPRODUCT(A_COMP2CS,IMPRODUCT(IMDIV(COMPLEX(1, 2*PI*F108/Wesr_zero),COMPLEX(1, 2*PI*F108/Wload_pole)),IMDIV(COMPLEX(1, 2*PI*F108/WloadZ),COMPLEX(1, 2*PI*F108/Wesr_zero))))))</f>
        <v>-1.1375493270587792E-6</v>
      </c>
      <c r="BC108">
        <f t="shared" ref="BC108:BC138" si="156">180/PI*(IMARGUMENT(IMPRODUCT(A_COMP2CS,IMPRODUCT(IMDIV(COMPLEX(1, 2*PI*F108/Wesr_zero),COMPLEX(1, 2*PI*F108/Wload_pole)),IMDIV(COMPLEX(1, 2*PI*F108/WloadZ),COMPLEX(1, 2*PI*F108/Wesr_zero))))))</f>
        <v>1.6919061188891214E-2</v>
      </c>
      <c r="BD108" s="123">
        <f t="shared" si="121"/>
        <v>-36.44041000218769</v>
      </c>
      <c r="BE108" s="123">
        <f t="shared" si="122"/>
        <v>-161.62704918380743</v>
      </c>
      <c r="BF108">
        <f t="shared" si="123"/>
        <v>-42.479591111400964</v>
      </c>
      <c r="BG108">
        <f t="shared" si="124"/>
        <v>-136.51112029438224</v>
      </c>
      <c r="BH108" s="123">
        <f t="shared" si="125"/>
        <v>-78.920001113588654</v>
      </c>
      <c r="BI108" s="123">
        <f t="shared" si="126"/>
        <v>-298.13816947818964</v>
      </c>
      <c r="BL108" s="123">
        <f t="shared" si="127"/>
        <v>0</v>
      </c>
      <c r="BM108" s="123">
        <f t="shared" si="128"/>
        <v>0</v>
      </c>
      <c r="BN108" s="123">
        <f t="shared" si="129"/>
        <v>0</v>
      </c>
      <c r="BO108" s="123">
        <f t="shared" si="130"/>
        <v>0</v>
      </c>
      <c r="BP108" s="123">
        <f t="shared" si="131"/>
        <v>0</v>
      </c>
      <c r="BQ108" s="123">
        <f t="shared" si="132"/>
        <v>0</v>
      </c>
      <c r="BR108" s="123">
        <f t="shared" si="133"/>
        <v>0</v>
      </c>
      <c r="BS108" s="123"/>
      <c r="BT108" s="123"/>
      <c r="BU108" s="123">
        <f t="shared" si="134"/>
        <v>0</v>
      </c>
      <c r="BV108" s="123">
        <f t="shared" si="135"/>
        <v>0</v>
      </c>
      <c r="BX108" s="123">
        <f t="shared" si="136"/>
        <v>0</v>
      </c>
      <c r="BY108" s="123"/>
    </row>
    <row r="109" spans="5:77" x14ac:dyDescent="0.2">
      <c r="E109">
        <v>98</v>
      </c>
      <c r="F109">
        <v>450000</v>
      </c>
      <c r="G109" s="58">
        <f t="shared" si="137"/>
        <v>-38.421742168810738</v>
      </c>
      <c r="H109" s="58">
        <f t="shared" si="138"/>
        <v>-163.61892043033842</v>
      </c>
      <c r="I109">
        <f t="shared" si="139"/>
        <v>-11.394105047856847</v>
      </c>
      <c r="J109">
        <f t="shared" si="140"/>
        <v>-2.5528665928387948</v>
      </c>
      <c r="K109" t="str">
        <f t="shared" si="141"/>
        <v>6140.95675922977-2480.44893777543i</v>
      </c>
      <c r="L109" t="str">
        <f t="shared" si="142"/>
        <v>3300-35367.7724895884i</v>
      </c>
      <c r="M109" t="str">
        <f t="shared" si="143"/>
        <v>13351.7876977613-29666.5465569713i</v>
      </c>
      <c r="N109">
        <f t="shared" si="99"/>
        <v>-15.081559789062929</v>
      </c>
      <c r="O109">
        <f t="shared" si="144"/>
        <v>36.77422355803138</v>
      </c>
      <c r="P109" t="str">
        <f t="shared" si="145"/>
        <v>-1071.75068150268i</v>
      </c>
      <c r="Q109" t="str">
        <f t="shared" si="146"/>
        <v>3300-7.52505797650818i</v>
      </c>
      <c r="R109" t="str">
        <f t="shared" si="100"/>
        <v>314.441721860579-968.911493052925i</v>
      </c>
      <c r="S109" t="str">
        <f t="shared" si="147"/>
        <v>312.718854784942-176838.309439477i</v>
      </c>
      <c r="T109" t="str">
        <f t="shared" si="101"/>
        <v>311.031498681318-964.175720017146i</v>
      </c>
      <c r="U109" t="str">
        <f t="shared" si="102"/>
        <v>0.164948453608247-0.371134020618557i</v>
      </c>
      <c r="V109">
        <f t="shared" si="148"/>
        <v>-7.7134551203855253</v>
      </c>
      <c r="W109">
        <f t="shared" si="149"/>
        <v>-138.15846248466568</v>
      </c>
      <c r="X109">
        <f t="shared" si="103"/>
        <v>-7.8265175161032001</v>
      </c>
      <c r="Y109">
        <f t="shared" si="150"/>
        <v>-66.037524764138809</v>
      </c>
      <c r="AA109" s="123">
        <f t="shared" si="104"/>
        <v>-49.815847216667585</v>
      </c>
      <c r="AB109" s="123">
        <f t="shared" si="105"/>
        <v>-166.17178702317722</v>
      </c>
      <c r="AC109">
        <f t="shared" si="106"/>
        <v>-22.795014909448454</v>
      </c>
      <c r="AD109">
        <f t="shared" si="107"/>
        <v>-101.3842389266343</v>
      </c>
      <c r="AE109" s="123">
        <f t="shared" si="108"/>
        <v>-72.610862126116047</v>
      </c>
      <c r="AF109" s="123">
        <f t="shared" si="109"/>
        <v>-267.5560259498115</v>
      </c>
      <c r="AI109" s="123">
        <f t="shared" si="110"/>
        <v>0</v>
      </c>
      <c r="AJ109" s="123">
        <f t="shared" si="111"/>
        <v>0</v>
      </c>
      <c r="AK109" s="123">
        <f t="shared" si="112"/>
        <v>0</v>
      </c>
      <c r="AL109" s="123">
        <f t="shared" si="113"/>
        <v>0</v>
      </c>
      <c r="AM109" s="123">
        <f t="shared" si="114"/>
        <v>0</v>
      </c>
      <c r="AN109" s="123">
        <f t="shared" si="115"/>
        <v>0</v>
      </c>
      <c r="AO109" s="123">
        <f t="shared" si="116"/>
        <v>0</v>
      </c>
      <c r="AP109" s="123"/>
      <c r="AQ109" s="123">
        <f t="shared" si="117"/>
        <v>0</v>
      </c>
      <c r="AR109" s="123">
        <f t="shared" si="118"/>
        <v>0</v>
      </c>
      <c r="AS109" s="123">
        <f t="shared" si="119"/>
        <v>0</v>
      </c>
      <c r="AW109" t="str">
        <f t="shared" si="151"/>
        <v>12700</v>
      </c>
      <c r="AX109" t="str">
        <f t="shared" si="152"/>
        <v>75-3.53677724895884i</v>
      </c>
      <c r="AY109" t="str">
        <f t="shared" si="120"/>
        <v>74.5606545870226-3.49537116516371i</v>
      </c>
      <c r="AZ109">
        <f t="shared" si="153"/>
        <v>-36.519671853677629</v>
      </c>
      <c r="BA109">
        <f t="shared" si="154"/>
        <v>-2.6840367854823373</v>
      </c>
      <c r="BB109">
        <f t="shared" si="155"/>
        <v>-8.9880438361675835E-7</v>
      </c>
      <c r="BC109">
        <f t="shared" si="156"/>
        <v>1.5039166145015546E-2</v>
      </c>
      <c r="BD109" s="123">
        <f t="shared" si="121"/>
        <v>-38.421743067615118</v>
      </c>
      <c r="BE109" s="123">
        <f t="shared" si="122"/>
        <v>-163.6038812641934</v>
      </c>
      <c r="BF109">
        <f t="shared" si="123"/>
        <v>-44.233126974063154</v>
      </c>
      <c r="BG109">
        <f t="shared" si="124"/>
        <v>-140.84249927014801</v>
      </c>
      <c r="BH109" s="123">
        <f t="shared" si="125"/>
        <v>-82.654870041678265</v>
      </c>
      <c r="BI109" s="123">
        <f t="shared" si="126"/>
        <v>-304.44638053434142</v>
      </c>
      <c r="BL109" s="123">
        <f t="shared" si="127"/>
        <v>0</v>
      </c>
      <c r="BM109" s="123">
        <f t="shared" si="128"/>
        <v>0</v>
      </c>
      <c r="BN109" s="123">
        <f t="shared" si="129"/>
        <v>0</v>
      </c>
      <c r="BO109" s="123">
        <f t="shared" si="130"/>
        <v>0</v>
      </c>
      <c r="BP109" s="123">
        <f t="shared" si="131"/>
        <v>0</v>
      </c>
      <c r="BQ109" s="123">
        <f t="shared" si="132"/>
        <v>0</v>
      </c>
      <c r="BR109" s="123">
        <f t="shared" si="133"/>
        <v>0</v>
      </c>
      <c r="BS109" s="123"/>
      <c r="BT109" s="123"/>
      <c r="BU109" s="123">
        <f t="shared" si="134"/>
        <v>0</v>
      </c>
      <c r="BV109" s="123">
        <f t="shared" si="135"/>
        <v>0</v>
      </c>
      <c r="BX109" s="123">
        <f t="shared" si="136"/>
        <v>0</v>
      </c>
      <c r="BY109" s="123"/>
    </row>
    <row r="110" spans="5:77" x14ac:dyDescent="0.2">
      <c r="E110">
        <v>99</v>
      </c>
      <c r="F110">
        <v>500000</v>
      </c>
      <c r="G110" s="58">
        <f t="shared" si="137"/>
        <v>-40.205168769422251</v>
      </c>
      <c r="H110" s="58">
        <f t="shared" si="138"/>
        <v>-165.21482631786927</v>
      </c>
      <c r="I110">
        <f t="shared" si="139"/>
        <v>-11.395781005516977</v>
      </c>
      <c r="J110">
        <f t="shared" si="140"/>
        <v>-2.2978790999646974</v>
      </c>
      <c r="K110" t="str">
        <f t="shared" si="141"/>
        <v>5945.34357714863-2668.26340274593i</v>
      </c>
      <c r="L110" t="str">
        <f t="shared" si="142"/>
        <v>3300-31830.9952406296i</v>
      </c>
      <c r="M110" t="str">
        <f t="shared" si="143"/>
        <v>11589.2708580225-27242.9961136387i</v>
      </c>
      <c r="N110">
        <f t="shared" si="99"/>
        <v>-14.519083480553881</v>
      </c>
      <c r="O110">
        <f t="shared" si="144"/>
        <v>35.449782968316327</v>
      </c>
      <c r="P110" t="str">
        <f t="shared" si="145"/>
        <v>-964.575613352412i</v>
      </c>
      <c r="Q110" t="str">
        <f t="shared" si="146"/>
        <v>3300-6.77255217885736i</v>
      </c>
      <c r="R110" t="str">
        <f t="shared" si="100"/>
        <v>259.461334163554-888.20370699906i</v>
      </c>
      <c r="S110" t="str">
        <f t="shared" si="147"/>
        <v>253.302422879446-159154.573059737i</v>
      </c>
      <c r="T110" t="str">
        <f t="shared" si="101"/>
        <v>256.59589756592-883.68582154466i</v>
      </c>
      <c r="U110" t="str">
        <f t="shared" si="102"/>
        <v>0.137931034482759-0.344827586206897i</v>
      </c>
      <c r="V110">
        <f t="shared" si="148"/>
        <v>-9.3258686040892904</v>
      </c>
      <c r="W110">
        <f t="shared" si="149"/>
        <v>-142.00690537951471</v>
      </c>
      <c r="X110">
        <f t="shared" si="103"/>
        <v>-8.6033800657099242</v>
      </c>
      <c r="Y110">
        <f t="shared" si="150"/>
        <v>-68.198604701964996</v>
      </c>
      <c r="AA110" s="123">
        <f t="shared" si="104"/>
        <v>-51.600949774939224</v>
      </c>
      <c r="AB110" s="123">
        <f t="shared" si="105"/>
        <v>-167.51270541783396</v>
      </c>
      <c r="AC110">
        <f t="shared" si="106"/>
        <v>-23.844952084643172</v>
      </c>
      <c r="AD110">
        <f t="shared" si="107"/>
        <v>-106.55712241119838</v>
      </c>
      <c r="AE110" s="123">
        <f t="shared" si="108"/>
        <v>-75.445901859582392</v>
      </c>
      <c r="AF110" s="123">
        <f t="shared" si="109"/>
        <v>-274.06982782903231</v>
      </c>
      <c r="AI110" s="123">
        <f t="shared" si="110"/>
        <v>0</v>
      </c>
      <c r="AJ110" s="123">
        <f t="shared" si="111"/>
        <v>0</v>
      </c>
      <c r="AK110" s="123">
        <f t="shared" si="112"/>
        <v>0</v>
      </c>
      <c r="AL110" s="123">
        <f t="shared" si="113"/>
        <v>0</v>
      </c>
      <c r="AM110" s="123">
        <f t="shared" si="114"/>
        <v>0</v>
      </c>
      <c r="AN110" s="123">
        <f t="shared" si="115"/>
        <v>0</v>
      </c>
      <c r="AO110" s="123">
        <f t="shared" si="116"/>
        <v>0</v>
      </c>
      <c r="AP110" s="123"/>
      <c r="AQ110" s="123">
        <f t="shared" si="117"/>
        <v>0</v>
      </c>
      <c r="AR110" s="123">
        <f t="shared" si="118"/>
        <v>0</v>
      </c>
      <c r="AS110" s="123">
        <f t="shared" si="119"/>
        <v>0</v>
      </c>
      <c r="AW110" t="str">
        <f t="shared" si="151"/>
        <v>12700</v>
      </c>
      <c r="AX110" t="str">
        <f t="shared" si="152"/>
        <v>75-3.18309952406296i</v>
      </c>
      <c r="AY110" t="str">
        <f t="shared" si="120"/>
        <v>74.560470724306-3.14583409445974i</v>
      </c>
      <c r="AZ110">
        <f t="shared" si="153"/>
        <v>-36.521503082683161</v>
      </c>
      <c r="BA110">
        <f t="shared" si="154"/>
        <v>-2.4159747628871018</v>
      </c>
      <c r="BB110">
        <f t="shared" si="155"/>
        <v>-7.2803165996701349E-7</v>
      </c>
      <c r="BC110">
        <f t="shared" si="156"/>
        <v>1.3535249944959629E-2</v>
      </c>
      <c r="BD110" s="123">
        <f t="shared" si="121"/>
        <v>-40.205169497453909</v>
      </c>
      <c r="BE110" s="123">
        <f t="shared" si="122"/>
        <v>-165.2012910679243</v>
      </c>
      <c r="BF110">
        <f t="shared" si="123"/>
        <v>-45.847371686772448</v>
      </c>
      <c r="BG110">
        <f t="shared" si="124"/>
        <v>-144.42288014240179</v>
      </c>
      <c r="BH110" s="123">
        <f t="shared" si="125"/>
        <v>-86.052541184226357</v>
      </c>
      <c r="BI110" s="123">
        <f t="shared" si="126"/>
        <v>-309.6241712103261</v>
      </c>
      <c r="BL110" s="123">
        <f t="shared" si="127"/>
        <v>0</v>
      </c>
      <c r="BM110" s="123">
        <f t="shared" si="128"/>
        <v>0</v>
      </c>
      <c r="BN110" s="123">
        <f t="shared" si="129"/>
        <v>0</v>
      </c>
      <c r="BO110" s="123">
        <f t="shared" si="130"/>
        <v>0</v>
      </c>
      <c r="BP110" s="123">
        <f t="shared" si="131"/>
        <v>0</v>
      </c>
      <c r="BQ110" s="123">
        <f t="shared" si="132"/>
        <v>0</v>
      </c>
      <c r="BR110" s="123">
        <f t="shared" si="133"/>
        <v>0</v>
      </c>
      <c r="BS110" s="123"/>
      <c r="BT110" s="123"/>
      <c r="BU110" s="123">
        <f t="shared" si="134"/>
        <v>0</v>
      </c>
      <c r="BV110" s="123">
        <f t="shared" si="135"/>
        <v>0</v>
      </c>
      <c r="BX110" s="123">
        <f t="shared" si="136"/>
        <v>0</v>
      </c>
      <c r="BY110" s="123"/>
    </row>
    <row r="111" spans="5:77" x14ac:dyDescent="0.2">
      <c r="E111">
        <v>100</v>
      </c>
      <c r="F111">
        <v>550000</v>
      </c>
      <c r="G111" s="58">
        <f t="shared" si="137"/>
        <v>-41.825896462043239</v>
      </c>
      <c r="H111" s="58">
        <f t="shared" si="138"/>
        <v>-166.53024238686055</v>
      </c>
      <c r="I111">
        <f t="shared" si="139"/>
        <v>-11.397021441185109</v>
      </c>
      <c r="J111">
        <f t="shared" si="140"/>
        <v>-2.0891823077260772</v>
      </c>
      <c r="K111" t="str">
        <f t="shared" si="141"/>
        <v>5743.14524358136-2835.26872389722i</v>
      </c>
      <c r="L111" t="str">
        <f t="shared" si="142"/>
        <v>3300-28937.2684005724i</v>
      </c>
      <c r="M111" t="str">
        <f t="shared" si="143"/>
        <v>10238.3502193896-25144.791401546i</v>
      </c>
      <c r="N111">
        <f t="shared" si="99"/>
        <v>-14.032977278429708</v>
      </c>
      <c r="O111">
        <f t="shared" si="144"/>
        <v>33.991528922458457</v>
      </c>
      <c r="P111" t="str">
        <f t="shared" si="145"/>
        <v>-876.886921229465i</v>
      </c>
      <c r="Q111" t="str">
        <f t="shared" si="146"/>
        <v>3300-6.15686561714305i</v>
      </c>
      <c r="R111" t="str">
        <f t="shared" si="100"/>
        <v>217.439762546479-818.702426887018i</v>
      </c>
      <c r="S111" t="str">
        <f t="shared" si="147"/>
        <v>209.340937384493-144686.039115117i</v>
      </c>
      <c r="T111" t="str">
        <f t="shared" si="101"/>
        <v>215.005432463349-814.413683221774i</v>
      </c>
      <c r="U111" t="str">
        <f t="shared" si="102"/>
        <v>0.116788321167883-0.321167883211679i</v>
      </c>
      <c r="V111">
        <f t="shared" si="148"/>
        <v>-10.816500312076451</v>
      </c>
      <c r="W111">
        <f t="shared" si="149"/>
        <v>-145.22823160266285</v>
      </c>
      <c r="X111">
        <f t="shared" si="103"/>
        <v>-9.3260058450048167</v>
      </c>
      <c r="Y111">
        <f t="shared" si="150"/>
        <v>-70.016908044704167</v>
      </c>
      <c r="AA111" s="123">
        <f t="shared" si="104"/>
        <v>-53.22291790322835</v>
      </c>
      <c r="AB111" s="123">
        <f t="shared" si="105"/>
        <v>-168.61942469458663</v>
      </c>
      <c r="AC111">
        <f t="shared" si="106"/>
        <v>-24.849477590506162</v>
      </c>
      <c r="AD111">
        <f t="shared" si="107"/>
        <v>-111.23670268020439</v>
      </c>
      <c r="AE111" s="123">
        <f t="shared" si="108"/>
        <v>-78.072395493734518</v>
      </c>
      <c r="AF111" s="123">
        <f t="shared" si="109"/>
        <v>-279.85612737479101</v>
      </c>
      <c r="AI111" s="123">
        <f t="shared" si="110"/>
        <v>0</v>
      </c>
      <c r="AJ111" s="123">
        <f t="shared" si="111"/>
        <v>0</v>
      </c>
      <c r="AK111" s="123">
        <f t="shared" si="112"/>
        <v>0</v>
      </c>
      <c r="AL111" s="123">
        <f t="shared" si="113"/>
        <v>0</v>
      </c>
      <c r="AM111" s="123">
        <f t="shared" si="114"/>
        <v>0</v>
      </c>
      <c r="AN111" s="123">
        <f t="shared" si="115"/>
        <v>0</v>
      </c>
      <c r="AO111" s="123">
        <f t="shared" si="116"/>
        <v>0</v>
      </c>
      <c r="AP111" s="123"/>
      <c r="AQ111" s="123">
        <f t="shared" si="117"/>
        <v>0</v>
      </c>
      <c r="AR111" s="123">
        <f t="shared" si="118"/>
        <v>0</v>
      </c>
      <c r="AS111" s="123">
        <f t="shared" si="119"/>
        <v>0</v>
      </c>
      <c r="AW111" t="str">
        <f t="shared" si="151"/>
        <v>12700</v>
      </c>
      <c r="AX111" t="str">
        <f t="shared" si="152"/>
        <v>75-2.89372684005724i</v>
      </c>
      <c r="AY111" t="str">
        <f t="shared" si="120"/>
        <v>74.5603346866857-2.85984920759612i</v>
      </c>
      <c r="AZ111">
        <f t="shared" si="153"/>
        <v>-36.522858482257512</v>
      </c>
      <c r="BA111">
        <f t="shared" si="154"/>
        <v>-2.1965706008941268</v>
      </c>
      <c r="BB111">
        <f t="shared" si="155"/>
        <v>-6.0167908177980365E-7</v>
      </c>
      <c r="BC111">
        <f t="shared" si="156"/>
        <v>1.2304772956015191E-2</v>
      </c>
      <c r="BD111" s="123">
        <f t="shared" si="121"/>
        <v>-41.825897063722323</v>
      </c>
      <c r="BE111" s="123">
        <f t="shared" si="122"/>
        <v>-166.51793761390454</v>
      </c>
      <c r="BF111">
        <f t="shared" si="123"/>
        <v>-47.339358794333961</v>
      </c>
      <c r="BG111">
        <f t="shared" si="124"/>
        <v>-147.42480220355696</v>
      </c>
      <c r="BH111" s="123">
        <f t="shared" si="125"/>
        <v>-89.165255858056284</v>
      </c>
      <c r="BI111" s="123">
        <f t="shared" si="126"/>
        <v>-313.94273981746153</v>
      </c>
      <c r="BL111" s="123">
        <f t="shared" si="127"/>
        <v>0</v>
      </c>
      <c r="BM111" s="123">
        <f t="shared" si="128"/>
        <v>0</v>
      </c>
      <c r="BN111" s="123">
        <f t="shared" si="129"/>
        <v>0</v>
      </c>
      <c r="BO111" s="123">
        <f t="shared" si="130"/>
        <v>0</v>
      </c>
      <c r="BP111" s="123">
        <f t="shared" si="131"/>
        <v>0</v>
      </c>
      <c r="BQ111" s="123">
        <f t="shared" si="132"/>
        <v>0</v>
      </c>
      <c r="BR111" s="123">
        <f t="shared" si="133"/>
        <v>0</v>
      </c>
      <c r="BS111" s="123"/>
      <c r="BT111" s="123"/>
      <c r="BU111" s="123">
        <f t="shared" si="134"/>
        <v>0</v>
      </c>
      <c r="BV111" s="123">
        <f t="shared" si="135"/>
        <v>0</v>
      </c>
      <c r="BX111" s="123">
        <f t="shared" si="136"/>
        <v>0</v>
      </c>
      <c r="BY111" s="123"/>
    </row>
    <row r="112" spans="5:77" x14ac:dyDescent="0.2">
      <c r="E112">
        <v>101</v>
      </c>
      <c r="F112">
        <v>600000</v>
      </c>
      <c r="G112" s="58">
        <f t="shared" si="137"/>
        <v>-43.31066098412969</v>
      </c>
      <c r="H112" s="58">
        <f t="shared" si="138"/>
        <v>-167.63255768302341</v>
      </c>
      <c r="I112">
        <f t="shared" si="139"/>
        <v>-11.397965131572896</v>
      </c>
      <c r="J112">
        <f t="shared" si="140"/>
        <v>-1.9152241762533939</v>
      </c>
      <c r="K112" t="str">
        <f t="shared" si="141"/>
        <v>5536.90371109546-2981.94726917961i</v>
      </c>
      <c r="L112" t="str">
        <f t="shared" si="142"/>
        <v>3300-26525.8293671913i</v>
      </c>
      <c r="M112" t="str">
        <f t="shared" si="143"/>
        <v>9182.8980604895-23320.4157760917i</v>
      </c>
      <c r="N112">
        <f t="shared" si="99"/>
        <v>-13.611797177226599</v>
      </c>
      <c r="O112">
        <f t="shared" si="144"/>
        <v>32.461904393565888</v>
      </c>
      <c r="P112" t="str">
        <f t="shared" si="145"/>
        <v>-803.81301112701i</v>
      </c>
      <c r="Q112" t="str">
        <f t="shared" si="146"/>
        <v>3300-5.64379348238113i</v>
      </c>
      <c r="R112" t="str">
        <f t="shared" si="100"/>
        <v>184.68081325451-758.512665378627i</v>
      </c>
      <c r="S112" t="str">
        <f t="shared" si="147"/>
        <v>175.904596479524-132628.913535191i</v>
      </c>
      <c r="T112" t="str">
        <f t="shared" si="101"/>
        <v>182.591408523701-754.449404807111i</v>
      </c>
      <c r="U112" t="str">
        <f t="shared" si="102"/>
        <v>0.1-0.3i</v>
      </c>
      <c r="V112">
        <f t="shared" si="148"/>
        <v>-12.20018782555452</v>
      </c>
      <c r="W112">
        <f t="shared" si="149"/>
        <v>-147.95999619055979</v>
      </c>
      <c r="X112">
        <f t="shared" si="103"/>
        <v>-10</v>
      </c>
      <c r="Y112">
        <f t="shared" si="150"/>
        <v>-71.565066065767226</v>
      </c>
      <c r="AA112" s="123">
        <f t="shared" si="104"/>
        <v>-54.708626115702586</v>
      </c>
      <c r="AB112" s="123">
        <f t="shared" si="105"/>
        <v>-169.5477818592768</v>
      </c>
      <c r="AC112">
        <f t="shared" si="106"/>
        <v>-25.811985002781121</v>
      </c>
      <c r="AD112">
        <f t="shared" si="107"/>
        <v>-115.4980917969939</v>
      </c>
      <c r="AE112" s="123">
        <f t="shared" si="108"/>
        <v>-80.520611118483714</v>
      </c>
      <c r="AF112" s="123">
        <f t="shared" si="109"/>
        <v>-285.04587365627071</v>
      </c>
      <c r="AI112" s="123">
        <f t="shared" si="110"/>
        <v>0</v>
      </c>
      <c r="AJ112" s="123">
        <f t="shared" si="111"/>
        <v>0</v>
      </c>
      <c r="AK112" s="123">
        <f t="shared" si="112"/>
        <v>0</v>
      </c>
      <c r="AL112" s="123">
        <f t="shared" si="113"/>
        <v>0</v>
      </c>
      <c r="AM112" s="123">
        <f t="shared" si="114"/>
        <v>0</v>
      </c>
      <c r="AN112" s="123">
        <f t="shared" si="115"/>
        <v>0</v>
      </c>
      <c r="AO112" s="123">
        <f t="shared" si="116"/>
        <v>0</v>
      </c>
      <c r="AP112" s="123"/>
      <c r="AQ112" s="123">
        <f t="shared" si="117"/>
        <v>0</v>
      </c>
      <c r="AR112" s="123">
        <f t="shared" si="118"/>
        <v>0</v>
      </c>
      <c r="AS112" s="123">
        <f t="shared" si="119"/>
        <v>0</v>
      </c>
      <c r="AW112" t="str">
        <f t="shared" si="151"/>
        <v>12700</v>
      </c>
      <c r="AX112" t="str">
        <f t="shared" si="152"/>
        <v>75-2.65258293671913i</v>
      </c>
      <c r="AY112" t="str">
        <f t="shared" si="120"/>
        <v>74.5602312189171-2.62152846178034i</v>
      </c>
      <c r="AZ112">
        <f t="shared" si="153"/>
        <v>-36.52388965810394</v>
      </c>
      <c r="BA112">
        <f t="shared" si="154"/>
        <v>-2.0136833951381115</v>
      </c>
      <c r="BB112">
        <f t="shared" si="155"/>
        <v>-5.0557747133646731E-7</v>
      </c>
      <c r="BC112">
        <f t="shared" si="156"/>
        <v>1.1279375404043009E-2</v>
      </c>
      <c r="BD112" s="123">
        <f t="shared" si="121"/>
        <v>-43.310661489707158</v>
      </c>
      <c r="BE112" s="123">
        <f t="shared" si="122"/>
        <v>-167.62127830761938</v>
      </c>
      <c r="BF112">
        <f t="shared" si="123"/>
        <v>-48.724077483658462</v>
      </c>
      <c r="BG112">
        <f t="shared" si="124"/>
        <v>-149.97367958569791</v>
      </c>
      <c r="BH112" s="123">
        <f t="shared" si="125"/>
        <v>-92.03473897336562</v>
      </c>
      <c r="BI112" s="123">
        <f t="shared" si="126"/>
        <v>-317.59495789331731</v>
      </c>
      <c r="BL112" s="123">
        <f t="shared" si="127"/>
        <v>0</v>
      </c>
      <c r="BM112" s="123">
        <f t="shared" si="128"/>
        <v>0</v>
      </c>
      <c r="BN112" s="123">
        <f t="shared" si="129"/>
        <v>0</v>
      </c>
      <c r="BO112" s="123">
        <f t="shared" si="130"/>
        <v>0</v>
      </c>
      <c r="BP112" s="123">
        <f t="shared" si="131"/>
        <v>0</v>
      </c>
      <c r="BQ112" s="123">
        <f t="shared" si="132"/>
        <v>0</v>
      </c>
      <c r="BR112" s="123">
        <f t="shared" si="133"/>
        <v>0</v>
      </c>
      <c r="BS112" s="123"/>
      <c r="BT112" s="123"/>
      <c r="BU112" s="123">
        <f t="shared" si="134"/>
        <v>0</v>
      </c>
      <c r="BV112" s="123">
        <f t="shared" si="135"/>
        <v>0</v>
      </c>
      <c r="BX112" s="123">
        <f t="shared" si="136"/>
        <v>0</v>
      </c>
      <c r="BY112" s="123"/>
    </row>
    <row r="113" spans="5:77" x14ac:dyDescent="0.2">
      <c r="E113">
        <v>102</v>
      </c>
      <c r="F113">
        <v>650000</v>
      </c>
      <c r="G113" s="58">
        <f t="shared" si="137"/>
        <v>-44.680201053163543</v>
      </c>
      <c r="H113" s="58">
        <f t="shared" si="138"/>
        <v>-168.5693237973625</v>
      </c>
      <c r="I113">
        <f t="shared" si="139"/>
        <v>-11.398699686549191</v>
      </c>
      <c r="J113">
        <f t="shared" si="140"/>
        <v>-1.7680001180973861</v>
      </c>
      <c r="K113" t="str">
        <f t="shared" si="141"/>
        <v>5328.8977011821-3109.08415755825i</v>
      </c>
      <c r="L113" t="str">
        <f t="shared" si="142"/>
        <v>3300-24485.3809543305i</v>
      </c>
      <c r="M113" t="str">
        <f t="shared" si="143"/>
        <v>8344.17489929179-21725.3416677089i</v>
      </c>
      <c r="N113">
        <f t="shared" si="99"/>
        <v>-13.245854964512754</v>
      </c>
      <c r="O113">
        <f t="shared" si="144"/>
        <v>30.903242085069177</v>
      </c>
      <c r="P113" t="str">
        <f t="shared" si="145"/>
        <v>-741.981241040317i</v>
      </c>
      <c r="Q113" t="str">
        <f t="shared" si="146"/>
        <v>3300-5.20965552219797i</v>
      </c>
      <c r="R113" t="str">
        <f t="shared" si="100"/>
        <v>158.693452259978-706.049634109187i</v>
      </c>
      <c r="S113" t="str">
        <f t="shared" si="147"/>
        <v>149.883245469462-122426.721274234i</v>
      </c>
      <c r="T113" t="str">
        <f t="shared" si="101"/>
        <v>156.883184065862-702.201096655503i</v>
      </c>
      <c r="U113" t="str">
        <f t="shared" si="102"/>
        <v>0.0864864864864865-0.281081081081081i</v>
      </c>
      <c r="V113">
        <f t="shared" si="148"/>
        <v>-13.489746599285207</v>
      </c>
      <c r="W113">
        <f t="shared" si="149"/>
        <v>-150.30331401707502</v>
      </c>
      <c r="X113">
        <f t="shared" si="103"/>
        <v>-10.630517457470891</v>
      </c>
      <c r="Y113">
        <f t="shared" si="150"/>
        <v>-72.897286196797381</v>
      </c>
      <c r="AA113" s="123">
        <f t="shared" si="104"/>
        <v>-56.078900739712736</v>
      </c>
      <c r="AB113" s="123">
        <f t="shared" si="105"/>
        <v>-170.33732391545988</v>
      </c>
      <c r="AC113">
        <f t="shared" si="106"/>
        <v>-26.73560156379796</v>
      </c>
      <c r="AD113">
        <f t="shared" si="107"/>
        <v>-119.40007193200584</v>
      </c>
      <c r="AE113" s="123">
        <f t="shared" si="108"/>
        <v>-82.814502303510693</v>
      </c>
      <c r="AF113" s="123">
        <f t="shared" si="109"/>
        <v>-289.73739584746573</v>
      </c>
      <c r="AI113" s="123">
        <f t="shared" si="110"/>
        <v>0</v>
      </c>
      <c r="AJ113" s="123">
        <f t="shared" si="111"/>
        <v>0</v>
      </c>
      <c r="AK113" s="123">
        <f t="shared" si="112"/>
        <v>0</v>
      </c>
      <c r="AL113" s="123">
        <f t="shared" si="113"/>
        <v>0</v>
      </c>
      <c r="AM113" s="123">
        <f t="shared" si="114"/>
        <v>0</v>
      </c>
      <c r="AN113" s="123">
        <f t="shared" si="115"/>
        <v>0</v>
      </c>
      <c r="AO113" s="123">
        <f t="shared" si="116"/>
        <v>0</v>
      </c>
      <c r="AP113" s="123"/>
      <c r="AQ113" s="123">
        <f t="shared" si="117"/>
        <v>0</v>
      </c>
      <c r="AR113" s="123">
        <f t="shared" si="118"/>
        <v>0</v>
      </c>
      <c r="AS113" s="123">
        <f t="shared" si="119"/>
        <v>0</v>
      </c>
      <c r="AW113" t="str">
        <f t="shared" si="151"/>
        <v>12700</v>
      </c>
      <c r="AX113" t="str">
        <f t="shared" si="152"/>
        <v>75-2.44853809543305i</v>
      </c>
      <c r="AY113" t="str">
        <f t="shared" si="120"/>
        <v>74.5601506966622-2.41987244169219i</v>
      </c>
      <c r="AZ113">
        <f t="shared" si="153"/>
        <v>-36.524692324846768</v>
      </c>
      <c r="BA113">
        <f t="shared" si="154"/>
        <v>-1.8588998883177643</v>
      </c>
      <c r="BB113">
        <f t="shared" si="155"/>
        <v>-4.3078793587410585E-7</v>
      </c>
      <c r="BC113">
        <f t="shared" si="156"/>
        <v>1.0411731281810966E-2</v>
      </c>
      <c r="BD113" s="123">
        <f t="shared" si="121"/>
        <v>-44.680201483951478</v>
      </c>
      <c r="BE113" s="123">
        <f t="shared" si="122"/>
        <v>-168.55891206608069</v>
      </c>
      <c r="BF113">
        <f t="shared" si="123"/>
        <v>-50.014438924131973</v>
      </c>
      <c r="BG113">
        <f t="shared" si="124"/>
        <v>-152.16221390539278</v>
      </c>
      <c r="BH113" s="123">
        <f t="shared" si="125"/>
        <v>-94.694640408083444</v>
      </c>
      <c r="BI113" s="123">
        <f t="shared" si="126"/>
        <v>-320.7211259714735</v>
      </c>
      <c r="BL113" s="123">
        <f t="shared" si="127"/>
        <v>0</v>
      </c>
      <c r="BM113" s="123">
        <f t="shared" si="128"/>
        <v>0</v>
      </c>
      <c r="BN113" s="123">
        <f t="shared" si="129"/>
        <v>0</v>
      </c>
      <c r="BO113" s="123">
        <f t="shared" si="130"/>
        <v>0</v>
      </c>
      <c r="BP113" s="123">
        <f t="shared" si="131"/>
        <v>0</v>
      </c>
      <c r="BQ113" s="123">
        <f t="shared" si="132"/>
        <v>0</v>
      </c>
      <c r="BR113" s="123">
        <f t="shared" si="133"/>
        <v>0</v>
      </c>
      <c r="BS113" s="123"/>
      <c r="BT113" s="123"/>
      <c r="BU113" s="123">
        <f t="shared" si="134"/>
        <v>0</v>
      </c>
      <c r="BV113" s="123">
        <f t="shared" si="135"/>
        <v>0</v>
      </c>
      <c r="BX113" s="123">
        <f t="shared" si="136"/>
        <v>0</v>
      </c>
      <c r="BY113" s="123"/>
    </row>
    <row r="114" spans="5:77" x14ac:dyDescent="0.2">
      <c r="E114">
        <v>103</v>
      </c>
      <c r="F114">
        <v>700000</v>
      </c>
      <c r="G114" s="58">
        <f t="shared" si="137"/>
        <v>-45.950904018101575</v>
      </c>
      <c r="H114" s="58">
        <f t="shared" si="138"/>
        <v>-169.37500906445453</v>
      </c>
      <c r="I114">
        <f t="shared" si="139"/>
        <v>-11.399282621874669</v>
      </c>
      <c r="J114">
        <f t="shared" si="140"/>
        <v>-1.641788735466172</v>
      </c>
      <c r="K114" t="str">
        <f t="shared" si="141"/>
        <v>5121.12060543977-3217.69430501695i</v>
      </c>
      <c r="L114" t="str">
        <f t="shared" si="142"/>
        <v>3300-22736.4251718783i</v>
      </c>
      <c r="M114" t="str">
        <f t="shared" si="143"/>
        <v>7667.56952821609-20322.4530141275i</v>
      </c>
      <c r="N114">
        <f t="shared" si="99"/>
        <v>-12.926994010508661</v>
      </c>
      <c r="O114">
        <f t="shared" si="144"/>
        <v>29.344133218247265</v>
      </c>
      <c r="P114" t="str">
        <f t="shared" si="145"/>
        <v>-688.982580966008i</v>
      </c>
      <c r="Q114" t="str">
        <f t="shared" si="146"/>
        <v>3300-4.8375372706124i</v>
      </c>
      <c r="R114" t="str">
        <f t="shared" si="100"/>
        <v>137.758056984393-660.019153273597i</v>
      </c>
      <c r="S114" t="str">
        <f t="shared" si="147"/>
        <v>129.236090379218-113681.978941056i</v>
      </c>
      <c r="T114" t="str">
        <f t="shared" si="101"/>
        <v>136.176205734172-656.371584117898i</v>
      </c>
      <c r="U114" t="str">
        <f t="shared" si="102"/>
        <v>0.0754716981132075-0.264150943396226i</v>
      </c>
      <c r="V114">
        <f t="shared" si="148"/>
        <v>-14.696141073415973</v>
      </c>
      <c r="W114">
        <f t="shared" si="149"/>
        <v>-152.33386374937231</v>
      </c>
      <c r="X114">
        <f t="shared" si="103"/>
        <v>-11.222158782728279</v>
      </c>
      <c r="Y114">
        <f t="shared" si="150"/>
        <v>-74.054619505703258</v>
      </c>
      <c r="AA114" s="123">
        <f t="shared" si="104"/>
        <v>-57.350186639976243</v>
      </c>
      <c r="AB114" s="123">
        <f t="shared" si="105"/>
        <v>-171.01679779992071</v>
      </c>
      <c r="AC114">
        <f t="shared" si="106"/>
        <v>-27.623135083924634</v>
      </c>
      <c r="AD114">
        <f t="shared" si="107"/>
        <v>-122.98973053112505</v>
      </c>
      <c r="AE114" s="123">
        <f t="shared" si="108"/>
        <v>-84.973321723900881</v>
      </c>
      <c r="AF114" s="123">
        <f t="shared" si="109"/>
        <v>-294.00652833104573</v>
      </c>
      <c r="AI114" s="123">
        <f t="shared" si="110"/>
        <v>0</v>
      </c>
      <c r="AJ114" s="123">
        <f t="shared" si="111"/>
        <v>0</v>
      </c>
      <c r="AK114" s="123">
        <f t="shared" si="112"/>
        <v>0</v>
      </c>
      <c r="AL114" s="123">
        <f t="shared" si="113"/>
        <v>0</v>
      </c>
      <c r="AM114" s="123">
        <f t="shared" si="114"/>
        <v>0</v>
      </c>
      <c r="AN114" s="123">
        <f t="shared" si="115"/>
        <v>0</v>
      </c>
      <c r="AO114" s="123">
        <f t="shared" si="116"/>
        <v>0</v>
      </c>
      <c r="AP114" s="123"/>
      <c r="AQ114" s="123">
        <f t="shared" si="117"/>
        <v>0</v>
      </c>
      <c r="AR114" s="123">
        <f t="shared" si="118"/>
        <v>0</v>
      </c>
      <c r="AS114" s="123">
        <f t="shared" si="119"/>
        <v>0</v>
      </c>
      <c r="AW114" t="str">
        <f t="shared" si="151"/>
        <v>12700</v>
      </c>
      <c r="AX114" t="str">
        <f t="shared" si="152"/>
        <v>75-2.27364251718783i</v>
      </c>
      <c r="AY114" t="str">
        <f t="shared" si="120"/>
        <v>74.5600868047172-2.24702442151397i</v>
      </c>
      <c r="AZ114">
        <f t="shared" si="153"/>
        <v>-36.525329321915251</v>
      </c>
      <c r="BA114">
        <f t="shared" si="154"/>
        <v>-1.7262062320103562</v>
      </c>
      <c r="BB114">
        <f t="shared" si="155"/>
        <v>-3.7144469819161144E-7</v>
      </c>
      <c r="BC114">
        <f t="shared" si="156"/>
        <v>9.66803629312433E-3</v>
      </c>
      <c r="BD114" s="123">
        <f t="shared" si="121"/>
        <v>-45.950904389546274</v>
      </c>
      <c r="BE114" s="123">
        <f t="shared" si="122"/>
        <v>-169.3653410281614</v>
      </c>
      <c r="BF114">
        <f t="shared" si="123"/>
        <v>-51.221470395331224</v>
      </c>
      <c r="BG114">
        <f t="shared" si="124"/>
        <v>-154.06006998138267</v>
      </c>
      <c r="BH114" s="123">
        <f t="shared" si="125"/>
        <v>-97.172374784877491</v>
      </c>
      <c r="BI114" s="123">
        <f t="shared" si="126"/>
        <v>-323.42541100954406</v>
      </c>
      <c r="BL114" s="123">
        <f t="shared" si="127"/>
        <v>0</v>
      </c>
      <c r="BM114" s="123">
        <f t="shared" si="128"/>
        <v>0</v>
      </c>
      <c r="BN114" s="123">
        <f t="shared" si="129"/>
        <v>0</v>
      </c>
      <c r="BO114" s="123">
        <f t="shared" si="130"/>
        <v>0</v>
      </c>
      <c r="BP114" s="123">
        <f t="shared" si="131"/>
        <v>0</v>
      </c>
      <c r="BQ114" s="123">
        <f t="shared" si="132"/>
        <v>0</v>
      </c>
      <c r="BR114" s="123">
        <f t="shared" si="133"/>
        <v>0</v>
      </c>
      <c r="BS114" s="123"/>
      <c r="BT114" s="123"/>
      <c r="BU114" s="123">
        <f t="shared" si="134"/>
        <v>0</v>
      </c>
      <c r="BV114" s="123">
        <f t="shared" si="135"/>
        <v>0</v>
      </c>
      <c r="BX114" s="123">
        <f t="shared" si="136"/>
        <v>0</v>
      </c>
      <c r="BY114" s="123"/>
    </row>
    <row r="115" spans="5:77" x14ac:dyDescent="0.2">
      <c r="E115">
        <v>104</v>
      </c>
      <c r="F115">
        <v>750000</v>
      </c>
      <c r="G115" s="58">
        <f t="shared" si="137"/>
        <v>-47.135930102134857</v>
      </c>
      <c r="H115" s="58">
        <f t="shared" si="138"/>
        <v>-170.07518443838478</v>
      </c>
      <c r="I115">
        <f t="shared" si="139"/>
        <v>-11.399752961395544</v>
      </c>
      <c r="J115">
        <f t="shared" si="140"/>
        <v>-1.5323921367875792</v>
      </c>
      <c r="K115" t="str">
        <f t="shared" si="141"/>
        <v>4915.27466194726-3308.95447623777i</v>
      </c>
      <c r="L115" t="str">
        <f t="shared" si="142"/>
        <v>3300-21220.6634937531i</v>
      </c>
      <c r="M115" t="str">
        <f t="shared" si="143"/>
        <v>7114.39496163859-19081.2600961542i</v>
      </c>
      <c r="N115">
        <f t="shared" si="99"/>
        <v>-12.648360633547025</v>
      </c>
      <c r="O115">
        <f t="shared" si="144"/>
        <v>27.803672085475295</v>
      </c>
      <c r="P115" t="str">
        <f t="shared" si="145"/>
        <v>-643.050408901608i</v>
      </c>
      <c r="Q115" t="str">
        <f t="shared" si="146"/>
        <v>3300-4.51503478590491i</v>
      </c>
      <c r="R115" t="str">
        <f t="shared" si="100"/>
        <v>120.660932694186-619.372878472561i</v>
      </c>
      <c r="S115" t="str">
        <f t="shared" si="147"/>
        <v>112.579013038291-106103.198018697i</v>
      </c>
      <c r="T115" t="str">
        <f t="shared" si="101"/>
        <v>119.26796655681-615.911674397828i</v>
      </c>
      <c r="U115" t="str">
        <f t="shared" si="102"/>
        <v>0.0663900414937759-0.24896265560166i</v>
      </c>
      <c r="V115">
        <f t="shared" si="148"/>
        <v>-15.828728237009337</v>
      </c>
      <c r="W115">
        <f t="shared" si="149"/>
        <v>-154.10923908554719</v>
      </c>
      <c r="X115">
        <f t="shared" si="103"/>
        <v>-11.778970599189426</v>
      </c>
      <c r="Y115">
        <f t="shared" si="150"/>
        <v>-75.068598439440919</v>
      </c>
      <c r="AA115" s="123">
        <f t="shared" si="104"/>
        <v>-58.535683063530399</v>
      </c>
      <c r="AB115" s="123">
        <f t="shared" si="105"/>
        <v>-171.60757657517237</v>
      </c>
      <c r="AC115">
        <f t="shared" si="106"/>
        <v>-28.477088870556361</v>
      </c>
      <c r="AD115">
        <f t="shared" si="107"/>
        <v>-126.30556700007189</v>
      </c>
      <c r="AE115" s="123">
        <f t="shared" si="108"/>
        <v>-87.012771934086757</v>
      </c>
      <c r="AF115" s="123">
        <f t="shared" si="109"/>
        <v>-297.91314357524425</v>
      </c>
      <c r="AI115" s="123">
        <f t="shared" si="110"/>
        <v>0</v>
      </c>
      <c r="AJ115" s="123">
        <f t="shared" si="111"/>
        <v>0</v>
      </c>
      <c r="AK115" s="123">
        <f t="shared" si="112"/>
        <v>0</v>
      </c>
      <c r="AL115" s="123">
        <f t="shared" si="113"/>
        <v>0</v>
      </c>
      <c r="AM115" s="123">
        <f t="shared" si="114"/>
        <v>0</v>
      </c>
      <c r="AN115" s="123">
        <f t="shared" si="115"/>
        <v>0</v>
      </c>
      <c r="AO115" s="123">
        <f t="shared" si="116"/>
        <v>0</v>
      </c>
      <c r="AP115" s="123"/>
      <c r="AQ115" s="123">
        <f t="shared" si="117"/>
        <v>0</v>
      </c>
      <c r="AR115" s="123">
        <f t="shared" si="118"/>
        <v>0</v>
      </c>
      <c r="AS115" s="123">
        <f t="shared" si="119"/>
        <v>0</v>
      </c>
      <c r="AW115" t="str">
        <f t="shared" si="151"/>
        <v>12700</v>
      </c>
      <c r="AX115" t="str">
        <f t="shared" si="152"/>
        <v>75-2.12206634937531i</v>
      </c>
      <c r="AY115" t="str">
        <f t="shared" si="120"/>
        <v>74.5600352599558-2.09722280197519i</v>
      </c>
      <c r="AZ115">
        <f t="shared" si="153"/>
        <v>-36.525843286750373</v>
      </c>
      <c r="BA115">
        <f t="shared" si="154"/>
        <v>-1.6111897588782131</v>
      </c>
      <c r="BB115">
        <f t="shared" si="155"/>
        <v>-3.2356961386820195E-7</v>
      </c>
      <c r="BC115">
        <f t="shared" si="156"/>
        <v>9.0235006177172977E-3</v>
      </c>
      <c r="BD115" s="123">
        <f t="shared" si="121"/>
        <v>-47.135930425704473</v>
      </c>
      <c r="BE115" s="123">
        <f t="shared" si="122"/>
        <v>-170.06616093776705</v>
      </c>
      <c r="BF115">
        <f t="shared" si="123"/>
        <v>-52.354571523759709</v>
      </c>
      <c r="BG115">
        <f t="shared" si="124"/>
        <v>-155.72042884442541</v>
      </c>
      <c r="BH115" s="123">
        <f t="shared" si="125"/>
        <v>-99.490501949464175</v>
      </c>
      <c r="BI115" s="123">
        <f t="shared" si="126"/>
        <v>-325.78658978219244</v>
      </c>
      <c r="BL115" s="123">
        <f t="shared" si="127"/>
        <v>0</v>
      </c>
      <c r="BM115" s="123">
        <f t="shared" si="128"/>
        <v>0</v>
      </c>
      <c r="BN115" s="123">
        <f t="shared" si="129"/>
        <v>0</v>
      </c>
      <c r="BO115" s="123">
        <f t="shared" si="130"/>
        <v>0</v>
      </c>
      <c r="BP115" s="123">
        <f t="shared" si="131"/>
        <v>0</v>
      </c>
      <c r="BQ115" s="123">
        <f t="shared" si="132"/>
        <v>0</v>
      </c>
      <c r="BR115" s="123">
        <f t="shared" si="133"/>
        <v>0</v>
      </c>
      <c r="BS115" s="123"/>
      <c r="BT115" s="123"/>
      <c r="BU115" s="123">
        <f t="shared" si="134"/>
        <v>0</v>
      </c>
      <c r="BV115" s="123">
        <f t="shared" si="135"/>
        <v>0</v>
      </c>
      <c r="BX115" s="123">
        <f t="shared" si="136"/>
        <v>0</v>
      </c>
      <c r="BY115" s="123"/>
    </row>
    <row r="116" spans="5:77" x14ac:dyDescent="0.2">
      <c r="E116">
        <v>105</v>
      </c>
      <c r="F116">
        <v>800000</v>
      </c>
      <c r="G116" s="58">
        <f t="shared" si="137"/>
        <v>-48.245999369478511</v>
      </c>
      <c r="H116" s="58">
        <f t="shared" si="138"/>
        <v>-170.68920675417604</v>
      </c>
      <c r="I116">
        <f t="shared" si="139"/>
        <v>-11.400137937746779</v>
      </c>
      <c r="J116">
        <f t="shared" si="140"/>
        <v>-1.4366605882009593</v>
      </c>
      <c r="K116" t="str">
        <f t="shared" si="141"/>
        <v>4712.77794681898-3384.14297040067i</v>
      </c>
      <c r="L116" t="str">
        <f t="shared" si="142"/>
        <v>3300-19894.3720253935i</v>
      </c>
      <c r="M116" t="str">
        <f t="shared" si="143"/>
        <v>6656.70555220245-17976.826968251i</v>
      </c>
      <c r="N116">
        <f t="shared" si="99"/>
        <v>-12.40419635830909</v>
      </c>
      <c r="O116">
        <f t="shared" si="144"/>
        <v>26.294338564606221</v>
      </c>
      <c r="P116" t="str">
        <f t="shared" si="145"/>
        <v>-602.859758345257i</v>
      </c>
      <c r="Q116" t="str">
        <f t="shared" si="146"/>
        <v>3300-4.23284511178585i</v>
      </c>
      <c r="R116" t="str">
        <f t="shared" si="100"/>
        <v>106.527964403896-583.262079784367i</v>
      </c>
      <c r="S116" t="str">
        <f t="shared" si="147"/>
        <v>98.9464116671692-99471.7617031313i</v>
      </c>
      <c r="T116" t="str">
        <f t="shared" si="101"/>
        <v>105.2927280844-579.972887063363i</v>
      </c>
      <c r="U116" t="str">
        <f t="shared" si="102"/>
        <v>0.0588235294117647-0.235294117647059i</v>
      </c>
      <c r="V116">
        <f t="shared" si="148"/>
        <v>-16.895502202795626</v>
      </c>
      <c r="W116">
        <f t="shared" si="149"/>
        <v>-155.67394620615633</v>
      </c>
      <c r="X116">
        <f t="shared" si="103"/>
        <v>-12.304489213782734</v>
      </c>
      <c r="Y116">
        <f t="shared" si="150"/>
        <v>-75.963772335887626</v>
      </c>
      <c r="AA116" s="123">
        <f t="shared" si="104"/>
        <v>-59.646137307225288</v>
      </c>
      <c r="AB116" s="123">
        <f t="shared" si="105"/>
        <v>-172.12586734237701</v>
      </c>
      <c r="AC116">
        <f t="shared" si="106"/>
        <v>-29.299698561104716</v>
      </c>
      <c r="AD116">
        <f t="shared" si="107"/>
        <v>-129.37960764155011</v>
      </c>
      <c r="AE116" s="123">
        <f t="shared" si="108"/>
        <v>-88.945835868330008</v>
      </c>
      <c r="AF116" s="123">
        <f t="shared" si="109"/>
        <v>-301.50547498392712</v>
      </c>
      <c r="AI116" s="123">
        <f t="shared" si="110"/>
        <v>0</v>
      </c>
      <c r="AJ116" s="123">
        <f t="shared" si="111"/>
        <v>0</v>
      </c>
      <c r="AK116" s="123">
        <f t="shared" si="112"/>
        <v>0</v>
      </c>
      <c r="AL116" s="123">
        <f t="shared" si="113"/>
        <v>0</v>
      </c>
      <c r="AM116" s="123">
        <f t="shared" si="114"/>
        <v>0</v>
      </c>
      <c r="AN116" s="123">
        <f t="shared" si="115"/>
        <v>0</v>
      </c>
      <c r="AO116" s="123">
        <f t="shared" si="116"/>
        <v>0</v>
      </c>
      <c r="AP116" s="123"/>
      <c r="AQ116" s="123">
        <f t="shared" si="117"/>
        <v>0</v>
      </c>
      <c r="AR116" s="123">
        <f t="shared" si="118"/>
        <v>0</v>
      </c>
      <c r="AS116" s="123">
        <f t="shared" si="119"/>
        <v>0</v>
      </c>
      <c r="AW116" t="str">
        <f t="shared" si="151"/>
        <v>12700</v>
      </c>
      <c r="AX116" t="str">
        <f t="shared" si="152"/>
        <v>75-1.98943720253935i</v>
      </c>
      <c r="AY116" t="str">
        <f t="shared" si="120"/>
        <v>74.5599930743453-1.96614638342125i</v>
      </c>
      <c r="AZ116">
        <f t="shared" si="153"/>
        <v>-36.526263974575983</v>
      </c>
      <c r="BA116">
        <f t="shared" si="154"/>
        <v>-1.5105394666430936</v>
      </c>
      <c r="BB116">
        <f t="shared" si="155"/>
        <v>-2.8438742821337661E-7</v>
      </c>
      <c r="BC116">
        <f t="shared" si="156"/>
        <v>8.4595318885295583E-3</v>
      </c>
      <c r="BD116" s="123">
        <f t="shared" si="121"/>
        <v>-48.245999653865937</v>
      </c>
      <c r="BE116" s="123">
        <f t="shared" si="122"/>
        <v>-170.68074722228752</v>
      </c>
      <c r="BF116">
        <f t="shared" si="123"/>
        <v>-53.421766177371609</v>
      </c>
      <c r="BG116">
        <f t="shared" si="124"/>
        <v>-157.18448567279941</v>
      </c>
      <c r="BH116" s="123">
        <f t="shared" si="125"/>
        <v>-101.66776583123755</v>
      </c>
      <c r="BI116" s="123">
        <f t="shared" si="126"/>
        <v>-327.86523289508693</v>
      </c>
      <c r="BL116" s="123">
        <f t="shared" si="127"/>
        <v>0</v>
      </c>
      <c r="BM116" s="123">
        <f t="shared" si="128"/>
        <v>0</v>
      </c>
      <c r="BN116" s="123">
        <f t="shared" si="129"/>
        <v>0</v>
      </c>
      <c r="BO116" s="123">
        <f t="shared" si="130"/>
        <v>0</v>
      </c>
      <c r="BP116" s="123">
        <f t="shared" si="131"/>
        <v>0</v>
      </c>
      <c r="BQ116" s="123">
        <f t="shared" si="132"/>
        <v>0</v>
      </c>
      <c r="BR116" s="123">
        <f t="shared" si="133"/>
        <v>0</v>
      </c>
      <c r="BS116" s="123"/>
      <c r="BT116" s="123"/>
      <c r="BU116" s="123">
        <f t="shared" si="134"/>
        <v>0</v>
      </c>
      <c r="BV116" s="123">
        <f t="shared" si="135"/>
        <v>0</v>
      </c>
      <c r="BX116" s="123">
        <f t="shared" si="136"/>
        <v>0</v>
      </c>
      <c r="BY116" s="123"/>
    </row>
    <row r="117" spans="5:77" x14ac:dyDescent="0.2">
      <c r="E117">
        <v>106</v>
      </c>
      <c r="F117">
        <v>850000</v>
      </c>
      <c r="G117" s="58">
        <f t="shared" si="137"/>
        <v>-49.289954759291049</v>
      </c>
      <c r="H117" s="58">
        <f t="shared" si="138"/>
        <v>-171.23199034501891</v>
      </c>
      <c r="I117">
        <f t="shared" si="139"/>
        <v>-11.400457022597797</v>
      </c>
      <c r="J117">
        <f t="shared" si="140"/>
        <v>-1.352184654899607</v>
      </c>
      <c r="K117" t="str">
        <f t="shared" si="141"/>
        <v>4514.78072352068-3444.58832924335i</v>
      </c>
      <c r="L117" t="str">
        <f t="shared" si="142"/>
        <v>3300-18724.1148474292i</v>
      </c>
      <c r="M117" t="str">
        <f t="shared" si="143"/>
        <v>6273.95160563961-16988.7443788162i</v>
      </c>
      <c r="N117">
        <f t="shared" si="99"/>
        <v>-12.189657984688731</v>
      </c>
      <c r="O117">
        <f t="shared" si="144"/>
        <v>24.823986241555943</v>
      </c>
      <c r="P117" t="str">
        <f t="shared" si="145"/>
        <v>-567.397419619066i</v>
      </c>
      <c r="Q117" t="str">
        <f t="shared" si="146"/>
        <v>3300-3.98385422285727i</v>
      </c>
      <c r="R117" t="str">
        <f t="shared" si="100"/>
        <v>94.7179302890665-550.997403963237i</v>
      </c>
      <c r="S117" t="str">
        <f t="shared" si="147"/>
        <v>87.6480423830688-93620.4921805453i</v>
      </c>
      <c r="T117" t="str">
        <f t="shared" si="101"/>
        <v>93.6156038309621-547.866650897808i</v>
      </c>
      <c r="U117" t="str">
        <f t="shared" si="102"/>
        <v>0.0524590163934426-0.222950819672131i</v>
      </c>
      <c r="V117">
        <f t="shared" si="148"/>
        <v>-17.903313724817711</v>
      </c>
      <c r="W117">
        <f t="shared" si="149"/>
        <v>-157.06286166827894</v>
      </c>
      <c r="X117">
        <f t="shared" si="103"/>
        <v>-12.801798566908616</v>
      </c>
      <c r="Y117">
        <f t="shared" si="150"/>
        <v>-76.759496054172502</v>
      </c>
      <c r="AA117" s="123">
        <f t="shared" si="104"/>
        <v>-60.690411781888848</v>
      </c>
      <c r="AB117" s="123">
        <f t="shared" si="105"/>
        <v>-172.58417499991853</v>
      </c>
      <c r="AC117">
        <f t="shared" si="106"/>
        <v>-30.092971709506443</v>
      </c>
      <c r="AD117">
        <f t="shared" si="107"/>
        <v>-132.23887542672298</v>
      </c>
      <c r="AE117" s="123">
        <f t="shared" si="108"/>
        <v>-90.783383491395284</v>
      </c>
      <c r="AF117" s="123">
        <f t="shared" si="109"/>
        <v>-304.82305042664154</v>
      </c>
      <c r="AI117" s="123">
        <f t="shared" si="110"/>
        <v>0</v>
      </c>
      <c r="AJ117" s="123">
        <f t="shared" si="111"/>
        <v>0</v>
      </c>
      <c r="AK117" s="123">
        <f t="shared" si="112"/>
        <v>0</v>
      </c>
      <c r="AL117" s="123">
        <f t="shared" si="113"/>
        <v>0</v>
      </c>
      <c r="AM117" s="123">
        <f t="shared" si="114"/>
        <v>0</v>
      </c>
      <c r="AN117" s="123">
        <f t="shared" si="115"/>
        <v>0</v>
      </c>
      <c r="AO117" s="123">
        <f t="shared" si="116"/>
        <v>0</v>
      </c>
      <c r="AP117" s="123"/>
      <c r="AQ117" s="123">
        <f t="shared" si="117"/>
        <v>0</v>
      </c>
      <c r="AR117" s="123">
        <f t="shared" si="118"/>
        <v>0</v>
      </c>
      <c r="AS117" s="123">
        <f t="shared" si="119"/>
        <v>0</v>
      </c>
      <c r="AW117" t="str">
        <f t="shared" si="151"/>
        <v>12700</v>
      </c>
      <c r="AX117" t="str">
        <f t="shared" si="152"/>
        <v>75-1.87241148474292i</v>
      </c>
      <c r="AY117" t="str">
        <f t="shared" si="120"/>
        <v>74.5599581119432-1.85049071893263i</v>
      </c>
      <c r="AZ117">
        <f t="shared" si="153"/>
        <v>-36.526612661239533</v>
      </c>
      <c r="BA117">
        <f t="shared" si="154"/>
        <v>-1.4217224819492569</v>
      </c>
      <c r="BB117">
        <f t="shared" si="155"/>
        <v>-2.5191408164835435E-7</v>
      </c>
      <c r="BC117">
        <f t="shared" si="156"/>
        <v>7.9619124120388109E-3</v>
      </c>
      <c r="BD117" s="123">
        <f t="shared" si="121"/>
        <v>-49.28995501120513</v>
      </c>
      <c r="BE117" s="123">
        <f t="shared" si="122"/>
        <v>-171.22402843260687</v>
      </c>
      <c r="BF117">
        <f t="shared" si="123"/>
        <v>-54.429926386057247</v>
      </c>
      <c r="BG117">
        <f t="shared" si="124"/>
        <v>-158.48458415022819</v>
      </c>
      <c r="BH117" s="123">
        <f t="shared" si="125"/>
        <v>-103.71988139726238</v>
      </c>
      <c r="BI117" s="123">
        <f t="shared" si="126"/>
        <v>-329.70861258283503</v>
      </c>
      <c r="BL117" s="123">
        <f t="shared" si="127"/>
        <v>0</v>
      </c>
      <c r="BM117" s="123">
        <f t="shared" si="128"/>
        <v>0</v>
      </c>
      <c r="BN117" s="123">
        <f t="shared" si="129"/>
        <v>0</v>
      </c>
      <c r="BO117" s="123">
        <f t="shared" si="130"/>
        <v>0</v>
      </c>
      <c r="BP117" s="123">
        <f t="shared" si="131"/>
        <v>0</v>
      </c>
      <c r="BQ117" s="123">
        <f t="shared" si="132"/>
        <v>0</v>
      </c>
      <c r="BR117" s="123">
        <f t="shared" si="133"/>
        <v>0</v>
      </c>
      <c r="BS117" s="123"/>
      <c r="BT117" s="123"/>
      <c r="BU117" s="123">
        <f t="shared" si="134"/>
        <v>0</v>
      </c>
      <c r="BV117" s="123">
        <f t="shared" si="135"/>
        <v>0</v>
      </c>
      <c r="BX117" s="123">
        <f t="shared" si="136"/>
        <v>0</v>
      </c>
      <c r="BY117" s="123"/>
    </row>
    <row r="118" spans="5:77" x14ac:dyDescent="0.2">
      <c r="E118">
        <v>107</v>
      </c>
      <c r="F118">
        <v>900000</v>
      </c>
      <c r="G118" s="58">
        <f t="shared" si="137"/>
        <v>-50.275172876078322</v>
      </c>
      <c r="H118" s="58">
        <f t="shared" si="138"/>
        <v>-171.71520757939575</v>
      </c>
      <c r="I118">
        <f t="shared" si="139"/>
        <v>-11.400724436867677</v>
      </c>
      <c r="J118">
        <f t="shared" si="140"/>
        <v>-1.2770898113683273</v>
      </c>
      <c r="K118" t="str">
        <f t="shared" si="141"/>
        <v>4322.18799774761-3491.62746074226i</v>
      </c>
      <c r="L118" t="str">
        <f t="shared" si="142"/>
        <v>3300-17683.8862447942i</v>
      </c>
      <c r="M118" t="str">
        <f t="shared" si="143"/>
        <v>5950.77431439524-16100.2498396439i</v>
      </c>
      <c r="N118">
        <f t="shared" si="99"/>
        <v>-12.000665266446365</v>
      </c>
      <c r="O118">
        <f t="shared" si="144"/>
        <v>23.397230468877261</v>
      </c>
      <c r="P118" t="str">
        <f t="shared" si="145"/>
        <v>-535.87534075134i</v>
      </c>
      <c r="Q118" t="str">
        <f t="shared" si="146"/>
        <v>3300-3.76252898825409i</v>
      </c>
      <c r="R118" t="str">
        <f t="shared" si="100"/>
        <v>84.752539205947-522.016043868879i</v>
      </c>
      <c r="S118" t="str">
        <f t="shared" si="147"/>
        <v>78.1798970586947-88419.3620977508i</v>
      </c>
      <c r="T118" t="str">
        <f t="shared" si="101"/>
        <v>83.7631455265209-519.031168133599i</v>
      </c>
      <c r="U118" t="str">
        <f t="shared" si="102"/>
        <v>0.0470588235294118-0.211764705882353i</v>
      </c>
      <c r="V118">
        <f t="shared" si="148"/>
        <v>-18.858057835634551</v>
      </c>
      <c r="W118">
        <f t="shared" si="149"/>
        <v>-158.30366644464374</v>
      </c>
      <c r="X118">
        <f t="shared" si="103"/>
        <v>-13.273589343863302</v>
      </c>
      <c r="Y118">
        <f t="shared" si="150"/>
        <v>-77.471208408275743</v>
      </c>
      <c r="AA118" s="123">
        <f t="shared" si="104"/>
        <v>-61.675897312945999</v>
      </c>
      <c r="AB118" s="123">
        <f t="shared" si="105"/>
        <v>-172.99229739076407</v>
      </c>
      <c r="AC118">
        <f t="shared" si="106"/>
        <v>-30.858723102080916</v>
      </c>
      <c r="AD118">
        <f t="shared" si="107"/>
        <v>-134.90643597576647</v>
      </c>
      <c r="AE118" s="123">
        <f t="shared" si="108"/>
        <v>-92.534620415026922</v>
      </c>
      <c r="AF118" s="123">
        <f t="shared" si="109"/>
        <v>-307.89873336653056</v>
      </c>
      <c r="AI118" s="123">
        <f t="shared" si="110"/>
        <v>0</v>
      </c>
      <c r="AJ118" s="123">
        <f t="shared" si="111"/>
        <v>0</v>
      </c>
      <c r="AK118" s="123">
        <f t="shared" si="112"/>
        <v>0</v>
      </c>
      <c r="AL118" s="123">
        <f t="shared" si="113"/>
        <v>0</v>
      </c>
      <c r="AM118" s="123">
        <f t="shared" si="114"/>
        <v>0</v>
      </c>
      <c r="AN118" s="123">
        <f t="shared" si="115"/>
        <v>0</v>
      </c>
      <c r="AO118" s="123">
        <f t="shared" si="116"/>
        <v>0</v>
      </c>
      <c r="AP118" s="123"/>
      <c r="AQ118" s="123">
        <f t="shared" si="117"/>
        <v>0</v>
      </c>
      <c r="AR118" s="123">
        <f t="shared" si="118"/>
        <v>0</v>
      </c>
      <c r="AS118" s="123">
        <f t="shared" si="119"/>
        <v>0</v>
      </c>
      <c r="AW118" t="str">
        <f t="shared" si="151"/>
        <v>12700</v>
      </c>
      <c r="AX118" t="str">
        <f t="shared" si="152"/>
        <v>75-1.76838862447942i</v>
      </c>
      <c r="AY118" t="str">
        <f t="shared" si="120"/>
        <v>74.5599288131101-1.74768568304763i</v>
      </c>
      <c r="AZ118">
        <f t="shared" si="153"/>
        <v>-36.526904885618414</v>
      </c>
      <c r="BA118">
        <f t="shared" si="154"/>
        <v>-1.3427681976030899</v>
      </c>
      <c r="BB118">
        <f t="shared" si="155"/>
        <v>-2.2470119277863538E-7</v>
      </c>
      <c r="BC118">
        <f t="shared" si="156"/>
        <v>7.5195839813964483E-3</v>
      </c>
      <c r="BD118" s="123">
        <f t="shared" si="121"/>
        <v>-50.275173100779519</v>
      </c>
      <c r="BE118" s="123">
        <f t="shared" si="122"/>
        <v>-171.70768799541435</v>
      </c>
      <c r="BF118">
        <f t="shared" si="123"/>
        <v>-55.384962721252961</v>
      </c>
      <c r="BG118">
        <f t="shared" si="124"/>
        <v>-159.64643464224682</v>
      </c>
      <c r="BH118" s="123">
        <f t="shared" si="125"/>
        <v>-105.66013582203249</v>
      </c>
      <c r="BI118" s="123">
        <f t="shared" si="126"/>
        <v>-331.35412263766113</v>
      </c>
      <c r="BL118" s="123">
        <f t="shared" si="127"/>
        <v>0</v>
      </c>
      <c r="BM118" s="123">
        <f t="shared" si="128"/>
        <v>0</v>
      </c>
      <c r="BN118" s="123">
        <f t="shared" si="129"/>
        <v>0</v>
      </c>
      <c r="BO118" s="123">
        <f t="shared" si="130"/>
        <v>0</v>
      </c>
      <c r="BP118" s="123">
        <f t="shared" si="131"/>
        <v>0</v>
      </c>
      <c r="BQ118" s="123">
        <f t="shared" si="132"/>
        <v>0</v>
      </c>
      <c r="BR118" s="123">
        <f t="shared" si="133"/>
        <v>0</v>
      </c>
      <c r="BS118" s="123"/>
      <c r="BT118" s="123"/>
      <c r="BU118" s="123">
        <f t="shared" si="134"/>
        <v>0</v>
      </c>
      <c r="BV118" s="123">
        <f t="shared" si="135"/>
        <v>0</v>
      </c>
      <c r="BX118" s="123">
        <f t="shared" si="136"/>
        <v>0</v>
      </c>
      <c r="BY118" s="123"/>
    </row>
    <row r="119" spans="5:77" x14ac:dyDescent="0.2">
      <c r="E119">
        <v>108</v>
      </c>
      <c r="F119">
        <v>950000</v>
      </c>
      <c r="G119" s="58">
        <f t="shared" si="137"/>
        <v>-51.207869028946298</v>
      </c>
      <c r="H119" s="58">
        <f t="shared" si="138"/>
        <v>-172.14812137970469</v>
      </c>
      <c r="I119">
        <f t="shared" si="139"/>
        <v>-11.400950762421967</v>
      </c>
      <c r="J119">
        <f t="shared" si="140"/>
        <v>-1.2098958271669586</v>
      </c>
      <c r="K119" t="str">
        <f t="shared" si="141"/>
        <v>4135.685602668-3526.57284676117i</v>
      </c>
      <c r="L119" t="str">
        <f t="shared" si="142"/>
        <v>3300-16753.155389805i</v>
      </c>
      <c r="M119" t="str">
        <f t="shared" si="143"/>
        <v>5675.52309254402-15297.5084094161i</v>
      </c>
      <c r="N119">
        <f t="shared" si="99"/>
        <v>-11.833773464863011</v>
      </c>
      <c r="O119">
        <f t="shared" si="144"/>
        <v>22.016426405250854</v>
      </c>
      <c r="P119" t="str">
        <f t="shared" si="145"/>
        <v>-507.671375448638i</v>
      </c>
      <c r="Q119" t="str">
        <f t="shared" si="146"/>
        <v>3300-3.56450114676703i</v>
      </c>
      <c r="R119" t="str">
        <f t="shared" si="100"/>
        <v>76.2695834568516-495.85569443163i</v>
      </c>
      <c r="S119" t="str">
        <f t="shared" si="147"/>
        <v>70.1670046446184-83765.7181730886i</v>
      </c>
      <c r="T119" t="str">
        <f t="shared" si="101"/>
        <v>75.3768871131318-493.0052071606i</v>
      </c>
      <c r="U119" t="str">
        <f t="shared" si="102"/>
        <v>0.0424403183023873-0.20159151193634i</v>
      </c>
      <c r="V119">
        <f t="shared" si="148"/>
        <v>-19.764830543162059</v>
      </c>
      <c r="W119">
        <f t="shared" si="149"/>
        <v>-159.41858743204631</v>
      </c>
      <c r="X119">
        <f t="shared" si="103"/>
        <v>-13.72221367549866</v>
      </c>
      <c r="Y119">
        <f t="shared" si="150"/>
        <v>-78.111358210978679</v>
      </c>
      <c r="AA119" s="123">
        <f t="shared" si="104"/>
        <v>-62.608819791368262</v>
      </c>
      <c r="AB119" s="123">
        <f t="shared" si="105"/>
        <v>-173.35801720687164</v>
      </c>
      <c r="AC119">
        <f t="shared" si="106"/>
        <v>-31.59860400802507</v>
      </c>
      <c r="AD119">
        <f t="shared" si="107"/>
        <v>-137.40216102679545</v>
      </c>
      <c r="AE119" s="123">
        <f t="shared" si="108"/>
        <v>-94.207423799393325</v>
      </c>
      <c r="AF119" s="123">
        <f t="shared" si="109"/>
        <v>-310.76017823366709</v>
      </c>
      <c r="AI119" s="123">
        <f t="shared" si="110"/>
        <v>0</v>
      </c>
      <c r="AJ119" s="123">
        <f t="shared" si="111"/>
        <v>0</v>
      </c>
      <c r="AK119" s="123">
        <f t="shared" si="112"/>
        <v>0</v>
      </c>
      <c r="AL119" s="123">
        <f t="shared" si="113"/>
        <v>0</v>
      </c>
      <c r="AM119" s="123">
        <f t="shared" si="114"/>
        <v>0</v>
      </c>
      <c r="AN119" s="123">
        <f t="shared" si="115"/>
        <v>0</v>
      </c>
      <c r="AO119" s="123">
        <f t="shared" si="116"/>
        <v>0</v>
      </c>
      <c r="AP119" s="123"/>
      <c r="AQ119" s="123">
        <f t="shared" si="117"/>
        <v>0</v>
      </c>
      <c r="AR119" s="123">
        <f t="shared" si="118"/>
        <v>0</v>
      </c>
      <c r="AS119" s="123">
        <f t="shared" si="119"/>
        <v>0</v>
      </c>
      <c r="AW119" t="str">
        <f t="shared" si="151"/>
        <v>12700</v>
      </c>
      <c r="AX119" t="str">
        <f t="shared" si="152"/>
        <v>75-1.6753155389805i</v>
      </c>
      <c r="AY119" t="str">
        <f t="shared" si="120"/>
        <v>74.5599040175086-1.65570222929682i</v>
      </c>
      <c r="AZ119">
        <f t="shared" si="153"/>
        <v>-36.527152210462617</v>
      </c>
      <c r="BA119">
        <f t="shared" si="154"/>
        <v>-1.2721204806608688</v>
      </c>
      <c r="BB119">
        <f t="shared" si="155"/>
        <v>-2.0167080446476175E-7</v>
      </c>
      <c r="BC119">
        <f t="shared" si="156"/>
        <v>7.1238164328450166E-3</v>
      </c>
      <c r="BD119" s="123">
        <f t="shared" si="121"/>
        <v>-51.207869230617099</v>
      </c>
      <c r="BE119" s="123">
        <f t="shared" si="122"/>
        <v>-172.14099756327184</v>
      </c>
      <c r="BF119">
        <f t="shared" si="123"/>
        <v>-56.29198275362468</v>
      </c>
      <c r="BG119">
        <f t="shared" si="124"/>
        <v>-160.69070791270718</v>
      </c>
      <c r="BH119" s="123">
        <f t="shared" si="125"/>
        <v>-107.49985198424179</v>
      </c>
      <c r="BI119" s="123">
        <f t="shared" si="126"/>
        <v>-332.83170547597899</v>
      </c>
      <c r="BL119" s="123">
        <f t="shared" si="127"/>
        <v>0</v>
      </c>
      <c r="BM119" s="123">
        <f t="shared" si="128"/>
        <v>0</v>
      </c>
      <c r="BN119" s="123">
        <f t="shared" si="129"/>
        <v>0</v>
      </c>
      <c r="BO119" s="123">
        <f t="shared" si="130"/>
        <v>0</v>
      </c>
      <c r="BP119" s="123">
        <f t="shared" si="131"/>
        <v>0</v>
      </c>
      <c r="BQ119" s="123">
        <f t="shared" si="132"/>
        <v>0</v>
      </c>
      <c r="BR119" s="123">
        <f t="shared" si="133"/>
        <v>0</v>
      </c>
      <c r="BS119" s="123"/>
      <c r="BT119" s="123"/>
      <c r="BU119" s="123">
        <f t="shared" si="134"/>
        <v>0</v>
      </c>
      <c r="BV119" s="123">
        <f t="shared" si="135"/>
        <v>0</v>
      </c>
      <c r="BX119" s="123">
        <f t="shared" si="136"/>
        <v>0</v>
      </c>
      <c r="BY119" s="123"/>
    </row>
    <row r="120" spans="5:77" x14ac:dyDescent="0.2">
      <c r="E120">
        <v>109</v>
      </c>
      <c r="F120">
        <v>1000000</v>
      </c>
      <c r="G120" s="58">
        <f t="shared" si="137"/>
        <v>-52.093327370330663</v>
      </c>
      <c r="H120" s="58">
        <f t="shared" si="138"/>
        <v>-172.53817452432187</v>
      </c>
      <c r="I120">
        <f t="shared" si="139"/>
        <v>-11.401144004846932</v>
      </c>
      <c r="J120">
        <f t="shared" si="140"/>
        <v>-1.1494182880028652</v>
      </c>
      <c r="K120" t="str">
        <f t="shared" si="141"/>
        <v>3955.7676827415-3550.68803027406i</v>
      </c>
      <c r="L120" t="str">
        <f t="shared" si="142"/>
        <v>3300-15915.4976203148i</v>
      </c>
      <c r="M120" t="str">
        <f t="shared" si="143"/>
        <v>5439.23986873734-14569.0372976212i</v>
      </c>
      <c r="N120">
        <f t="shared" si="99"/>
        <v>-11.686067372192381</v>
      </c>
      <c r="O120">
        <f t="shared" si="144"/>
        <v>20.682362666573621</v>
      </c>
      <c r="P120" t="str">
        <f t="shared" si="145"/>
        <v>-482.287806676206i</v>
      </c>
      <c r="Q120" t="str">
        <f t="shared" si="146"/>
        <v>3300-3.38627608942868i</v>
      </c>
      <c r="R120" t="str">
        <f t="shared" si="100"/>
        <v>68.9909554325371-472.134134252321i</v>
      </c>
      <c r="S120" t="str">
        <f t="shared" si="147"/>
        <v>63.3257260240604-79577.4377085519i</v>
      </c>
      <c r="T120" t="str">
        <f t="shared" si="101"/>
        <v>68.1816418728353-469.407599063504i</v>
      </c>
      <c r="U120" t="str">
        <f t="shared" si="102"/>
        <v>0.0384615384615385-0.192307692307692i</v>
      </c>
      <c r="V120">
        <f t="shared" si="148"/>
        <v>-20.62805827084653</v>
      </c>
      <c r="W120">
        <f t="shared" si="149"/>
        <v>-160.42566269944882</v>
      </c>
      <c r="X120">
        <f t="shared" si="103"/>
        <v>-14.149733479708193</v>
      </c>
      <c r="Y120">
        <f t="shared" si="150"/>
        <v>-78.690083896986863</v>
      </c>
      <c r="AA120" s="123">
        <f t="shared" si="104"/>
        <v>-63.494471375177596</v>
      </c>
      <c r="AB120" s="123">
        <f t="shared" si="105"/>
        <v>-173.68759281232474</v>
      </c>
      <c r="AC120">
        <f t="shared" si="106"/>
        <v>-32.314125643038913</v>
      </c>
      <c r="AD120">
        <f t="shared" si="107"/>
        <v>-139.7433000328752</v>
      </c>
      <c r="AE120" s="123">
        <f t="shared" si="108"/>
        <v>-95.808597018216517</v>
      </c>
      <c r="AF120" s="123">
        <f t="shared" si="109"/>
        <v>-313.43089284519993</v>
      </c>
      <c r="AI120" s="123">
        <f t="shared" si="110"/>
        <v>0</v>
      </c>
      <c r="AJ120" s="123">
        <f t="shared" si="111"/>
        <v>0</v>
      </c>
      <c r="AK120" s="123">
        <f t="shared" si="112"/>
        <v>0</v>
      </c>
      <c r="AL120" s="123">
        <f t="shared" si="113"/>
        <v>0</v>
      </c>
      <c r="AM120" s="123">
        <f t="shared" si="114"/>
        <v>0</v>
      </c>
      <c r="AN120" s="123">
        <f t="shared" si="115"/>
        <v>0</v>
      </c>
      <c r="AO120" s="123">
        <f t="shared" si="116"/>
        <v>0</v>
      </c>
      <c r="AP120" s="123"/>
      <c r="AQ120" s="123">
        <f t="shared" si="117"/>
        <v>0</v>
      </c>
      <c r="AR120" s="123">
        <f t="shared" si="118"/>
        <v>0</v>
      </c>
      <c r="AS120" s="123">
        <f t="shared" si="119"/>
        <v>0</v>
      </c>
      <c r="AW120" t="str">
        <f t="shared" si="151"/>
        <v>12700</v>
      </c>
      <c r="AX120" t="str">
        <f t="shared" si="152"/>
        <v>75-1.59154976203148i</v>
      </c>
      <c r="AY120" t="str">
        <f t="shared" si="120"/>
        <v>74.5598828474261-1.57291712046942i</v>
      </c>
      <c r="AZ120">
        <f t="shared" si="153"/>
        <v>-36.527363383551489</v>
      </c>
      <c r="BA120">
        <f t="shared" si="154"/>
        <v>-1.2085341621685153</v>
      </c>
      <c r="BB120">
        <f t="shared" si="155"/>
        <v>-1.8200788540383847E-7</v>
      </c>
      <c r="BC120">
        <f t="shared" si="156"/>
        <v>6.7676256350623154E-3</v>
      </c>
      <c r="BD120" s="123">
        <f t="shared" si="121"/>
        <v>-52.09332755233855</v>
      </c>
      <c r="BE120" s="123">
        <f t="shared" si="122"/>
        <v>-172.53140689868681</v>
      </c>
      <c r="BF120">
        <f t="shared" si="123"/>
        <v>-57.155421654398019</v>
      </c>
      <c r="BG120">
        <f t="shared" si="124"/>
        <v>-161.63419686161734</v>
      </c>
      <c r="BH120" s="123">
        <f t="shared" si="125"/>
        <v>-109.24874920673656</v>
      </c>
      <c r="BI120" s="123">
        <f t="shared" si="126"/>
        <v>-334.16560376030418</v>
      </c>
      <c r="BL120" s="123">
        <f t="shared" si="127"/>
        <v>0</v>
      </c>
      <c r="BM120" s="123">
        <f t="shared" si="128"/>
        <v>0</v>
      </c>
      <c r="BN120" s="123">
        <f t="shared" si="129"/>
        <v>0</v>
      </c>
      <c r="BO120" s="123">
        <f t="shared" si="130"/>
        <v>0</v>
      </c>
      <c r="BP120" s="123">
        <f t="shared" si="131"/>
        <v>0</v>
      </c>
      <c r="BQ120" s="123">
        <f t="shared" si="132"/>
        <v>0</v>
      </c>
      <c r="BR120" s="123">
        <f t="shared" si="133"/>
        <v>0</v>
      </c>
      <c r="BS120" s="123"/>
      <c r="BT120" s="123"/>
      <c r="BU120" s="123">
        <f t="shared" si="134"/>
        <v>0</v>
      </c>
      <c r="BV120" s="123">
        <f t="shared" si="135"/>
        <v>0</v>
      </c>
      <c r="BX120" s="123">
        <f t="shared" si="136"/>
        <v>0</v>
      </c>
      <c r="BY120" s="123"/>
    </row>
    <row r="121" spans="5:77" x14ac:dyDescent="0.2">
      <c r="E121">
        <v>110</v>
      </c>
      <c r="F121">
        <v>1500000</v>
      </c>
      <c r="G121" s="58">
        <f t="shared" si="137"/>
        <v>-59.108088597683647</v>
      </c>
      <c r="H121" s="58">
        <f t="shared" si="138"/>
        <v>-175.01670580591434</v>
      </c>
      <c r="I121">
        <f t="shared" si="139"/>
        <v>-11.402137880243155</v>
      </c>
      <c r="J121">
        <f t="shared" si="140"/>
        <v>-0.76633801407024893</v>
      </c>
      <c r="K121" t="str">
        <f t="shared" si="141"/>
        <v>2539.42636004476-3419.0749445596i</v>
      </c>
      <c r="L121" t="str">
        <f t="shared" si="142"/>
        <v>3300-10610.3317468765i</v>
      </c>
      <c r="M121" t="str">
        <f t="shared" si="143"/>
        <v>4205.22499671268-9839.4418431972i</v>
      </c>
      <c r="N121">
        <f t="shared" si="99"/>
        <v>-10.863318064080898</v>
      </c>
      <c r="O121">
        <f t="shared" si="144"/>
        <v>9.6395408938302811</v>
      </c>
      <c r="P121" t="str">
        <f t="shared" si="145"/>
        <v>-321.525204450804i</v>
      </c>
      <c r="Q121" t="str">
        <f t="shared" si="146"/>
        <v>3300-2.25751739295245i</v>
      </c>
      <c r="R121" t="str">
        <f t="shared" si="100"/>
        <v>31.0281055271477-318.480851583762i</v>
      </c>
      <c r="S121" t="str">
        <f t="shared" si="147"/>
        <v>28.1447770234071-53051.6438031116i</v>
      </c>
      <c r="T121" t="str">
        <f t="shared" si="101"/>
        <v>30.6598789186751-316.597979861559i</v>
      </c>
      <c r="U121" t="str">
        <f t="shared" si="102"/>
        <v>0.0174672489082969-0.131004366812227i</v>
      </c>
      <c r="V121">
        <f t="shared" si="148"/>
        <v>-27.527052439623532</v>
      </c>
      <c r="W121">
        <f t="shared" si="149"/>
        <v>-166.8740206488261</v>
      </c>
      <c r="X121">
        <f t="shared" si="103"/>
        <v>-17.577754910119261</v>
      </c>
      <c r="Y121">
        <f t="shared" si="150"/>
        <v>-82.405373775359777</v>
      </c>
      <c r="AA121" s="123">
        <f t="shared" si="104"/>
        <v>-70.510226477926807</v>
      </c>
      <c r="AB121" s="123">
        <f t="shared" si="105"/>
        <v>-175.78304381998458</v>
      </c>
      <c r="AC121">
        <f t="shared" si="106"/>
        <v>-38.390370503704432</v>
      </c>
      <c r="AD121">
        <f t="shared" si="107"/>
        <v>-157.23447975499582</v>
      </c>
      <c r="AE121" s="123">
        <f t="shared" si="108"/>
        <v>-108.90059698163124</v>
      </c>
      <c r="AF121" s="123">
        <f t="shared" si="109"/>
        <v>-333.01752357498037</v>
      </c>
      <c r="AI121" s="123">
        <f t="shared" si="110"/>
        <v>0</v>
      </c>
      <c r="AJ121" s="123">
        <f t="shared" si="111"/>
        <v>0</v>
      </c>
      <c r="AK121" s="123">
        <f t="shared" si="112"/>
        <v>0</v>
      </c>
      <c r="AL121" s="123">
        <f t="shared" si="113"/>
        <v>0</v>
      </c>
      <c r="AM121" s="123">
        <f t="shared" si="114"/>
        <v>0</v>
      </c>
      <c r="AN121" s="123">
        <f t="shared" si="115"/>
        <v>0</v>
      </c>
      <c r="AO121" s="123">
        <f t="shared" si="116"/>
        <v>0</v>
      </c>
      <c r="AP121" s="123"/>
      <c r="AQ121" s="123">
        <f t="shared" si="117"/>
        <v>0</v>
      </c>
      <c r="AR121" s="123">
        <f t="shared" si="118"/>
        <v>0</v>
      </c>
      <c r="AS121" s="123">
        <f t="shared" si="119"/>
        <v>0</v>
      </c>
      <c r="AW121" t="str">
        <f t="shared" si="151"/>
        <v>12700</v>
      </c>
      <c r="AX121" t="str">
        <f t="shared" si="152"/>
        <v>75-1.06103317468765i</v>
      </c>
      <c r="AY121" t="str">
        <f t="shared" si="120"/>
        <v>74.5597739813313-1.0486114226882i</v>
      </c>
      <c r="AZ121">
        <f t="shared" si="153"/>
        <v>-36.5284494928448</v>
      </c>
      <c r="BA121">
        <f t="shared" si="154"/>
        <v>-0.80575701006217948</v>
      </c>
      <c r="BB121">
        <f t="shared" si="155"/>
        <v>-8.08923736482717E-8</v>
      </c>
      <c r="BC121">
        <f t="shared" si="156"/>
        <v>4.5117505051777383E-3</v>
      </c>
      <c r="BD121" s="123">
        <f t="shared" si="121"/>
        <v>-59.108088678576017</v>
      </c>
      <c r="BE121" s="123">
        <f t="shared" si="122"/>
        <v>-175.01219405540917</v>
      </c>
      <c r="BF121">
        <f t="shared" si="123"/>
        <v>-64.055501932468331</v>
      </c>
      <c r="BG121">
        <f t="shared" si="124"/>
        <v>-167.67977765888827</v>
      </c>
      <c r="BH121" s="123">
        <f t="shared" si="125"/>
        <v>-123.16359061104436</v>
      </c>
      <c r="BI121" s="123">
        <f t="shared" si="126"/>
        <v>-342.69197171429744</v>
      </c>
      <c r="BL121" s="123">
        <f t="shared" si="127"/>
        <v>0</v>
      </c>
      <c r="BM121" s="123">
        <f t="shared" si="128"/>
        <v>0</v>
      </c>
      <c r="BN121" s="123">
        <f t="shared" si="129"/>
        <v>0</v>
      </c>
      <c r="BO121" s="123">
        <f t="shared" si="130"/>
        <v>0</v>
      </c>
      <c r="BP121" s="123">
        <f t="shared" si="131"/>
        <v>0</v>
      </c>
      <c r="BQ121" s="123">
        <f t="shared" si="132"/>
        <v>0</v>
      </c>
      <c r="BR121" s="123">
        <f t="shared" si="133"/>
        <v>0</v>
      </c>
      <c r="BS121" s="123"/>
      <c r="BT121" s="123"/>
      <c r="BU121" s="123">
        <f t="shared" si="134"/>
        <v>0</v>
      </c>
      <c r="BV121" s="123">
        <f t="shared" si="135"/>
        <v>0</v>
      </c>
      <c r="BX121" s="123">
        <f t="shared" si="136"/>
        <v>0</v>
      </c>
      <c r="BY121" s="123"/>
    </row>
    <row r="122" spans="5:77" x14ac:dyDescent="0.2">
      <c r="E122">
        <v>111</v>
      </c>
      <c r="F122">
        <v>2000000</v>
      </c>
      <c r="G122" s="58">
        <f t="shared" si="137"/>
        <v>-64.095485239461922</v>
      </c>
      <c r="H122" s="58">
        <f t="shared" si="138"/>
        <v>-176.26022841182598</v>
      </c>
      <c r="I122">
        <f t="shared" si="139"/>
        <v>-11.402485790387685</v>
      </c>
      <c r="J122">
        <f t="shared" si="140"/>
        <v>-0.57476904172490972</v>
      </c>
      <c r="K122" t="str">
        <f t="shared" si="141"/>
        <v>1691.52724630231-3036.62197986592i</v>
      </c>
      <c r="L122" t="str">
        <f t="shared" si="142"/>
        <v>3300-7957.7488101574i</v>
      </c>
      <c r="M122" t="str">
        <f t="shared" si="143"/>
        <v>3765.67580652853-7413.44219600096i</v>
      </c>
      <c r="N122">
        <f t="shared" si="99"/>
        <v>-10.608166771528932</v>
      </c>
      <c r="O122">
        <f t="shared" si="144"/>
        <v>1.5453250094042574</v>
      </c>
      <c r="P122" t="str">
        <f t="shared" si="145"/>
        <v>-241.143903338103i</v>
      </c>
      <c r="Q122" t="str">
        <f t="shared" si="146"/>
        <v>3300-1.69313804471434i</v>
      </c>
      <c r="R122" t="str">
        <f t="shared" si="100"/>
        <v>17.5264215711062-239.854186865268i</v>
      </c>
      <c r="S122" t="str">
        <f t="shared" si="147"/>
        <v>15.8314390250454-39788.7377516562i</v>
      </c>
      <c r="T122" t="str">
        <f t="shared" si="101"/>
        <v>17.3175738883851-238.424463274103i</v>
      </c>
      <c r="U122" t="str">
        <f t="shared" si="102"/>
        <v>0.0099009900990099-0.099009900990099i</v>
      </c>
      <c r="V122">
        <f t="shared" si="148"/>
        <v>-32.473346017606175</v>
      </c>
      <c r="W122">
        <f t="shared" si="149"/>
        <v>-170.13515153328029</v>
      </c>
      <c r="X122">
        <f t="shared" si="103"/>
        <v>-20.043213737826427</v>
      </c>
      <c r="Y122">
        <f t="shared" si="150"/>
        <v>-84.289424398417182</v>
      </c>
      <c r="AA122" s="123">
        <f t="shared" si="104"/>
        <v>-75.497971029849609</v>
      </c>
      <c r="AB122" s="123">
        <f t="shared" si="105"/>
        <v>-176.8349974535509</v>
      </c>
      <c r="AC122">
        <f t="shared" si="106"/>
        <v>-43.081512789135104</v>
      </c>
      <c r="AD122">
        <f t="shared" si="107"/>
        <v>-168.58982652387604</v>
      </c>
      <c r="AE122" s="123">
        <f t="shared" si="108"/>
        <v>-118.57948381898471</v>
      </c>
      <c r="AF122" s="123">
        <f t="shared" si="109"/>
        <v>-345.42482397742697</v>
      </c>
      <c r="AI122" s="123">
        <f t="shared" si="110"/>
        <v>0</v>
      </c>
      <c r="AJ122" s="123">
        <f t="shared" si="111"/>
        <v>0</v>
      </c>
      <c r="AK122" s="123">
        <f t="shared" si="112"/>
        <v>0</v>
      </c>
      <c r="AL122" s="123">
        <f t="shared" si="113"/>
        <v>0</v>
      </c>
      <c r="AM122" s="123">
        <f t="shared" si="114"/>
        <v>0</v>
      </c>
      <c r="AN122" s="123">
        <f t="shared" si="115"/>
        <v>0</v>
      </c>
      <c r="AO122" s="123">
        <f t="shared" si="116"/>
        <v>0</v>
      </c>
      <c r="AP122" s="123"/>
      <c r="AQ122" s="123">
        <f t="shared" si="117"/>
        <v>0</v>
      </c>
      <c r="AR122" s="123">
        <f t="shared" si="118"/>
        <v>0</v>
      </c>
      <c r="AS122" s="123">
        <f t="shared" si="119"/>
        <v>0</v>
      </c>
      <c r="AW122" t="str">
        <f t="shared" si="151"/>
        <v>12700</v>
      </c>
      <c r="AX122" t="str">
        <f t="shared" si="152"/>
        <v>75-0.79577488101574i</v>
      </c>
      <c r="AY122" t="str">
        <f t="shared" si="120"/>
        <v>74.5597358781976-0.786458569389656i</v>
      </c>
      <c r="AZ122">
        <f t="shared" si="153"/>
        <v>-36.528829695281409</v>
      </c>
      <c r="BA122">
        <f t="shared" si="154"/>
        <v>-0.6043354979021367</v>
      </c>
      <c r="BB122">
        <f t="shared" si="155"/>
        <v>-4.5502007637853044E-8</v>
      </c>
      <c r="BC122">
        <f t="shared" si="156"/>
        <v>3.3838129003513819E-3</v>
      </c>
      <c r="BD122" s="123">
        <f t="shared" si="121"/>
        <v>-64.095485284963928</v>
      </c>
      <c r="BE122" s="123">
        <f t="shared" si="122"/>
        <v>-176.25684459892562</v>
      </c>
      <c r="BF122">
        <f t="shared" si="123"/>
        <v>-69.002175712887578</v>
      </c>
      <c r="BG122">
        <f t="shared" si="124"/>
        <v>-170.73948703118242</v>
      </c>
      <c r="BH122" s="123">
        <f t="shared" si="125"/>
        <v>-133.09766099785151</v>
      </c>
      <c r="BI122" s="123">
        <f t="shared" si="126"/>
        <v>-346.99633163010805</v>
      </c>
      <c r="BL122" s="123">
        <f t="shared" si="127"/>
        <v>0</v>
      </c>
      <c r="BM122" s="123">
        <f t="shared" si="128"/>
        <v>0</v>
      </c>
      <c r="BN122" s="123">
        <f t="shared" si="129"/>
        <v>0</v>
      </c>
      <c r="BO122" s="123">
        <f t="shared" si="130"/>
        <v>0</v>
      </c>
      <c r="BP122" s="123">
        <f t="shared" si="131"/>
        <v>0</v>
      </c>
      <c r="BQ122" s="123">
        <f t="shared" si="132"/>
        <v>0</v>
      </c>
      <c r="BR122" s="123">
        <f t="shared" si="133"/>
        <v>0</v>
      </c>
      <c r="BS122" s="123"/>
      <c r="BT122" s="123"/>
      <c r="BU122" s="123">
        <f t="shared" si="134"/>
        <v>0</v>
      </c>
      <c r="BV122" s="123">
        <f t="shared" si="135"/>
        <v>0</v>
      </c>
      <c r="BX122" s="123">
        <f t="shared" si="136"/>
        <v>0</v>
      </c>
      <c r="BY122" s="123"/>
    </row>
    <row r="123" spans="5:77" x14ac:dyDescent="0.2">
      <c r="E123">
        <v>112</v>
      </c>
      <c r="F123">
        <v>2500000</v>
      </c>
      <c r="G123" s="58">
        <f t="shared" si="137"/>
        <v>-67.967179099387806</v>
      </c>
      <c r="H123" s="58">
        <f t="shared" si="138"/>
        <v>-177.007333083341</v>
      </c>
      <c r="I123">
        <f t="shared" si="139"/>
        <v>-11.402646832521736</v>
      </c>
      <c r="J123">
        <f t="shared" si="140"/>
        <v>-0.4598209847555722</v>
      </c>
      <c r="K123" t="str">
        <f t="shared" si="141"/>
        <v>1183.47193916194-2655.70426878261i</v>
      </c>
      <c r="L123" t="str">
        <f t="shared" si="142"/>
        <v>3300-6366.19904812592i</v>
      </c>
      <c r="M123" t="str">
        <f t="shared" si="143"/>
        <v>3560.85882243363-5943.37627073286i</v>
      </c>
      <c r="N123">
        <f t="shared" si="99"/>
        <v>-10.572851827102404</v>
      </c>
      <c r="O123">
        <f t="shared" si="144"/>
        <v>-4.8672613738530819</v>
      </c>
      <c r="P123" t="str">
        <f t="shared" si="145"/>
        <v>-192.915122670482i</v>
      </c>
      <c r="Q123" t="str">
        <f t="shared" si="146"/>
        <v>3300-1.35451043577147i</v>
      </c>
      <c r="R123" t="str">
        <f t="shared" si="100"/>
        <v>11.238700707812-192.253505014998i</v>
      </c>
      <c r="S123" t="str">
        <f t="shared" si="147"/>
        <v>10.1321215534909-31830.9920154745i</v>
      </c>
      <c r="T123" t="str">
        <f t="shared" si="101"/>
        <v>11.1045239499178-191.103154116273i</v>
      </c>
      <c r="U123" t="str">
        <f t="shared" si="102"/>
        <v>0.00635930047694754-0.0794912559618442i</v>
      </c>
      <c r="V123">
        <f t="shared" si="148"/>
        <v>-36.325910274425411</v>
      </c>
      <c r="W123">
        <f t="shared" si="149"/>
        <v>-172.10054035685209</v>
      </c>
      <c r="X123">
        <f t="shared" si="103"/>
        <v>-21.965906541173066</v>
      </c>
      <c r="Y123">
        <f t="shared" si="150"/>
        <v>-85.426096512493871</v>
      </c>
      <c r="AA123" s="123">
        <f t="shared" si="104"/>
        <v>-79.369825931909546</v>
      </c>
      <c r="AB123" s="123">
        <f t="shared" si="105"/>
        <v>-177.46715406809656</v>
      </c>
      <c r="AC123">
        <f t="shared" si="106"/>
        <v>-46.898762101527815</v>
      </c>
      <c r="AD123">
        <f t="shared" si="107"/>
        <v>-176.96780173070516</v>
      </c>
      <c r="AE123" s="123">
        <f t="shared" si="108"/>
        <v>-126.26858803343737</v>
      </c>
      <c r="AF123" s="123">
        <f t="shared" si="109"/>
        <v>-354.43495579880175</v>
      </c>
      <c r="AI123" s="123">
        <f t="shared" si="110"/>
        <v>0</v>
      </c>
      <c r="AJ123" s="123">
        <f t="shared" si="111"/>
        <v>0</v>
      </c>
      <c r="AK123" s="123">
        <f t="shared" si="112"/>
        <v>0</v>
      </c>
      <c r="AL123" s="123">
        <f t="shared" si="113"/>
        <v>0</v>
      </c>
      <c r="AM123" s="123">
        <f t="shared" si="114"/>
        <v>0</v>
      </c>
      <c r="AN123" s="123">
        <f t="shared" si="115"/>
        <v>0</v>
      </c>
      <c r="AO123" s="123">
        <f t="shared" si="116"/>
        <v>0</v>
      </c>
      <c r="AP123" s="123"/>
      <c r="AQ123" s="123">
        <f t="shared" si="117"/>
        <v>0</v>
      </c>
      <c r="AR123" s="123">
        <f t="shared" si="118"/>
        <v>0</v>
      </c>
      <c r="AS123" s="123">
        <f t="shared" si="119"/>
        <v>0</v>
      </c>
      <c r="AW123" t="str">
        <f t="shared" si="151"/>
        <v>12700</v>
      </c>
      <c r="AX123" t="str">
        <f t="shared" si="152"/>
        <v>75-0.636619904812592i</v>
      </c>
      <c r="AY123" t="str">
        <f t="shared" si="120"/>
        <v>74.55971824189-0.6291668563906i</v>
      </c>
      <c r="AZ123">
        <f t="shared" si="153"/>
        <v>-36.529005685964748</v>
      </c>
      <c r="BA123">
        <f t="shared" si="154"/>
        <v>-0.483474967826727</v>
      </c>
      <c r="BB123">
        <f t="shared" si="155"/>
        <v>-2.912124015454453E-8</v>
      </c>
      <c r="BC123">
        <f t="shared" si="156"/>
        <v>2.7070503282344651E-3</v>
      </c>
      <c r="BD123" s="123">
        <f t="shared" si="121"/>
        <v>-67.967179128509045</v>
      </c>
      <c r="BE123" s="123">
        <f t="shared" si="122"/>
        <v>-177.00462603301276</v>
      </c>
      <c r="BF123">
        <f t="shared" si="123"/>
        <v>-72.854915960390159</v>
      </c>
      <c r="BG123">
        <f t="shared" si="124"/>
        <v>-172.58401532467883</v>
      </c>
      <c r="BH123" s="123">
        <f t="shared" si="125"/>
        <v>-140.8220950888992</v>
      </c>
      <c r="BI123" s="123">
        <f t="shared" si="126"/>
        <v>-349.58864135769159</v>
      </c>
      <c r="BL123" s="123">
        <f t="shared" si="127"/>
        <v>0</v>
      </c>
      <c r="BM123" s="123">
        <f t="shared" si="128"/>
        <v>0</v>
      </c>
      <c r="BN123" s="123">
        <f t="shared" si="129"/>
        <v>0</v>
      </c>
      <c r="BO123" s="123">
        <f t="shared" si="130"/>
        <v>0</v>
      </c>
      <c r="BP123" s="123">
        <f t="shared" si="131"/>
        <v>0</v>
      </c>
      <c r="BQ123" s="123">
        <f t="shared" si="132"/>
        <v>0</v>
      </c>
      <c r="BR123" s="123">
        <f t="shared" si="133"/>
        <v>0</v>
      </c>
      <c r="BS123" s="123"/>
      <c r="BT123" s="123"/>
      <c r="BU123" s="123">
        <f t="shared" si="134"/>
        <v>0</v>
      </c>
      <c r="BV123" s="123">
        <f t="shared" si="135"/>
        <v>0</v>
      </c>
      <c r="BX123" s="123">
        <f t="shared" si="136"/>
        <v>0</v>
      </c>
      <c r="BY123" s="123"/>
    </row>
    <row r="124" spans="5:77" x14ac:dyDescent="0.2">
      <c r="E124">
        <v>113</v>
      </c>
      <c r="F124">
        <v>3000000</v>
      </c>
      <c r="G124" s="58">
        <f t="shared" si="137"/>
        <v>-71.131870281345357</v>
      </c>
      <c r="H124" s="58">
        <f t="shared" si="138"/>
        <v>-177.50572877172297</v>
      </c>
      <c r="I124">
        <f t="shared" si="139"/>
        <v>-11.402734314703283</v>
      </c>
      <c r="J124">
        <f t="shared" si="140"/>
        <v>-0.38318675755576403</v>
      </c>
      <c r="K124" t="str">
        <f t="shared" si="141"/>
        <v>865.681778395261-2331.10195675914i</v>
      </c>
      <c r="L124" t="str">
        <f t="shared" si="142"/>
        <v>3300-5305.16587343826i</v>
      </c>
      <c r="M124" t="str">
        <f t="shared" si="143"/>
        <v>3449.23436891697-4958.54624279146i</v>
      </c>
      <c r="N124">
        <f t="shared" si="99"/>
        <v>-10.646368910711413</v>
      </c>
      <c r="O124">
        <f t="shared" si="144"/>
        <v>-10.249237435655182</v>
      </c>
      <c r="P124" t="str">
        <f t="shared" si="145"/>
        <v>-160.762602225402i</v>
      </c>
      <c r="Q124" t="str">
        <f t="shared" si="146"/>
        <v>3300-1.12875869647623i</v>
      </c>
      <c r="R124" t="str">
        <f t="shared" si="100"/>
        <v>7.8128981011785-160.379317162874i</v>
      </c>
      <c r="S124" t="str">
        <f t="shared" si="147"/>
        <v>7.03619574109294-26525.827500782i</v>
      </c>
      <c r="T124" t="str">
        <f t="shared" si="101"/>
        <v>7.71952494316313-159.41770164821i</v>
      </c>
      <c r="U124" t="str">
        <f t="shared" si="102"/>
        <v>0.00442477876106195-0.0663716814159292i</v>
      </c>
      <c r="V124">
        <f t="shared" si="148"/>
        <v>-39.480182051123805</v>
      </c>
      <c r="W124">
        <f t="shared" si="149"/>
        <v>-173.41367824369297</v>
      </c>
      <c r="X124">
        <f t="shared" si="103"/>
        <v>-23.541084391474008</v>
      </c>
      <c r="Y124">
        <f t="shared" si="150"/>
        <v>-86.18594309618598</v>
      </c>
      <c r="AA124" s="123">
        <f t="shared" si="104"/>
        <v>-82.534604596048638</v>
      </c>
      <c r="AB124" s="123">
        <f t="shared" si="105"/>
        <v>-177.88891552927873</v>
      </c>
      <c r="AC124">
        <f t="shared" si="106"/>
        <v>-50.126550961835221</v>
      </c>
      <c r="AD124">
        <f t="shared" si="107"/>
        <v>-183.66291567934815</v>
      </c>
      <c r="AE124" s="123">
        <f t="shared" si="108"/>
        <v>-132.66115555788386</v>
      </c>
      <c r="AF124" s="123">
        <f t="shared" si="109"/>
        <v>-361.55183120862688</v>
      </c>
      <c r="AI124" s="123">
        <f t="shared" si="110"/>
        <v>0</v>
      </c>
      <c r="AJ124" s="123">
        <f t="shared" si="111"/>
        <v>0</v>
      </c>
      <c r="AK124" s="123">
        <f t="shared" si="112"/>
        <v>0</v>
      </c>
      <c r="AL124" s="123">
        <f t="shared" si="113"/>
        <v>0</v>
      </c>
      <c r="AM124" s="123">
        <f t="shared" si="114"/>
        <v>0</v>
      </c>
      <c r="AN124" s="123">
        <f t="shared" si="115"/>
        <v>0</v>
      </c>
      <c r="AO124" s="123">
        <f t="shared" si="116"/>
        <v>0</v>
      </c>
      <c r="AP124" s="123"/>
      <c r="AQ124" s="123">
        <f t="shared" si="117"/>
        <v>0</v>
      </c>
      <c r="AR124" s="123">
        <f t="shared" si="118"/>
        <v>0</v>
      </c>
      <c r="AS124" s="123">
        <f t="shared" si="119"/>
        <v>0</v>
      </c>
      <c r="AW124" t="str">
        <f t="shared" si="151"/>
        <v>12700</v>
      </c>
      <c r="AX124" t="str">
        <f t="shared" si="152"/>
        <v>75-0.530516587343827i</v>
      </c>
      <c r="AY124" t="str">
        <f t="shared" si="120"/>
        <v>74.5597086616734-0.524305714056678i</v>
      </c>
      <c r="AZ124">
        <f t="shared" si="153"/>
        <v>-36.529101288831633</v>
      </c>
      <c r="BA124">
        <f t="shared" si="154"/>
        <v>-0.40289878048387351</v>
      </c>
      <c r="BB124">
        <f t="shared" si="155"/>
        <v>-2.0223055973751289E-8</v>
      </c>
      <c r="BC124">
        <f t="shared" si="156"/>
        <v>2.2558752771264638E-3</v>
      </c>
      <c r="BD124" s="123">
        <f t="shared" si="121"/>
        <v>-71.131870301568412</v>
      </c>
      <c r="BE124" s="123">
        <f t="shared" si="122"/>
        <v>-177.50347289644586</v>
      </c>
      <c r="BF124">
        <f t="shared" si="123"/>
        <v>-76.009283339955431</v>
      </c>
      <c r="BG124">
        <f t="shared" si="124"/>
        <v>-173.81657702417684</v>
      </c>
      <c r="BH124" s="123">
        <f t="shared" si="125"/>
        <v>-147.14115364152383</v>
      </c>
      <c r="BI124" s="123">
        <f t="shared" si="126"/>
        <v>-351.32004992062269</v>
      </c>
      <c r="BL124" s="123">
        <f t="shared" si="127"/>
        <v>0</v>
      </c>
      <c r="BM124" s="123">
        <f t="shared" si="128"/>
        <v>0</v>
      </c>
      <c r="BN124" s="123">
        <f t="shared" si="129"/>
        <v>0</v>
      </c>
      <c r="BO124" s="123">
        <f t="shared" si="130"/>
        <v>0</v>
      </c>
      <c r="BP124" s="123">
        <f t="shared" si="131"/>
        <v>0</v>
      </c>
      <c r="BQ124" s="123">
        <f t="shared" si="132"/>
        <v>0</v>
      </c>
      <c r="BR124" s="123">
        <f t="shared" si="133"/>
        <v>0</v>
      </c>
      <c r="BS124" s="123"/>
      <c r="BT124" s="123"/>
      <c r="BU124" s="123">
        <f t="shared" si="134"/>
        <v>0</v>
      </c>
      <c r="BV124" s="123">
        <f t="shared" si="135"/>
        <v>0</v>
      </c>
      <c r="BX124" s="123">
        <f t="shared" si="136"/>
        <v>0</v>
      </c>
      <c r="BY124" s="123"/>
    </row>
    <row r="125" spans="5:77" x14ac:dyDescent="0.2">
      <c r="E125">
        <v>114</v>
      </c>
      <c r="F125">
        <v>3500000</v>
      </c>
      <c r="G125" s="58">
        <f t="shared" si="137"/>
        <v>-73.808198409147835</v>
      </c>
      <c r="H125" s="58">
        <f t="shared" si="138"/>
        <v>-177.86185775243999</v>
      </c>
      <c r="I125">
        <f t="shared" si="139"/>
        <v>-11.402787064551438</v>
      </c>
      <c r="J125">
        <f t="shared" si="140"/>
        <v>-0.32844713783187141</v>
      </c>
      <c r="K125" t="str">
        <f t="shared" si="141"/>
        <v>657.140736490108-2064.46808063143i</v>
      </c>
      <c r="L125" t="str">
        <f t="shared" si="142"/>
        <v>3300-4547.28503437566i</v>
      </c>
      <c r="M125" t="str">
        <f t="shared" si="143"/>
        <v>3381.80337914353-4253.15081841612i</v>
      </c>
      <c r="N125">
        <f t="shared" si="99"/>
        <v>-10.784020303194183</v>
      </c>
      <c r="O125">
        <f t="shared" si="144"/>
        <v>-14.934575442922968</v>
      </c>
      <c r="P125" t="str">
        <f t="shared" si="145"/>
        <v>-137.796516193202i</v>
      </c>
      <c r="Q125" t="str">
        <f t="shared" si="146"/>
        <v>3300-0.96750745412248i</v>
      </c>
      <c r="R125" t="str">
        <f t="shared" si="100"/>
        <v>5.74374702748239-137.554993330067i</v>
      </c>
      <c r="S125" t="str">
        <f t="shared" si="147"/>
        <v>5.16945002873206-22736.4239965302i</v>
      </c>
      <c r="T125" t="str">
        <f t="shared" si="101"/>
        <v>5.67505980238178-136.729201929029i</v>
      </c>
      <c r="U125" t="str">
        <f t="shared" si="102"/>
        <v>0.0032546786004882-0.0569568755085435i</v>
      </c>
      <c r="V125">
        <f t="shared" si="148"/>
        <v>-42.150218034551571</v>
      </c>
      <c r="W125">
        <f t="shared" si="149"/>
        <v>-174.35280334123303</v>
      </c>
      <c r="X125">
        <f t="shared" si="103"/>
        <v>-24.874918915584921</v>
      </c>
      <c r="Y125">
        <f t="shared" si="150"/>
        <v>-86.729530120382833</v>
      </c>
      <c r="AA125" s="123">
        <f t="shared" si="104"/>
        <v>-85.210985473699267</v>
      </c>
      <c r="AB125" s="123">
        <f t="shared" si="105"/>
        <v>-178.19030489027185</v>
      </c>
      <c r="AC125">
        <f t="shared" si="106"/>
        <v>-52.934238337745754</v>
      </c>
      <c r="AD125">
        <f t="shared" si="107"/>
        <v>-189.287378784156</v>
      </c>
      <c r="AE125" s="123">
        <f t="shared" si="108"/>
        <v>-138.14522381144502</v>
      </c>
      <c r="AF125" s="123">
        <f t="shared" si="109"/>
        <v>-367.47768367442785</v>
      </c>
      <c r="AI125" s="123">
        <f t="shared" si="110"/>
        <v>0</v>
      </c>
      <c r="AJ125" s="123">
        <f t="shared" si="111"/>
        <v>0</v>
      </c>
      <c r="AK125" s="123">
        <f t="shared" si="112"/>
        <v>0</v>
      </c>
      <c r="AL125" s="123">
        <f t="shared" si="113"/>
        <v>0</v>
      </c>
      <c r="AM125" s="123">
        <f t="shared" si="114"/>
        <v>0</v>
      </c>
      <c r="AN125" s="123">
        <f t="shared" si="115"/>
        <v>0</v>
      </c>
      <c r="AO125" s="123">
        <f t="shared" si="116"/>
        <v>0</v>
      </c>
      <c r="AP125" s="123"/>
      <c r="AQ125" s="123">
        <f t="shared" si="117"/>
        <v>0</v>
      </c>
      <c r="AR125" s="123">
        <f t="shared" si="118"/>
        <v>0</v>
      </c>
      <c r="AS125" s="123">
        <f t="shared" si="119"/>
        <v>0</v>
      </c>
      <c r="AW125" t="str">
        <f t="shared" si="151"/>
        <v>12700</v>
      </c>
      <c r="AX125" t="str">
        <f t="shared" si="152"/>
        <v>75-0.454728503437566i</v>
      </c>
      <c r="AY125" t="str">
        <f t="shared" si="120"/>
        <v>74.559702885105-0.449404897968485i</v>
      </c>
      <c r="AZ125">
        <f t="shared" si="153"/>
        <v>-36.529158935362233</v>
      </c>
      <c r="BA125">
        <f t="shared" si="154"/>
        <v>-0.3453433489087599</v>
      </c>
      <c r="BB125">
        <f t="shared" si="155"/>
        <v>-1.4857794450120205E-8</v>
      </c>
      <c r="BC125">
        <f t="shared" si="156"/>
        <v>1.9336073822534487E-3</v>
      </c>
      <c r="BD125" s="123">
        <f t="shared" si="121"/>
        <v>-73.808198424005624</v>
      </c>
      <c r="BE125" s="123">
        <f t="shared" si="122"/>
        <v>-177.85992414505773</v>
      </c>
      <c r="BF125">
        <f t="shared" si="123"/>
        <v>-78.679376969913804</v>
      </c>
      <c r="BG125">
        <f t="shared" si="124"/>
        <v>-174.69814669014178</v>
      </c>
      <c r="BH125" s="123">
        <f t="shared" si="125"/>
        <v>-152.48757539391943</v>
      </c>
      <c r="BI125" s="123">
        <f t="shared" si="126"/>
        <v>-352.55807083519949</v>
      </c>
      <c r="BL125" s="123">
        <f t="shared" si="127"/>
        <v>0</v>
      </c>
      <c r="BM125" s="123">
        <f t="shared" si="128"/>
        <v>0</v>
      </c>
      <c r="BN125" s="123">
        <f t="shared" si="129"/>
        <v>0</v>
      </c>
      <c r="BO125" s="123">
        <f t="shared" si="130"/>
        <v>0</v>
      </c>
      <c r="BP125" s="123">
        <f t="shared" si="131"/>
        <v>0</v>
      </c>
      <c r="BQ125" s="123">
        <f t="shared" si="132"/>
        <v>0</v>
      </c>
      <c r="BR125" s="123">
        <f t="shared" si="133"/>
        <v>0</v>
      </c>
      <c r="BS125" s="123"/>
      <c r="BT125" s="123"/>
      <c r="BU125" s="123">
        <f t="shared" si="134"/>
        <v>0</v>
      </c>
      <c r="BV125" s="123">
        <f t="shared" si="135"/>
        <v>0</v>
      </c>
      <c r="BX125" s="123">
        <f t="shared" si="136"/>
        <v>0</v>
      </c>
      <c r="BY125" s="123"/>
    </row>
    <row r="126" spans="5:77" x14ac:dyDescent="0.2">
      <c r="E126">
        <v>115</v>
      </c>
      <c r="F126">
        <v>4000000</v>
      </c>
      <c r="G126" s="58">
        <f t="shared" si="137"/>
        <v>-76.126874256624632</v>
      </c>
      <c r="H126" s="58">
        <f t="shared" si="138"/>
        <v>-178.12901612324015</v>
      </c>
      <c r="I126">
        <f t="shared" si="139"/>
        <v>-11.402821301574637</v>
      </c>
      <c r="J126">
        <f t="shared" si="140"/>
        <v>-0.28739200981336205</v>
      </c>
      <c r="K126" t="str">
        <f t="shared" si="141"/>
        <v>514.211015618698-1846.21852911951i</v>
      </c>
      <c r="L126" t="str">
        <f t="shared" si="142"/>
        <v>3300-3978.8744050787i</v>
      </c>
      <c r="M126" t="str">
        <f t="shared" si="143"/>
        <v>3337.98764647385-3723.19464566163i</v>
      </c>
      <c r="N126">
        <f t="shared" si="99"/>
        <v>-10.963998532195767</v>
      </c>
      <c r="O126">
        <f t="shared" si="144"/>
        <v>-19.106821924079782</v>
      </c>
      <c r="P126" t="str">
        <f t="shared" si="145"/>
        <v>-120.571951669051i</v>
      </c>
      <c r="Q126" t="str">
        <f t="shared" si="146"/>
        <v>3300-0.84656902235717i</v>
      </c>
      <c r="R126" t="str">
        <f t="shared" si="100"/>
        <v>4.39937627459575-120.410083257164i</v>
      </c>
      <c r="S126" t="str">
        <f t="shared" si="147"/>
        <v>3.95786022620101-19894.3712380021i</v>
      </c>
      <c r="T126" t="str">
        <f t="shared" si="101"/>
        <v>4.3467445482868-119.686634259058i</v>
      </c>
      <c r="U126" t="str">
        <f t="shared" si="102"/>
        <v>0.00249376558603491-0.0498753117206982i</v>
      </c>
      <c r="V126">
        <f t="shared" si="148"/>
        <v>-44.464806175435271</v>
      </c>
      <c r="W126">
        <f t="shared" si="149"/>
        <v>-175.05769379457266</v>
      </c>
      <c r="X126">
        <f t="shared" si="103"/>
        <v>-26.031443726201829</v>
      </c>
      <c r="Y126">
        <f t="shared" si="150"/>
        <v>-87.137612902353865</v>
      </c>
      <c r="AA126" s="123">
        <f t="shared" si="104"/>
        <v>-87.529695558199265</v>
      </c>
      <c r="AB126" s="123">
        <f t="shared" si="105"/>
        <v>-178.41640813305352</v>
      </c>
      <c r="AC126">
        <f t="shared" si="106"/>
        <v>-55.428804707631038</v>
      </c>
      <c r="AD126">
        <f t="shared" si="107"/>
        <v>-194.16451571865244</v>
      </c>
      <c r="AE126" s="123">
        <f t="shared" si="108"/>
        <v>-142.95850026583031</v>
      </c>
      <c r="AF126" s="123">
        <f t="shared" si="109"/>
        <v>-372.58092385170596</v>
      </c>
      <c r="AI126" s="123">
        <f t="shared" si="110"/>
        <v>0</v>
      </c>
      <c r="AJ126" s="123">
        <f t="shared" si="111"/>
        <v>0</v>
      </c>
      <c r="AK126" s="123">
        <f t="shared" si="112"/>
        <v>0</v>
      </c>
      <c r="AL126" s="123">
        <f t="shared" si="113"/>
        <v>0</v>
      </c>
      <c r="AM126" s="123">
        <f t="shared" si="114"/>
        <v>0</v>
      </c>
      <c r="AN126" s="123">
        <f t="shared" si="115"/>
        <v>0</v>
      </c>
      <c r="AO126" s="123">
        <f t="shared" si="116"/>
        <v>0</v>
      </c>
      <c r="AP126" s="123"/>
      <c r="AQ126" s="123">
        <f t="shared" si="117"/>
        <v>0</v>
      </c>
      <c r="AR126" s="123">
        <f t="shared" si="118"/>
        <v>0</v>
      </c>
      <c r="AS126" s="123">
        <f t="shared" si="119"/>
        <v>0</v>
      </c>
      <c r="AW126" t="str">
        <f t="shared" si="151"/>
        <v>12700</v>
      </c>
      <c r="AX126" t="str">
        <f t="shared" si="152"/>
        <v>75-0.39788744050787i</v>
      </c>
      <c r="AY126" t="str">
        <f t="shared" si="120"/>
        <v>74.5596991358899-0.393229285839196i</v>
      </c>
      <c r="AZ126">
        <f t="shared" si="153"/>
        <v>-36.529196350587256</v>
      </c>
      <c r="BA126">
        <f t="shared" si="154"/>
        <v>-0.30217630321939404</v>
      </c>
      <c r="BB126">
        <f t="shared" si="155"/>
        <v>-1.1375426669573832E-8</v>
      </c>
      <c r="BC126">
        <f t="shared" si="156"/>
        <v>1.6919064605299969E-3</v>
      </c>
      <c r="BD126" s="123">
        <f t="shared" si="121"/>
        <v>-76.126874268000051</v>
      </c>
      <c r="BE126" s="123">
        <f t="shared" si="122"/>
        <v>-178.12732421677961</v>
      </c>
      <c r="BF126">
        <f t="shared" si="123"/>
        <v>-80.994002526022527</v>
      </c>
      <c r="BG126">
        <f t="shared" si="124"/>
        <v>-175.35987009779205</v>
      </c>
      <c r="BH126" s="123">
        <f t="shared" si="125"/>
        <v>-157.12087679402259</v>
      </c>
      <c r="BI126" s="123">
        <f t="shared" si="126"/>
        <v>-353.48719431457164</v>
      </c>
      <c r="BL126" s="123">
        <f t="shared" si="127"/>
        <v>0</v>
      </c>
      <c r="BM126" s="123">
        <f t="shared" si="128"/>
        <v>0</v>
      </c>
      <c r="BN126" s="123">
        <f t="shared" si="129"/>
        <v>0</v>
      </c>
      <c r="BO126" s="123">
        <f t="shared" si="130"/>
        <v>0</v>
      </c>
      <c r="BP126" s="123">
        <f t="shared" si="131"/>
        <v>0</v>
      </c>
      <c r="BQ126" s="123">
        <f t="shared" si="132"/>
        <v>0</v>
      </c>
      <c r="BR126" s="123">
        <f t="shared" si="133"/>
        <v>0</v>
      </c>
      <c r="BS126" s="123"/>
      <c r="BT126" s="123"/>
      <c r="BU126" s="123">
        <f t="shared" si="134"/>
        <v>0</v>
      </c>
      <c r="BV126" s="123">
        <f t="shared" si="135"/>
        <v>0</v>
      </c>
      <c r="BX126" s="123">
        <f t="shared" si="136"/>
        <v>0</v>
      </c>
      <c r="BY126" s="123"/>
    </row>
    <row r="127" spans="5:77" x14ac:dyDescent="0.2">
      <c r="E127">
        <v>116</v>
      </c>
      <c r="F127">
        <v>4500000</v>
      </c>
      <c r="G127" s="58">
        <f t="shared" si="137"/>
        <v>-78.17228804279496</v>
      </c>
      <c r="H127" s="58">
        <f t="shared" si="138"/>
        <v>-178.33683783685041</v>
      </c>
      <c r="I127">
        <f t="shared" si="139"/>
        <v>-11.402844774521064</v>
      </c>
      <c r="J127">
        <f t="shared" si="140"/>
        <v>-0.25546003000686818</v>
      </c>
      <c r="K127" t="str">
        <f t="shared" si="141"/>
        <v>412.522960039339-1666.25849709759i</v>
      </c>
      <c r="L127" t="str">
        <f t="shared" si="142"/>
        <v>3300-3536.77724895884i</v>
      </c>
      <c r="M127" t="str">
        <f t="shared" si="143"/>
        <v>3307.9247545275-3310.53564262152i</v>
      </c>
      <c r="N127">
        <f t="shared" si="99"/>
        <v>-11.173820865173321</v>
      </c>
      <c r="O127">
        <f t="shared" si="144"/>
        <v>-22.874923292871166</v>
      </c>
      <c r="P127" t="str">
        <f t="shared" si="145"/>
        <v>-107.175068150268i</v>
      </c>
      <c r="Q127" t="str">
        <f t="shared" si="146"/>
        <v>3300-0.752505797650818i</v>
      </c>
      <c r="R127" t="str">
        <f t="shared" si="100"/>
        <v>3.47703695927247-107.061350524952i</v>
      </c>
      <c r="S127" t="str">
        <f t="shared" si="147"/>
        <v>3.12719822939452-17683.885691784i</v>
      </c>
      <c r="T127" t="str">
        <f t="shared" si="101"/>
        <v>3.43542804244614-106.417746912505i</v>
      </c>
      <c r="U127" t="str">
        <f t="shared" si="102"/>
        <v>0.0019714144898965-0.0443568260226713i</v>
      </c>
      <c r="V127">
        <f t="shared" si="148"/>
        <v>-46.50741568370443</v>
      </c>
      <c r="W127">
        <f t="shared" si="149"/>
        <v>-175.6062248392146</v>
      </c>
      <c r="X127">
        <f t="shared" si="103"/>
        <v>-27.052220557053829</v>
      </c>
      <c r="Y127">
        <f t="shared" si="150"/>
        <v>-87.4552138147275</v>
      </c>
      <c r="AA127" s="123">
        <f t="shared" si="104"/>
        <v>-89.575132817316018</v>
      </c>
      <c r="AB127" s="123">
        <f t="shared" si="105"/>
        <v>-178.59229786685728</v>
      </c>
      <c r="AC127">
        <f t="shared" si="106"/>
        <v>-57.681236548877749</v>
      </c>
      <c r="AD127">
        <f t="shared" si="107"/>
        <v>-198.48114813208576</v>
      </c>
      <c r="AE127" s="123">
        <f t="shared" si="108"/>
        <v>-147.25636936619378</v>
      </c>
      <c r="AF127" s="123">
        <f t="shared" si="109"/>
        <v>-377.07344599894304</v>
      </c>
      <c r="AI127" s="123">
        <f t="shared" si="110"/>
        <v>0</v>
      </c>
      <c r="AJ127" s="123">
        <f t="shared" si="111"/>
        <v>0</v>
      </c>
      <c r="AK127" s="123">
        <f t="shared" si="112"/>
        <v>0</v>
      </c>
      <c r="AL127" s="123">
        <f t="shared" si="113"/>
        <v>0</v>
      </c>
      <c r="AM127" s="123">
        <f t="shared" si="114"/>
        <v>0</v>
      </c>
      <c r="AN127" s="123">
        <f t="shared" si="115"/>
        <v>0</v>
      </c>
      <c r="AO127" s="123">
        <f t="shared" si="116"/>
        <v>0</v>
      </c>
      <c r="AP127" s="123"/>
      <c r="AQ127" s="123">
        <f t="shared" si="117"/>
        <v>0</v>
      </c>
      <c r="AR127" s="123">
        <f t="shared" si="118"/>
        <v>0</v>
      </c>
      <c r="AS127" s="123">
        <f t="shared" si="119"/>
        <v>0</v>
      </c>
      <c r="AW127" t="str">
        <f t="shared" si="151"/>
        <v>12700</v>
      </c>
      <c r="AX127" t="str">
        <f t="shared" si="152"/>
        <v>75-0.353677724895884i</v>
      </c>
      <c r="AY127" t="str">
        <f t="shared" si="120"/>
        <v>74.5596965654404-0.349537143039338i</v>
      </c>
      <c r="AZ127">
        <f t="shared" si="153"/>
        <v>-36.52922200252862</v>
      </c>
      <c r="BA127">
        <f t="shared" si="154"/>
        <v>-0.26860169039874437</v>
      </c>
      <c r="BB127">
        <f t="shared" si="155"/>
        <v>-8.9880421221567964E-9</v>
      </c>
      <c r="BC127">
        <f t="shared" si="156"/>
        <v>1.5039168544491879E-3</v>
      </c>
      <c r="BD127" s="123">
        <f t="shared" si="121"/>
        <v>-78.172288051782999</v>
      </c>
      <c r="BE127" s="123">
        <f t="shared" si="122"/>
        <v>-178.33533391999595</v>
      </c>
      <c r="BF127">
        <f t="shared" si="123"/>
        <v>-83.03663768623305</v>
      </c>
      <c r="BG127">
        <f t="shared" si="124"/>
        <v>-175.87482652961336</v>
      </c>
      <c r="BH127" s="123">
        <f t="shared" si="125"/>
        <v>-161.20892573801603</v>
      </c>
      <c r="BI127" s="123">
        <f t="shared" si="126"/>
        <v>-354.2101604496093</v>
      </c>
      <c r="BL127" s="123">
        <f t="shared" si="127"/>
        <v>0</v>
      </c>
      <c r="BM127" s="123">
        <f t="shared" si="128"/>
        <v>0</v>
      </c>
      <c r="BN127" s="123">
        <f t="shared" si="129"/>
        <v>0</v>
      </c>
      <c r="BO127" s="123">
        <f t="shared" si="130"/>
        <v>0</v>
      </c>
      <c r="BP127" s="123">
        <f t="shared" si="131"/>
        <v>0</v>
      </c>
      <c r="BQ127" s="123">
        <f t="shared" si="132"/>
        <v>0</v>
      </c>
      <c r="BR127" s="123">
        <f t="shared" si="133"/>
        <v>0</v>
      </c>
      <c r="BS127" s="123"/>
      <c r="BT127" s="123"/>
      <c r="BU127" s="123">
        <f t="shared" si="134"/>
        <v>0</v>
      </c>
      <c r="BV127" s="123">
        <f t="shared" si="135"/>
        <v>0</v>
      </c>
      <c r="BX127" s="123">
        <f t="shared" si="136"/>
        <v>0</v>
      </c>
      <c r="BY127" s="123"/>
    </row>
    <row r="128" spans="5:77" x14ac:dyDescent="0.2">
      <c r="E128">
        <v>117</v>
      </c>
      <c r="F128">
        <v>5000000</v>
      </c>
      <c r="G128" s="58">
        <f t="shared" si="137"/>
        <v>-80.002096117275528</v>
      </c>
      <c r="H128" s="58">
        <f t="shared" si="138"/>
        <v>-178.50311302064642</v>
      </c>
      <c r="I128">
        <f t="shared" si="139"/>
        <v>-11.402861564659396</v>
      </c>
      <c r="J128">
        <f t="shared" si="140"/>
        <v>-0.22991432682730731</v>
      </c>
      <c r="K128" t="str">
        <f t="shared" si="141"/>
        <v>337.850872670284-1516.2708553914i</v>
      </c>
      <c r="L128" t="str">
        <f t="shared" si="142"/>
        <v>3300-3183.09952406296i</v>
      </c>
      <c r="M128" t="str">
        <f t="shared" si="143"/>
        <v>3286.40947047582-2980.14505309727i</v>
      </c>
      <c r="N128">
        <f t="shared" si="99"/>
        <v>-11.405381422408453</v>
      </c>
      <c r="O128">
        <f t="shared" si="144"/>
        <v>-26.308695266595194</v>
      </c>
      <c r="P128" t="str">
        <f t="shared" si="145"/>
        <v>-96.4575613352412i</v>
      </c>
      <c r="Q128" t="str">
        <f t="shared" si="146"/>
        <v>3300-0.677255217885736i</v>
      </c>
      <c r="R128" t="str">
        <f t="shared" si="100"/>
        <v>2.81697182208764-96.3746443530673i</v>
      </c>
      <c r="S128" t="str">
        <f t="shared" si="147"/>
        <v>2.53303058086002-15915.4972171704i</v>
      </c>
      <c r="T128" t="str">
        <f t="shared" si="101"/>
        <v>2.78325505786296-95.7950545831163i</v>
      </c>
      <c r="U128" t="str">
        <f t="shared" si="102"/>
        <v>0.00159744408945687-0.0399361022364217i</v>
      </c>
      <c r="V128">
        <f t="shared" si="148"/>
        <v>-48.335216995608725</v>
      </c>
      <c r="W128">
        <f t="shared" si="149"/>
        <v>-176.04520790593727</v>
      </c>
      <c r="X128">
        <f t="shared" si="103"/>
        <v>-27.965743332104299</v>
      </c>
      <c r="Y128">
        <f t="shared" si="150"/>
        <v>-87.709408204785703</v>
      </c>
      <c r="AA128" s="123">
        <f t="shared" si="104"/>
        <v>-91.404957681934917</v>
      </c>
      <c r="AB128" s="123">
        <f t="shared" si="105"/>
        <v>-178.73302734747372</v>
      </c>
      <c r="AC128">
        <f t="shared" si="106"/>
        <v>-59.740598418017179</v>
      </c>
      <c r="AD128">
        <f t="shared" si="107"/>
        <v>-202.35390317253245</v>
      </c>
      <c r="AE128" s="123">
        <f t="shared" si="108"/>
        <v>-151.1455560999521</v>
      </c>
      <c r="AF128" s="123">
        <f t="shared" si="109"/>
        <v>-381.08693052000615</v>
      </c>
      <c r="AI128" s="123">
        <f t="shared" si="110"/>
        <v>0</v>
      </c>
      <c r="AJ128" s="123">
        <f t="shared" si="111"/>
        <v>0</v>
      </c>
      <c r="AK128" s="123">
        <f t="shared" si="112"/>
        <v>0</v>
      </c>
      <c r="AL128" s="123">
        <f t="shared" si="113"/>
        <v>0</v>
      </c>
      <c r="AM128" s="123">
        <f t="shared" si="114"/>
        <v>0</v>
      </c>
      <c r="AN128" s="123">
        <f t="shared" si="115"/>
        <v>0</v>
      </c>
      <c r="AO128" s="123">
        <f t="shared" si="116"/>
        <v>0</v>
      </c>
      <c r="AP128" s="123"/>
      <c r="AQ128" s="123">
        <f t="shared" si="117"/>
        <v>0</v>
      </c>
      <c r="AR128" s="123">
        <f t="shared" si="118"/>
        <v>0</v>
      </c>
      <c r="AS128" s="123">
        <f t="shared" si="119"/>
        <v>0</v>
      </c>
      <c r="AW128" t="str">
        <f t="shared" si="151"/>
        <v>12700</v>
      </c>
      <c r="AX128" t="str">
        <f t="shared" si="152"/>
        <v>75-0.318309952406296i</v>
      </c>
      <c r="AY128" t="str">
        <f t="shared" si="120"/>
        <v>74.559694726813-0.314583428781216i</v>
      </c>
      <c r="AZ128">
        <f t="shared" si="153"/>
        <v>-36.52924035130436</v>
      </c>
      <c r="BA128">
        <f t="shared" si="154"/>
        <v>-0.24174186383186871</v>
      </c>
      <c r="BB128">
        <f t="shared" si="155"/>
        <v>-7.2803117170559214E-9</v>
      </c>
      <c r="BC128">
        <f t="shared" si="156"/>
        <v>1.3535251694181869E-3</v>
      </c>
      <c r="BD128" s="123">
        <f t="shared" si="121"/>
        <v>-80.002096124555834</v>
      </c>
      <c r="BE128" s="123">
        <f t="shared" si="122"/>
        <v>-178.50175949547702</v>
      </c>
      <c r="BF128">
        <f t="shared" si="123"/>
        <v>-84.864457346913085</v>
      </c>
      <c r="BG128">
        <f t="shared" si="124"/>
        <v>-176.28694976976914</v>
      </c>
      <c r="BH128" s="123">
        <f t="shared" si="125"/>
        <v>-164.86655347146893</v>
      </c>
      <c r="BI128" s="123">
        <f t="shared" si="126"/>
        <v>-354.78870926524615</v>
      </c>
      <c r="BL128" s="123">
        <f t="shared" si="127"/>
        <v>0</v>
      </c>
      <c r="BM128" s="123">
        <f t="shared" si="128"/>
        <v>0</v>
      </c>
      <c r="BN128" s="123">
        <f t="shared" si="129"/>
        <v>0</v>
      </c>
      <c r="BO128" s="123">
        <f t="shared" si="130"/>
        <v>0</v>
      </c>
      <c r="BP128" s="123">
        <f t="shared" si="131"/>
        <v>0</v>
      </c>
      <c r="BQ128" s="123">
        <f t="shared" si="132"/>
        <v>0</v>
      </c>
      <c r="BR128" s="123">
        <f t="shared" si="133"/>
        <v>0</v>
      </c>
      <c r="BS128" s="123"/>
      <c r="BT128" s="123"/>
      <c r="BU128" s="123">
        <f t="shared" si="134"/>
        <v>0</v>
      </c>
      <c r="BV128" s="123">
        <f t="shared" si="135"/>
        <v>0</v>
      </c>
      <c r="BX128" s="123">
        <f t="shared" si="136"/>
        <v>0</v>
      </c>
      <c r="BY128" s="123"/>
    </row>
    <row r="129" spans="5:77" x14ac:dyDescent="0.2">
      <c r="E129">
        <v>118</v>
      </c>
      <c r="F129">
        <v>5500000</v>
      </c>
      <c r="G129" s="58">
        <f t="shared" si="137"/>
        <v>-81.657439800976221</v>
      </c>
      <c r="H129" s="58">
        <f t="shared" si="138"/>
        <v>-178.63916693780902</v>
      </c>
      <c r="I129">
        <f t="shared" si="139"/>
        <v>-11.402873987504819</v>
      </c>
      <c r="J129">
        <f t="shared" si="140"/>
        <v>-0.20901322605629977</v>
      </c>
      <c r="K129" t="str">
        <f t="shared" si="141"/>
        <v>281.526632073611-1389.83713802905i</v>
      </c>
      <c r="L129" t="str">
        <f t="shared" si="142"/>
        <v>3300-2893.72684005724i</v>
      </c>
      <c r="M129" t="str">
        <f t="shared" si="143"/>
        <v>3270.48442951898-2709.66888123945i</v>
      </c>
      <c r="N129">
        <f t="shared" si="99"/>
        <v>-11.652915495070566</v>
      </c>
      <c r="O129">
        <f t="shared" si="144"/>
        <v>-29.456305072843346</v>
      </c>
      <c r="P129" t="str">
        <f t="shared" si="145"/>
        <v>-87.6886921229465i</v>
      </c>
      <c r="Q129" t="str">
        <f t="shared" si="146"/>
        <v>3300-0.615686561714305i</v>
      </c>
      <c r="R129" t="str">
        <f t="shared" si="100"/>
        <v>2.32842570403318-87.626386006247i</v>
      </c>
      <c r="S129" t="str">
        <f t="shared" si="147"/>
        <v>2.0934137123931-14468.6338973978i</v>
      </c>
      <c r="T129" t="str">
        <f t="shared" si="101"/>
        <v>2.30055232490538-87.09925300227i</v>
      </c>
      <c r="U129" t="str">
        <f t="shared" si="102"/>
        <v>0.00132056784417299-0.0363156157147573i</v>
      </c>
      <c r="V129">
        <f t="shared" si="148"/>
        <v>-49.989075429689095</v>
      </c>
      <c r="W129">
        <f t="shared" si="149"/>
        <v>-176.40446993808595</v>
      </c>
      <c r="X129">
        <f t="shared" si="103"/>
        <v>-28.792392820048946</v>
      </c>
      <c r="Y129">
        <f t="shared" si="150"/>
        <v>-87.917453010975848</v>
      </c>
      <c r="AA129" s="123">
        <f t="shared" si="104"/>
        <v>-93.060313788481039</v>
      </c>
      <c r="AB129" s="123">
        <f t="shared" si="105"/>
        <v>-178.84818016386532</v>
      </c>
      <c r="AC129">
        <f t="shared" si="106"/>
        <v>-61.641990924759661</v>
      </c>
      <c r="AD129">
        <f t="shared" si="107"/>
        <v>-205.8607750109293</v>
      </c>
      <c r="AE129" s="123">
        <f t="shared" si="108"/>
        <v>-154.70230471324069</v>
      </c>
      <c r="AF129" s="123">
        <f t="shared" si="109"/>
        <v>-384.7089551747946</v>
      </c>
      <c r="AI129" s="123">
        <f t="shared" si="110"/>
        <v>0</v>
      </c>
      <c r="AJ129" s="123">
        <f t="shared" si="111"/>
        <v>0</v>
      </c>
      <c r="AK129" s="123">
        <f t="shared" si="112"/>
        <v>0</v>
      </c>
      <c r="AL129" s="123">
        <f t="shared" si="113"/>
        <v>0</v>
      </c>
      <c r="AM129" s="123">
        <f t="shared" si="114"/>
        <v>0</v>
      </c>
      <c r="AN129" s="123">
        <f t="shared" si="115"/>
        <v>0</v>
      </c>
      <c r="AO129" s="123">
        <f t="shared" si="116"/>
        <v>0</v>
      </c>
      <c r="AP129" s="123"/>
      <c r="AQ129" s="123">
        <f t="shared" si="117"/>
        <v>0</v>
      </c>
      <c r="AR129" s="123">
        <f t="shared" si="118"/>
        <v>0</v>
      </c>
      <c r="AS129" s="123">
        <f t="shared" si="119"/>
        <v>0</v>
      </c>
      <c r="AW129" t="str">
        <f t="shared" si="151"/>
        <v>12700</v>
      </c>
      <c r="AX129" t="str">
        <f t="shared" si="152"/>
        <v>75-0.289372684005724i</v>
      </c>
      <c r="AY129" t="str">
        <f t="shared" si="120"/>
        <v>74.5596933664366-0.285984935286467i</v>
      </c>
      <c r="AZ129">
        <f t="shared" si="153"/>
        <v>-36.529253927373205</v>
      </c>
      <c r="BA129">
        <f t="shared" si="154"/>
        <v>-0.21976556111297832</v>
      </c>
      <c r="BB129">
        <f t="shared" si="155"/>
        <v>-6.0168662629776356E-9</v>
      </c>
      <c r="BC129">
        <f t="shared" si="156"/>
        <v>1.2304774270212023E-3</v>
      </c>
      <c r="BD129" s="123">
        <f t="shared" si="121"/>
        <v>-81.657439806993082</v>
      </c>
      <c r="BE129" s="123">
        <f t="shared" si="122"/>
        <v>-178.63793646038201</v>
      </c>
      <c r="BF129">
        <f t="shared" si="123"/>
        <v>-86.518329357062299</v>
      </c>
      <c r="BG129">
        <f t="shared" si="124"/>
        <v>-176.62423549919893</v>
      </c>
      <c r="BH129" s="123">
        <f t="shared" si="125"/>
        <v>-168.1757691640554</v>
      </c>
      <c r="BI129" s="123">
        <f t="shared" si="126"/>
        <v>-355.26217195958094</v>
      </c>
      <c r="BL129" s="123">
        <f t="shared" si="127"/>
        <v>0</v>
      </c>
      <c r="BM129" s="123">
        <f t="shared" si="128"/>
        <v>0</v>
      </c>
      <c r="BN129" s="123">
        <f t="shared" si="129"/>
        <v>0</v>
      </c>
      <c r="BO129" s="123">
        <f t="shared" si="130"/>
        <v>0</v>
      </c>
      <c r="BP129" s="123">
        <f t="shared" si="131"/>
        <v>0</v>
      </c>
      <c r="BQ129" s="123">
        <f t="shared" si="132"/>
        <v>0</v>
      </c>
      <c r="BR129" s="123">
        <f t="shared" si="133"/>
        <v>0</v>
      </c>
      <c r="BS129" s="123"/>
      <c r="BT129" s="123"/>
      <c r="BU129" s="123">
        <f t="shared" si="134"/>
        <v>0</v>
      </c>
      <c r="BV129" s="123">
        <f t="shared" si="135"/>
        <v>0</v>
      </c>
      <c r="BX129" s="123">
        <f t="shared" si="136"/>
        <v>0</v>
      </c>
      <c r="BY129" s="123"/>
    </row>
    <row r="130" spans="5:77" x14ac:dyDescent="0.2">
      <c r="E130">
        <v>119</v>
      </c>
      <c r="F130">
        <v>6000000</v>
      </c>
      <c r="G130" s="58">
        <f t="shared" si="137"/>
        <v>-83.168705577018684</v>
      </c>
      <c r="H130" s="58">
        <f t="shared" si="138"/>
        <v>-178.75255181105368</v>
      </c>
      <c r="I130">
        <f t="shared" si="139"/>
        <v>-11.402883436121229</v>
      </c>
      <c r="J130">
        <f t="shared" si="140"/>
        <v>-0.19159559782155067</v>
      </c>
      <c r="K130" t="str">
        <f t="shared" si="141"/>
        <v>238.059214650532-1282.08844160982i</v>
      </c>
      <c r="L130" t="str">
        <f t="shared" si="142"/>
        <v>3300-2652.58293671913i</v>
      </c>
      <c r="M130" t="str">
        <f t="shared" si="143"/>
        <v>3258.36861804507-2484.17425628408i</v>
      </c>
      <c r="N130">
        <f t="shared" si="99"/>
        <v>-11.912072026023422</v>
      </c>
      <c r="O130">
        <f t="shared" si="144"/>
        <v>-32.353312800292478</v>
      </c>
      <c r="P130" t="str">
        <f t="shared" si="145"/>
        <v>-80.381301112701i</v>
      </c>
      <c r="Q130" t="str">
        <f t="shared" si="146"/>
        <v>3300-0.564379348238113i</v>
      </c>
      <c r="R130" t="str">
        <f t="shared" si="100"/>
        <v>1.95674800420361-80.3333040524915i</v>
      </c>
      <c r="S130" t="str">
        <f t="shared" si="147"/>
        <v>1.75904902810085-13262.9144502945i</v>
      </c>
      <c r="T130" t="str">
        <f t="shared" si="101"/>
        <v>1.9333213262748-79.8499361315208i</v>
      </c>
      <c r="U130" t="str">
        <f t="shared" si="102"/>
        <v>0.00110987791342952-0.0332963374028857i</v>
      </c>
      <c r="V130">
        <f t="shared" si="148"/>
        <v>-51.499211282518651</v>
      </c>
      <c r="W130">
        <f t="shared" si="149"/>
        <v>-176.70391371812826</v>
      </c>
      <c r="X130">
        <f t="shared" si="103"/>
        <v>-29.547247909790624</v>
      </c>
      <c r="Y130">
        <f t="shared" si="150"/>
        <v>-88.090865893787893</v>
      </c>
      <c r="AA130" s="123">
        <f t="shared" si="104"/>
        <v>-94.571589013139914</v>
      </c>
      <c r="AB130" s="123">
        <f t="shared" si="105"/>
        <v>-178.94414740887524</v>
      </c>
      <c r="AC130">
        <f t="shared" si="106"/>
        <v>-63.411283308542075</v>
      </c>
      <c r="AD130">
        <f t="shared" si="107"/>
        <v>-209.05722651842075</v>
      </c>
      <c r="AE130" s="123">
        <f t="shared" si="108"/>
        <v>-157.98287232168198</v>
      </c>
      <c r="AF130" s="123">
        <f t="shared" si="109"/>
        <v>-388.00137392729596</v>
      </c>
      <c r="AI130" s="123">
        <f t="shared" si="110"/>
        <v>0</v>
      </c>
      <c r="AJ130" s="123">
        <f t="shared" si="111"/>
        <v>0</v>
      </c>
      <c r="AK130" s="123">
        <f t="shared" si="112"/>
        <v>0</v>
      </c>
      <c r="AL130" s="123">
        <f t="shared" si="113"/>
        <v>0</v>
      </c>
      <c r="AM130" s="123">
        <f t="shared" si="114"/>
        <v>0</v>
      </c>
      <c r="AN130" s="123">
        <f t="shared" si="115"/>
        <v>0</v>
      </c>
      <c r="AO130" s="123">
        <f t="shared" si="116"/>
        <v>0</v>
      </c>
      <c r="AP130" s="123"/>
      <c r="AQ130" s="123">
        <f t="shared" si="117"/>
        <v>0</v>
      </c>
      <c r="AR130" s="123">
        <f t="shared" si="118"/>
        <v>0</v>
      </c>
      <c r="AS130" s="123">
        <f t="shared" si="119"/>
        <v>0</v>
      </c>
      <c r="AW130" t="str">
        <f t="shared" si="151"/>
        <v>12700</v>
      </c>
      <c r="AX130" t="str">
        <f t="shared" si="152"/>
        <v>75-0.265258293671913i</v>
      </c>
      <c r="AY130" t="str">
        <f t="shared" si="120"/>
        <v>74.5596923317589-0.26215285736741i</v>
      </c>
      <c r="AZ130">
        <f t="shared" si="153"/>
        <v>-36.529264253115315</v>
      </c>
      <c r="BA130">
        <f t="shared" si="154"/>
        <v>-0.20145192495884598</v>
      </c>
      <c r="BB130">
        <f t="shared" si="155"/>
        <v>-5.0557374700182909E-9</v>
      </c>
      <c r="BC130">
        <f t="shared" si="156"/>
        <v>1.1279376416313902E-3</v>
      </c>
      <c r="BD130" s="123">
        <f t="shared" si="121"/>
        <v>-83.168705582074423</v>
      </c>
      <c r="BE130" s="123">
        <f t="shared" si="122"/>
        <v>-178.75142387341205</v>
      </c>
      <c r="BF130">
        <f t="shared" si="123"/>
        <v>-88.028475535633959</v>
      </c>
      <c r="BG130">
        <f t="shared" si="124"/>
        <v>-176.90536564308709</v>
      </c>
      <c r="BH130" s="123">
        <f t="shared" si="125"/>
        <v>-171.1971811177084</v>
      </c>
      <c r="BI130" s="123">
        <f t="shared" si="126"/>
        <v>-355.65678951649915</v>
      </c>
      <c r="BL130" s="123">
        <f t="shared" si="127"/>
        <v>0</v>
      </c>
      <c r="BM130" s="123">
        <f t="shared" si="128"/>
        <v>0</v>
      </c>
      <c r="BN130" s="123">
        <f t="shared" si="129"/>
        <v>0</v>
      </c>
      <c r="BO130" s="123">
        <f t="shared" si="130"/>
        <v>0</v>
      </c>
      <c r="BP130" s="123">
        <f t="shared" si="131"/>
        <v>0</v>
      </c>
      <c r="BQ130" s="123">
        <f t="shared" si="132"/>
        <v>0</v>
      </c>
      <c r="BR130" s="123">
        <f t="shared" si="133"/>
        <v>0</v>
      </c>
      <c r="BS130" s="123"/>
      <c r="BT130" s="123"/>
      <c r="BU130" s="123">
        <f t="shared" si="134"/>
        <v>0</v>
      </c>
      <c r="BV130" s="123">
        <f t="shared" si="135"/>
        <v>0</v>
      </c>
      <c r="BX130" s="123">
        <f t="shared" si="136"/>
        <v>0</v>
      </c>
      <c r="BY130" s="123"/>
    </row>
    <row r="131" spans="5:77" x14ac:dyDescent="0.2">
      <c r="E131">
        <v>120</v>
      </c>
      <c r="F131">
        <v>6500000</v>
      </c>
      <c r="G131" s="58">
        <f t="shared" si="137"/>
        <v>-84.558974510067003</v>
      </c>
      <c r="H131" s="58">
        <f t="shared" si="138"/>
        <v>-178.84849715603394</v>
      </c>
      <c r="I131">
        <f t="shared" si="139"/>
        <v>-11.402890789380818</v>
      </c>
      <c r="J131">
        <f t="shared" si="140"/>
        <v>-0.17685757591773651</v>
      </c>
      <c r="K131" t="str">
        <f t="shared" si="141"/>
        <v>203.848371901215-1189.32991241607i</v>
      </c>
      <c r="L131" t="str">
        <f t="shared" si="142"/>
        <v>3300-2448.53809543305i</v>
      </c>
      <c r="M131" t="str">
        <f t="shared" si="143"/>
        <v>3248.93756743873-2293.30747473134i</v>
      </c>
      <c r="N131">
        <f t="shared" si="99"/>
        <v>-12.179447882002751</v>
      </c>
      <c r="O131">
        <f t="shared" si="144"/>
        <v>-35.027537943981365</v>
      </c>
      <c r="P131" t="str">
        <f t="shared" si="145"/>
        <v>-74.1981241040317i</v>
      </c>
      <c r="Q131" t="str">
        <f t="shared" si="146"/>
        <v>3300-0.520965552219797i</v>
      </c>
      <c r="R131" t="str">
        <f t="shared" si="100"/>
        <v>1.66743656066423-74.1603697580099i</v>
      </c>
      <c r="S131" t="str">
        <f t="shared" si="147"/>
        <v>1.49883467873166-12242.6902936675i</v>
      </c>
      <c r="T131" t="str">
        <f t="shared" si="101"/>
        <v>1.64747185416646-73.7140670900755i</v>
      </c>
      <c r="U131" t="str">
        <f t="shared" si="102"/>
        <v>0.000945850082761882-0.0307401276897612i</v>
      </c>
      <c r="V131">
        <f t="shared" si="148"/>
        <v>-52.888600708685502</v>
      </c>
      <c r="W131">
        <f t="shared" si="149"/>
        <v>-176.95732744650846</v>
      </c>
      <c r="X131">
        <f t="shared" si="103"/>
        <v>-30.241776938189375</v>
      </c>
      <c r="Y131">
        <f t="shared" si="150"/>
        <v>-88.237627333656604</v>
      </c>
      <c r="AA131" s="123">
        <f t="shared" si="104"/>
        <v>-95.961865299447823</v>
      </c>
      <c r="AB131" s="123">
        <f t="shared" si="105"/>
        <v>-179.02535473195167</v>
      </c>
      <c r="AC131">
        <f t="shared" si="106"/>
        <v>-65.06804859068825</v>
      </c>
      <c r="AD131">
        <f t="shared" si="107"/>
        <v>-211.98486539048983</v>
      </c>
      <c r="AE131" s="123">
        <f t="shared" si="108"/>
        <v>-161.02991389013607</v>
      </c>
      <c r="AF131" s="123">
        <f t="shared" si="109"/>
        <v>-391.01022012244152</v>
      </c>
      <c r="AI131" s="123">
        <f t="shared" si="110"/>
        <v>0</v>
      </c>
      <c r="AJ131" s="123">
        <f t="shared" si="111"/>
        <v>0</v>
      </c>
      <c r="AK131" s="123">
        <f t="shared" si="112"/>
        <v>0</v>
      </c>
      <c r="AL131" s="123">
        <f t="shared" si="113"/>
        <v>0</v>
      </c>
      <c r="AM131" s="123">
        <f t="shared" si="114"/>
        <v>0</v>
      </c>
      <c r="AN131" s="123">
        <f t="shared" si="115"/>
        <v>0</v>
      </c>
      <c r="AO131" s="123">
        <f t="shared" si="116"/>
        <v>0</v>
      </c>
      <c r="AP131" s="123"/>
      <c r="AQ131" s="123">
        <f t="shared" si="117"/>
        <v>0</v>
      </c>
      <c r="AR131" s="123">
        <f t="shared" si="118"/>
        <v>0</v>
      </c>
      <c r="AS131" s="123">
        <f t="shared" si="119"/>
        <v>0</v>
      </c>
      <c r="AW131" t="str">
        <f t="shared" si="151"/>
        <v>12700</v>
      </c>
      <c r="AX131" t="str">
        <f t="shared" si="152"/>
        <v>75-0.244853809543305i</v>
      </c>
      <c r="AY131" t="str">
        <f t="shared" si="120"/>
        <v>74.5596915265363-0.241987252969967i</v>
      </c>
      <c r="AZ131">
        <f t="shared" si="153"/>
        <v>-36.529272288987698</v>
      </c>
      <c r="BA131">
        <f t="shared" si="154"/>
        <v>-0.18595573841339139</v>
      </c>
      <c r="BB131">
        <f t="shared" si="155"/>
        <v>-4.3078378736902989E-9</v>
      </c>
      <c r="BC131">
        <f t="shared" si="156"/>
        <v>1.0411732077994997E-3</v>
      </c>
      <c r="BD131" s="123">
        <f t="shared" si="121"/>
        <v>-84.558974514374839</v>
      </c>
      <c r="BE131" s="123">
        <f t="shared" si="122"/>
        <v>-178.84745598282615</v>
      </c>
      <c r="BF131">
        <f t="shared" si="123"/>
        <v>-89.4178729976732</v>
      </c>
      <c r="BG131">
        <f t="shared" si="124"/>
        <v>-177.14328318492184</v>
      </c>
      <c r="BH131" s="123">
        <f t="shared" si="125"/>
        <v>-173.97684751204804</v>
      </c>
      <c r="BI131" s="123">
        <f t="shared" si="126"/>
        <v>-355.99073916774796</v>
      </c>
      <c r="BL131" s="123">
        <f t="shared" si="127"/>
        <v>0</v>
      </c>
      <c r="BM131" s="123">
        <f t="shared" si="128"/>
        <v>0</v>
      </c>
      <c r="BN131" s="123">
        <f t="shared" si="129"/>
        <v>0</v>
      </c>
      <c r="BO131" s="123">
        <f t="shared" si="130"/>
        <v>0</v>
      </c>
      <c r="BP131" s="123">
        <f t="shared" si="131"/>
        <v>0</v>
      </c>
      <c r="BQ131" s="123">
        <f t="shared" si="132"/>
        <v>0</v>
      </c>
      <c r="BR131" s="123">
        <f t="shared" si="133"/>
        <v>0</v>
      </c>
      <c r="BS131" s="123"/>
      <c r="BT131" s="123"/>
      <c r="BU131" s="123">
        <f t="shared" si="134"/>
        <v>0</v>
      </c>
      <c r="BV131" s="123">
        <f t="shared" si="135"/>
        <v>0</v>
      </c>
      <c r="BX131" s="123">
        <f t="shared" si="136"/>
        <v>0</v>
      </c>
      <c r="BY131" s="123"/>
    </row>
    <row r="132" spans="5:77" x14ac:dyDescent="0.2">
      <c r="E132">
        <v>121</v>
      </c>
      <c r="F132">
        <v>7000000</v>
      </c>
      <c r="G132" s="58">
        <f t="shared" si="137"/>
        <v>-85.846190990276895</v>
      </c>
      <c r="H132" s="58">
        <f t="shared" si="138"/>
        <v>-178.93073891627193</v>
      </c>
      <c r="I132">
        <f t="shared" si="139"/>
        <v>-11.402896623976124</v>
      </c>
      <c r="J132">
        <f t="shared" si="140"/>
        <v>-0.16422496634392214</v>
      </c>
      <c r="K132" t="str">
        <f t="shared" si="141"/>
        <v>176.460950408403-1108.73662023088i</v>
      </c>
      <c r="L132" t="str">
        <f t="shared" si="142"/>
        <v>3300-2273.64251718783i</v>
      </c>
      <c r="M132" t="str">
        <f t="shared" si="143"/>
        <v>3241.45300901608-2129.66453378526i</v>
      </c>
      <c r="N132">
        <f t="shared" si="99"/>
        <v>-12.452329275250161</v>
      </c>
      <c r="O132">
        <f t="shared" si="144"/>
        <v>-37.501768618313207</v>
      </c>
      <c r="P132" t="str">
        <f t="shared" si="145"/>
        <v>-68.8982580966008i</v>
      </c>
      <c r="Q132" t="str">
        <f t="shared" si="146"/>
        <v>3300-0.48375372706124i</v>
      </c>
      <c r="R132" t="str">
        <f t="shared" si="100"/>
        <v>1.43784015890802-68.8680277199628i</v>
      </c>
      <c r="S132" t="str">
        <f t="shared" si="147"/>
        <v>1.29236255728903-11368.2124390206i</v>
      </c>
      <c r="T132" t="str">
        <f t="shared" si="101"/>
        <v>1.42062328822731-68.4535176640923i</v>
      </c>
      <c r="U132" t="str">
        <f t="shared" si="102"/>
        <v>0.000815660685154975-0.0285481239804241i</v>
      </c>
      <c r="V132">
        <f t="shared" si="148"/>
        <v>-54.175119226851265</v>
      </c>
      <c r="W132">
        <f t="shared" si="149"/>
        <v>-177.17456494491083</v>
      </c>
      <c r="X132">
        <f t="shared" si="103"/>
        <v>-30.884904701823977</v>
      </c>
      <c r="Y132">
        <f t="shared" si="150"/>
        <v>-88.363441341875244</v>
      </c>
      <c r="AA132" s="123">
        <f t="shared" si="104"/>
        <v>-97.249087614253014</v>
      </c>
      <c r="AB132" s="123">
        <f t="shared" si="105"/>
        <v>-179.09496388261584</v>
      </c>
      <c r="AC132">
        <f t="shared" si="106"/>
        <v>-66.62744850210143</v>
      </c>
      <c r="AD132">
        <f t="shared" si="107"/>
        <v>-214.67633356322403</v>
      </c>
      <c r="AE132" s="123">
        <f t="shared" si="108"/>
        <v>-163.87653611635443</v>
      </c>
      <c r="AF132" s="123">
        <f t="shared" si="109"/>
        <v>-393.77129744583988</v>
      </c>
      <c r="AI132" s="123">
        <f t="shared" si="110"/>
        <v>0</v>
      </c>
      <c r="AJ132" s="123">
        <f t="shared" si="111"/>
        <v>0</v>
      </c>
      <c r="AK132" s="123">
        <f t="shared" si="112"/>
        <v>0</v>
      </c>
      <c r="AL132" s="123">
        <f t="shared" si="113"/>
        <v>0</v>
      </c>
      <c r="AM132" s="123">
        <f t="shared" si="114"/>
        <v>0</v>
      </c>
      <c r="AN132" s="123">
        <f t="shared" si="115"/>
        <v>0</v>
      </c>
      <c r="AO132" s="123">
        <f t="shared" si="116"/>
        <v>0</v>
      </c>
      <c r="AP132" s="123"/>
      <c r="AQ132" s="123">
        <f t="shared" si="117"/>
        <v>0</v>
      </c>
      <c r="AR132" s="123">
        <f t="shared" si="118"/>
        <v>0</v>
      </c>
      <c r="AS132" s="123">
        <f t="shared" si="119"/>
        <v>0</v>
      </c>
      <c r="AW132" t="str">
        <f t="shared" si="151"/>
        <v>12700</v>
      </c>
      <c r="AX132" t="str">
        <f t="shared" si="152"/>
        <v>75-0.227364251718783i</v>
      </c>
      <c r="AY132" t="str">
        <f t="shared" si="120"/>
        <v>74.5596908876168-0.224702449197769i</v>
      </c>
      <c r="AZ132">
        <f t="shared" si="153"/>
        <v>-36.529278665217035</v>
      </c>
      <c r="BA132">
        <f t="shared" si="154"/>
        <v>-0.17267327067683866</v>
      </c>
      <c r="BB132">
        <f t="shared" si="155"/>
        <v>-3.7144399312001689E-9</v>
      </c>
      <c r="BC132">
        <f t="shared" si="156"/>
        <v>9.6680369305868631E-4</v>
      </c>
      <c r="BD132" s="123">
        <f t="shared" si="121"/>
        <v>-85.846190993991328</v>
      </c>
      <c r="BE132" s="123">
        <f t="shared" si="122"/>
        <v>-178.92977211257889</v>
      </c>
      <c r="BF132">
        <f t="shared" si="123"/>
        <v>-90.7043978920683</v>
      </c>
      <c r="BG132">
        <f t="shared" si="124"/>
        <v>-177.34723821558765</v>
      </c>
      <c r="BH132" s="123">
        <f t="shared" si="125"/>
        <v>-176.55058888605964</v>
      </c>
      <c r="BI132" s="123">
        <f t="shared" si="126"/>
        <v>-356.27701032816651</v>
      </c>
      <c r="BL132" s="123">
        <f t="shared" si="127"/>
        <v>0</v>
      </c>
      <c r="BM132" s="123">
        <f t="shared" si="128"/>
        <v>0</v>
      </c>
      <c r="BN132" s="123">
        <f t="shared" si="129"/>
        <v>0</v>
      </c>
      <c r="BO132" s="123">
        <f t="shared" si="130"/>
        <v>0</v>
      </c>
      <c r="BP132" s="123">
        <f t="shared" si="131"/>
        <v>0</v>
      </c>
      <c r="BQ132" s="123">
        <f t="shared" si="132"/>
        <v>0</v>
      </c>
      <c r="BR132" s="123">
        <f t="shared" si="133"/>
        <v>0</v>
      </c>
      <c r="BS132" s="123"/>
      <c r="BT132" s="123"/>
      <c r="BU132" s="123">
        <f t="shared" si="134"/>
        <v>0</v>
      </c>
      <c r="BV132" s="123">
        <f t="shared" si="135"/>
        <v>0</v>
      </c>
      <c r="BX132" s="123">
        <f t="shared" si="136"/>
        <v>0</v>
      </c>
      <c r="BY132" s="123"/>
    </row>
    <row r="133" spans="5:77" x14ac:dyDescent="0.2">
      <c r="E133">
        <v>122</v>
      </c>
      <c r="F133">
        <v>7500000</v>
      </c>
      <c r="G133" s="58">
        <f t="shared" si="137"/>
        <v>-87.044582084086272</v>
      </c>
      <c r="H133" s="58">
        <f t="shared" si="138"/>
        <v>-179.00201711342368</v>
      </c>
      <c r="I133">
        <f t="shared" si="139"/>
        <v>-11.402901331035608</v>
      </c>
      <c r="J133">
        <f t="shared" si="140"/>
        <v>-0.15327669129034921</v>
      </c>
      <c r="K133" t="str">
        <f t="shared" si="141"/>
        <v>154.208114776236-1038.12638510594i</v>
      </c>
      <c r="L133" t="str">
        <f t="shared" si="142"/>
        <v>3300-2122.06634937531i</v>
      </c>
      <c r="M133" t="str">
        <f t="shared" si="143"/>
        <v>3235.4140052136-1987.81095596098i</v>
      </c>
      <c r="N133">
        <f t="shared" si="99"/>
        <v>-12.728532580557237</v>
      </c>
      <c r="O133">
        <f t="shared" si="144"/>
        <v>-39.795317486654071</v>
      </c>
      <c r="P133" t="str">
        <f t="shared" si="145"/>
        <v>-64.3050408901608i</v>
      </c>
      <c r="Q133" t="str">
        <f t="shared" si="146"/>
        <v>3300-0.451503478590491i</v>
      </c>
      <c r="R133" t="str">
        <f t="shared" si="100"/>
        <v>1.25258987271578-64.2804610745038i</v>
      </c>
      <c r="S133" t="str">
        <f t="shared" si="147"/>
        <v>1.12579138511369-10610.3316274263i</v>
      </c>
      <c r="T133" t="str">
        <f t="shared" si="101"/>
        <v>1.23759037533652-63.8935201407405i</v>
      </c>
      <c r="U133" t="str">
        <f t="shared" si="102"/>
        <v>0.0007106057914372-0.026647717178895i</v>
      </c>
      <c r="V133">
        <f t="shared" si="148"/>
        <v>-55.372947175830461</v>
      </c>
      <c r="W133">
        <f t="shared" si="149"/>
        <v>-177.36285527819669</v>
      </c>
      <c r="X133">
        <f t="shared" si="103"/>
        <v>-31.4837125733224</v>
      </c>
      <c r="Y133">
        <f t="shared" si="150"/>
        <v>-88.472492963966587</v>
      </c>
      <c r="AA133" s="123">
        <f t="shared" si="104"/>
        <v>-98.44748341512188</v>
      </c>
      <c r="AB133" s="123">
        <f t="shared" si="105"/>
        <v>-179.15529380471403</v>
      </c>
      <c r="AC133">
        <f t="shared" si="106"/>
        <v>-68.101479756387704</v>
      </c>
      <c r="AD133">
        <f t="shared" si="107"/>
        <v>-217.15817276485075</v>
      </c>
      <c r="AE133" s="123">
        <f t="shared" si="108"/>
        <v>-166.54896317150957</v>
      </c>
      <c r="AF133" s="123">
        <f t="shared" si="109"/>
        <v>-396.31346656956475</v>
      </c>
      <c r="AI133" s="123">
        <f t="shared" si="110"/>
        <v>0</v>
      </c>
      <c r="AJ133" s="123">
        <f t="shared" si="111"/>
        <v>0</v>
      </c>
      <c r="AK133" s="123">
        <f t="shared" si="112"/>
        <v>0</v>
      </c>
      <c r="AL133" s="123">
        <f t="shared" si="113"/>
        <v>0</v>
      </c>
      <c r="AM133" s="123">
        <f t="shared" si="114"/>
        <v>0</v>
      </c>
      <c r="AN133" s="123">
        <f t="shared" si="115"/>
        <v>0</v>
      </c>
      <c r="AO133" s="123">
        <f t="shared" si="116"/>
        <v>0</v>
      </c>
      <c r="AP133" s="123"/>
      <c r="AQ133" s="123">
        <f t="shared" si="117"/>
        <v>0</v>
      </c>
      <c r="AR133" s="123">
        <f t="shared" si="118"/>
        <v>0</v>
      </c>
      <c r="AS133" s="123">
        <f t="shared" si="119"/>
        <v>0</v>
      </c>
      <c r="AW133" t="str">
        <f t="shared" si="151"/>
        <v>12700</v>
      </c>
      <c r="AX133" t="str">
        <f t="shared" si="152"/>
        <v>75-0.212206634937531i</v>
      </c>
      <c r="AY133" t="str">
        <f t="shared" si="120"/>
        <v>74.5596903721691-0.20972228592648i</v>
      </c>
      <c r="AZ133">
        <f t="shared" si="153"/>
        <v>-36.529283809240354</v>
      </c>
      <c r="BA133">
        <f t="shared" si="154"/>
        <v>-0.16116178330603784</v>
      </c>
      <c r="BB133">
        <f t="shared" si="155"/>
        <v>-3.2357458479566658E-9</v>
      </c>
      <c r="BC133">
        <f t="shared" si="156"/>
        <v>9.0235011359919082E-4</v>
      </c>
      <c r="BD133" s="123">
        <f t="shared" si="121"/>
        <v>-87.044582087322013</v>
      </c>
      <c r="BE133" s="123">
        <f t="shared" si="122"/>
        <v>-179.00111476331008</v>
      </c>
      <c r="BF133">
        <f t="shared" si="123"/>
        <v>-91.902230985070815</v>
      </c>
      <c r="BG133">
        <f t="shared" si="124"/>
        <v>-177.52401706150272</v>
      </c>
      <c r="BH133" s="123">
        <f t="shared" si="125"/>
        <v>-178.94681307239284</v>
      </c>
      <c r="BI133" s="123">
        <f t="shared" si="126"/>
        <v>-356.52513182481277</v>
      </c>
      <c r="BL133" s="123">
        <f t="shared" si="127"/>
        <v>0</v>
      </c>
      <c r="BM133" s="123">
        <f t="shared" si="128"/>
        <v>0</v>
      </c>
      <c r="BN133" s="123">
        <f t="shared" si="129"/>
        <v>0</v>
      </c>
      <c r="BO133" s="123">
        <f t="shared" si="130"/>
        <v>0</v>
      </c>
      <c r="BP133" s="123">
        <f t="shared" si="131"/>
        <v>0</v>
      </c>
      <c r="BQ133" s="123">
        <f t="shared" si="132"/>
        <v>0</v>
      </c>
      <c r="BR133" s="123">
        <f t="shared" si="133"/>
        <v>0</v>
      </c>
      <c r="BS133" s="123"/>
      <c r="BT133" s="123"/>
      <c r="BU133" s="123">
        <f t="shared" si="134"/>
        <v>0</v>
      </c>
      <c r="BV133" s="123">
        <f t="shared" si="135"/>
        <v>0</v>
      </c>
      <c r="BX133" s="123">
        <f t="shared" si="136"/>
        <v>0</v>
      </c>
      <c r="BY133" s="123"/>
    </row>
    <row r="134" spans="5:77" x14ac:dyDescent="0.2">
      <c r="E134">
        <v>123</v>
      </c>
      <c r="F134">
        <v>8000000</v>
      </c>
      <c r="G134" s="58">
        <f t="shared" si="137"/>
        <v>-88.165618212125821</v>
      </c>
      <c r="H134" s="58">
        <f t="shared" si="138"/>
        <v>-179.06438696078075</v>
      </c>
      <c r="I134">
        <f t="shared" si="139"/>
        <v>-11.402905183422599</v>
      </c>
      <c r="J134">
        <f t="shared" si="140"/>
        <v>-0.1436969410797943</v>
      </c>
      <c r="K134" t="str">
        <f t="shared" si="141"/>
        <v>135.889733691932-975.794514854182i</v>
      </c>
      <c r="L134" t="str">
        <f t="shared" si="142"/>
        <v>3300-1989.43720253935i</v>
      </c>
      <c r="M134" t="str">
        <f t="shared" si="143"/>
        <v>3230.47096214521-1863.6679684426i</v>
      </c>
      <c r="N134">
        <f t="shared" si="99"/>
        <v>-13.006296388533247</v>
      </c>
      <c r="O134">
        <f t="shared" si="144"/>
        <v>-41.924945202777096</v>
      </c>
      <c r="P134" t="str">
        <f t="shared" si="145"/>
        <v>-60.2859758345257i</v>
      </c>
      <c r="Q134" t="str">
        <f t="shared" si="146"/>
        <v>3300-0.423284511178585i</v>
      </c>
      <c r="R134" t="str">
        <f t="shared" si="100"/>
        <v>1.10096038533779-60.2657217464458i</v>
      </c>
      <c r="S134" t="str">
        <f t="shared" si="147"/>
        <v>0.989465085921487-9947.18591427282i</v>
      </c>
      <c r="T134" t="str">
        <f t="shared" si="101"/>
        <v>1.08777601748333-59.9029148304751i</v>
      </c>
      <c r="U134" t="str">
        <f t="shared" si="102"/>
        <v>0.000624609618988132-0.0249843847595253i</v>
      </c>
      <c r="V134">
        <f t="shared" si="148"/>
        <v>-56.493522368107975</v>
      </c>
      <c r="W134">
        <f t="shared" si="149"/>
        <v>-177.5276219959226</v>
      </c>
      <c r="X134">
        <f t="shared" si="103"/>
        <v>-32.043913319192995</v>
      </c>
      <c r="Y134">
        <f t="shared" si="150"/>
        <v>-88.567922241868374</v>
      </c>
      <c r="AA134" s="123">
        <f t="shared" si="104"/>
        <v>-99.568523395548425</v>
      </c>
      <c r="AB134" s="123">
        <f t="shared" si="105"/>
        <v>-179.20808390186053</v>
      </c>
      <c r="AC134">
        <f t="shared" si="106"/>
        <v>-69.499818756641218</v>
      </c>
      <c r="AD134">
        <f t="shared" si="107"/>
        <v>-219.45256719869968</v>
      </c>
      <c r="AE134" s="123">
        <f t="shared" si="108"/>
        <v>-169.06834215218964</v>
      </c>
      <c r="AF134" s="123">
        <f t="shared" si="109"/>
        <v>-398.66065110056024</v>
      </c>
      <c r="AI134" s="123">
        <f t="shared" si="110"/>
        <v>0</v>
      </c>
      <c r="AJ134" s="123">
        <f t="shared" si="111"/>
        <v>0</v>
      </c>
      <c r="AK134" s="123">
        <f t="shared" si="112"/>
        <v>0</v>
      </c>
      <c r="AL134" s="123">
        <f t="shared" si="113"/>
        <v>0</v>
      </c>
      <c r="AM134" s="123">
        <f t="shared" si="114"/>
        <v>0</v>
      </c>
      <c r="AN134" s="123">
        <f t="shared" si="115"/>
        <v>0</v>
      </c>
      <c r="AO134" s="123">
        <f t="shared" si="116"/>
        <v>0</v>
      </c>
      <c r="AP134" s="123"/>
      <c r="AQ134" s="123">
        <f t="shared" si="117"/>
        <v>0</v>
      </c>
      <c r="AR134" s="123">
        <f t="shared" si="118"/>
        <v>0</v>
      </c>
      <c r="AS134" s="123">
        <f t="shared" si="119"/>
        <v>0</v>
      </c>
      <c r="AW134" t="str">
        <f t="shared" si="151"/>
        <v>12700</v>
      </c>
      <c r="AX134" t="str">
        <f t="shared" si="152"/>
        <v>75-0.198943720253935i</v>
      </c>
      <c r="AY134" t="str">
        <f t="shared" si="120"/>
        <v>74.559689950313-0.196614643062644i</v>
      </c>
      <c r="AZ134">
        <f t="shared" si="153"/>
        <v>-36.529288019250991</v>
      </c>
      <c r="BA134">
        <f t="shared" si="154"/>
        <v>-0.15108922096094965</v>
      </c>
      <c r="BB134">
        <f t="shared" si="155"/>
        <v>-2.8438325578101207E-9</v>
      </c>
      <c r="BC134">
        <f t="shared" si="156"/>
        <v>8.4595323155853416E-4</v>
      </c>
      <c r="BD134" s="123">
        <f t="shared" si="121"/>
        <v>-88.165618214969655</v>
      </c>
      <c r="BE134" s="123">
        <f t="shared" si="122"/>
        <v>-179.06354100754919</v>
      </c>
      <c r="BF134">
        <f t="shared" si="123"/>
        <v>-93.022810387358959</v>
      </c>
      <c r="BG134">
        <f t="shared" si="124"/>
        <v>-177.67871121688356</v>
      </c>
      <c r="BH134" s="123">
        <f t="shared" si="125"/>
        <v>-181.1884286023286</v>
      </c>
      <c r="BI134" s="123">
        <f t="shared" si="126"/>
        <v>-356.74225222443272</v>
      </c>
      <c r="BL134" s="123">
        <f t="shared" si="127"/>
        <v>0</v>
      </c>
      <c r="BM134" s="123">
        <f t="shared" si="128"/>
        <v>0</v>
      </c>
      <c r="BN134" s="123">
        <f t="shared" si="129"/>
        <v>0</v>
      </c>
      <c r="BO134" s="123">
        <f t="shared" si="130"/>
        <v>0</v>
      </c>
      <c r="BP134" s="123">
        <f t="shared" si="131"/>
        <v>0</v>
      </c>
      <c r="BQ134" s="123">
        <f t="shared" si="132"/>
        <v>0</v>
      </c>
      <c r="BR134" s="123">
        <f t="shared" si="133"/>
        <v>0</v>
      </c>
      <c r="BS134" s="123"/>
      <c r="BT134" s="123"/>
      <c r="BU134" s="123">
        <f t="shared" si="134"/>
        <v>0</v>
      </c>
      <c r="BV134" s="123">
        <f t="shared" si="135"/>
        <v>0</v>
      </c>
      <c r="BX134" s="123">
        <f t="shared" si="136"/>
        <v>0</v>
      </c>
      <c r="BY134" s="123"/>
    </row>
    <row r="135" spans="5:77" x14ac:dyDescent="0.2">
      <c r="E135">
        <v>124</v>
      </c>
      <c r="F135">
        <v>8500000</v>
      </c>
      <c r="G135" s="58">
        <f t="shared" si="137"/>
        <v>-89.218682259873646</v>
      </c>
      <c r="H135" s="58">
        <f t="shared" si="138"/>
        <v>-179.1194202140727</v>
      </c>
      <c r="I135">
        <f t="shared" si="139"/>
        <v>-11.402908376189306</v>
      </c>
      <c r="J135">
        <f t="shared" si="140"/>
        <v>-0.13524421337704434</v>
      </c>
      <c r="K135" t="str">
        <f t="shared" si="141"/>
        <v>120.634974869994-920.394260502882i</v>
      </c>
      <c r="L135" t="str">
        <f t="shared" si="142"/>
        <v>3300-1872.41148474292i</v>
      </c>
      <c r="M135" t="str">
        <f t="shared" si="143"/>
        <v>3226.37390626558-1754.11470395088i</v>
      </c>
      <c r="N135">
        <f t="shared" si="99"/>
        <v>-13.284202276572914</v>
      </c>
      <c r="O135">
        <f t="shared" si="144"/>
        <v>-43.905430108237937</v>
      </c>
      <c r="P135" t="str">
        <f t="shared" si="145"/>
        <v>-56.7397419619066i</v>
      </c>
      <c r="Q135" t="str">
        <f t="shared" si="146"/>
        <v>3300-0.398385422285727i</v>
      </c>
      <c r="R135" t="str">
        <f t="shared" si="100"/>
        <v>0.975282863098228-56.7228553447954i</v>
      </c>
      <c r="S135" t="str">
        <f t="shared" si="147"/>
        <v>0.876481184367102-9362.05734165792i</v>
      </c>
      <c r="T135" t="str">
        <f t="shared" si="101"/>
        <v>0.963603083968505-56.3813511688065i</v>
      </c>
      <c r="U135" t="str">
        <f t="shared" si="102"/>
        <v>0.000553326877853092-0.0235163923087564i</v>
      </c>
      <c r="V135">
        <f t="shared" si="148"/>
        <v>-57.546204374247864</v>
      </c>
      <c r="W135">
        <f t="shared" si="149"/>
        <v>-177.67301360299953</v>
      </c>
      <c r="X135">
        <f t="shared" si="103"/>
        <v>-32.570182334190065</v>
      </c>
      <c r="Y135">
        <f t="shared" si="150"/>
        <v>-88.652131163353587</v>
      </c>
      <c r="AA135" s="123">
        <f t="shared" si="104"/>
        <v>-100.62159063606295</v>
      </c>
      <c r="AB135" s="123">
        <f t="shared" si="105"/>
        <v>-179.25466442744974</v>
      </c>
      <c r="AC135">
        <f t="shared" si="106"/>
        <v>-70.830406650820777</v>
      </c>
      <c r="AD135">
        <f t="shared" si="107"/>
        <v>-221.57844371123747</v>
      </c>
      <c r="AE135" s="123">
        <f t="shared" si="108"/>
        <v>-171.45199728688374</v>
      </c>
      <c r="AF135" s="123">
        <f t="shared" si="109"/>
        <v>-400.83310813868718</v>
      </c>
      <c r="AI135" s="123">
        <f t="shared" si="110"/>
        <v>0</v>
      </c>
      <c r="AJ135" s="123">
        <f t="shared" si="111"/>
        <v>0</v>
      </c>
      <c r="AK135" s="123">
        <f t="shared" si="112"/>
        <v>0</v>
      </c>
      <c r="AL135" s="123">
        <f t="shared" si="113"/>
        <v>0</v>
      </c>
      <c r="AM135" s="123">
        <f t="shared" si="114"/>
        <v>0</v>
      </c>
      <c r="AN135" s="123">
        <f t="shared" si="115"/>
        <v>0</v>
      </c>
      <c r="AO135" s="123">
        <f t="shared" si="116"/>
        <v>0</v>
      </c>
      <c r="AP135" s="123"/>
      <c r="AQ135" s="123">
        <f t="shared" si="117"/>
        <v>0</v>
      </c>
      <c r="AR135" s="123">
        <f t="shared" si="118"/>
        <v>0</v>
      </c>
      <c r="AS135" s="123">
        <f t="shared" si="119"/>
        <v>0</v>
      </c>
      <c r="AW135" t="str">
        <f t="shared" si="151"/>
        <v>12700</v>
      </c>
      <c r="AX135" t="str">
        <f t="shared" si="152"/>
        <v>75-0.187241148474292i</v>
      </c>
      <c r="AY135" t="str">
        <f t="shared" si="120"/>
        <v>74.559689600689-0.18504907582879i</v>
      </c>
      <c r="AZ135">
        <f t="shared" si="153"/>
        <v>-36.529291508407901</v>
      </c>
      <c r="BA135">
        <f t="shared" si="154"/>
        <v>-0.14220165803617513</v>
      </c>
      <c r="BB135">
        <f t="shared" si="155"/>
        <v>-2.5191367494291236E-9</v>
      </c>
      <c r="BC135">
        <f t="shared" si="156"/>
        <v>7.9619127680832433E-4</v>
      </c>
      <c r="BD135" s="123">
        <f t="shared" si="121"/>
        <v>-89.218682262392775</v>
      </c>
      <c r="BE135" s="123">
        <f t="shared" si="122"/>
        <v>-179.1186240227959</v>
      </c>
      <c r="BF135">
        <f t="shared" si="123"/>
        <v>-94.075495882655758</v>
      </c>
      <c r="BG135">
        <f t="shared" si="124"/>
        <v>-177.81521526103572</v>
      </c>
      <c r="BH135" s="123">
        <f t="shared" si="125"/>
        <v>-183.29417814504853</v>
      </c>
      <c r="BI135" s="123">
        <f t="shared" si="126"/>
        <v>-356.93383928383162</v>
      </c>
      <c r="BL135" s="123">
        <f t="shared" si="127"/>
        <v>0</v>
      </c>
      <c r="BM135" s="123">
        <f t="shared" si="128"/>
        <v>0</v>
      </c>
      <c r="BN135" s="123">
        <f t="shared" si="129"/>
        <v>0</v>
      </c>
      <c r="BO135" s="123">
        <f t="shared" si="130"/>
        <v>0</v>
      </c>
      <c r="BP135" s="123">
        <f t="shared" si="131"/>
        <v>0</v>
      </c>
      <c r="BQ135" s="123">
        <f t="shared" si="132"/>
        <v>0</v>
      </c>
      <c r="BR135" s="123">
        <f t="shared" si="133"/>
        <v>0</v>
      </c>
      <c r="BS135" s="123"/>
      <c r="BT135" s="123"/>
      <c r="BU135" s="123">
        <f t="shared" si="134"/>
        <v>0</v>
      </c>
      <c r="BV135" s="123">
        <f t="shared" si="135"/>
        <v>0</v>
      </c>
      <c r="BX135" s="123">
        <f t="shared" si="136"/>
        <v>0</v>
      </c>
      <c r="BY135" s="123"/>
    </row>
    <row r="136" spans="5:77" x14ac:dyDescent="0.2">
      <c r="E136">
        <v>125</v>
      </c>
      <c r="F136">
        <v>9000000</v>
      </c>
      <c r="G136" s="58">
        <f t="shared" si="137"/>
        <v>-90.211547252587707</v>
      </c>
      <c r="H136" s="58">
        <f t="shared" si="138"/>
        <v>-179.16833942793903</v>
      </c>
      <c r="I136">
        <f t="shared" si="139"/>
        <v>-11.402911051760672</v>
      </c>
      <c r="J136">
        <f t="shared" si="140"/>
        <v>-0.12773067251039869</v>
      </c>
      <c r="K136" t="str">
        <f t="shared" si="141"/>
        <v>107.800091351398-870.850040371256i</v>
      </c>
      <c r="L136" t="str">
        <f t="shared" si="142"/>
        <v>3300-1768.38862447942i</v>
      </c>
      <c r="M136" t="str">
        <f t="shared" si="143"/>
        <v>3222.9402663985-1656.72266741013i</v>
      </c>
      <c r="N136">
        <f t="shared" si="99"/>
        <v>-13.561113289125192</v>
      </c>
      <c r="O136">
        <f t="shared" si="144"/>
        <v>-45.749936772767619</v>
      </c>
      <c r="P136" t="str">
        <f t="shared" si="145"/>
        <v>-53.587534075134i</v>
      </c>
      <c r="Q136" t="str">
        <f t="shared" si="146"/>
        <v>3300-0.376252898825409i</v>
      </c>
      <c r="R136" t="str">
        <f t="shared" si="100"/>
        <v>0.86995639813082-53.5733079715747i</v>
      </c>
      <c r="S136" t="str">
        <f t="shared" si="147"/>
        <v>0.78179957568495-8841.94305327084i</v>
      </c>
      <c r="T136" t="str">
        <f t="shared" si="101"/>
        <v>0.859537656167951-53.2507455035202i</v>
      </c>
      <c r="U136" t="str">
        <f t="shared" si="102"/>
        <v>0.000493583415597236-0.0222112537018756i</v>
      </c>
      <c r="V136">
        <f t="shared" si="148"/>
        <v>-58.538749191905282</v>
      </c>
      <c r="W136">
        <f t="shared" si="149"/>
        <v>-177.80225740743023</v>
      </c>
      <c r="X136">
        <f t="shared" si="103"/>
        <v>-33.066394410242623</v>
      </c>
      <c r="Y136">
        <f t="shared" si="150"/>
        <v>-88.726988439069089</v>
      </c>
      <c r="AA136" s="123">
        <f t="shared" si="104"/>
        <v>-101.61445830434837</v>
      </c>
      <c r="AB136" s="123">
        <f t="shared" si="105"/>
        <v>-179.29607010044944</v>
      </c>
      <c r="AC136">
        <f t="shared" si="106"/>
        <v>-72.09986248103047</v>
      </c>
      <c r="AD136">
        <f t="shared" si="107"/>
        <v>-223.55219418019786</v>
      </c>
      <c r="AE136" s="123">
        <f t="shared" si="108"/>
        <v>-173.71432078537885</v>
      </c>
      <c r="AF136" s="123">
        <f t="shared" si="109"/>
        <v>-402.8482642806473</v>
      </c>
      <c r="AI136" s="123">
        <f t="shared" si="110"/>
        <v>0</v>
      </c>
      <c r="AJ136" s="123">
        <f t="shared" si="111"/>
        <v>0</v>
      </c>
      <c r="AK136" s="123">
        <f t="shared" si="112"/>
        <v>0</v>
      </c>
      <c r="AL136" s="123">
        <f t="shared" si="113"/>
        <v>0</v>
      </c>
      <c r="AM136" s="123">
        <f t="shared" si="114"/>
        <v>0</v>
      </c>
      <c r="AN136" s="123">
        <f t="shared" si="115"/>
        <v>0</v>
      </c>
      <c r="AO136" s="123">
        <f t="shared" si="116"/>
        <v>0</v>
      </c>
      <c r="AP136" s="123"/>
      <c r="AQ136" s="123">
        <f t="shared" si="117"/>
        <v>0</v>
      </c>
      <c r="AR136" s="123">
        <f t="shared" si="118"/>
        <v>0</v>
      </c>
      <c r="AS136" s="123">
        <f t="shared" si="119"/>
        <v>0</v>
      </c>
      <c r="AW136" t="str">
        <f t="shared" si="151"/>
        <v>12700</v>
      </c>
      <c r="AX136" t="str">
        <f t="shared" si="152"/>
        <v>75-0.176838862447942i</v>
      </c>
      <c r="AY136" t="str">
        <f t="shared" si="120"/>
        <v>74.5596893077006-0.174768571620134i</v>
      </c>
      <c r="AZ136">
        <f t="shared" si="153"/>
        <v>-36.52929443235751</v>
      </c>
      <c r="BA136">
        <f t="shared" si="154"/>
        <v>-0.13430159624226193</v>
      </c>
      <c r="BB136">
        <f t="shared" si="155"/>
        <v>-2.2470064312755238E-9</v>
      </c>
      <c r="BC136">
        <f t="shared" si="156"/>
        <v>7.5195842813335998E-4</v>
      </c>
      <c r="BD136" s="123">
        <f t="shared" si="121"/>
        <v>-90.211547254834713</v>
      </c>
      <c r="BE136" s="123">
        <f t="shared" si="122"/>
        <v>-179.16758746951089</v>
      </c>
      <c r="BF136">
        <f t="shared" si="123"/>
        <v>-95.068043624262799</v>
      </c>
      <c r="BG136">
        <f t="shared" si="124"/>
        <v>-177.9365590036725</v>
      </c>
      <c r="BH136" s="123">
        <f t="shared" si="125"/>
        <v>-185.2795908790975</v>
      </c>
      <c r="BI136" s="123">
        <f t="shared" si="126"/>
        <v>-357.10414647318339</v>
      </c>
      <c r="BL136" s="123">
        <f t="shared" si="127"/>
        <v>0</v>
      </c>
      <c r="BM136" s="123">
        <f t="shared" si="128"/>
        <v>0</v>
      </c>
      <c r="BN136" s="123">
        <f t="shared" si="129"/>
        <v>0</v>
      </c>
      <c r="BO136" s="123">
        <f t="shared" si="130"/>
        <v>0</v>
      </c>
      <c r="BP136" s="123">
        <f t="shared" si="131"/>
        <v>0</v>
      </c>
      <c r="BQ136" s="123">
        <f t="shared" si="132"/>
        <v>0</v>
      </c>
      <c r="BR136" s="123">
        <f t="shared" si="133"/>
        <v>0</v>
      </c>
      <c r="BS136" s="123"/>
      <c r="BT136" s="123"/>
      <c r="BU136" s="123">
        <f t="shared" si="134"/>
        <v>0</v>
      </c>
      <c r="BV136" s="123">
        <f t="shared" si="135"/>
        <v>0</v>
      </c>
      <c r="BX136" s="123">
        <f t="shared" si="136"/>
        <v>0</v>
      </c>
      <c r="BY136" s="123"/>
    </row>
    <row r="137" spans="5:77" x14ac:dyDescent="0.2">
      <c r="E137">
        <v>126</v>
      </c>
      <c r="F137">
        <v>9500000</v>
      </c>
      <c r="G137" s="58">
        <f t="shared" si="137"/>
        <v>-91.150724772636181</v>
      </c>
      <c r="H137" s="58">
        <f t="shared" si="138"/>
        <v>-179.21210982827333</v>
      </c>
      <c r="I137">
        <f t="shared" si="139"/>
        <v>-11.402913316097923</v>
      </c>
      <c r="J137">
        <f t="shared" si="140"/>
        <v>-0.12100802681739349</v>
      </c>
      <c r="K137" t="str">
        <f t="shared" si="141"/>
        <v>96.9012179263202-826.293961360584i</v>
      </c>
      <c r="L137" t="str">
        <f t="shared" si="142"/>
        <v>3300-1675.3155389805i</v>
      </c>
      <c r="M137" t="str">
        <f t="shared" si="143"/>
        <v>3220.03418674769-1569.57386823759i</v>
      </c>
      <c r="N137">
        <f t="shared" si="99"/>
        <v>-13.836124446465607</v>
      </c>
      <c r="O137">
        <f t="shared" si="144"/>
        <v>-47.470268191564408</v>
      </c>
      <c r="P137" t="str">
        <f t="shared" si="145"/>
        <v>-50.7671375448638i</v>
      </c>
      <c r="Q137" t="str">
        <f t="shared" si="146"/>
        <v>3300-0.356450114676703i</v>
      </c>
      <c r="R137" t="str">
        <f t="shared" si="100"/>
        <v>0.780813286471671-50.7550411883498i</v>
      </c>
      <c r="S137" t="str">
        <f t="shared" si="147"/>
        <v>0.701670533863969-8376.57763612654i</v>
      </c>
      <c r="T137" t="str">
        <f t="shared" si="101"/>
        <v>0.771461886456261-50.4494310387856i</v>
      </c>
      <c r="U137" t="str">
        <f t="shared" si="102"/>
        <v>0.000443016945398161-0.0210433049064127i</v>
      </c>
      <c r="V137">
        <f t="shared" si="148"/>
        <v>-59.477655733228893</v>
      </c>
      <c r="W137">
        <f t="shared" si="149"/>
        <v>-177.91790173901055</v>
      </c>
      <c r="X137">
        <f t="shared" si="103"/>
        <v>-33.535796616952879</v>
      </c>
      <c r="Y137">
        <f t="shared" si="150"/>
        <v>-88.793969693840893</v>
      </c>
      <c r="AA137" s="123">
        <f t="shared" si="104"/>
        <v>-102.5536380887341</v>
      </c>
      <c r="AB137" s="123">
        <f t="shared" si="105"/>
        <v>-179.33311785509073</v>
      </c>
      <c r="AC137">
        <f t="shared" si="106"/>
        <v>-73.313780179694504</v>
      </c>
      <c r="AD137">
        <f t="shared" si="107"/>
        <v>-225.38816993057495</v>
      </c>
      <c r="AE137" s="123">
        <f t="shared" si="108"/>
        <v>-175.86741826842859</v>
      </c>
      <c r="AF137" s="123">
        <f t="shared" si="109"/>
        <v>-404.72128778566571</v>
      </c>
      <c r="AI137" s="123">
        <f t="shared" si="110"/>
        <v>0</v>
      </c>
      <c r="AJ137" s="123">
        <f t="shared" si="111"/>
        <v>0</v>
      </c>
      <c r="AK137" s="123">
        <f t="shared" si="112"/>
        <v>0</v>
      </c>
      <c r="AL137" s="123">
        <f t="shared" si="113"/>
        <v>0</v>
      </c>
      <c r="AM137" s="123">
        <f t="shared" si="114"/>
        <v>0</v>
      </c>
      <c r="AN137" s="123">
        <f t="shared" si="115"/>
        <v>0</v>
      </c>
      <c r="AO137" s="123">
        <f t="shared" si="116"/>
        <v>0</v>
      </c>
      <c r="AP137" s="123"/>
      <c r="AQ137" s="123">
        <f t="shared" si="117"/>
        <v>0</v>
      </c>
      <c r="AR137" s="123">
        <f t="shared" si="118"/>
        <v>0</v>
      </c>
      <c r="AS137" s="123">
        <f t="shared" si="119"/>
        <v>0</v>
      </c>
      <c r="AW137" t="str">
        <f t="shared" si="151"/>
        <v>12700</v>
      </c>
      <c r="AX137" t="str">
        <f t="shared" si="152"/>
        <v>75-0.16753155389805i</v>
      </c>
      <c r="AY137" t="str">
        <f t="shared" si="120"/>
        <v>74.5596890597446-0.165570225748642i</v>
      </c>
      <c r="AZ137">
        <f t="shared" si="153"/>
        <v>-36.529296906897471</v>
      </c>
      <c r="BA137">
        <f t="shared" si="154"/>
        <v>-0.12723311548556143</v>
      </c>
      <c r="BB137">
        <f t="shared" si="155"/>
        <v>-2.0166845304524738E-9</v>
      </c>
      <c r="BC137">
        <f t="shared" si="156"/>
        <v>7.1238166878634401E-4</v>
      </c>
      <c r="BD137" s="123">
        <f t="shared" si="121"/>
        <v>-91.150724774652872</v>
      </c>
      <c r="BE137" s="123">
        <f t="shared" si="122"/>
        <v>-179.21139744660454</v>
      </c>
      <c r="BF137">
        <f t="shared" si="123"/>
        <v>-96.006952640126372</v>
      </c>
      <c r="BG137">
        <f t="shared" si="124"/>
        <v>-178.0451348544961</v>
      </c>
      <c r="BH137" s="123">
        <f t="shared" si="125"/>
        <v>-187.15767741477924</v>
      </c>
      <c r="BI137" s="123">
        <f t="shared" si="126"/>
        <v>-357.25653230110061</v>
      </c>
      <c r="BL137" s="123">
        <f t="shared" si="127"/>
        <v>0</v>
      </c>
      <c r="BM137" s="123">
        <f t="shared" si="128"/>
        <v>0</v>
      </c>
      <c r="BN137" s="123">
        <f t="shared" si="129"/>
        <v>0</v>
      </c>
      <c r="BO137" s="123">
        <f t="shared" si="130"/>
        <v>0</v>
      </c>
      <c r="BP137" s="123">
        <f t="shared" si="131"/>
        <v>0</v>
      </c>
      <c r="BQ137" s="123">
        <f t="shared" si="132"/>
        <v>0</v>
      </c>
      <c r="BR137" s="123">
        <f t="shared" si="133"/>
        <v>0</v>
      </c>
      <c r="BS137" s="123"/>
      <c r="BT137" s="123"/>
      <c r="BU137" s="123">
        <f t="shared" si="134"/>
        <v>0</v>
      </c>
      <c r="BV137" s="123">
        <f t="shared" si="135"/>
        <v>0</v>
      </c>
      <c r="BX137" s="123">
        <f t="shared" si="136"/>
        <v>0</v>
      </c>
      <c r="BY137" s="123"/>
    </row>
    <row r="138" spans="5:77" x14ac:dyDescent="0.2">
      <c r="E138">
        <v>127</v>
      </c>
      <c r="F138">
        <v>10000000</v>
      </c>
      <c r="G138" s="58">
        <f t="shared" si="137"/>
        <v>-92.041723942589499</v>
      </c>
      <c r="H138" s="58">
        <f t="shared" si="138"/>
        <v>-179.25150363020558</v>
      </c>
      <c r="I138">
        <f t="shared" si="139"/>
        <v>-11.40291524935326</v>
      </c>
      <c r="J138">
        <f t="shared" si="140"/>
        <v>-0.1149576427376211</v>
      </c>
      <c r="K138" t="str">
        <f t="shared" si="141"/>
        <v>87.5691770712894-786.018931810703i</v>
      </c>
      <c r="L138" t="str">
        <f t="shared" si="142"/>
        <v>3300-1591.54976203148i</v>
      </c>
      <c r="M138" t="str">
        <f t="shared" si="143"/>
        <v>3217.55288494612-1491.1334044026i</v>
      </c>
      <c r="N138">
        <f t="shared" si="99"/>
        <v>-14.108522128237869</v>
      </c>
      <c r="O138">
        <f t="shared" si="144"/>
        <v>-49.077049249252198</v>
      </c>
      <c r="P138" t="str">
        <f t="shared" si="145"/>
        <v>-48.2287806676206i</v>
      </c>
      <c r="Q138" t="str">
        <f t="shared" si="146"/>
        <v>3300-0.338627608942868i</v>
      </c>
      <c r="R138" t="str">
        <f t="shared" si="100"/>
        <v>0.704700477208989-48.2184093113208i</v>
      </c>
      <c r="S138" t="str">
        <f t="shared" si="147"/>
        <v>0.633257657245463-7957.74875976435i</v>
      </c>
      <c r="T138" t="str">
        <f t="shared" si="101"/>
        <v>0.696260448038986-47.9280596712254i</v>
      </c>
      <c r="U138" t="str">
        <f t="shared" si="102"/>
        <v>0.00039984006397441-0.0199920031987205i</v>
      </c>
      <c r="V138">
        <f t="shared" si="148"/>
        <v>-60.368423535357785</v>
      </c>
      <c r="W138">
        <f t="shared" si="149"/>
        <v>-178.02198556762889</v>
      </c>
      <c r="X138">
        <f t="shared" si="103"/>
        <v>-33.981136917305029</v>
      </c>
      <c r="Y138">
        <f t="shared" si="150"/>
        <v>-88.854255647427891</v>
      </c>
      <c r="AA138" s="123">
        <f t="shared" si="104"/>
        <v>-103.44463919194276</v>
      </c>
      <c r="AB138" s="123">
        <f t="shared" si="105"/>
        <v>-179.36646127294318</v>
      </c>
      <c r="AC138">
        <f t="shared" si="106"/>
        <v>-74.476945663595657</v>
      </c>
      <c r="AD138">
        <f t="shared" si="107"/>
        <v>-227.0990348168811</v>
      </c>
      <c r="AE138" s="123">
        <f t="shared" si="108"/>
        <v>-177.92158485553841</v>
      </c>
      <c r="AF138" s="123">
        <f t="shared" si="109"/>
        <v>-406.46549608982428</v>
      </c>
      <c r="AI138" s="123">
        <f t="shared" si="110"/>
        <v>0</v>
      </c>
      <c r="AJ138" s="123">
        <f t="shared" si="111"/>
        <v>0</v>
      </c>
      <c r="AK138" s="123">
        <f t="shared" si="112"/>
        <v>0</v>
      </c>
      <c r="AL138" s="123">
        <f t="shared" si="113"/>
        <v>0</v>
      </c>
      <c r="AM138" s="123">
        <f t="shared" si="114"/>
        <v>0</v>
      </c>
      <c r="AN138" s="123">
        <f t="shared" si="115"/>
        <v>0</v>
      </c>
      <c r="AO138" s="123">
        <f t="shared" si="116"/>
        <v>0</v>
      </c>
      <c r="AP138" s="123"/>
      <c r="AQ138" s="123"/>
      <c r="AR138" s="123"/>
      <c r="AS138" s="123"/>
      <c r="AW138" t="str">
        <f t="shared" si="151"/>
        <v>12700</v>
      </c>
      <c r="AX138" t="str">
        <f t="shared" si="152"/>
        <v>75-0.159154976203148i</v>
      </c>
      <c r="AY138" t="str">
        <f t="shared" si="120"/>
        <v>74.5596888480438-0.157291714463848i</v>
      </c>
      <c r="AZ138">
        <f t="shared" si="153"/>
        <v>-36.529299019620645</v>
      </c>
      <c r="BA138">
        <f t="shared" si="154"/>
        <v>-0.12087147942793608</v>
      </c>
      <c r="BB138">
        <f t="shared" si="155"/>
        <v>-1.8200986617324353E-9</v>
      </c>
      <c r="BC138">
        <f t="shared" si="156"/>
        <v>6.7676258537135926E-4</v>
      </c>
      <c r="BD138" s="123">
        <f t="shared" si="121"/>
        <v>-92.041723944409597</v>
      </c>
      <c r="BE138" s="123">
        <f t="shared" si="122"/>
        <v>-179.25082686762019</v>
      </c>
      <c r="BF138">
        <f t="shared" si="123"/>
        <v>-96.897722554978429</v>
      </c>
      <c r="BG138">
        <f t="shared" si="124"/>
        <v>-178.14285704705682</v>
      </c>
      <c r="BH138" s="123">
        <f t="shared" si="125"/>
        <v>-188.93944649938803</v>
      </c>
      <c r="BI138" s="123">
        <f t="shared" si="126"/>
        <v>-357.39368391467701</v>
      </c>
      <c r="BL138" s="123">
        <f t="shared" si="127"/>
        <v>0</v>
      </c>
      <c r="BM138" s="123">
        <f t="shared" si="128"/>
        <v>0</v>
      </c>
      <c r="BN138" s="123">
        <f t="shared" si="129"/>
        <v>0</v>
      </c>
      <c r="BO138" s="123">
        <f t="shared" si="130"/>
        <v>0</v>
      </c>
      <c r="BP138" s="123">
        <f t="shared" si="131"/>
        <v>0</v>
      </c>
      <c r="BQ138" s="123">
        <f t="shared" si="132"/>
        <v>0</v>
      </c>
      <c r="BR138" s="123">
        <f t="shared" si="133"/>
        <v>0</v>
      </c>
      <c r="BS138" s="123"/>
      <c r="BX138" s="123">
        <f t="shared" si="136"/>
        <v>0</v>
      </c>
      <c r="BY138" s="123"/>
    </row>
    <row r="139" spans="5:77" x14ac:dyDescent="0.2">
      <c r="AI139" s="123"/>
      <c r="AJ139" s="123"/>
      <c r="AK139" s="123"/>
      <c r="AL139" s="123"/>
      <c r="AM139" s="123"/>
      <c r="AN139" s="123"/>
      <c r="AO139" s="123"/>
      <c r="AP139" s="123"/>
      <c r="AQ139" s="123"/>
      <c r="AR139" s="123"/>
      <c r="AS139" s="123"/>
    </row>
  </sheetData>
  <phoneticPr fontId="48"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C1:BS212"/>
  <sheetViews>
    <sheetView zoomScaleNormal="100" workbookViewId="0">
      <selection activeCell="E1" sqref="E1"/>
    </sheetView>
  </sheetViews>
  <sheetFormatPr defaultColWidth="8.85546875" defaultRowHeight="12.75" x14ac:dyDescent="0.2"/>
  <cols>
    <col min="1" max="1" width="111.42578125" style="61" customWidth="1"/>
    <col min="2" max="2" width="8.85546875" style="61"/>
    <col min="3" max="3" width="6.7109375" style="61" customWidth="1"/>
    <col min="4" max="4" width="10.42578125" style="61" customWidth="1"/>
    <col min="5" max="5" width="6.7109375" style="61" customWidth="1"/>
    <col min="6" max="6" width="8" style="61" customWidth="1"/>
    <col min="7" max="7" width="8.85546875" style="62"/>
    <col min="8" max="9" width="9.7109375" style="61" customWidth="1"/>
    <col min="10" max="13" width="8.28515625" style="65" customWidth="1"/>
    <col min="14" max="14" width="10.7109375" style="63" customWidth="1"/>
    <col min="15" max="17" width="8.7109375" style="64" customWidth="1"/>
    <col min="18" max="18" width="12.28515625" style="64" customWidth="1"/>
    <col min="19" max="19" width="8" style="64" customWidth="1"/>
    <col min="20" max="20" width="9.42578125" style="65" customWidth="1"/>
    <col min="21" max="21" width="8" style="61" customWidth="1"/>
    <col min="22" max="22" width="9.28515625" style="66" customWidth="1"/>
    <col min="23" max="23" width="8.7109375" style="64" customWidth="1"/>
    <col min="24" max="24" width="9.7109375" style="61" customWidth="1"/>
    <col min="25" max="25" width="10.7109375" style="61" customWidth="1"/>
    <col min="26" max="26" width="9.7109375" style="65" customWidth="1"/>
    <col min="27" max="27" width="10.5703125" style="61" customWidth="1"/>
    <col min="28" max="28" width="8.85546875" style="61"/>
    <col min="29" max="31" width="8.5703125" style="61" customWidth="1"/>
    <col min="32" max="32" width="11.7109375" style="61" customWidth="1"/>
    <col min="33" max="33" width="12.7109375" style="61" customWidth="1"/>
    <col min="34" max="35" width="8" style="61" customWidth="1"/>
    <col min="36" max="36" width="9.7109375" style="61" customWidth="1"/>
    <col min="37" max="39" width="8.7109375" style="61" customWidth="1"/>
    <col min="40" max="46" width="10.5703125" style="61" customWidth="1"/>
    <col min="47" max="47" width="10.28515625" style="61" customWidth="1"/>
    <col min="48" max="48" width="11.5703125" style="61" customWidth="1"/>
    <col min="49" max="49" width="9.28515625" style="61" customWidth="1"/>
    <col min="50" max="50" width="10.42578125" style="61" customWidth="1"/>
    <col min="51" max="51" width="8.85546875" style="61"/>
    <col min="52" max="52" width="8.42578125" style="64" customWidth="1"/>
    <col min="53" max="53" width="7.28515625" style="64" customWidth="1"/>
    <col min="54" max="54" width="10.28515625" style="67" customWidth="1"/>
    <col min="55" max="55" width="7.7109375" style="63" customWidth="1"/>
    <col min="56" max="56" width="8.85546875" style="65"/>
    <col min="57" max="57" width="10.28515625" style="65" customWidth="1"/>
    <col min="58" max="58" width="12.28515625" style="65" customWidth="1"/>
    <col min="59" max="59" width="8.7109375" style="65" customWidth="1"/>
    <col min="60" max="63" width="7.7109375" style="61" customWidth="1"/>
    <col min="64" max="66" width="8.85546875" style="61"/>
    <col min="67" max="67" width="28.42578125" style="61" customWidth="1"/>
    <col min="68" max="69" width="8.85546875" style="61"/>
    <col min="70" max="70" width="12.42578125" style="61" bestFit="1" customWidth="1"/>
    <col min="71" max="16384" width="8.85546875" style="61"/>
  </cols>
  <sheetData>
    <row r="1" spans="3:71" ht="374.45" customHeight="1" x14ac:dyDescent="0.2"/>
    <row r="2" spans="3:71" x14ac:dyDescent="0.2">
      <c r="AI2" s="120" t="s">
        <v>378</v>
      </c>
      <c r="AJ2" s="119">
        <f>V.supply_typ</f>
        <v>16</v>
      </c>
    </row>
    <row r="3" spans="3:71" x14ac:dyDescent="0.2">
      <c r="AI3" s="120" t="s">
        <v>379</v>
      </c>
      <c r="AJ3" s="119">
        <f>V.bd_ls</f>
        <v>0.8</v>
      </c>
    </row>
    <row r="4" spans="3:71" ht="12.75" customHeight="1" x14ac:dyDescent="0.2">
      <c r="AI4" s="120" t="s">
        <v>380</v>
      </c>
      <c r="AJ4" s="119">
        <f>V.fwd_sch</f>
        <v>4444</v>
      </c>
    </row>
    <row r="5" spans="3:71" ht="12.75" customHeight="1" x14ac:dyDescent="0.2">
      <c r="G5" s="68"/>
      <c r="H5" s="69"/>
      <c r="I5" s="69"/>
      <c r="AI5" s="120" t="s">
        <v>381</v>
      </c>
      <c r="AJ5" s="119">
        <f>MIN(AJ3:AJ4)</f>
        <v>0.8</v>
      </c>
      <c r="AU5" s="69"/>
    </row>
    <row r="6" spans="3:71" ht="12.75" customHeight="1" x14ac:dyDescent="0.2">
      <c r="D6" s="118" t="str">
        <f>"Full Load Efficiency = "&amp;ROUND(BB112*100,1)&amp;" %"</f>
        <v>Full Load Efficiency = 96.5 %</v>
      </c>
      <c r="G6" s="68"/>
      <c r="H6" s="69"/>
      <c r="I6" s="69"/>
      <c r="AI6" s="120" t="s">
        <v>382</v>
      </c>
      <c r="AJ6" s="119">
        <f>0.5*AJ2/(AJ5+AJ2)</f>
        <v>0.47619047619047616</v>
      </c>
      <c r="AU6" s="69"/>
    </row>
    <row r="7" spans="3:71" ht="12.75" customHeight="1" x14ac:dyDescent="0.2">
      <c r="G7" s="68"/>
      <c r="H7" s="69"/>
      <c r="I7" s="69"/>
      <c r="AI7" s="120" t="s">
        <v>383</v>
      </c>
      <c r="AJ7" s="119">
        <f>(AJ5+0.5*AJ2)/(AJ5+AJ2)</f>
        <v>0.52380952380952384</v>
      </c>
      <c r="AU7" s="69"/>
      <c r="AW7" s="69"/>
    </row>
    <row r="8" spans="3:71" x14ac:dyDescent="0.2">
      <c r="D8" s="119" t="s">
        <v>369</v>
      </c>
      <c r="E8" s="119" t="s">
        <v>369</v>
      </c>
      <c r="F8" s="119" t="s">
        <v>369</v>
      </c>
    </row>
    <row r="9" spans="3:71" ht="13.5" customHeight="1" x14ac:dyDescent="0.2">
      <c r="D9" s="119">
        <v>0</v>
      </c>
      <c r="E9" s="119">
        <v>0</v>
      </c>
      <c r="F9" s="119">
        <v>0</v>
      </c>
      <c r="N9" s="70"/>
      <c r="O9" s="71"/>
      <c r="P9" s="71"/>
      <c r="Q9" s="71"/>
      <c r="R9" s="71"/>
      <c r="AV9" s="72"/>
      <c r="AW9" s="72"/>
      <c r="AY9" s="72"/>
      <c r="AZ9" s="71"/>
    </row>
    <row r="10" spans="3:71" s="69" customFormat="1" x14ac:dyDescent="0.2">
      <c r="C10" s="168" t="s">
        <v>285</v>
      </c>
      <c r="D10" s="169"/>
      <c r="E10" s="169"/>
      <c r="F10" s="169"/>
      <c r="G10" s="169"/>
      <c r="H10" s="169"/>
      <c r="I10" s="169"/>
      <c r="J10" s="169"/>
      <c r="K10" s="169"/>
      <c r="L10" s="169"/>
      <c r="M10" s="169"/>
      <c r="N10" s="169"/>
      <c r="O10" s="169"/>
      <c r="P10" s="169"/>
      <c r="Q10" s="169"/>
      <c r="R10" s="170"/>
      <c r="S10" s="164" t="s">
        <v>286</v>
      </c>
      <c r="T10" s="164"/>
      <c r="U10" s="164"/>
      <c r="V10" s="164"/>
      <c r="W10" s="171" t="s">
        <v>287</v>
      </c>
      <c r="X10" s="171"/>
      <c r="Y10" s="171"/>
      <c r="Z10" s="164" t="s">
        <v>288</v>
      </c>
      <c r="AA10" s="164"/>
      <c r="AB10" s="164"/>
      <c r="AC10" s="164" t="s">
        <v>289</v>
      </c>
      <c r="AD10" s="164"/>
      <c r="AE10" s="164"/>
      <c r="AF10" s="164"/>
      <c r="AG10" s="164"/>
      <c r="AH10" s="164"/>
      <c r="AI10" s="164"/>
      <c r="AJ10" s="164"/>
      <c r="AK10" s="164" t="s">
        <v>356</v>
      </c>
      <c r="AL10" s="164"/>
      <c r="AM10" s="164"/>
      <c r="AN10" s="164"/>
      <c r="AO10" s="164"/>
      <c r="AP10" s="164"/>
      <c r="AQ10" s="164"/>
      <c r="AR10" s="164"/>
      <c r="AS10" s="164"/>
      <c r="AT10" s="164"/>
      <c r="AU10" s="164"/>
      <c r="AV10" s="100" t="s">
        <v>290</v>
      </c>
      <c r="AW10" s="164" t="s">
        <v>291</v>
      </c>
      <c r="AX10" s="164"/>
      <c r="AY10" s="164"/>
      <c r="AZ10" s="164" t="s">
        <v>292</v>
      </c>
      <c r="BA10" s="164"/>
      <c r="BB10" s="164"/>
      <c r="BC10" s="165" t="s">
        <v>372</v>
      </c>
      <c r="BD10" s="166"/>
      <c r="BE10" s="166"/>
      <c r="BF10" s="166"/>
      <c r="BG10" s="166"/>
      <c r="BH10" s="166"/>
      <c r="BI10" s="166"/>
      <c r="BJ10" s="166"/>
      <c r="BK10" s="166"/>
      <c r="BL10" s="167"/>
    </row>
    <row r="11" spans="3:71" s="69" customFormat="1" ht="63.75" x14ac:dyDescent="0.2">
      <c r="C11" s="101" t="s">
        <v>293</v>
      </c>
      <c r="D11" s="101" t="s">
        <v>345</v>
      </c>
      <c r="E11" s="101" t="s">
        <v>343</v>
      </c>
      <c r="F11" s="101" t="s">
        <v>344</v>
      </c>
      <c r="G11" s="101" t="s">
        <v>294</v>
      </c>
      <c r="H11" s="101" t="s">
        <v>295</v>
      </c>
      <c r="I11" s="101" t="s">
        <v>296</v>
      </c>
      <c r="J11" s="102" t="s">
        <v>329</v>
      </c>
      <c r="K11" s="102" t="s">
        <v>330</v>
      </c>
      <c r="L11" s="102" t="s">
        <v>323</v>
      </c>
      <c r="M11" s="102" t="s">
        <v>331</v>
      </c>
      <c r="N11" s="103" t="s">
        <v>297</v>
      </c>
      <c r="O11" s="104" t="s">
        <v>298</v>
      </c>
      <c r="P11" s="101" t="s">
        <v>299</v>
      </c>
      <c r="Q11" s="101" t="s">
        <v>300</v>
      </c>
      <c r="R11" s="101" t="s">
        <v>301</v>
      </c>
      <c r="S11" s="105" t="s">
        <v>302</v>
      </c>
      <c r="T11" s="106" t="s">
        <v>303</v>
      </c>
      <c r="U11" s="107" t="s">
        <v>304</v>
      </c>
      <c r="V11" s="108" t="s">
        <v>305</v>
      </c>
      <c r="W11" s="105" t="s">
        <v>306</v>
      </c>
      <c r="X11" s="109" t="s">
        <v>307</v>
      </c>
      <c r="Y11" s="110" t="s">
        <v>308</v>
      </c>
      <c r="Z11" s="106" t="s">
        <v>309</v>
      </c>
      <c r="AA11" s="107" t="s">
        <v>310</v>
      </c>
      <c r="AB11" s="110" t="s">
        <v>311</v>
      </c>
      <c r="AC11" s="107" t="s">
        <v>312</v>
      </c>
      <c r="AD11" s="101" t="s">
        <v>414</v>
      </c>
      <c r="AE11" s="107" t="s">
        <v>415</v>
      </c>
      <c r="AF11" s="107" t="s">
        <v>313</v>
      </c>
      <c r="AG11" s="111" t="s">
        <v>314</v>
      </c>
      <c r="AH11" s="107" t="s">
        <v>315</v>
      </c>
      <c r="AI11" s="107" t="s">
        <v>377</v>
      </c>
      <c r="AJ11" s="110" t="s">
        <v>316</v>
      </c>
      <c r="AK11" s="107" t="s">
        <v>312</v>
      </c>
      <c r="AL11" s="101" t="s">
        <v>414</v>
      </c>
      <c r="AM11" s="107" t="s">
        <v>415</v>
      </c>
      <c r="AN11" s="101" t="s">
        <v>352</v>
      </c>
      <c r="AO11" s="101" t="s">
        <v>353</v>
      </c>
      <c r="AP11" s="107" t="s">
        <v>317</v>
      </c>
      <c r="AQ11" s="102" t="s">
        <v>354</v>
      </c>
      <c r="AR11" s="102" t="s">
        <v>355</v>
      </c>
      <c r="AS11" s="101" t="s">
        <v>384</v>
      </c>
      <c r="AT11" s="107" t="s">
        <v>376</v>
      </c>
      <c r="AU11" s="110" t="s">
        <v>357</v>
      </c>
      <c r="AV11" s="110" t="s">
        <v>318</v>
      </c>
      <c r="AW11" s="107" t="s">
        <v>416</v>
      </c>
      <c r="AX11" s="107" t="s">
        <v>361</v>
      </c>
      <c r="AY11" s="110" t="s">
        <v>319</v>
      </c>
      <c r="AZ11" s="112" t="s">
        <v>320</v>
      </c>
      <c r="BA11" s="105" t="s">
        <v>321</v>
      </c>
      <c r="BB11" s="113" t="s">
        <v>417</v>
      </c>
      <c r="BC11" s="114" t="s">
        <v>258</v>
      </c>
      <c r="BD11" s="115" t="s">
        <v>147</v>
      </c>
      <c r="BE11" s="115" t="s">
        <v>322</v>
      </c>
      <c r="BF11" s="115" t="s">
        <v>371</v>
      </c>
      <c r="BG11" s="115" t="s">
        <v>375</v>
      </c>
      <c r="BH11" s="115" t="s">
        <v>374</v>
      </c>
      <c r="BI11" s="115" t="s">
        <v>366</v>
      </c>
      <c r="BJ11" s="115" t="s">
        <v>367</v>
      </c>
      <c r="BK11" s="115" t="s">
        <v>368</v>
      </c>
      <c r="BL11" s="115" t="s">
        <v>365</v>
      </c>
    </row>
    <row r="12" spans="3:71" x14ac:dyDescent="0.2">
      <c r="C12" s="61">
        <v>0</v>
      </c>
      <c r="D12" s="61">
        <f t="shared" ref="D12:D43" si="0">T.amb+I12*$D$9</f>
        <v>25</v>
      </c>
      <c r="E12" s="61">
        <f t="shared" ref="E12:E43" si="1">T.amb+I12*$E$9</f>
        <v>25</v>
      </c>
      <c r="F12" s="61">
        <f t="shared" ref="F12:F43" si="2">T.amb+I12*$F$9</f>
        <v>25</v>
      </c>
      <c r="G12" s="73">
        <f t="shared" ref="G12:G43" si="3">V.supply_typ</f>
        <v>16</v>
      </c>
      <c r="H12" s="64">
        <f t="shared" ref="H12:H43" si="4">FPWM</f>
        <v>1</v>
      </c>
      <c r="I12" s="61">
        <v>0</v>
      </c>
      <c r="J12" s="65">
        <f t="shared" ref="J12:J43" si="5">R.hs25*((D12+275)/300)^2.3</f>
        <v>9.4999999999999998E-3</v>
      </c>
      <c r="K12" s="65">
        <f t="shared" ref="K12:K43" si="6">R.ls25*((E12+275)/300)^2.3</f>
        <v>9.4999999999999998E-3</v>
      </c>
      <c r="L12" s="65">
        <f t="shared" ref="L12:L43" si="7">R.dcr25*((F12+275)/300)^1.2</f>
        <v>1.0999999999999999E-2</v>
      </c>
      <c r="M12" s="65">
        <f t="shared" ref="M12:M43" si="8">R.s</f>
        <v>2.6000000000000003E-3</v>
      </c>
      <c r="N12" s="63">
        <f t="shared" ref="N12:N43" si="9">(V.load+I12*(K12+L12+M12))/(V.supply_typ+I12*(K12-J12))</f>
        <v>0.75</v>
      </c>
      <c r="O12" s="64">
        <f t="shared" ref="O12:O43" si="10">(V.supply_typ-I.load*(J12+L12+M12)-V.load)*N12/(f.sw*L.out)</f>
        <v>2.8267500000000005</v>
      </c>
      <c r="P12" s="64">
        <f t="shared" ref="P12:P43" si="11">I12+O12/2</f>
        <v>1.4133750000000003</v>
      </c>
      <c r="Q12" s="64">
        <f t="shared" ref="Q12:Q43" si="12">I12-O12/2</f>
        <v>-1.4133750000000003</v>
      </c>
      <c r="R12" s="64">
        <f t="shared" ref="R12:R43" si="13">IF(MIN(V.supply_typ, -Q12/(C.oss_hs+C.oss_ls)*0.00000002)&lt;0, 0, MIN(V.supply_typ, -Q12/(C.oss_hs+C.oss_ls)*0.00000002))</f>
        <v>16</v>
      </c>
      <c r="S12" s="64">
        <f t="shared" ref="S12:S43" si="14">SQRT(I12^2+(O12^2)/12)</f>
        <v>0.81601243671588752</v>
      </c>
      <c r="T12" s="63">
        <f>S12^2*L12</f>
        <v>7.3246392656250037E-3</v>
      </c>
      <c r="U12" s="63">
        <f t="shared" ref="U12:U43" si="15">IF(FPWM=1,P.core,MIN(P.core,P.core*(O12+Q12)/O12))</f>
        <v>1.6</v>
      </c>
      <c r="V12" s="63">
        <f>U12+T12</f>
        <v>1.6073246392656251</v>
      </c>
      <c r="W12" s="64">
        <f>O12/SQRT(12)</f>
        <v>0.81601243671588752</v>
      </c>
      <c r="X12" s="63">
        <f t="shared" ref="X12:X43" si="16">R.esrb*W12^2</f>
        <v>4.6611340781250029E-3</v>
      </c>
      <c r="Y12" s="63">
        <f>X12</f>
        <v>4.6611340781250029E-3</v>
      </c>
      <c r="Z12" s="64">
        <f t="shared" ref="Z12:Z43" si="17">SQRT(N12*(1-N12))*SQRT(I12^2+(O12^2)/12)</f>
        <v>0.35334375000000007</v>
      </c>
      <c r="AA12" s="74">
        <f t="shared" ref="AA12:AA43" si="18">R.esr_cin*Z12^2</f>
        <v>1.2485180566406255E-4</v>
      </c>
      <c r="AB12" s="75">
        <f>AA12</f>
        <v>1.2485180566406255E-4</v>
      </c>
      <c r="AC12" s="63">
        <f t="shared" ref="AC12:AC43" si="19">SQRT(N12)*SQRT(I12^2+(O12^2)/12)</f>
        <v>0.70668750000000014</v>
      </c>
      <c r="AD12" s="63">
        <f>J12*AC12^2</f>
        <v>4.744368615234377E-3</v>
      </c>
      <c r="AE12" s="63">
        <f t="shared" ref="AE12:AE43" si="20">AD12*(1+TC_rdson_hs*(T.amb-25))/(1-AD12*TC_rdson_hs*theta.ja_hs)</f>
        <v>4.7480629712291691E-3</v>
      </c>
      <c r="AF12" s="63">
        <f t="shared" ref="AF12:AF43" si="21">(V.supply_typ*P12/2)*f.sw*T.rise+(V.supply_typ*MAX(Q12,0)/2)*f.sw*T.fall</f>
        <v>1.1405525726141083E-2</v>
      </c>
      <c r="AG12" s="63">
        <f t="shared" ref="AG12:AG43" si="22">0.5*(C.oss_hs+C.oss_ls)*(V.supply_typ-R12)^2*f.sw</f>
        <v>0</v>
      </c>
      <c r="AH12" s="63">
        <f t="shared" ref="AH12:AH43" si="23">IF(I12&gt;O12/2,0,ABS(Q12)*V.bd_hs*t.d_loff_hon*f.sw)</f>
        <v>3.9574500000000012E-3</v>
      </c>
      <c r="AI12" s="63">
        <f>AS12*$AJ$6</f>
        <v>3.1238095238095238E-2</v>
      </c>
      <c r="AJ12" s="63">
        <f>(AH12+AG12+AF12+AE12+AI12)</f>
        <v>5.1349133935465488E-2</v>
      </c>
      <c r="AK12" s="63">
        <f t="shared" ref="AK12:AK43" si="24">SQRT((1-N12))*SQRT(I12^2+(O12^2)/12)</f>
        <v>0.40800621835794376</v>
      </c>
      <c r="AL12" s="63">
        <f t="shared" ref="AL12:AL43" si="25">K12*AK12^2</f>
        <v>1.5814562050781259E-3</v>
      </c>
      <c r="AM12" s="63">
        <f t="shared" ref="AM12:AM43" si="26">AL12*(1+TC_rdson_ls*(T.amb-25))/(1-AL12*TC_rdson_ls*theta.ja_ls)</f>
        <v>1.5818664760970194E-3</v>
      </c>
      <c r="AN12" s="63">
        <f t="shared" ref="AN12:AN43" si="27">IF(I12&gt;O12/2, Q12*V.bd_ls*t.d_loff_hon*f.sw + P12*V.bd_ls*t.d_hoff_lon*f.sw,P12*V.bd_ls*t.d_hoff_lon*f.sw)</f>
        <v>2.8267500000000007E-3</v>
      </c>
      <c r="AO12" s="63">
        <f t="shared" ref="AO12:AO43" si="28">IF(I12&gt;O12/2, Q12*V.fwd_sch*t.d_loff_hon*f.sw + P12*V.fwd_sch*t.d_hoff_lon*f.sw,P12*V.fwd_sch*t.d_hoff_lon*f.sw)</f>
        <v>15.702596250000004</v>
      </c>
      <c r="AP12" s="63">
        <f>MIN(AN12:AO12)</f>
        <v>2.8267500000000007E-3</v>
      </c>
      <c r="AQ12" s="61">
        <f t="shared" ref="AQ12:AQ43" si="29">Q.rr_ls*V.supply_typ*f.sw</f>
        <v>6.5600000000000006E-2</v>
      </c>
      <c r="AR12" s="61">
        <f t="shared" ref="AR12:AR43" si="30">Q.rr_sch*V.supply_typ*f.sw</f>
        <v>7110400000</v>
      </c>
      <c r="AS12" s="61">
        <f>MIN(AQ12:AR12)</f>
        <v>6.5600000000000006E-2</v>
      </c>
      <c r="AT12" s="61">
        <f>AS12*$AJ$7</f>
        <v>3.4361904761904767E-2</v>
      </c>
      <c r="AU12" s="63">
        <f>AM12+AP12+AT12</f>
        <v>3.8770521238001787E-2</v>
      </c>
      <c r="AV12" s="63">
        <f t="shared" ref="AV12:AV43" si="31">R.s*S12^2</f>
        <v>1.7312783718750012E-3</v>
      </c>
      <c r="AW12" s="63">
        <f t="shared" ref="AW12:AW43" si="32">I.q_IC*V.supply_typ</f>
        <v>1.9840000000000001E-3</v>
      </c>
      <c r="AX12" s="63">
        <f t="shared" ref="AX12:AX43" si="33">IF(ExtVCC=1,  (Q.g_hs+Q.g_ls)*f.sw*V.load, (Q.g_hs+Q.g_ls)*f.sw*V.supply_typ)</f>
        <v>3.5200000000000002E-2</v>
      </c>
      <c r="AY12" s="63">
        <f t="shared" ref="AY12:AY43" si="34">SUM(AW12:AX12)</f>
        <v>3.7184000000000002E-2</v>
      </c>
      <c r="AZ12" s="63">
        <f t="shared" ref="AZ12:AZ43" si="35">V12+Y12+AB12+AJ12+AU12+AV12+AY12</f>
        <v>1.7411455586947566</v>
      </c>
      <c r="BA12" s="64">
        <f t="shared" ref="BA12:BA43" si="36">V.load*I12</f>
        <v>0</v>
      </c>
      <c r="BB12" s="76">
        <f>BA12/(BA12+AZ12)</f>
        <v>0</v>
      </c>
      <c r="BC12" s="64">
        <f>BB12*100</f>
        <v>0</v>
      </c>
      <c r="BD12" s="63">
        <f t="shared" ref="BD12:BD43" si="37">V12</f>
        <v>1.6073246392656251</v>
      </c>
      <c r="BE12" s="63">
        <f>BF12+BG12</f>
        <v>9.0119655173467275E-2</v>
      </c>
      <c r="BF12" s="63">
        <f t="shared" ref="BF12:BF43" si="38">AJ12</f>
        <v>5.1349133935465488E-2</v>
      </c>
      <c r="BG12" s="63">
        <f t="shared" ref="BG12:BG43" si="39">AU12</f>
        <v>3.8770521238001787E-2</v>
      </c>
      <c r="BH12" s="63">
        <f t="shared" ref="BH12:BH43" si="40">AV12</f>
        <v>1.7312783718750012E-3</v>
      </c>
      <c r="BI12" s="63">
        <f>AY12</f>
        <v>3.7184000000000002E-2</v>
      </c>
      <c r="BJ12" s="63">
        <f>AB12</f>
        <v>1.2485180566406255E-4</v>
      </c>
      <c r="BK12" s="63">
        <f>Y12</f>
        <v>4.6611340781250029E-3</v>
      </c>
      <c r="BL12" s="63">
        <f>BD12+BF12+BG12+BH12+BI12+BJ12+BK12</f>
        <v>1.7411455586947566</v>
      </c>
      <c r="BP12" s="77"/>
      <c r="BQ12" s="77"/>
      <c r="BR12" s="77"/>
      <c r="BS12" s="78"/>
    </row>
    <row r="13" spans="3:71" x14ac:dyDescent="0.2">
      <c r="C13" s="61">
        <v>1</v>
      </c>
      <c r="D13" s="61">
        <f t="shared" si="0"/>
        <v>25</v>
      </c>
      <c r="E13" s="61">
        <f t="shared" si="1"/>
        <v>25</v>
      </c>
      <c r="F13" s="61">
        <f t="shared" si="2"/>
        <v>25</v>
      </c>
      <c r="G13" s="73">
        <f t="shared" si="3"/>
        <v>16</v>
      </c>
      <c r="H13" s="64">
        <f t="shared" si="4"/>
        <v>1</v>
      </c>
      <c r="I13" s="63">
        <f t="shared" ref="I13:I44" si="41">I.load*C13/100</f>
        <v>0.1</v>
      </c>
      <c r="J13" s="65">
        <f t="shared" si="5"/>
        <v>9.4999999999999998E-3</v>
      </c>
      <c r="K13" s="65">
        <f t="shared" si="6"/>
        <v>9.4999999999999998E-3</v>
      </c>
      <c r="L13" s="65">
        <f t="shared" si="7"/>
        <v>1.0999999999999999E-2</v>
      </c>
      <c r="M13" s="65">
        <f t="shared" si="8"/>
        <v>2.6000000000000003E-3</v>
      </c>
      <c r="N13" s="63">
        <f t="shared" si="9"/>
        <v>0.75014437499999997</v>
      </c>
      <c r="O13" s="64">
        <f t="shared" si="10"/>
        <v>2.8272941493750006</v>
      </c>
      <c r="P13" s="64">
        <f t="shared" si="11"/>
        <v>1.5136470746875004</v>
      </c>
      <c r="Q13" s="64">
        <f t="shared" si="12"/>
        <v>-1.3136470746875002</v>
      </c>
      <c r="R13" s="64">
        <f t="shared" si="13"/>
        <v>16</v>
      </c>
      <c r="S13" s="64">
        <f t="shared" si="14"/>
        <v>0.8222728768019627</v>
      </c>
      <c r="T13" s="63">
        <f t="shared" ref="T13:T76" si="42">S13^2*L13</f>
        <v>7.437459523165932E-3</v>
      </c>
      <c r="U13" s="63">
        <f t="shared" si="15"/>
        <v>1.6</v>
      </c>
      <c r="V13" s="63">
        <f t="shared" ref="V13:V76" si="43">U13+T13</f>
        <v>1.607437459523166</v>
      </c>
      <c r="W13" s="64">
        <f t="shared" ref="W13:W76" si="44">O13/SQRT(12)</f>
        <v>0.81616951910995539</v>
      </c>
      <c r="X13" s="63">
        <f t="shared" si="16"/>
        <v>4.6629287874692307E-3</v>
      </c>
      <c r="Y13" s="63">
        <f t="shared" ref="Y13:Y76" si="45">X13</f>
        <v>4.6629287874692307E-3</v>
      </c>
      <c r="Z13" s="64">
        <f t="shared" si="17"/>
        <v>0.35598603317301286</v>
      </c>
      <c r="AA13" s="74">
        <f t="shared" si="18"/>
        <v>1.2672605581425742E-4</v>
      </c>
      <c r="AB13" s="75">
        <f t="shared" ref="AB13:AB76" si="46">AA13</f>
        <v>1.2672605581425742E-4</v>
      </c>
      <c r="AC13" s="63">
        <f t="shared" si="19"/>
        <v>0.71217773736573187</v>
      </c>
      <c r="AD13" s="63">
        <f t="shared" ref="AD13:AD76" si="47">J13*AC13^2</f>
        <v>4.8183727311940467E-3</v>
      </c>
      <c r="AE13" s="63">
        <f t="shared" si="20"/>
        <v>4.8221832837300662E-3</v>
      </c>
      <c r="AF13" s="63">
        <f t="shared" si="21"/>
        <v>1.2214692244200213E-2</v>
      </c>
      <c r="AG13" s="63">
        <f t="shared" si="22"/>
        <v>0</v>
      </c>
      <c r="AH13" s="63">
        <f t="shared" si="23"/>
        <v>3.6782118091250016E-3</v>
      </c>
      <c r="AI13" s="63">
        <f t="shared" ref="AI13:AI76" si="48">AS13*$AJ$6</f>
        <v>3.1238095238095238E-2</v>
      </c>
      <c r="AJ13" s="63">
        <f t="shared" ref="AJ13:AJ76" si="49">(AH13+AG13+AF13+AE13+AI13)</f>
        <v>5.1953182575150518E-2</v>
      </c>
      <c r="AK13" s="63">
        <f t="shared" si="24"/>
        <v>0.41101770560987078</v>
      </c>
      <c r="AL13" s="63">
        <f t="shared" si="25"/>
        <v>1.6048877660856226E-3</v>
      </c>
      <c r="AM13" s="63">
        <f t="shared" si="26"/>
        <v>1.6053102863112633E-3</v>
      </c>
      <c r="AN13" s="63">
        <f t="shared" si="27"/>
        <v>3.0272941493750009E-3</v>
      </c>
      <c r="AO13" s="63">
        <f t="shared" si="28"/>
        <v>16.816618999778132</v>
      </c>
      <c r="AP13" s="63">
        <f t="shared" ref="AP13:AP76" si="50">MIN(AN13:AO13)</f>
        <v>3.0272941493750009E-3</v>
      </c>
      <c r="AQ13" s="61">
        <f t="shared" si="29"/>
        <v>6.5600000000000006E-2</v>
      </c>
      <c r="AR13" s="61">
        <f t="shared" si="30"/>
        <v>7110400000</v>
      </c>
      <c r="AS13" s="61">
        <f t="shared" ref="AS13:AS76" si="51">MIN(AQ13:AR13)</f>
        <v>6.5600000000000006E-2</v>
      </c>
      <c r="AT13" s="61">
        <f t="shared" ref="AT13:AT76" si="52">AS13*$AJ$7</f>
        <v>3.4361904761904767E-2</v>
      </c>
      <c r="AU13" s="63">
        <f t="shared" ref="AU13:AU76" si="53">AM13+AP13+AT13</f>
        <v>3.899450919759103E-2</v>
      </c>
      <c r="AV13" s="63">
        <f t="shared" si="31"/>
        <v>1.757944978202857E-3</v>
      </c>
      <c r="AW13" s="63">
        <f t="shared" si="32"/>
        <v>1.9840000000000001E-3</v>
      </c>
      <c r="AX13" s="63">
        <f t="shared" si="33"/>
        <v>3.5200000000000002E-2</v>
      </c>
      <c r="AY13" s="63">
        <f t="shared" si="34"/>
        <v>3.7184000000000002E-2</v>
      </c>
      <c r="AZ13" s="63">
        <f t="shared" si="35"/>
        <v>1.7421167511173938</v>
      </c>
      <c r="BA13" s="64">
        <f t="shared" si="36"/>
        <v>1.2000000000000002</v>
      </c>
      <c r="BB13" s="76">
        <f t="shared" ref="BB13:BB76" si="54">BA13/(BA13+AZ13)</f>
        <v>0.40786960597136368</v>
      </c>
      <c r="BC13" s="64">
        <f t="shared" ref="BC13:BC76" si="55">BB13*100</f>
        <v>40.786960597136371</v>
      </c>
      <c r="BD13" s="63">
        <f t="shared" si="37"/>
        <v>1.607437459523166</v>
      </c>
      <c r="BE13" s="63">
        <f t="shared" ref="BE13:BE76" si="56">BF13+BG13</f>
        <v>9.0947691772741548E-2</v>
      </c>
      <c r="BF13" s="63">
        <f t="shared" si="38"/>
        <v>5.1953182575150518E-2</v>
      </c>
      <c r="BG13" s="63">
        <f t="shared" si="39"/>
        <v>3.899450919759103E-2</v>
      </c>
      <c r="BH13" s="63">
        <f t="shared" si="40"/>
        <v>1.757944978202857E-3</v>
      </c>
      <c r="BI13" s="63">
        <f t="shared" ref="BI13:BI76" si="57">AY13</f>
        <v>3.7184000000000002E-2</v>
      </c>
      <c r="BJ13" s="63">
        <f t="shared" ref="BJ13:BJ76" si="58">AB13</f>
        <v>1.2672605581425742E-4</v>
      </c>
      <c r="BK13" s="63">
        <f t="shared" ref="BK13:BK76" si="59">Y13</f>
        <v>4.6629287874692307E-3</v>
      </c>
      <c r="BL13" s="63">
        <f t="shared" ref="BL13:BL76" si="60">BD13+BF13+BG13+BH13+BI13+BJ13+BK13</f>
        <v>1.7421167511173938</v>
      </c>
      <c r="BP13" s="77"/>
      <c r="BQ13" s="77"/>
      <c r="BR13" s="77"/>
      <c r="BS13" s="78"/>
    </row>
    <row r="14" spans="3:71" x14ac:dyDescent="0.2">
      <c r="C14" s="61">
        <v>2</v>
      </c>
      <c r="D14" s="61">
        <f t="shared" si="0"/>
        <v>25</v>
      </c>
      <c r="E14" s="61">
        <f t="shared" si="1"/>
        <v>25</v>
      </c>
      <c r="F14" s="61">
        <f t="shared" si="2"/>
        <v>25</v>
      </c>
      <c r="G14" s="73">
        <f t="shared" si="3"/>
        <v>16</v>
      </c>
      <c r="H14" s="64">
        <f t="shared" si="4"/>
        <v>1</v>
      </c>
      <c r="I14" s="63">
        <f t="shared" si="41"/>
        <v>0.2</v>
      </c>
      <c r="J14" s="65">
        <f t="shared" si="5"/>
        <v>9.4999999999999998E-3</v>
      </c>
      <c r="K14" s="65">
        <f t="shared" si="6"/>
        <v>9.4999999999999998E-3</v>
      </c>
      <c r="L14" s="65">
        <f t="shared" si="7"/>
        <v>1.0999999999999999E-2</v>
      </c>
      <c r="M14" s="65">
        <f t="shared" si="8"/>
        <v>2.6000000000000003E-3</v>
      </c>
      <c r="N14" s="63">
        <f t="shared" si="9"/>
        <v>0.75028874999999995</v>
      </c>
      <c r="O14" s="64">
        <f t="shared" si="10"/>
        <v>2.8278382987500001</v>
      </c>
      <c r="P14" s="64">
        <f t="shared" si="11"/>
        <v>1.613919149375</v>
      </c>
      <c r="Q14" s="64">
        <f t="shared" si="12"/>
        <v>-1.2139191493750001</v>
      </c>
      <c r="R14" s="64">
        <f t="shared" si="13"/>
        <v>16</v>
      </c>
      <c r="S14" s="64">
        <f t="shared" si="14"/>
        <v>0.84046958322303844</v>
      </c>
      <c r="T14" s="63">
        <f t="shared" si="42"/>
        <v>7.770280323554187E-3</v>
      </c>
      <c r="U14" s="63">
        <f t="shared" si="15"/>
        <v>1.6</v>
      </c>
      <c r="V14" s="63">
        <f t="shared" si="43"/>
        <v>1.6077702803235543</v>
      </c>
      <c r="W14" s="64">
        <f t="shared" si="44"/>
        <v>0.81632660150402303</v>
      </c>
      <c r="X14" s="63">
        <f t="shared" si="16"/>
        <v>4.664723842261756E-3</v>
      </c>
      <c r="Y14" s="63">
        <f t="shared" si="45"/>
        <v>4.664723842261756E-3</v>
      </c>
      <c r="Z14" s="64">
        <f t="shared" si="17"/>
        <v>0.36379378256787109</v>
      </c>
      <c r="AA14" s="74">
        <f t="shared" si="18"/>
        <v>1.3234591623503947E-4</v>
      </c>
      <c r="AB14" s="75">
        <f t="shared" si="46"/>
        <v>1.3234591623503947E-4</v>
      </c>
      <c r="AC14" s="63">
        <f t="shared" si="19"/>
        <v>0.72800811128779619</v>
      </c>
      <c r="AD14" s="63">
        <f t="shared" si="47"/>
        <v>5.0349601959578296E-3</v>
      </c>
      <c r="AE14" s="63">
        <f t="shared" si="20"/>
        <v>5.0391211669755555E-3</v>
      </c>
      <c r="AF14" s="63">
        <f t="shared" si="21"/>
        <v>1.3023858762259337E-2</v>
      </c>
      <c r="AG14" s="63">
        <f t="shared" si="22"/>
        <v>0</v>
      </c>
      <c r="AH14" s="63">
        <f t="shared" si="23"/>
        <v>3.3989736182500007E-3</v>
      </c>
      <c r="AI14" s="63">
        <f t="shared" si="48"/>
        <v>3.1238095238095238E-2</v>
      </c>
      <c r="AJ14" s="63">
        <f t="shared" si="49"/>
        <v>5.2700048785580128E-2</v>
      </c>
      <c r="AK14" s="63">
        <f t="shared" si="24"/>
        <v>0.41999203590340106</v>
      </c>
      <c r="AL14" s="63">
        <f t="shared" si="25"/>
        <v>1.6757364471116953E-3</v>
      </c>
      <c r="AM14" s="63">
        <f t="shared" si="26"/>
        <v>1.6761971009019172E-3</v>
      </c>
      <c r="AN14" s="63">
        <f t="shared" si="27"/>
        <v>3.2278382987500011E-3</v>
      </c>
      <c r="AO14" s="63">
        <f t="shared" si="28"/>
        <v>17.930641749556251</v>
      </c>
      <c r="AP14" s="63">
        <f t="shared" si="50"/>
        <v>3.2278382987500011E-3</v>
      </c>
      <c r="AQ14" s="61">
        <f t="shared" si="29"/>
        <v>6.5600000000000006E-2</v>
      </c>
      <c r="AR14" s="61">
        <f t="shared" si="30"/>
        <v>7110400000</v>
      </c>
      <c r="AS14" s="61">
        <f t="shared" si="51"/>
        <v>6.5600000000000006E-2</v>
      </c>
      <c r="AT14" s="61">
        <f t="shared" si="52"/>
        <v>3.4361904761904767E-2</v>
      </c>
      <c r="AU14" s="63">
        <f t="shared" si="53"/>
        <v>3.9265940161556684E-2</v>
      </c>
      <c r="AV14" s="63">
        <f t="shared" si="31"/>
        <v>1.8366117128400809E-3</v>
      </c>
      <c r="AW14" s="63">
        <f t="shared" si="32"/>
        <v>1.9840000000000001E-3</v>
      </c>
      <c r="AX14" s="63">
        <f t="shared" si="33"/>
        <v>3.5200000000000002E-2</v>
      </c>
      <c r="AY14" s="63">
        <f t="shared" si="34"/>
        <v>3.7184000000000002E-2</v>
      </c>
      <c r="AZ14" s="63">
        <f t="shared" si="35"/>
        <v>1.7435539507420281</v>
      </c>
      <c r="BA14" s="64">
        <f t="shared" si="36"/>
        <v>2.4000000000000004</v>
      </c>
      <c r="BB14" s="76">
        <f t="shared" si="54"/>
        <v>0.57921292410593761</v>
      </c>
      <c r="BC14" s="64">
        <f t="shared" si="55"/>
        <v>57.921292410593765</v>
      </c>
      <c r="BD14" s="63">
        <f t="shared" si="37"/>
        <v>1.6077702803235543</v>
      </c>
      <c r="BE14" s="63">
        <f t="shared" si="56"/>
        <v>9.1965988947136812E-2</v>
      </c>
      <c r="BF14" s="63">
        <f t="shared" si="38"/>
        <v>5.2700048785580128E-2</v>
      </c>
      <c r="BG14" s="63">
        <f t="shared" si="39"/>
        <v>3.9265940161556684E-2</v>
      </c>
      <c r="BH14" s="63">
        <f t="shared" si="40"/>
        <v>1.8366117128400809E-3</v>
      </c>
      <c r="BI14" s="63">
        <f t="shared" si="57"/>
        <v>3.7184000000000002E-2</v>
      </c>
      <c r="BJ14" s="63">
        <f t="shared" si="58"/>
        <v>1.3234591623503947E-4</v>
      </c>
      <c r="BK14" s="63">
        <f t="shared" si="59"/>
        <v>4.664723842261756E-3</v>
      </c>
      <c r="BL14" s="63">
        <f t="shared" si="60"/>
        <v>1.7435539507420281</v>
      </c>
      <c r="BP14" s="77"/>
      <c r="BQ14" s="77"/>
      <c r="BR14" s="77"/>
      <c r="BS14" s="78"/>
    </row>
    <row r="15" spans="3:71" x14ac:dyDescent="0.2">
      <c r="C15" s="61">
        <v>3</v>
      </c>
      <c r="D15" s="61">
        <f t="shared" si="0"/>
        <v>25</v>
      </c>
      <c r="E15" s="61">
        <f t="shared" si="1"/>
        <v>25</v>
      </c>
      <c r="F15" s="61">
        <f t="shared" si="2"/>
        <v>25</v>
      </c>
      <c r="G15" s="73">
        <f t="shared" si="3"/>
        <v>16</v>
      </c>
      <c r="H15" s="64">
        <f t="shared" si="4"/>
        <v>1</v>
      </c>
      <c r="I15" s="63">
        <f t="shared" si="41"/>
        <v>0.3</v>
      </c>
      <c r="J15" s="65">
        <f t="shared" si="5"/>
        <v>9.4999999999999998E-3</v>
      </c>
      <c r="K15" s="65">
        <f t="shared" si="6"/>
        <v>9.4999999999999998E-3</v>
      </c>
      <c r="L15" s="65">
        <f t="shared" si="7"/>
        <v>1.0999999999999999E-2</v>
      </c>
      <c r="M15" s="65">
        <f t="shared" si="8"/>
        <v>2.6000000000000003E-3</v>
      </c>
      <c r="N15" s="63">
        <f t="shared" si="9"/>
        <v>0.75043312500000003</v>
      </c>
      <c r="O15" s="64">
        <f t="shared" si="10"/>
        <v>2.8283824481250006</v>
      </c>
      <c r="P15" s="64">
        <f t="shared" si="11"/>
        <v>1.7141912240625004</v>
      </c>
      <c r="Q15" s="64">
        <f t="shared" si="12"/>
        <v>-1.1141912240625003</v>
      </c>
      <c r="R15" s="64">
        <f t="shared" si="13"/>
        <v>16</v>
      </c>
      <c r="S15" s="64">
        <f t="shared" si="14"/>
        <v>0.86985378430618876</v>
      </c>
      <c r="T15" s="63">
        <f t="shared" si="42"/>
        <v>8.3231016667897721E-3</v>
      </c>
      <c r="U15" s="63">
        <f t="shared" si="15"/>
        <v>1.6</v>
      </c>
      <c r="V15" s="63">
        <f t="shared" si="43"/>
        <v>1.6083231016667898</v>
      </c>
      <c r="W15" s="64">
        <f t="shared" si="44"/>
        <v>0.81648368389809101</v>
      </c>
      <c r="X15" s="63">
        <f t="shared" si="16"/>
        <v>4.6665192425025849E-3</v>
      </c>
      <c r="Y15" s="63">
        <f t="shared" si="45"/>
        <v>4.6665192425025849E-3</v>
      </c>
      <c r="Z15" s="64">
        <f t="shared" si="17"/>
        <v>0.37643996616957442</v>
      </c>
      <c r="AA15" s="74">
        <f t="shared" si="18"/>
        <v>1.4170704812975032E-4</v>
      </c>
      <c r="AB15" s="75">
        <f t="shared" si="46"/>
        <v>1.4170704812975032E-4</v>
      </c>
      <c r="AC15" s="63">
        <f t="shared" si="19"/>
        <v>0.75353296323517127</v>
      </c>
      <c r="AD15" s="63">
        <f t="shared" si="47"/>
        <v>5.3942133034787908E-3</v>
      </c>
      <c r="AE15" s="63">
        <f t="shared" si="20"/>
        <v>5.3989895248625292E-3</v>
      </c>
      <c r="AF15" s="63">
        <f t="shared" si="21"/>
        <v>1.383302528031847E-2</v>
      </c>
      <c r="AG15" s="63">
        <f t="shared" si="22"/>
        <v>0</v>
      </c>
      <c r="AH15" s="63">
        <f t="shared" si="23"/>
        <v>3.1197354273750011E-3</v>
      </c>
      <c r="AI15" s="63">
        <f t="shared" si="48"/>
        <v>3.1238095238095238E-2</v>
      </c>
      <c r="AJ15" s="63">
        <f t="shared" si="49"/>
        <v>5.3589845470651237E-2</v>
      </c>
      <c r="AK15" s="63">
        <f t="shared" si="24"/>
        <v>0.43454997340906548</v>
      </c>
      <c r="AL15" s="63">
        <f t="shared" si="25"/>
        <v>1.7939199542032853E-3</v>
      </c>
      <c r="AM15" s="63">
        <f t="shared" si="26"/>
        <v>1.7944478859258572E-3</v>
      </c>
      <c r="AN15" s="63">
        <f t="shared" si="27"/>
        <v>3.4283824481250009E-3</v>
      </c>
      <c r="AO15" s="63">
        <f t="shared" si="28"/>
        <v>19.044664499334381</v>
      </c>
      <c r="AP15" s="63">
        <f t="shared" si="50"/>
        <v>3.4283824481250009E-3</v>
      </c>
      <c r="AQ15" s="61">
        <f t="shared" si="29"/>
        <v>6.5600000000000006E-2</v>
      </c>
      <c r="AR15" s="61">
        <f t="shared" si="30"/>
        <v>7110400000</v>
      </c>
      <c r="AS15" s="61">
        <f t="shared" si="51"/>
        <v>6.5600000000000006E-2</v>
      </c>
      <c r="AT15" s="61">
        <f t="shared" si="52"/>
        <v>3.4361904761904767E-2</v>
      </c>
      <c r="AU15" s="63">
        <f t="shared" si="53"/>
        <v>3.9584735095955628E-2</v>
      </c>
      <c r="AV15" s="63">
        <f t="shared" si="31"/>
        <v>1.9672785757866738E-3</v>
      </c>
      <c r="AW15" s="63">
        <f t="shared" si="32"/>
        <v>1.9840000000000001E-3</v>
      </c>
      <c r="AX15" s="63">
        <f t="shared" si="33"/>
        <v>3.5200000000000002E-2</v>
      </c>
      <c r="AY15" s="63">
        <f t="shared" si="34"/>
        <v>3.7184000000000002E-2</v>
      </c>
      <c r="AZ15" s="63">
        <f t="shared" si="35"/>
        <v>1.7454571870998159</v>
      </c>
      <c r="BA15" s="64">
        <f t="shared" si="36"/>
        <v>3.5999999999999996</v>
      </c>
      <c r="BB15" s="76">
        <f t="shared" si="54"/>
        <v>0.67346905493656839</v>
      </c>
      <c r="BC15" s="64">
        <f t="shared" si="55"/>
        <v>67.346905493656834</v>
      </c>
      <c r="BD15" s="63">
        <f t="shared" si="37"/>
        <v>1.6083231016667898</v>
      </c>
      <c r="BE15" s="63">
        <f t="shared" si="56"/>
        <v>9.3174580566606865E-2</v>
      </c>
      <c r="BF15" s="63">
        <f t="shared" si="38"/>
        <v>5.3589845470651237E-2</v>
      </c>
      <c r="BG15" s="63">
        <f t="shared" si="39"/>
        <v>3.9584735095955628E-2</v>
      </c>
      <c r="BH15" s="63">
        <f t="shared" si="40"/>
        <v>1.9672785757866738E-3</v>
      </c>
      <c r="BI15" s="63">
        <f t="shared" si="57"/>
        <v>3.7184000000000002E-2</v>
      </c>
      <c r="BJ15" s="63">
        <f t="shared" si="58"/>
        <v>1.4170704812975032E-4</v>
      </c>
      <c r="BK15" s="63">
        <f t="shared" si="59"/>
        <v>4.6665192425025849E-3</v>
      </c>
      <c r="BL15" s="63">
        <f t="shared" si="60"/>
        <v>1.7454571870998159</v>
      </c>
      <c r="BP15" s="77"/>
      <c r="BQ15" s="77"/>
      <c r="BR15" s="77"/>
      <c r="BS15" s="78"/>
    </row>
    <row r="16" spans="3:71" x14ac:dyDescent="0.2">
      <c r="C16" s="61">
        <v>4</v>
      </c>
      <c r="D16" s="61">
        <f t="shared" si="0"/>
        <v>25</v>
      </c>
      <c r="E16" s="61">
        <f t="shared" si="1"/>
        <v>25</v>
      </c>
      <c r="F16" s="61">
        <f t="shared" si="2"/>
        <v>25</v>
      </c>
      <c r="G16" s="73">
        <f t="shared" si="3"/>
        <v>16</v>
      </c>
      <c r="H16" s="64">
        <f t="shared" si="4"/>
        <v>1</v>
      </c>
      <c r="I16" s="63">
        <f t="shared" si="41"/>
        <v>0.4</v>
      </c>
      <c r="J16" s="65">
        <f t="shared" si="5"/>
        <v>9.4999999999999998E-3</v>
      </c>
      <c r="K16" s="65">
        <f t="shared" si="6"/>
        <v>9.4999999999999998E-3</v>
      </c>
      <c r="L16" s="65">
        <f t="shared" si="7"/>
        <v>1.0999999999999999E-2</v>
      </c>
      <c r="M16" s="65">
        <f t="shared" si="8"/>
        <v>2.6000000000000003E-3</v>
      </c>
      <c r="N16" s="63">
        <f t="shared" si="9"/>
        <v>0.75057750000000001</v>
      </c>
      <c r="O16" s="64">
        <f t="shared" si="10"/>
        <v>2.8289265975000006</v>
      </c>
      <c r="P16" s="64">
        <f t="shared" si="11"/>
        <v>1.8144632987500002</v>
      </c>
      <c r="Q16" s="64">
        <f t="shared" si="12"/>
        <v>-1.0144632987500004</v>
      </c>
      <c r="R16" s="64">
        <f t="shared" si="13"/>
        <v>16</v>
      </c>
      <c r="S16" s="64">
        <f t="shared" si="14"/>
        <v>0.90934159762448141</v>
      </c>
      <c r="T16" s="63">
        <f t="shared" si="42"/>
        <v>9.0959235528726874E-3</v>
      </c>
      <c r="U16" s="63">
        <f t="shared" si="15"/>
        <v>1.6</v>
      </c>
      <c r="V16" s="63">
        <f t="shared" si="43"/>
        <v>1.6090959235528728</v>
      </c>
      <c r="W16" s="64">
        <f t="shared" si="44"/>
        <v>0.81664076629215876</v>
      </c>
      <c r="X16" s="63">
        <f t="shared" si="16"/>
        <v>4.6683149881917097E-3</v>
      </c>
      <c r="Y16" s="63">
        <f t="shared" si="45"/>
        <v>4.6683149881917097E-3</v>
      </c>
      <c r="Z16" s="64">
        <f t="shared" si="17"/>
        <v>0.39345280237803071</v>
      </c>
      <c r="AA16" s="74">
        <f t="shared" si="18"/>
        <v>1.5480510769912571E-4</v>
      </c>
      <c r="AB16" s="75">
        <f t="shared" si="46"/>
        <v>1.5480510769912571E-4</v>
      </c>
      <c r="AC16" s="63">
        <f t="shared" si="19"/>
        <v>0.78781605839447633</v>
      </c>
      <c r="AD16" s="63">
        <f t="shared" si="47"/>
        <v>5.8962143477099853E-3</v>
      </c>
      <c r="AE16" s="63">
        <f t="shared" si="20"/>
        <v>5.9019213826497973E-3</v>
      </c>
      <c r="AF16" s="63">
        <f t="shared" si="21"/>
        <v>1.4642191798377597E-2</v>
      </c>
      <c r="AG16" s="63">
        <f t="shared" si="22"/>
        <v>0</v>
      </c>
      <c r="AH16" s="63">
        <f t="shared" si="23"/>
        <v>2.8404972365000014E-3</v>
      </c>
      <c r="AI16" s="63">
        <f t="shared" si="48"/>
        <v>3.1238095238095238E-2</v>
      </c>
      <c r="AJ16" s="63">
        <f t="shared" si="49"/>
        <v>5.4622705655622633E-2</v>
      </c>
      <c r="AK16" s="63">
        <f t="shared" si="24"/>
        <v>0.45414535041772169</v>
      </c>
      <c r="AL16" s="63">
        <f t="shared" si="25"/>
        <v>1.9593559934073346E-3</v>
      </c>
      <c r="AM16" s="63">
        <f t="shared" si="26"/>
        <v>1.9599858042362683E-3</v>
      </c>
      <c r="AN16" s="63">
        <f t="shared" si="27"/>
        <v>3.6289265975000006E-3</v>
      </c>
      <c r="AO16" s="63">
        <f t="shared" si="28"/>
        <v>20.158687249112504</v>
      </c>
      <c r="AP16" s="63">
        <f t="shared" si="50"/>
        <v>3.6289265975000006E-3</v>
      </c>
      <c r="AQ16" s="61">
        <f t="shared" si="29"/>
        <v>6.5600000000000006E-2</v>
      </c>
      <c r="AR16" s="61">
        <f t="shared" si="30"/>
        <v>7110400000</v>
      </c>
      <c r="AS16" s="61">
        <f t="shared" si="51"/>
        <v>6.5600000000000006E-2</v>
      </c>
      <c r="AT16" s="61">
        <f t="shared" si="52"/>
        <v>3.4361904761904767E-2</v>
      </c>
      <c r="AU16" s="63">
        <f t="shared" si="53"/>
        <v>3.9950817163641038E-2</v>
      </c>
      <c r="AV16" s="63">
        <f t="shared" si="31"/>
        <v>2.1499455670426354E-3</v>
      </c>
      <c r="AW16" s="63">
        <f t="shared" si="32"/>
        <v>1.9840000000000001E-3</v>
      </c>
      <c r="AX16" s="63">
        <f t="shared" si="33"/>
        <v>3.5200000000000002E-2</v>
      </c>
      <c r="AY16" s="63">
        <f t="shared" si="34"/>
        <v>3.7184000000000002E-2</v>
      </c>
      <c r="AZ16" s="63">
        <f t="shared" si="35"/>
        <v>1.74782651203507</v>
      </c>
      <c r="BA16" s="64">
        <f t="shared" si="36"/>
        <v>4.8000000000000007</v>
      </c>
      <c r="BB16" s="76">
        <f t="shared" si="54"/>
        <v>0.73306768149361912</v>
      </c>
      <c r="BC16" s="64">
        <f t="shared" si="55"/>
        <v>73.306768149361915</v>
      </c>
      <c r="BD16" s="63">
        <f t="shared" si="37"/>
        <v>1.6090959235528728</v>
      </c>
      <c r="BE16" s="63">
        <f t="shared" si="56"/>
        <v>9.4573522819263678E-2</v>
      </c>
      <c r="BF16" s="63">
        <f t="shared" si="38"/>
        <v>5.4622705655622633E-2</v>
      </c>
      <c r="BG16" s="63">
        <f t="shared" si="39"/>
        <v>3.9950817163641038E-2</v>
      </c>
      <c r="BH16" s="63">
        <f t="shared" si="40"/>
        <v>2.1499455670426354E-3</v>
      </c>
      <c r="BI16" s="63">
        <f t="shared" si="57"/>
        <v>3.7184000000000002E-2</v>
      </c>
      <c r="BJ16" s="63">
        <f t="shared" si="58"/>
        <v>1.5480510769912571E-4</v>
      </c>
      <c r="BK16" s="63">
        <f t="shared" si="59"/>
        <v>4.6683149881917097E-3</v>
      </c>
      <c r="BL16" s="63">
        <f t="shared" si="60"/>
        <v>1.74782651203507</v>
      </c>
      <c r="BP16" s="77"/>
      <c r="BQ16" s="77"/>
      <c r="BR16" s="77"/>
      <c r="BS16" s="78"/>
    </row>
    <row r="17" spans="3:71" x14ac:dyDescent="0.2">
      <c r="C17" s="61">
        <v>5</v>
      </c>
      <c r="D17" s="61">
        <f t="shared" si="0"/>
        <v>25</v>
      </c>
      <c r="E17" s="61">
        <f t="shared" si="1"/>
        <v>25</v>
      </c>
      <c r="F17" s="61">
        <f t="shared" si="2"/>
        <v>25</v>
      </c>
      <c r="G17" s="73">
        <f t="shared" si="3"/>
        <v>16</v>
      </c>
      <c r="H17" s="64">
        <f t="shared" si="4"/>
        <v>1</v>
      </c>
      <c r="I17" s="63">
        <f t="shared" si="41"/>
        <v>0.5</v>
      </c>
      <c r="J17" s="65">
        <f t="shared" si="5"/>
        <v>9.4999999999999998E-3</v>
      </c>
      <c r="K17" s="65">
        <f t="shared" si="6"/>
        <v>9.4999999999999998E-3</v>
      </c>
      <c r="L17" s="65">
        <f t="shared" si="7"/>
        <v>1.0999999999999999E-2</v>
      </c>
      <c r="M17" s="65">
        <f t="shared" si="8"/>
        <v>2.6000000000000003E-3</v>
      </c>
      <c r="N17" s="63">
        <f t="shared" si="9"/>
        <v>0.75072187499999998</v>
      </c>
      <c r="O17" s="64">
        <f t="shared" si="10"/>
        <v>2.8294707468750007</v>
      </c>
      <c r="P17" s="64">
        <f t="shared" si="11"/>
        <v>1.9147353734375003</v>
      </c>
      <c r="Q17" s="64">
        <f t="shared" si="12"/>
        <v>-0.91473537343750033</v>
      </c>
      <c r="R17" s="64">
        <f t="shared" si="13"/>
        <v>16</v>
      </c>
      <c r="S17" s="64">
        <f t="shared" si="14"/>
        <v>0.95768404268759111</v>
      </c>
      <c r="T17" s="63">
        <f t="shared" si="42"/>
        <v>1.0088745981802925E-2</v>
      </c>
      <c r="U17" s="63">
        <f t="shared" si="15"/>
        <v>1.6</v>
      </c>
      <c r="V17" s="63">
        <f t="shared" si="43"/>
        <v>1.610088745981803</v>
      </c>
      <c r="W17" s="64">
        <f t="shared" si="44"/>
        <v>0.81679784868622662</v>
      </c>
      <c r="X17" s="63">
        <f t="shared" si="16"/>
        <v>4.6701110793291355E-3</v>
      </c>
      <c r="Y17" s="63">
        <f t="shared" si="45"/>
        <v>4.6701110793291355E-3</v>
      </c>
      <c r="Z17" s="64">
        <f t="shared" si="17"/>
        <v>0.41428944729656675</v>
      </c>
      <c r="AA17" s="74">
        <f t="shared" si="18"/>
        <v>1.7163574614129475E-4</v>
      </c>
      <c r="AB17" s="75">
        <f t="shared" si="46"/>
        <v>1.7163574614129475E-4</v>
      </c>
      <c r="AC17" s="63">
        <f t="shared" si="19"/>
        <v>0.82977775227399997</v>
      </c>
      <c r="AD17" s="63">
        <f t="shared" si="47"/>
        <v>6.5410456226044711E-3</v>
      </c>
      <c r="AE17" s="63">
        <f t="shared" si="20"/>
        <v>6.5480699433797746E-3</v>
      </c>
      <c r="AF17" s="63">
        <f t="shared" si="21"/>
        <v>1.5451358316436728E-2</v>
      </c>
      <c r="AG17" s="63">
        <f t="shared" si="22"/>
        <v>0</v>
      </c>
      <c r="AH17" s="63">
        <f t="shared" si="23"/>
        <v>2.5612590456250014E-3</v>
      </c>
      <c r="AI17" s="63">
        <f t="shared" si="48"/>
        <v>3.1238095238095238E-2</v>
      </c>
      <c r="AJ17" s="63">
        <f t="shared" si="49"/>
        <v>5.5798782543536742E-2</v>
      </c>
      <c r="AK17" s="63">
        <f t="shared" si="24"/>
        <v>0.47815019340114895</v>
      </c>
      <c r="AL17" s="63">
        <f t="shared" si="25"/>
        <v>2.1719622707707833E-3</v>
      </c>
      <c r="AM17" s="63">
        <f t="shared" si="26"/>
        <v>2.1727362033442956E-3</v>
      </c>
      <c r="AN17" s="63">
        <f t="shared" si="27"/>
        <v>3.8294707468750013E-3</v>
      </c>
      <c r="AO17" s="63">
        <f t="shared" si="28"/>
        <v>21.27270999889063</v>
      </c>
      <c r="AP17" s="63">
        <f t="shared" si="50"/>
        <v>3.8294707468750013E-3</v>
      </c>
      <c r="AQ17" s="61">
        <f t="shared" si="29"/>
        <v>6.5600000000000006E-2</v>
      </c>
      <c r="AR17" s="61">
        <f t="shared" si="30"/>
        <v>7110400000</v>
      </c>
      <c r="AS17" s="61">
        <f t="shared" si="51"/>
        <v>6.5600000000000006E-2</v>
      </c>
      <c r="AT17" s="61">
        <f t="shared" si="52"/>
        <v>3.4361904761904767E-2</v>
      </c>
      <c r="AU17" s="63">
        <f t="shared" si="53"/>
        <v>4.0364111712124062E-2</v>
      </c>
      <c r="AV17" s="63">
        <f t="shared" si="31"/>
        <v>2.3846126866079644E-3</v>
      </c>
      <c r="AW17" s="63">
        <f t="shared" si="32"/>
        <v>1.9840000000000001E-3</v>
      </c>
      <c r="AX17" s="63">
        <f t="shared" si="33"/>
        <v>3.5200000000000002E-2</v>
      </c>
      <c r="AY17" s="63">
        <f t="shared" si="34"/>
        <v>3.7184000000000002E-2</v>
      </c>
      <c r="AZ17" s="63">
        <f t="shared" si="35"/>
        <v>1.7506619997495423</v>
      </c>
      <c r="BA17" s="64">
        <f t="shared" si="36"/>
        <v>6</v>
      </c>
      <c r="BB17" s="76">
        <f t="shared" si="54"/>
        <v>0.77412742294708325</v>
      </c>
      <c r="BC17" s="64">
        <f t="shared" si="55"/>
        <v>77.412742294708323</v>
      </c>
      <c r="BD17" s="63">
        <f t="shared" si="37"/>
        <v>1.610088745981803</v>
      </c>
      <c r="BE17" s="63">
        <f t="shared" si="56"/>
        <v>9.6162894255660797E-2</v>
      </c>
      <c r="BF17" s="63">
        <f t="shared" si="38"/>
        <v>5.5798782543536742E-2</v>
      </c>
      <c r="BG17" s="63">
        <f t="shared" si="39"/>
        <v>4.0364111712124062E-2</v>
      </c>
      <c r="BH17" s="63">
        <f t="shared" si="40"/>
        <v>2.3846126866079644E-3</v>
      </c>
      <c r="BI17" s="63">
        <f t="shared" si="57"/>
        <v>3.7184000000000002E-2</v>
      </c>
      <c r="BJ17" s="63">
        <f t="shared" si="58"/>
        <v>1.7163574614129475E-4</v>
      </c>
      <c r="BK17" s="63">
        <f t="shared" si="59"/>
        <v>4.6701110793291355E-3</v>
      </c>
      <c r="BL17" s="63">
        <f t="shared" si="60"/>
        <v>1.7506619997495423</v>
      </c>
      <c r="BP17" s="77"/>
      <c r="BQ17" s="77"/>
      <c r="BR17" s="77"/>
      <c r="BS17" s="78"/>
    </row>
    <row r="18" spans="3:71" x14ac:dyDescent="0.2">
      <c r="C18" s="61">
        <v>6</v>
      </c>
      <c r="D18" s="61">
        <f t="shared" si="0"/>
        <v>25</v>
      </c>
      <c r="E18" s="61">
        <f t="shared" si="1"/>
        <v>25</v>
      </c>
      <c r="F18" s="61">
        <f t="shared" si="2"/>
        <v>25</v>
      </c>
      <c r="G18" s="73">
        <f t="shared" si="3"/>
        <v>16</v>
      </c>
      <c r="H18" s="64">
        <f t="shared" si="4"/>
        <v>1</v>
      </c>
      <c r="I18" s="63">
        <f t="shared" si="41"/>
        <v>0.6</v>
      </c>
      <c r="J18" s="65">
        <f t="shared" si="5"/>
        <v>9.4999999999999998E-3</v>
      </c>
      <c r="K18" s="65">
        <f t="shared" si="6"/>
        <v>9.4999999999999998E-3</v>
      </c>
      <c r="L18" s="65">
        <f t="shared" si="7"/>
        <v>1.0999999999999999E-2</v>
      </c>
      <c r="M18" s="65">
        <f t="shared" si="8"/>
        <v>2.6000000000000003E-3</v>
      </c>
      <c r="N18" s="63">
        <f t="shared" si="9"/>
        <v>0.75086624999999996</v>
      </c>
      <c r="O18" s="64">
        <f t="shared" si="10"/>
        <v>2.8300148962500002</v>
      </c>
      <c r="P18" s="64">
        <f t="shared" si="11"/>
        <v>2.015007448125</v>
      </c>
      <c r="Q18" s="64">
        <f t="shared" si="12"/>
        <v>-0.81500744812500014</v>
      </c>
      <c r="R18" s="64">
        <f t="shared" si="13"/>
        <v>16</v>
      </c>
      <c r="S18" s="64">
        <f t="shared" si="14"/>
        <v>1.013614995654863</v>
      </c>
      <c r="T18" s="63">
        <f t="shared" si="42"/>
        <v>1.1301568953580487E-2</v>
      </c>
      <c r="U18" s="63">
        <f t="shared" si="15"/>
        <v>1.6</v>
      </c>
      <c r="V18" s="63">
        <f t="shared" si="43"/>
        <v>1.6113015689535806</v>
      </c>
      <c r="W18" s="64">
        <f t="shared" si="44"/>
        <v>0.81695493108029427</v>
      </c>
      <c r="X18" s="63">
        <f t="shared" si="16"/>
        <v>4.6719075159148589E-3</v>
      </c>
      <c r="Y18" s="63">
        <f t="shared" si="45"/>
        <v>4.6719075159148589E-3</v>
      </c>
      <c r="Z18" s="64">
        <f t="shared" si="17"/>
        <v>0.43840005662839615</v>
      </c>
      <c r="AA18" s="74">
        <f t="shared" si="18"/>
        <v>1.9219460965178096E-4</v>
      </c>
      <c r="AB18" s="75">
        <f t="shared" si="46"/>
        <v>1.9219460965178096E-4</v>
      </c>
      <c r="AC18" s="63">
        <f t="shared" si="19"/>
        <v>0.87832312853379901</v>
      </c>
      <c r="AD18" s="63">
        <f t="shared" si="47"/>
        <v>7.3287894221153041E-3</v>
      </c>
      <c r="AE18" s="63">
        <f t="shared" si="20"/>
        <v>7.3376086514569247E-3</v>
      </c>
      <c r="AF18" s="63">
        <f t="shared" si="21"/>
        <v>1.6260524834495853E-2</v>
      </c>
      <c r="AG18" s="63">
        <f t="shared" si="22"/>
        <v>0</v>
      </c>
      <c r="AH18" s="63">
        <f t="shared" si="23"/>
        <v>2.2820208547500009E-3</v>
      </c>
      <c r="AI18" s="63">
        <f t="shared" si="48"/>
        <v>3.1238095238095238E-2</v>
      </c>
      <c r="AJ18" s="63">
        <f t="shared" si="49"/>
        <v>5.7118249578798019E-2</v>
      </c>
      <c r="AK18" s="63">
        <f t="shared" si="24"/>
        <v>0.50592869191122936</v>
      </c>
      <c r="AL18" s="63">
        <f t="shared" si="25"/>
        <v>2.4316564923405723E-3</v>
      </c>
      <c r="AM18" s="63">
        <f t="shared" si="26"/>
        <v>2.4326266035535038E-3</v>
      </c>
      <c r="AN18" s="63">
        <f t="shared" si="27"/>
        <v>4.0300148962500006E-3</v>
      </c>
      <c r="AO18" s="63">
        <f t="shared" si="28"/>
        <v>22.386732748668752</v>
      </c>
      <c r="AP18" s="63">
        <f t="shared" si="50"/>
        <v>4.0300148962500006E-3</v>
      </c>
      <c r="AQ18" s="61">
        <f t="shared" si="29"/>
        <v>6.5600000000000006E-2</v>
      </c>
      <c r="AR18" s="61">
        <f t="shared" si="30"/>
        <v>7110400000</v>
      </c>
      <c r="AS18" s="61">
        <f t="shared" si="51"/>
        <v>6.5600000000000006E-2</v>
      </c>
      <c r="AT18" s="61">
        <f t="shared" si="52"/>
        <v>3.4361904761904767E-2</v>
      </c>
      <c r="AU18" s="63">
        <f t="shared" si="53"/>
        <v>4.0824546261708269E-2</v>
      </c>
      <c r="AV18" s="63">
        <f t="shared" si="31"/>
        <v>2.6712799344826609E-3</v>
      </c>
      <c r="AW18" s="63">
        <f t="shared" si="32"/>
        <v>1.9840000000000001E-3</v>
      </c>
      <c r="AX18" s="63">
        <f t="shared" si="33"/>
        <v>3.5200000000000002E-2</v>
      </c>
      <c r="AY18" s="63">
        <f t="shared" si="34"/>
        <v>3.7184000000000002E-2</v>
      </c>
      <c r="AZ18" s="63">
        <f t="shared" si="35"/>
        <v>1.7539637468541363</v>
      </c>
      <c r="BA18" s="64">
        <f t="shared" si="36"/>
        <v>7.1999999999999993</v>
      </c>
      <c r="BB18" s="76">
        <f t="shared" si="54"/>
        <v>0.80411315072943312</v>
      </c>
      <c r="BC18" s="64">
        <f t="shared" si="55"/>
        <v>80.41131507294331</v>
      </c>
      <c r="BD18" s="63">
        <f t="shared" si="37"/>
        <v>1.6113015689535806</v>
      </c>
      <c r="BE18" s="63">
        <f t="shared" si="56"/>
        <v>9.7942795840506289E-2</v>
      </c>
      <c r="BF18" s="63">
        <f t="shared" si="38"/>
        <v>5.7118249578798019E-2</v>
      </c>
      <c r="BG18" s="63">
        <f t="shared" si="39"/>
        <v>4.0824546261708269E-2</v>
      </c>
      <c r="BH18" s="63">
        <f t="shared" si="40"/>
        <v>2.6712799344826609E-3</v>
      </c>
      <c r="BI18" s="63">
        <f t="shared" si="57"/>
        <v>3.7184000000000002E-2</v>
      </c>
      <c r="BJ18" s="63">
        <f t="shared" si="58"/>
        <v>1.9219460965178096E-4</v>
      </c>
      <c r="BK18" s="63">
        <f t="shared" si="59"/>
        <v>4.6719075159148589E-3</v>
      </c>
      <c r="BL18" s="63">
        <f t="shared" si="60"/>
        <v>1.7539637468541363</v>
      </c>
      <c r="BP18" s="77"/>
      <c r="BQ18" s="77"/>
      <c r="BR18" s="77"/>
      <c r="BS18" s="78"/>
    </row>
    <row r="19" spans="3:71" x14ac:dyDescent="0.2">
      <c r="C19" s="61">
        <v>7</v>
      </c>
      <c r="D19" s="61">
        <f t="shared" si="0"/>
        <v>25</v>
      </c>
      <c r="E19" s="61">
        <f t="shared" si="1"/>
        <v>25</v>
      </c>
      <c r="F19" s="61">
        <f t="shared" si="2"/>
        <v>25</v>
      </c>
      <c r="G19" s="73">
        <f t="shared" si="3"/>
        <v>16</v>
      </c>
      <c r="H19" s="64">
        <f t="shared" si="4"/>
        <v>1</v>
      </c>
      <c r="I19" s="63">
        <f t="shared" si="41"/>
        <v>0.7</v>
      </c>
      <c r="J19" s="65">
        <f t="shared" si="5"/>
        <v>9.4999999999999998E-3</v>
      </c>
      <c r="K19" s="65">
        <f t="shared" si="6"/>
        <v>9.4999999999999998E-3</v>
      </c>
      <c r="L19" s="65">
        <f t="shared" si="7"/>
        <v>1.0999999999999999E-2</v>
      </c>
      <c r="M19" s="65">
        <f t="shared" si="8"/>
        <v>2.6000000000000003E-3</v>
      </c>
      <c r="N19" s="63">
        <f t="shared" si="9"/>
        <v>0.75101062500000004</v>
      </c>
      <c r="O19" s="64">
        <f t="shared" si="10"/>
        <v>2.8305590456250007</v>
      </c>
      <c r="P19" s="64">
        <f t="shared" si="11"/>
        <v>2.1152795228125001</v>
      </c>
      <c r="Q19" s="64">
        <f t="shared" si="12"/>
        <v>-0.7152795228125004</v>
      </c>
      <c r="R19" s="64">
        <f t="shared" si="13"/>
        <v>16</v>
      </c>
      <c r="S19" s="64">
        <f t="shared" si="14"/>
        <v>1.0759516915568867</v>
      </c>
      <c r="T19" s="63">
        <f t="shared" si="42"/>
        <v>1.2734392468205385E-2</v>
      </c>
      <c r="U19" s="63">
        <f t="shared" si="15"/>
        <v>1.6</v>
      </c>
      <c r="V19" s="63">
        <f t="shared" si="43"/>
        <v>1.6127343924682054</v>
      </c>
      <c r="W19" s="64">
        <f t="shared" si="44"/>
        <v>0.81711201347436224</v>
      </c>
      <c r="X19" s="63">
        <f t="shared" si="16"/>
        <v>4.6737042979488851E-3</v>
      </c>
      <c r="Y19" s="63">
        <f t="shared" si="45"/>
        <v>4.6737042979488851E-3</v>
      </c>
      <c r="Z19" s="64">
        <f t="shared" si="17"/>
        <v>0.46527125359676114</v>
      </c>
      <c r="AA19" s="74">
        <f t="shared" si="18"/>
        <v>2.1647733942350162E-4</v>
      </c>
      <c r="AB19" s="75">
        <f t="shared" si="46"/>
        <v>2.1647733942350162E-4</v>
      </c>
      <c r="AC19" s="63">
        <f t="shared" si="19"/>
        <v>0.93242908804429248</v>
      </c>
      <c r="AD19" s="63">
        <f t="shared" si="47"/>
        <v>8.2595280401955538E-3</v>
      </c>
      <c r="AE19" s="63">
        <f t="shared" si="20"/>
        <v>8.2707312634279998E-3</v>
      </c>
      <c r="AF19" s="63">
        <f t="shared" si="21"/>
        <v>1.7069691352554983E-2</v>
      </c>
      <c r="AG19" s="63">
        <f t="shared" si="22"/>
        <v>0</v>
      </c>
      <c r="AH19" s="63">
        <f t="shared" si="23"/>
        <v>2.0027826638750012E-3</v>
      </c>
      <c r="AI19" s="63">
        <f t="shared" si="48"/>
        <v>3.1238095238095238E-2</v>
      </c>
      <c r="AJ19" s="63">
        <f t="shared" si="49"/>
        <v>5.8581300517953225E-2</v>
      </c>
      <c r="AK19" s="63">
        <f t="shared" si="24"/>
        <v>0.53688736093617906</v>
      </c>
      <c r="AL19" s="63">
        <f t="shared" si="25"/>
        <v>2.7383563641636423E-3</v>
      </c>
      <c r="AM19" s="63">
        <f t="shared" si="26"/>
        <v>2.7395866863642389E-3</v>
      </c>
      <c r="AN19" s="63">
        <f t="shared" si="27"/>
        <v>4.2305590456250004E-3</v>
      </c>
      <c r="AO19" s="63">
        <f t="shared" si="28"/>
        <v>23.500755498446878</v>
      </c>
      <c r="AP19" s="63">
        <f t="shared" si="50"/>
        <v>4.2305590456250004E-3</v>
      </c>
      <c r="AQ19" s="61">
        <f t="shared" si="29"/>
        <v>6.5600000000000006E-2</v>
      </c>
      <c r="AR19" s="61">
        <f t="shared" si="30"/>
        <v>7110400000</v>
      </c>
      <c r="AS19" s="61">
        <f t="shared" si="51"/>
        <v>6.5600000000000006E-2</v>
      </c>
      <c r="AT19" s="61">
        <f t="shared" si="52"/>
        <v>3.4361904761904767E-2</v>
      </c>
      <c r="AU19" s="63">
        <f t="shared" si="53"/>
        <v>4.1332050493894004E-2</v>
      </c>
      <c r="AV19" s="63">
        <f t="shared" si="31"/>
        <v>3.0099473106667282E-3</v>
      </c>
      <c r="AW19" s="63">
        <f t="shared" si="32"/>
        <v>1.9840000000000001E-3</v>
      </c>
      <c r="AX19" s="63">
        <f t="shared" si="33"/>
        <v>3.5200000000000002E-2</v>
      </c>
      <c r="AY19" s="63">
        <f t="shared" si="34"/>
        <v>3.7184000000000002E-2</v>
      </c>
      <c r="AZ19" s="63">
        <f t="shared" si="35"/>
        <v>1.7577318724280919</v>
      </c>
      <c r="BA19" s="64">
        <f t="shared" si="36"/>
        <v>8.3999999999999986</v>
      </c>
      <c r="BB19" s="76">
        <f t="shared" si="54"/>
        <v>0.82695626400621591</v>
      </c>
      <c r="BC19" s="64">
        <f t="shared" si="55"/>
        <v>82.695626400621592</v>
      </c>
      <c r="BD19" s="63">
        <f t="shared" si="37"/>
        <v>1.6127343924682054</v>
      </c>
      <c r="BE19" s="63">
        <f t="shared" si="56"/>
        <v>9.9913351011847229E-2</v>
      </c>
      <c r="BF19" s="63">
        <f t="shared" si="38"/>
        <v>5.8581300517953225E-2</v>
      </c>
      <c r="BG19" s="63">
        <f t="shared" si="39"/>
        <v>4.1332050493894004E-2</v>
      </c>
      <c r="BH19" s="63">
        <f t="shared" si="40"/>
        <v>3.0099473106667282E-3</v>
      </c>
      <c r="BI19" s="63">
        <f t="shared" si="57"/>
        <v>3.7184000000000002E-2</v>
      </c>
      <c r="BJ19" s="63">
        <f t="shared" si="58"/>
        <v>2.1647733942350162E-4</v>
      </c>
      <c r="BK19" s="63">
        <f t="shared" si="59"/>
        <v>4.6737042979488851E-3</v>
      </c>
      <c r="BL19" s="63">
        <f t="shared" si="60"/>
        <v>1.7577318724280919</v>
      </c>
      <c r="BP19" s="77"/>
      <c r="BQ19" s="77"/>
      <c r="BR19" s="77"/>
      <c r="BS19" s="78"/>
    </row>
    <row r="20" spans="3:71" x14ac:dyDescent="0.2">
      <c r="C20" s="61">
        <v>8</v>
      </c>
      <c r="D20" s="61">
        <f t="shared" si="0"/>
        <v>25</v>
      </c>
      <c r="E20" s="61">
        <f t="shared" si="1"/>
        <v>25</v>
      </c>
      <c r="F20" s="61">
        <f t="shared" si="2"/>
        <v>25</v>
      </c>
      <c r="G20" s="73">
        <f t="shared" si="3"/>
        <v>16</v>
      </c>
      <c r="H20" s="64">
        <f t="shared" si="4"/>
        <v>1</v>
      </c>
      <c r="I20" s="63">
        <f t="shared" si="41"/>
        <v>0.8</v>
      </c>
      <c r="J20" s="65">
        <f t="shared" si="5"/>
        <v>9.4999999999999998E-3</v>
      </c>
      <c r="K20" s="65">
        <f t="shared" si="6"/>
        <v>9.4999999999999998E-3</v>
      </c>
      <c r="L20" s="65">
        <f t="shared" si="7"/>
        <v>1.0999999999999999E-2</v>
      </c>
      <c r="M20" s="65">
        <f t="shared" si="8"/>
        <v>2.6000000000000003E-3</v>
      </c>
      <c r="N20" s="63">
        <f t="shared" si="9"/>
        <v>0.75115500000000002</v>
      </c>
      <c r="O20" s="64">
        <f t="shared" si="10"/>
        <v>2.8311031950000007</v>
      </c>
      <c r="P20" s="64">
        <f t="shared" si="11"/>
        <v>2.2155515975000002</v>
      </c>
      <c r="Q20" s="64">
        <f t="shared" si="12"/>
        <v>-0.61555159750000032</v>
      </c>
      <c r="R20" s="64">
        <f t="shared" si="13"/>
        <v>16</v>
      </c>
      <c r="S20" s="64">
        <f t="shared" si="14"/>
        <v>1.1436471374779902</v>
      </c>
      <c r="T20" s="63">
        <f t="shared" si="42"/>
        <v>1.4387216525677609E-2</v>
      </c>
      <c r="U20" s="63">
        <f t="shared" si="15"/>
        <v>1.6</v>
      </c>
      <c r="V20" s="63">
        <f t="shared" si="43"/>
        <v>1.6143872165256776</v>
      </c>
      <c r="W20" s="64">
        <f t="shared" si="44"/>
        <v>0.81726909586843</v>
      </c>
      <c r="X20" s="63">
        <f t="shared" si="16"/>
        <v>4.6755014254312071E-3</v>
      </c>
      <c r="Y20" s="63">
        <f t="shared" si="45"/>
        <v>4.6755014254312071E-3</v>
      </c>
      <c r="Z20" s="64">
        <f t="shared" si="17"/>
        <v>0.49444875532937477</v>
      </c>
      <c r="AA20" s="74">
        <f t="shared" si="18"/>
        <v>2.4447957164676793E-4</v>
      </c>
      <c r="AB20" s="75">
        <f t="shared" si="46"/>
        <v>2.4447957164676793E-4</v>
      </c>
      <c r="AC20" s="63">
        <f t="shared" si="19"/>
        <v>0.99118980978992965</v>
      </c>
      <c r="AD20" s="63">
        <f t="shared" si="47"/>
        <v>9.3333437707982699E-3</v>
      </c>
      <c r="AE20" s="63">
        <f t="shared" si="20"/>
        <v>9.347651926013811E-3</v>
      </c>
      <c r="AF20" s="63">
        <f t="shared" si="21"/>
        <v>1.787885787061411E-2</v>
      </c>
      <c r="AG20" s="63">
        <f t="shared" si="22"/>
        <v>0</v>
      </c>
      <c r="AH20" s="63">
        <f t="shared" si="23"/>
        <v>1.7235444730000012E-3</v>
      </c>
      <c r="AI20" s="63">
        <f t="shared" si="48"/>
        <v>3.1238095238095238E-2</v>
      </c>
      <c r="AJ20" s="63">
        <f t="shared" si="49"/>
        <v>6.0188149507723158E-2</v>
      </c>
      <c r="AK20" s="63">
        <f t="shared" si="24"/>
        <v>0.57050112710686562</v>
      </c>
      <c r="AL20" s="63">
        <f t="shared" si="25"/>
        <v>3.0919795922869386E-3</v>
      </c>
      <c r="AM20" s="63">
        <f t="shared" si="26"/>
        <v>3.0935482831450541E-3</v>
      </c>
      <c r="AN20" s="63">
        <f t="shared" si="27"/>
        <v>4.431103195000001E-3</v>
      </c>
      <c r="AO20" s="63">
        <f t="shared" si="28"/>
        <v>24.614778248225004</v>
      </c>
      <c r="AP20" s="63">
        <f t="shared" si="50"/>
        <v>4.431103195000001E-3</v>
      </c>
      <c r="AQ20" s="61">
        <f t="shared" si="29"/>
        <v>6.5600000000000006E-2</v>
      </c>
      <c r="AR20" s="61">
        <f t="shared" si="30"/>
        <v>7110400000</v>
      </c>
      <c r="AS20" s="61">
        <f t="shared" si="51"/>
        <v>6.5600000000000006E-2</v>
      </c>
      <c r="AT20" s="61">
        <f t="shared" si="52"/>
        <v>3.4361904761904767E-2</v>
      </c>
      <c r="AU20" s="63">
        <f t="shared" si="53"/>
        <v>4.1886556240049819E-2</v>
      </c>
      <c r="AV20" s="63">
        <f t="shared" si="31"/>
        <v>3.4006148151601626E-3</v>
      </c>
      <c r="AW20" s="63">
        <f t="shared" si="32"/>
        <v>1.9840000000000001E-3</v>
      </c>
      <c r="AX20" s="63">
        <f t="shared" si="33"/>
        <v>3.5200000000000002E-2</v>
      </c>
      <c r="AY20" s="63">
        <f t="shared" si="34"/>
        <v>3.7184000000000002E-2</v>
      </c>
      <c r="AZ20" s="63">
        <f t="shared" si="35"/>
        <v>1.7619665180856889</v>
      </c>
      <c r="BA20" s="64">
        <f t="shared" si="36"/>
        <v>9.6000000000000014</v>
      </c>
      <c r="BB20" s="76">
        <f t="shared" si="54"/>
        <v>0.8449241585705225</v>
      </c>
      <c r="BC20" s="64">
        <f t="shared" si="55"/>
        <v>84.492415857052251</v>
      </c>
      <c r="BD20" s="63">
        <f t="shared" si="37"/>
        <v>1.6143872165256776</v>
      </c>
      <c r="BE20" s="63">
        <f t="shared" si="56"/>
        <v>0.10207470574777297</v>
      </c>
      <c r="BF20" s="63">
        <f t="shared" si="38"/>
        <v>6.0188149507723158E-2</v>
      </c>
      <c r="BG20" s="63">
        <f t="shared" si="39"/>
        <v>4.1886556240049819E-2</v>
      </c>
      <c r="BH20" s="63">
        <f t="shared" si="40"/>
        <v>3.4006148151601626E-3</v>
      </c>
      <c r="BI20" s="63">
        <f t="shared" si="57"/>
        <v>3.7184000000000002E-2</v>
      </c>
      <c r="BJ20" s="63">
        <f t="shared" si="58"/>
        <v>2.4447957164676793E-4</v>
      </c>
      <c r="BK20" s="63">
        <f t="shared" si="59"/>
        <v>4.6755014254312071E-3</v>
      </c>
      <c r="BL20" s="63">
        <f t="shared" si="60"/>
        <v>1.7619665180856889</v>
      </c>
      <c r="BP20" s="77"/>
      <c r="BQ20" s="77"/>
      <c r="BR20" s="77"/>
      <c r="BS20" s="78"/>
    </row>
    <row r="21" spans="3:71" x14ac:dyDescent="0.2">
      <c r="C21" s="61">
        <v>9</v>
      </c>
      <c r="D21" s="61">
        <f t="shared" si="0"/>
        <v>25</v>
      </c>
      <c r="E21" s="61">
        <f t="shared" si="1"/>
        <v>25</v>
      </c>
      <c r="F21" s="61">
        <f t="shared" si="2"/>
        <v>25</v>
      </c>
      <c r="G21" s="73">
        <f t="shared" si="3"/>
        <v>16</v>
      </c>
      <c r="H21" s="64">
        <f t="shared" si="4"/>
        <v>1</v>
      </c>
      <c r="I21" s="63">
        <f t="shared" si="41"/>
        <v>0.9</v>
      </c>
      <c r="J21" s="65">
        <f t="shared" si="5"/>
        <v>9.4999999999999998E-3</v>
      </c>
      <c r="K21" s="65">
        <f t="shared" si="6"/>
        <v>9.4999999999999998E-3</v>
      </c>
      <c r="L21" s="65">
        <f t="shared" si="7"/>
        <v>1.0999999999999999E-2</v>
      </c>
      <c r="M21" s="65">
        <f t="shared" si="8"/>
        <v>2.6000000000000003E-3</v>
      </c>
      <c r="N21" s="63">
        <f t="shared" si="9"/>
        <v>0.75129937499999999</v>
      </c>
      <c r="O21" s="64">
        <f t="shared" si="10"/>
        <v>2.8316473443750003</v>
      </c>
      <c r="P21" s="64">
        <f t="shared" si="11"/>
        <v>2.3158236721875003</v>
      </c>
      <c r="Q21" s="64">
        <f t="shared" si="12"/>
        <v>-0.51582367218750014</v>
      </c>
      <c r="R21" s="64">
        <f t="shared" si="13"/>
        <v>16</v>
      </c>
      <c r="S21" s="64">
        <f t="shared" si="14"/>
        <v>1.2158065458405924</v>
      </c>
      <c r="T21" s="63">
        <f t="shared" si="42"/>
        <v>1.626004112599716E-2</v>
      </c>
      <c r="U21" s="63">
        <f t="shared" si="15"/>
        <v>1.6</v>
      </c>
      <c r="V21" s="63">
        <f t="shared" si="43"/>
        <v>1.6162600411259973</v>
      </c>
      <c r="W21" s="64">
        <f t="shared" si="44"/>
        <v>0.81742617826249775</v>
      </c>
      <c r="X21" s="63">
        <f t="shared" si="16"/>
        <v>4.6772988983618292E-3</v>
      </c>
      <c r="Y21" s="63">
        <f t="shared" si="45"/>
        <v>4.6772988983618292E-3</v>
      </c>
      <c r="Z21" s="64">
        <f t="shared" si="17"/>
        <v>0.52554442011050295</v>
      </c>
      <c r="AA21" s="74">
        <f t="shared" si="18"/>
        <v>2.7619693750928481E-4</v>
      </c>
      <c r="AB21" s="75">
        <f t="shared" si="46"/>
        <v>2.7619693750928481E-4</v>
      </c>
      <c r="AC21" s="63">
        <f t="shared" si="19"/>
        <v>1.0538310514687033</v>
      </c>
      <c r="AD21" s="63">
        <f t="shared" si="47"/>
        <v>1.0550318907876511E-2</v>
      </c>
      <c r="AE21" s="63">
        <f t="shared" si="20"/>
        <v>1.0568605261447346E-2</v>
      </c>
      <c r="AF21" s="63">
        <f t="shared" si="21"/>
        <v>1.868802438867324E-2</v>
      </c>
      <c r="AG21" s="63">
        <f t="shared" si="22"/>
        <v>0</v>
      </c>
      <c r="AH21" s="63">
        <f t="shared" si="23"/>
        <v>1.4443062821250005E-3</v>
      </c>
      <c r="AI21" s="63">
        <f t="shared" si="48"/>
        <v>3.1238095238095238E-2</v>
      </c>
      <c r="AJ21" s="63">
        <f t="shared" si="49"/>
        <v>6.1939031170340823E-2</v>
      </c>
      <c r="AK21" s="63">
        <f t="shared" si="24"/>
        <v>0.60632142619999807</v>
      </c>
      <c r="AL21" s="63">
        <f t="shared" si="25"/>
        <v>3.4924438827573972E-3</v>
      </c>
      <c r="AM21" s="63">
        <f t="shared" si="26"/>
        <v>3.4944453640683979E-3</v>
      </c>
      <c r="AN21" s="63">
        <f t="shared" si="27"/>
        <v>4.6316473443750008E-3</v>
      </c>
      <c r="AO21" s="63">
        <f t="shared" si="28"/>
        <v>25.728800998003134</v>
      </c>
      <c r="AP21" s="63">
        <f t="shared" si="50"/>
        <v>4.6316473443750008E-3</v>
      </c>
      <c r="AQ21" s="61">
        <f t="shared" si="29"/>
        <v>6.5600000000000006E-2</v>
      </c>
      <c r="AR21" s="61">
        <f t="shared" si="30"/>
        <v>7110400000</v>
      </c>
      <c r="AS21" s="61">
        <f t="shared" si="51"/>
        <v>6.5600000000000006E-2</v>
      </c>
      <c r="AT21" s="61">
        <f t="shared" si="52"/>
        <v>3.4361904761904767E-2</v>
      </c>
      <c r="AU21" s="63">
        <f t="shared" si="53"/>
        <v>4.2487997470348163E-2</v>
      </c>
      <c r="AV21" s="63">
        <f t="shared" si="31"/>
        <v>3.8432824479629653E-3</v>
      </c>
      <c r="AW21" s="63">
        <f t="shared" si="32"/>
        <v>1.9840000000000001E-3</v>
      </c>
      <c r="AX21" s="63">
        <f t="shared" si="33"/>
        <v>3.5200000000000002E-2</v>
      </c>
      <c r="AY21" s="63">
        <f t="shared" si="34"/>
        <v>3.7184000000000002E-2</v>
      </c>
      <c r="AZ21" s="63">
        <f t="shared" si="35"/>
        <v>1.7666678480505207</v>
      </c>
      <c r="BA21" s="64">
        <f t="shared" si="36"/>
        <v>10.8</v>
      </c>
      <c r="BB21" s="76">
        <f t="shared" si="54"/>
        <v>0.85941636483018968</v>
      </c>
      <c r="BC21" s="64">
        <f t="shared" si="55"/>
        <v>85.941636483018968</v>
      </c>
      <c r="BD21" s="63">
        <f t="shared" si="37"/>
        <v>1.6162600411259973</v>
      </c>
      <c r="BE21" s="63">
        <f t="shared" si="56"/>
        <v>0.10442702864068898</v>
      </c>
      <c r="BF21" s="63">
        <f t="shared" si="38"/>
        <v>6.1939031170340823E-2</v>
      </c>
      <c r="BG21" s="63">
        <f t="shared" si="39"/>
        <v>4.2487997470348163E-2</v>
      </c>
      <c r="BH21" s="63">
        <f t="shared" si="40"/>
        <v>3.8432824479629653E-3</v>
      </c>
      <c r="BI21" s="63">
        <f t="shared" si="57"/>
        <v>3.7184000000000002E-2</v>
      </c>
      <c r="BJ21" s="63">
        <f t="shared" si="58"/>
        <v>2.7619693750928481E-4</v>
      </c>
      <c r="BK21" s="63">
        <f t="shared" si="59"/>
        <v>4.6772988983618292E-3</v>
      </c>
      <c r="BL21" s="63">
        <f t="shared" si="60"/>
        <v>1.7666678480505207</v>
      </c>
      <c r="BQ21" s="77"/>
      <c r="BR21" s="78"/>
    </row>
    <row r="22" spans="3:71" x14ac:dyDescent="0.2">
      <c r="C22" s="61">
        <v>10</v>
      </c>
      <c r="D22" s="61">
        <f t="shared" si="0"/>
        <v>25</v>
      </c>
      <c r="E22" s="61">
        <f t="shared" si="1"/>
        <v>25</v>
      </c>
      <c r="F22" s="61">
        <f t="shared" si="2"/>
        <v>25</v>
      </c>
      <c r="G22" s="73">
        <f t="shared" si="3"/>
        <v>16</v>
      </c>
      <c r="H22" s="64">
        <f t="shared" si="4"/>
        <v>1</v>
      </c>
      <c r="I22" s="63">
        <f t="shared" si="41"/>
        <v>1</v>
      </c>
      <c r="J22" s="65">
        <f t="shared" si="5"/>
        <v>9.4999999999999998E-3</v>
      </c>
      <c r="K22" s="65">
        <f t="shared" si="6"/>
        <v>9.4999999999999998E-3</v>
      </c>
      <c r="L22" s="65">
        <f t="shared" si="7"/>
        <v>1.0999999999999999E-2</v>
      </c>
      <c r="M22" s="65">
        <f t="shared" si="8"/>
        <v>2.6000000000000003E-3</v>
      </c>
      <c r="N22" s="63">
        <f t="shared" si="9"/>
        <v>0.75144374999999997</v>
      </c>
      <c r="O22" s="64">
        <f t="shared" si="10"/>
        <v>2.8321914937500003</v>
      </c>
      <c r="P22" s="64">
        <f t="shared" si="11"/>
        <v>2.4160957468750004</v>
      </c>
      <c r="Q22" s="64">
        <f t="shared" si="12"/>
        <v>-0.41609574687500017</v>
      </c>
      <c r="R22" s="64">
        <f t="shared" si="13"/>
        <v>16</v>
      </c>
      <c r="S22" s="64">
        <f t="shared" si="14"/>
        <v>1.291681999605871</v>
      </c>
      <c r="T22" s="63">
        <f t="shared" si="42"/>
        <v>1.8352866269164034E-2</v>
      </c>
      <c r="U22" s="63">
        <f t="shared" si="15"/>
        <v>1.6</v>
      </c>
      <c r="V22" s="63">
        <f t="shared" si="43"/>
        <v>1.6183528662691642</v>
      </c>
      <c r="W22" s="64">
        <f t="shared" si="44"/>
        <v>0.8175832606565655</v>
      </c>
      <c r="X22" s="63">
        <f t="shared" si="16"/>
        <v>4.6790967167407507E-3</v>
      </c>
      <c r="Y22" s="63">
        <f t="shared" si="45"/>
        <v>4.6790967167407507E-3</v>
      </c>
      <c r="Z22" s="64">
        <f t="shared" si="17"/>
        <v>0.55823387858150586</v>
      </c>
      <c r="AA22" s="74">
        <f t="shared" si="18"/>
        <v>3.1162506319615144E-4</v>
      </c>
      <c r="AB22" s="75">
        <f t="shared" si="46"/>
        <v>3.1162506319615144E-4</v>
      </c>
      <c r="AC22" s="63">
        <f t="shared" si="19"/>
        <v>1.1197055884370648</v>
      </c>
      <c r="AD22" s="63">
        <f t="shared" si="47"/>
        <v>1.1910535745383338E-2</v>
      </c>
      <c r="AE22" s="63">
        <f t="shared" si="20"/>
        <v>1.1933846460177732E-2</v>
      </c>
      <c r="AF22" s="63">
        <f t="shared" si="21"/>
        <v>1.9497190906732371E-2</v>
      </c>
      <c r="AG22" s="63">
        <f t="shared" si="22"/>
        <v>0</v>
      </c>
      <c r="AH22" s="63">
        <f t="shared" si="23"/>
        <v>1.1650680912500006E-3</v>
      </c>
      <c r="AI22" s="63">
        <f t="shared" si="48"/>
        <v>3.1238095238095238E-2</v>
      </c>
      <c r="AJ22" s="63">
        <f t="shared" si="49"/>
        <v>6.3834200696255339E-2</v>
      </c>
      <c r="AK22" s="63">
        <f t="shared" si="24"/>
        <v>0.64397343371340066</v>
      </c>
      <c r="AL22" s="63">
        <f t="shared" si="25"/>
        <v>3.9396669416219623E-3</v>
      </c>
      <c r="AM22" s="63">
        <f t="shared" si="26"/>
        <v>3.9422140273079123E-3</v>
      </c>
      <c r="AN22" s="63">
        <f t="shared" si="27"/>
        <v>4.8321914937500014E-3</v>
      </c>
      <c r="AO22" s="63">
        <f t="shared" si="28"/>
        <v>26.842823747781257</v>
      </c>
      <c r="AP22" s="63">
        <f t="shared" si="50"/>
        <v>4.8321914937500014E-3</v>
      </c>
      <c r="AQ22" s="61">
        <f t="shared" si="29"/>
        <v>6.5600000000000006E-2</v>
      </c>
      <c r="AR22" s="61">
        <f t="shared" si="30"/>
        <v>7110400000</v>
      </c>
      <c r="AS22" s="61">
        <f t="shared" si="51"/>
        <v>6.5600000000000006E-2</v>
      </c>
      <c r="AT22" s="61">
        <f t="shared" si="52"/>
        <v>3.4361904761904767E-2</v>
      </c>
      <c r="AU22" s="63">
        <f t="shared" si="53"/>
        <v>4.3136310282962678E-2</v>
      </c>
      <c r="AV22" s="63">
        <f t="shared" si="31"/>
        <v>4.3379502090751367E-3</v>
      </c>
      <c r="AW22" s="63">
        <f t="shared" si="32"/>
        <v>1.9840000000000001E-3</v>
      </c>
      <c r="AX22" s="63">
        <f t="shared" si="33"/>
        <v>3.5200000000000002E-2</v>
      </c>
      <c r="AY22" s="63">
        <f t="shared" si="34"/>
        <v>3.7184000000000002E-2</v>
      </c>
      <c r="AZ22" s="63">
        <f t="shared" si="35"/>
        <v>1.7718360492373944</v>
      </c>
      <c r="BA22" s="64">
        <f t="shared" si="36"/>
        <v>12</v>
      </c>
      <c r="BB22" s="76">
        <f t="shared" si="54"/>
        <v>0.8713435127384116</v>
      </c>
      <c r="BC22" s="64">
        <f t="shared" si="55"/>
        <v>87.134351273841162</v>
      </c>
      <c r="BD22" s="63">
        <f t="shared" si="37"/>
        <v>1.6183528662691642</v>
      </c>
      <c r="BE22" s="63">
        <f t="shared" si="56"/>
        <v>0.10697051097921802</v>
      </c>
      <c r="BF22" s="63">
        <f t="shared" si="38"/>
        <v>6.3834200696255339E-2</v>
      </c>
      <c r="BG22" s="63">
        <f t="shared" si="39"/>
        <v>4.3136310282962678E-2</v>
      </c>
      <c r="BH22" s="63">
        <f t="shared" si="40"/>
        <v>4.3379502090751367E-3</v>
      </c>
      <c r="BI22" s="63">
        <f t="shared" si="57"/>
        <v>3.7184000000000002E-2</v>
      </c>
      <c r="BJ22" s="63">
        <f t="shared" si="58"/>
        <v>3.1162506319615144E-4</v>
      </c>
      <c r="BK22" s="63">
        <f t="shared" si="59"/>
        <v>4.6790967167407507E-3</v>
      </c>
      <c r="BL22" s="63">
        <f t="shared" si="60"/>
        <v>1.7718360492373944</v>
      </c>
      <c r="BQ22" s="77"/>
      <c r="BR22" s="78"/>
    </row>
    <row r="23" spans="3:71" x14ac:dyDescent="0.2">
      <c r="C23" s="61">
        <v>11</v>
      </c>
      <c r="D23" s="61">
        <f t="shared" si="0"/>
        <v>25</v>
      </c>
      <c r="E23" s="61">
        <f t="shared" si="1"/>
        <v>25</v>
      </c>
      <c r="F23" s="61">
        <f t="shared" si="2"/>
        <v>25</v>
      </c>
      <c r="G23" s="73">
        <f t="shared" si="3"/>
        <v>16</v>
      </c>
      <c r="H23" s="64">
        <f t="shared" si="4"/>
        <v>1</v>
      </c>
      <c r="I23" s="63">
        <f t="shared" si="41"/>
        <v>1.1000000000000001</v>
      </c>
      <c r="J23" s="65">
        <f t="shared" si="5"/>
        <v>9.4999999999999998E-3</v>
      </c>
      <c r="K23" s="65">
        <f t="shared" si="6"/>
        <v>9.4999999999999998E-3</v>
      </c>
      <c r="L23" s="65">
        <f t="shared" si="7"/>
        <v>1.0999999999999999E-2</v>
      </c>
      <c r="M23" s="65">
        <f t="shared" si="8"/>
        <v>2.6000000000000003E-3</v>
      </c>
      <c r="N23" s="63">
        <f t="shared" si="9"/>
        <v>0.75158812500000005</v>
      </c>
      <c r="O23" s="64">
        <f t="shared" si="10"/>
        <v>2.8327356431250008</v>
      </c>
      <c r="P23" s="64">
        <f t="shared" si="11"/>
        <v>2.5163678215625005</v>
      </c>
      <c r="Q23" s="64">
        <f t="shared" si="12"/>
        <v>-0.31636782156250032</v>
      </c>
      <c r="R23" s="64">
        <f t="shared" si="13"/>
        <v>16</v>
      </c>
      <c r="S23" s="64">
        <f t="shared" si="14"/>
        <v>1.3706565100901713</v>
      </c>
      <c r="T23" s="63">
        <f t="shared" si="42"/>
        <v>2.0665691955178245E-2</v>
      </c>
      <c r="U23" s="63">
        <f t="shared" si="15"/>
        <v>1.6</v>
      </c>
      <c r="V23" s="63">
        <f t="shared" si="43"/>
        <v>1.6206656919551783</v>
      </c>
      <c r="W23" s="64">
        <f t="shared" si="44"/>
        <v>0.81774034305063348</v>
      </c>
      <c r="X23" s="63">
        <f t="shared" si="16"/>
        <v>4.6808948805679741E-3</v>
      </c>
      <c r="Y23" s="63">
        <f t="shared" si="45"/>
        <v>4.6808948805679741E-3</v>
      </c>
      <c r="Z23" s="64">
        <f t="shared" si="17"/>
        <v>0.59224958411961803</v>
      </c>
      <c r="AA23" s="74">
        <f t="shared" si="18"/>
        <v>3.5075956988986053E-4</v>
      </c>
      <c r="AB23" s="75">
        <f t="shared" si="46"/>
        <v>3.5075956988986053E-4</v>
      </c>
      <c r="AC23" s="63">
        <f t="shared" si="19"/>
        <v>1.1882794539860793</v>
      </c>
      <c r="AD23" s="63">
        <f t="shared" si="47"/>
        <v>1.3414076577271818E-2</v>
      </c>
      <c r="AE23" s="63">
        <f t="shared" si="20"/>
        <v>1.3443651381004701E-2</v>
      </c>
      <c r="AF23" s="63">
        <f t="shared" si="21"/>
        <v>2.0306357424791501E-2</v>
      </c>
      <c r="AG23" s="63">
        <f t="shared" si="22"/>
        <v>0</v>
      </c>
      <c r="AH23" s="63">
        <f t="shared" si="23"/>
        <v>8.8582990037500099E-4</v>
      </c>
      <c r="AI23" s="63">
        <f t="shared" si="48"/>
        <v>3.1238095238095238E-2</v>
      </c>
      <c r="AJ23" s="63">
        <f t="shared" si="49"/>
        <v>6.5873933944266438E-2</v>
      </c>
      <c r="AK23" s="63">
        <f t="shared" si="24"/>
        <v>0.68314801316194507</v>
      </c>
      <c r="AL23" s="63">
        <f t="shared" si="25"/>
        <v>4.4335664749275737E-3</v>
      </c>
      <c r="AM23" s="63">
        <f t="shared" si="26"/>
        <v>4.4367924884946182E-3</v>
      </c>
      <c r="AN23" s="63">
        <f t="shared" si="27"/>
        <v>5.0327356431250012E-3</v>
      </c>
      <c r="AO23" s="63">
        <f t="shared" si="28"/>
        <v>27.956846497559383</v>
      </c>
      <c r="AP23" s="63">
        <f t="shared" si="50"/>
        <v>5.0327356431250012E-3</v>
      </c>
      <c r="AQ23" s="61">
        <f t="shared" si="29"/>
        <v>6.5600000000000006E-2</v>
      </c>
      <c r="AR23" s="61">
        <f t="shared" si="30"/>
        <v>7110400000</v>
      </c>
      <c r="AS23" s="61">
        <f t="shared" si="51"/>
        <v>6.5600000000000006E-2</v>
      </c>
      <c r="AT23" s="61">
        <f t="shared" si="52"/>
        <v>3.4361904761904767E-2</v>
      </c>
      <c r="AU23" s="63">
        <f t="shared" si="53"/>
        <v>4.3831432893524383E-2</v>
      </c>
      <c r="AV23" s="63">
        <f t="shared" si="31"/>
        <v>4.8846180984966773E-3</v>
      </c>
      <c r="AW23" s="63">
        <f t="shared" si="32"/>
        <v>1.9840000000000001E-3</v>
      </c>
      <c r="AX23" s="63">
        <f t="shared" si="33"/>
        <v>3.5200000000000002E-2</v>
      </c>
      <c r="AY23" s="63">
        <f t="shared" si="34"/>
        <v>3.7184000000000002E-2</v>
      </c>
      <c r="AZ23" s="63">
        <f t="shared" si="35"/>
        <v>1.7774713313419237</v>
      </c>
      <c r="BA23" s="64">
        <f t="shared" si="36"/>
        <v>13.200000000000001</v>
      </c>
      <c r="BB23" s="76">
        <f t="shared" si="54"/>
        <v>0.88132366992935729</v>
      </c>
      <c r="BC23" s="64">
        <f t="shared" si="55"/>
        <v>88.132366992935729</v>
      </c>
      <c r="BD23" s="63">
        <f t="shared" si="37"/>
        <v>1.6206656919551783</v>
      </c>
      <c r="BE23" s="63">
        <f t="shared" si="56"/>
        <v>0.10970536683779082</v>
      </c>
      <c r="BF23" s="63">
        <f t="shared" si="38"/>
        <v>6.5873933944266438E-2</v>
      </c>
      <c r="BG23" s="63">
        <f t="shared" si="39"/>
        <v>4.3831432893524383E-2</v>
      </c>
      <c r="BH23" s="63">
        <f t="shared" si="40"/>
        <v>4.8846180984966773E-3</v>
      </c>
      <c r="BI23" s="63">
        <f t="shared" si="57"/>
        <v>3.7184000000000002E-2</v>
      </c>
      <c r="BJ23" s="63">
        <f t="shared" si="58"/>
        <v>3.5075956988986053E-4</v>
      </c>
      <c r="BK23" s="63">
        <f t="shared" si="59"/>
        <v>4.6808948805679741E-3</v>
      </c>
      <c r="BL23" s="63">
        <f t="shared" si="60"/>
        <v>1.7774713313419237</v>
      </c>
      <c r="BQ23" s="77"/>
      <c r="BR23" s="78"/>
    </row>
    <row r="24" spans="3:71" x14ac:dyDescent="0.2">
      <c r="C24" s="61">
        <v>12</v>
      </c>
      <c r="D24" s="61">
        <f t="shared" si="0"/>
        <v>25</v>
      </c>
      <c r="E24" s="61">
        <f t="shared" si="1"/>
        <v>25</v>
      </c>
      <c r="F24" s="61">
        <f t="shared" si="2"/>
        <v>25</v>
      </c>
      <c r="G24" s="73">
        <f t="shared" si="3"/>
        <v>16</v>
      </c>
      <c r="H24" s="64">
        <f t="shared" si="4"/>
        <v>1</v>
      </c>
      <c r="I24" s="63">
        <f t="shared" si="41"/>
        <v>1.2</v>
      </c>
      <c r="J24" s="65">
        <f t="shared" si="5"/>
        <v>9.4999999999999998E-3</v>
      </c>
      <c r="K24" s="65">
        <f t="shared" si="6"/>
        <v>9.4999999999999998E-3</v>
      </c>
      <c r="L24" s="65">
        <f t="shared" si="7"/>
        <v>1.0999999999999999E-2</v>
      </c>
      <c r="M24" s="65">
        <f t="shared" si="8"/>
        <v>2.6000000000000003E-3</v>
      </c>
      <c r="N24" s="63">
        <f t="shared" si="9"/>
        <v>0.75173250000000003</v>
      </c>
      <c r="O24" s="64">
        <f t="shared" si="10"/>
        <v>2.8332797925000008</v>
      </c>
      <c r="P24" s="64">
        <f t="shared" si="11"/>
        <v>2.6166398962500006</v>
      </c>
      <c r="Q24" s="64">
        <f t="shared" si="12"/>
        <v>-0.21663989625000046</v>
      </c>
      <c r="R24" s="64">
        <f t="shared" si="13"/>
        <v>14.442659750000031</v>
      </c>
      <c r="S24" s="64">
        <f t="shared" si="14"/>
        <v>1.452224568911114</v>
      </c>
      <c r="T24" s="63">
        <f t="shared" si="42"/>
        <v>2.3198518184039774E-2</v>
      </c>
      <c r="U24" s="63">
        <f t="shared" si="15"/>
        <v>1.6</v>
      </c>
      <c r="V24" s="63">
        <f t="shared" si="43"/>
        <v>1.6231985181840398</v>
      </c>
      <c r="W24" s="64">
        <f t="shared" si="44"/>
        <v>0.81789742544470134</v>
      </c>
      <c r="X24" s="63">
        <f t="shared" si="16"/>
        <v>4.682693389843496E-3</v>
      </c>
      <c r="Y24" s="63">
        <f t="shared" si="45"/>
        <v>4.682693389843496E-3</v>
      </c>
      <c r="Z24" s="64">
        <f t="shared" si="17"/>
        <v>0.62737235655573709</v>
      </c>
      <c r="AA24" s="74">
        <f t="shared" si="18"/>
        <v>3.9359607377029891E-4</v>
      </c>
      <c r="AB24" s="75">
        <f t="shared" si="46"/>
        <v>3.9359607377029891E-4</v>
      </c>
      <c r="AC24" s="63">
        <f t="shared" si="19"/>
        <v>1.2591151319580705</v>
      </c>
      <c r="AD24" s="63">
        <f t="shared" si="47"/>
        <v>1.5061023697494996E-2</v>
      </c>
      <c r="AE24" s="63">
        <f t="shared" si="20"/>
        <v>1.5098316658713218E-2</v>
      </c>
      <c r="AF24" s="63">
        <f t="shared" si="21"/>
        <v>2.1115523942850628E-2</v>
      </c>
      <c r="AG24" s="63">
        <f t="shared" si="22"/>
        <v>3.6379629814049497E-5</v>
      </c>
      <c r="AH24" s="63">
        <f t="shared" si="23"/>
        <v>6.0659170950000136E-4</v>
      </c>
      <c r="AI24" s="63">
        <f t="shared" si="48"/>
        <v>3.1238095238095238E-2</v>
      </c>
      <c r="AJ24" s="63">
        <f t="shared" si="49"/>
        <v>6.8094907178973138E-2</v>
      </c>
      <c r="AK24" s="63">
        <f t="shared" si="24"/>
        <v>0.72359193128674493</v>
      </c>
      <c r="AL24" s="63">
        <f t="shared" si="25"/>
        <v>4.9740601887211739E-3</v>
      </c>
      <c r="AM24" s="63">
        <f t="shared" si="26"/>
        <v>4.9781210704294672E-3</v>
      </c>
      <c r="AN24" s="63">
        <f t="shared" si="27"/>
        <v>5.2332797925000018E-3</v>
      </c>
      <c r="AO24" s="63">
        <f t="shared" si="28"/>
        <v>29.070869247337505</v>
      </c>
      <c r="AP24" s="63">
        <f t="shared" si="50"/>
        <v>5.2332797925000018E-3</v>
      </c>
      <c r="AQ24" s="61">
        <f t="shared" si="29"/>
        <v>6.5600000000000006E-2</v>
      </c>
      <c r="AR24" s="61">
        <f t="shared" si="30"/>
        <v>7110400000</v>
      </c>
      <c r="AS24" s="61">
        <f t="shared" si="51"/>
        <v>6.5600000000000006E-2</v>
      </c>
      <c r="AT24" s="61">
        <f t="shared" si="52"/>
        <v>3.4361904761904767E-2</v>
      </c>
      <c r="AU24" s="63">
        <f t="shared" si="53"/>
        <v>4.4573305624834234E-2</v>
      </c>
      <c r="AV24" s="63">
        <f t="shared" si="31"/>
        <v>5.4832861162275844E-3</v>
      </c>
      <c r="AW24" s="63">
        <f t="shared" si="32"/>
        <v>1.9840000000000001E-3</v>
      </c>
      <c r="AX24" s="63">
        <f t="shared" si="33"/>
        <v>3.5200000000000002E-2</v>
      </c>
      <c r="AY24" s="63">
        <f t="shared" si="34"/>
        <v>3.7184000000000002E-2</v>
      </c>
      <c r="AZ24" s="63">
        <f t="shared" si="35"/>
        <v>1.7836103065676885</v>
      </c>
      <c r="BA24" s="64">
        <f t="shared" si="36"/>
        <v>14.399999999999999</v>
      </c>
      <c r="BB24" s="76">
        <f t="shared" si="54"/>
        <v>0.88978909694557728</v>
      </c>
      <c r="BC24" s="64">
        <f t="shared" si="55"/>
        <v>88.978909694557728</v>
      </c>
      <c r="BD24" s="63">
        <f t="shared" si="37"/>
        <v>1.6231985181840398</v>
      </c>
      <c r="BE24" s="63">
        <f t="shared" si="56"/>
        <v>0.11266821280380737</v>
      </c>
      <c r="BF24" s="63">
        <f t="shared" si="38"/>
        <v>6.8094907178973138E-2</v>
      </c>
      <c r="BG24" s="63">
        <f t="shared" si="39"/>
        <v>4.4573305624834234E-2</v>
      </c>
      <c r="BH24" s="63">
        <f t="shared" si="40"/>
        <v>5.4832861162275844E-3</v>
      </c>
      <c r="BI24" s="63">
        <f t="shared" si="57"/>
        <v>3.7184000000000002E-2</v>
      </c>
      <c r="BJ24" s="63">
        <f t="shared" si="58"/>
        <v>3.9359607377029891E-4</v>
      </c>
      <c r="BK24" s="63">
        <f t="shared" si="59"/>
        <v>4.682693389843496E-3</v>
      </c>
      <c r="BL24" s="63">
        <f t="shared" si="60"/>
        <v>1.7836103065676885</v>
      </c>
      <c r="BQ24" s="77"/>
      <c r="BR24" s="78"/>
    </row>
    <row r="25" spans="3:71" x14ac:dyDescent="0.2">
      <c r="C25" s="61">
        <v>13</v>
      </c>
      <c r="D25" s="61">
        <f t="shared" si="0"/>
        <v>25</v>
      </c>
      <c r="E25" s="61">
        <f t="shared" si="1"/>
        <v>25</v>
      </c>
      <c r="F25" s="61">
        <f t="shared" si="2"/>
        <v>25</v>
      </c>
      <c r="G25" s="73">
        <f t="shared" si="3"/>
        <v>16</v>
      </c>
      <c r="H25" s="64">
        <f t="shared" si="4"/>
        <v>1</v>
      </c>
      <c r="I25" s="63">
        <f t="shared" si="41"/>
        <v>1.3</v>
      </c>
      <c r="J25" s="65">
        <f t="shared" si="5"/>
        <v>9.4999999999999998E-3</v>
      </c>
      <c r="K25" s="65">
        <f t="shared" si="6"/>
        <v>9.4999999999999998E-3</v>
      </c>
      <c r="L25" s="65">
        <f t="shared" si="7"/>
        <v>1.0999999999999999E-2</v>
      </c>
      <c r="M25" s="65">
        <f t="shared" si="8"/>
        <v>2.6000000000000003E-3</v>
      </c>
      <c r="N25" s="63">
        <f t="shared" si="9"/>
        <v>0.751876875</v>
      </c>
      <c r="O25" s="64">
        <f t="shared" si="10"/>
        <v>2.8338239418750004</v>
      </c>
      <c r="P25" s="64">
        <f t="shared" si="11"/>
        <v>2.7169119709375003</v>
      </c>
      <c r="Q25" s="64">
        <f t="shared" si="12"/>
        <v>-0.11691197093750016</v>
      </c>
      <c r="R25" s="64">
        <f t="shared" si="13"/>
        <v>7.7941313958333449</v>
      </c>
      <c r="S25" s="64">
        <f t="shared" si="14"/>
        <v>1.5359730394103053</v>
      </c>
      <c r="T25" s="63">
        <f t="shared" si="42"/>
        <v>2.5951344955748645E-2</v>
      </c>
      <c r="U25" s="63">
        <f t="shared" si="15"/>
        <v>1.6</v>
      </c>
      <c r="V25" s="63">
        <f t="shared" si="43"/>
        <v>1.6259513449557488</v>
      </c>
      <c r="W25" s="64">
        <f t="shared" si="44"/>
        <v>0.81805450783876899</v>
      </c>
      <c r="X25" s="63">
        <f t="shared" si="16"/>
        <v>4.6844922445673136E-3</v>
      </c>
      <c r="Y25" s="63">
        <f t="shared" si="45"/>
        <v>4.6844922445673136E-3</v>
      </c>
      <c r="Z25" s="64">
        <f t="shared" si="17"/>
        <v>0.66342308221431912</v>
      </c>
      <c r="AA25" s="74">
        <f t="shared" si="18"/>
        <v>4.4013018601474723E-4</v>
      </c>
      <c r="AB25" s="75">
        <f t="shared" si="46"/>
        <v>4.4013018601474723E-4</v>
      </c>
      <c r="AC25" s="63">
        <f t="shared" si="19"/>
        <v>1.3318550339956572</v>
      </c>
      <c r="AD25" s="63">
        <f t="shared" si="47"/>
        <v>1.6851459400005944E-2</v>
      </c>
      <c r="AE25" s="63">
        <f t="shared" si="20"/>
        <v>1.6898159819283175E-2</v>
      </c>
      <c r="AF25" s="63">
        <f t="shared" si="21"/>
        <v>2.1924690460909755E-2</v>
      </c>
      <c r="AG25" s="63">
        <f t="shared" si="22"/>
        <v>1.0100441932327203E-3</v>
      </c>
      <c r="AH25" s="63">
        <f t="shared" si="23"/>
        <v>3.2735351862500048E-4</v>
      </c>
      <c r="AI25" s="63">
        <f t="shared" si="48"/>
        <v>3.1238095238095238E-2</v>
      </c>
      <c r="AJ25" s="63">
        <f t="shared" si="49"/>
        <v>7.1398343230145878E-2</v>
      </c>
      <c r="AK25" s="63">
        <f t="shared" si="24"/>
        <v>0.76509825919012397</v>
      </c>
      <c r="AL25" s="63">
        <f t="shared" si="25"/>
        <v>5.5610657890497019E-3</v>
      </c>
      <c r="AM25" s="63">
        <f t="shared" si="26"/>
        <v>5.5661421930496896E-3</v>
      </c>
      <c r="AN25" s="63">
        <f t="shared" si="27"/>
        <v>5.4338239418750016E-3</v>
      </c>
      <c r="AO25" s="63">
        <f t="shared" si="28"/>
        <v>30.184891997115628</v>
      </c>
      <c r="AP25" s="63">
        <f t="shared" si="50"/>
        <v>5.4338239418750016E-3</v>
      </c>
      <c r="AQ25" s="61">
        <f t="shared" si="29"/>
        <v>6.5600000000000006E-2</v>
      </c>
      <c r="AR25" s="61">
        <f t="shared" si="30"/>
        <v>7110400000</v>
      </c>
      <c r="AS25" s="61">
        <f t="shared" si="51"/>
        <v>6.5600000000000006E-2</v>
      </c>
      <c r="AT25" s="61">
        <f t="shared" si="52"/>
        <v>3.4361904761904767E-2</v>
      </c>
      <c r="AU25" s="63">
        <f t="shared" si="53"/>
        <v>4.5361870896829457E-2</v>
      </c>
      <c r="AV25" s="63">
        <f t="shared" si="31"/>
        <v>6.1339542622678624E-3</v>
      </c>
      <c r="AW25" s="63">
        <f t="shared" si="32"/>
        <v>1.9840000000000001E-3</v>
      </c>
      <c r="AX25" s="63">
        <f t="shared" si="33"/>
        <v>3.5200000000000002E-2</v>
      </c>
      <c r="AY25" s="63">
        <f t="shared" si="34"/>
        <v>3.7184000000000002E-2</v>
      </c>
      <c r="AZ25" s="63">
        <f t="shared" si="35"/>
        <v>1.7911541357755743</v>
      </c>
      <c r="BA25" s="64">
        <f t="shared" si="36"/>
        <v>15.600000000000001</v>
      </c>
      <c r="BB25" s="76">
        <f t="shared" si="54"/>
        <v>0.89700774762895308</v>
      </c>
      <c r="BC25" s="64">
        <f t="shared" si="55"/>
        <v>89.700774762895307</v>
      </c>
      <c r="BD25" s="63">
        <f t="shared" si="37"/>
        <v>1.6259513449557488</v>
      </c>
      <c r="BE25" s="63">
        <f t="shared" si="56"/>
        <v>0.11676021412697533</v>
      </c>
      <c r="BF25" s="63">
        <f t="shared" si="38"/>
        <v>7.1398343230145878E-2</v>
      </c>
      <c r="BG25" s="63">
        <f t="shared" si="39"/>
        <v>4.5361870896829457E-2</v>
      </c>
      <c r="BH25" s="63">
        <f t="shared" si="40"/>
        <v>6.1339542622678624E-3</v>
      </c>
      <c r="BI25" s="63">
        <f t="shared" si="57"/>
        <v>3.7184000000000002E-2</v>
      </c>
      <c r="BJ25" s="63">
        <f t="shared" si="58"/>
        <v>4.4013018601474723E-4</v>
      </c>
      <c r="BK25" s="63">
        <f t="shared" si="59"/>
        <v>4.6844922445673136E-3</v>
      </c>
      <c r="BL25" s="63">
        <f t="shared" si="60"/>
        <v>1.7911541357755743</v>
      </c>
      <c r="BQ25" s="77"/>
      <c r="BR25" s="78"/>
    </row>
    <row r="26" spans="3:71" x14ac:dyDescent="0.2">
      <c r="C26" s="61">
        <v>14</v>
      </c>
      <c r="D26" s="61">
        <f t="shared" si="0"/>
        <v>25</v>
      </c>
      <c r="E26" s="61">
        <f t="shared" si="1"/>
        <v>25</v>
      </c>
      <c r="F26" s="61">
        <f t="shared" si="2"/>
        <v>25</v>
      </c>
      <c r="G26" s="73">
        <f t="shared" si="3"/>
        <v>16</v>
      </c>
      <c r="H26" s="64">
        <f t="shared" si="4"/>
        <v>1</v>
      </c>
      <c r="I26" s="63">
        <f t="shared" si="41"/>
        <v>1.4</v>
      </c>
      <c r="J26" s="65">
        <f t="shared" si="5"/>
        <v>9.4999999999999998E-3</v>
      </c>
      <c r="K26" s="65">
        <f t="shared" si="6"/>
        <v>9.4999999999999998E-3</v>
      </c>
      <c r="L26" s="65">
        <f t="shared" si="7"/>
        <v>1.0999999999999999E-2</v>
      </c>
      <c r="M26" s="65">
        <f t="shared" si="8"/>
        <v>2.6000000000000003E-3</v>
      </c>
      <c r="N26" s="63">
        <f t="shared" si="9"/>
        <v>0.75202124999999997</v>
      </c>
      <c r="O26" s="64">
        <f t="shared" si="10"/>
        <v>2.8343680912500004</v>
      </c>
      <c r="P26" s="64">
        <f t="shared" si="11"/>
        <v>2.8171840456249999</v>
      </c>
      <c r="Q26" s="64">
        <f t="shared" si="12"/>
        <v>-1.718404562500031E-2</v>
      </c>
      <c r="R26" s="64">
        <f t="shared" si="13"/>
        <v>1.1456030416666874</v>
      </c>
      <c r="S26" s="64">
        <f t="shared" si="14"/>
        <v>1.6215641234287799</v>
      </c>
      <c r="T26" s="63">
        <f t="shared" si="42"/>
        <v>2.8924172270304815E-2</v>
      </c>
      <c r="U26" s="63">
        <f t="shared" si="15"/>
        <v>1.6</v>
      </c>
      <c r="V26" s="63">
        <f t="shared" si="43"/>
        <v>1.6289241722703049</v>
      </c>
      <c r="W26" s="64">
        <f t="shared" si="44"/>
        <v>0.81821159023283685</v>
      </c>
      <c r="X26" s="63">
        <f t="shared" si="16"/>
        <v>4.6862914447394341E-3</v>
      </c>
      <c r="Y26" s="63">
        <f t="shared" si="45"/>
        <v>4.6862914447394341E-3</v>
      </c>
      <c r="Z26" s="64">
        <f t="shared" si="17"/>
        <v>0.70025531972122868</v>
      </c>
      <c r="AA26" s="74">
        <f t="shared" si="18"/>
        <v>4.9035751279788019E-4</v>
      </c>
      <c r="AB26" s="75">
        <f t="shared" si="46"/>
        <v>4.9035751279788019E-4</v>
      </c>
      <c r="AC26" s="63">
        <f t="shared" si="19"/>
        <v>1.4062067669614517</v>
      </c>
      <c r="AD26" s="63">
        <f t="shared" si="47"/>
        <v>1.8785465978757698E-2</v>
      </c>
      <c r="AE26" s="63">
        <f t="shared" si="20"/>
        <v>1.8843519402754021E-2</v>
      </c>
      <c r="AF26" s="63">
        <f t="shared" si="21"/>
        <v>2.2733856978968882E-2</v>
      </c>
      <c r="AG26" s="63">
        <f t="shared" si="22"/>
        <v>3.30979663493613E-3</v>
      </c>
      <c r="AH26" s="63">
        <f t="shared" si="23"/>
        <v>4.8115327750000882E-5</v>
      </c>
      <c r="AI26" s="63">
        <f t="shared" si="48"/>
        <v>3.1238095238095238E-2</v>
      </c>
      <c r="AJ26" s="63">
        <f t="shared" si="49"/>
        <v>7.6173383582504278E-2</v>
      </c>
      <c r="AK26" s="63">
        <f t="shared" si="24"/>
        <v>0.80749782349128862</v>
      </c>
      <c r="AL26" s="63">
        <f t="shared" si="25"/>
        <v>6.1945009819600987E-3</v>
      </c>
      <c r="AM26" s="63">
        <f t="shared" si="26"/>
        <v>6.2008003636465124E-3</v>
      </c>
      <c r="AN26" s="63">
        <f t="shared" si="27"/>
        <v>5.6343680912500005E-3</v>
      </c>
      <c r="AO26" s="63">
        <f t="shared" si="28"/>
        <v>31.29891474689375</v>
      </c>
      <c r="AP26" s="63">
        <f t="shared" si="50"/>
        <v>5.6343680912500005E-3</v>
      </c>
      <c r="AQ26" s="61">
        <f t="shared" si="29"/>
        <v>6.5600000000000006E-2</v>
      </c>
      <c r="AR26" s="61">
        <f t="shared" si="30"/>
        <v>7110400000</v>
      </c>
      <c r="AS26" s="61">
        <f t="shared" si="51"/>
        <v>6.5600000000000006E-2</v>
      </c>
      <c r="AT26" s="61">
        <f t="shared" si="52"/>
        <v>3.4361904761904767E-2</v>
      </c>
      <c r="AU26" s="63">
        <f t="shared" si="53"/>
        <v>4.6197073216801277E-2</v>
      </c>
      <c r="AV26" s="63">
        <f t="shared" si="31"/>
        <v>6.8366225366175036E-3</v>
      </c>
      <c r="AW26" s="63">
        <f t="shared" si="32"/>
        <v>1.9840000000000001E-3</v>
      </c>
      <c r="AX26" s="63">
        <f t="shared" si="33"/>
        <v>3.5200000000000002E-2</v>
      </c>
      <c r="AY26" s="63">
        <f t="shared" si="34"/>
        <v>3.7184000000000002E-2</v>
      </c>
      <c r="AZ26" s="63">
        <f t="shared" si="35"/>
        <v>1.8004919005637654</v>
      </c>
      <c r="BA26" s="64">
        <f t="shared" si="36"/>
        <v>16.799999999999997</v>
      </c>
      <c r="BB26" s="76">
        <f t="shared" si="54"/>
        <v>0.90320192013259626</v>
      </c>
      <c r="BC26" s="64">
        <f t="shared" si="55"/>
        <v>90.320192013259629</v>
      </c>
      <c r="BD26" s="63">
        <f t="shared" si="37"/>
        <v>1.6289241722703049</v>
      </c>
      <c r="BE26" s="63">
        <f t="shared" si="56"/>
        <v>0.12237045679930555</v>
      </c>
      <c r="BF26" s="63">
        <f t="shared" si="38"/>
        <v>7.6173383582504278E-2</v>
      </c>
      <c r="BG26" s="63">
        <f t="shared" si="39"/>
        <v>4.6197073216801277E-2</v>
      </c>
      <c r="BH26" s="63">
        <f t="shared" si="40"/>
        <v>6.8366225366175036E-3</v>
      </c>
      <c r="BI26" s="63">
        <f t="shared" si="57"/>
        <v>3.7184000000000002E-2</v>
      </c>
      <c r="BJ26" s="63">
        <f t="shared" si="58"/>
        <v>4.9035751279788019E-4</v>
      </c>
      <c r="BK26" s="63">
        <f t="shared" si="59"/>
        <v>4.6862914447394341E-3</v>
      </c>
      <c r="BL26" s="63">
        <f t="shared" si="60"/>
        <v>1.8004919005637654</v>
      </c>
      <c r="BQ26" s="77"/>
      <c r="BR26" s="78"/>
    </row>
    <row r="27" spans="3:71" x14ac:dyDescent="0.2">
      <c r="C27" s="61">
        <v>15</v>
      </c>
      <c r="D27" s="61">
        <f t="shared" si="0"/>
        <v>25</v>
      </c>
      <c r="E27" s="61">
        <f t="shared" si="1"/>
        <v>25</v>
      </c>
      <c r="F27" s="61">
        <f t="shared" si="2"/>
        <v>25</v>
      </c>
      <c r="G27" s="73">
        <f t="shared" si="3"/>
        <v>16</v>
      </c>
      <c r="H27" s="64">
        <f t="shared" si="4"/>
        <v>1</v>
      </c>
      <c r="I27" s="63">
        <f t="shared" si="41"/>
        <v>1.5</v>
      </c>
      <c r="J27" s="65">
        <f t="shared" si="5"/>
        <v>9.4999999999999998E-3</v>
      </c>
      <c r="K27" s="65">
        <f t="shared" si="6"/>
        <v>9.4999999999999998E-3</v>
      </c>
      <c r="L27" s="65">
        <f t="shared" si="7"/>
        <v>1.0999999999999999E-2</v>
      </c>
      <c r="M27" s="65">
        <f t="shared" si="8"/>
        <v>2.6000000000000003E-3</v>
      </c>
      <c r="N27" s="63">
        <f t="shared" si="9"/>
        <v>0.75216562499999995</v>
      </c>
      <c r="O27" s="64">
        <f t="shared" si="10"/>
        <v>2.8349122406250005</v>
      </c>
      <c r="P27" s="64">
        <f t="shared" si="11"/>
        <v>2.9174561203125</v>
      </c>
      <c r="Q27" s="64">
        <f t="shared" si="12"/>
        <v>8.2543879687499766E-2</v>
      </c>
      <c r="R27" s="64">
        <f t="shared" si="13"/>
        <v>0</v>
      </c>
      <c r="S27" s="64">
        <f t="shared" si="14"/>
        <v>1.7087209498151306</v>
      </c>
      <c r="T27" s="63">
        <f t="shared" si="42"/>
        <v>3.2117000127708337E-2</v>
      </c>
      <c r="U27" s="63">
        <f t="shared" si="15"/>
        <v>1.6</v>
      </c>
      <c r="V27" s="63">
        <f t="shared" si="43"/>
        <v>1.6321170001277083</v>
      </c>
      <c r="W27" s="64">
        <f t="shared" si="44"/>
        <v>0.8183686726269046</v>
      </c>
      <c r="X27" s="63">
        <f t="shared" si="16"/>
        <v>4.6880909903598529E-3</v>
      </c>
      <c r="Y27" s="63">
        <f t="shared" si="45"/>
        <v>4.6880909903598529E-3</v>
      </c>
      <c r="Z27" s="64">
        <f t="shared" si="17"/>
        <v>0.73774904628319671</v>
      </c>
      <c r="AA27" s="74">
        <f t="shared" si="18"/>
        <v>5.4427365529176634E-4</v>
      </c>
      <c r="AB27" s="75">
        <f t="shared" si="46"/>
        <v>5.4427365529176634E-4</v>
      </c>
      <c r="AC27" s="63">
        <f t="shared" si="19"/>
        <v>1.4819306656024713</v>
      </c>
      <c r="AD27" s="63">
        <f t="shared" si="47"/>
        <v>2.0863125727703342E-2</v>
      </c>
      <c r="AE27" s="63">
        <f t="shared" si="20"/>
        <v>2.0934755093829947E-2</v>
      </c>
      <c r="AF27" s="63">
        <f t="shared" si="21"/>
        <v>2.3871212562598616E-2</v>
      </c>
      <c r="AG27" s="63">
        <f t="shared" si="22"/>
        <v>3.8400000000000001E-3</v>
      </c>
      <c r="AH27" s="63">
        <f t="shared" si="23"/>
        <v>0</v>
      </c>
      <c r="AI27" s="63">
        <f t="shared" si="48"/>
        <v>3.1238095238095238E-2</v>
      </c>
      <c r="AJ27" s="63">
        <f t="shared" si="49"/>
        <v>7.9884062894523794E-2</v>
      </c>
      <c r="AK27" s="63">
        <f t="shared" si="24"/>
        <v>0.85065197741740317</v>
      </c>
      <c r="AL27" s="63">
        <f t="shared" si="25"/>
        <v>6.8742834734993128E-3</v>
      </c>
      <c r="AM27" s="63">
        <f t="shared" si="26"/>
        <v>6.8820421673318226E-3</v>
      </c>
      <c r="AN27" s="63">
        <f t="shared" si="27"/>
        <v>6.0660351037499999E-3</v>
      </c>
      <c r="AO27" s="63">
        <f t="shared" si="28"/>
        <v>33.696825001331248</v>
      </c>
      <c r="AP27" s="63">
        <f t="shared" si="50"/>
        <v>6.0660351037499999E-3</v>
      </c>
      <c r="AQ27" s="61">
        <f t="shared" si="29"/>
        <v>6.5600000000000006E-2</v>
      </c>
      <c r="AR27" s="61">
        <f t="shared" si="30"/>
        <v>7110400000</v>
      </c>
      <c r="AS27" s="61">
        <f t="shared" si="51"/>
        <v>6.5600000000000006E-2</v>
      </c>
      <c r="AT27" s="61">
        <f t="shared" si="52"/>
        <v>3.4361904761904767E-2</v>
      </c>
      <c r="AU27" s="63">
        <f t="shared" si="53"/>
        <v>4.7309982032986586E-2</v>
      </c>
      <c r="AV27" s="63">
        <f t="shared" si="31"/>
        <v>7.5912909392765173E-3</v>
      </c>
      <c r="AW27" s="63">
        <f t="shared" si="32"/>
        <v>1.9840000000000001E-3</v>
      </c>
      <c r="AX27" s="63">
        <f t="shared" si="33"/>
        <v>3.5200000000000002E-2</v>
      </c>
      <c r="AY27" s="63">
        <f t="shared" si="34"/>
        <v>3.7184000000000002E-2</v>
      </c>
      <c r="AZ27" s="63">
        <f t="shared" si="35"/>
        <v>1.8093187006401472</v>
      </c>
      <c r="BA27" s="64">
        <f t="shared" si="36"/>
        <v>18</v>
      </c>
      <c r="BB27" s="76">
        <f t="shared" si="54"/>
        <v>0.908663254502454</v>
      </c>
      <c r="BC27" s="64">
        <f t="shared" si="55"/>
        <v>90.866325450245398</v>
      </c>
      <c r="BD27" s="63">
        <f t="shared" si="37"/>
        <v>1.6321170001277083</v>
      </c>
      <c r="BE27" s="63">
        <f t="shared" si="56"/>
        <v>0.12719404492751038</v>
      </c>
      <c r="BF27" s="63">
        <f t="shared" si="38"/>
        <v>7.9884062894523794E-2</v>
      </c>
      <c r="BG27" s="63">
        <f t="shared" si="39"/>
        <v>4.7309982032986586E-2</v>
      </c>
      <c r="BH27" s="63">
        <f t="shared" si="40"/>
        <v>7.5912909392765173E-3</v>
      </c>
      <c r="BI27" s="63">
        <f t="shared" si="57"/>
        <v>3.7184000000000002E-2</v>
      </c>
      <c r="BJ27" s="63">
        <f t="shared" si="58"/>
        <v>5.4427365529176634E-4</v>
      </c>
      <c r="BK27" s="63">
        <f t="shared" si="59"/>
        <v>4.6880909903598529E-3</v>
      </c>
      <c r="BL27" s="63">
        <f t="shared" si="60"/>
        <v>1.8093187006401472</v>
      </c>
      <c r="BQ27" s="77"/>
      <c r="BR27" s="78"/>
    </row>
    <row r="28" spans="3:71" x14ac:dyDescent="0.2">
      <c r="C28" s="61">
        <v>16</v>
      </c>
      <c r="D28" s="61">
        <f t="shared" si="0"/>
        <v>25</v>
      </c>
      <c r="E28" s="61">
        <f t="shared" si="1"/>
        <v>25</v>
      </c>
      <c r="F28" s="61">
        <f t="shared" si="2"/>
        <v>25</v>
      </c>
      <c r="G28" s="73">
        <f t="shared" si="3"/>
        <v>16</v>
      </c>
      <c r="H28" s="64">
        <f t="shared" si="4"/>
        <v>1</v>
      </c>
      <c r="I28" s="63">
        <f t="shared" si="41"/>
        <v>1.6</v>
      </c>
      <c r="J28" s="65">
        <f t="shared" si="5"/>
        <v>9.4999999999999998E-3</v>
      </c>
      <c r="K28" s="65">
        <f t="shared" si="6"/>
        <v>9.4999999999999998E-3</v>
      </c>
      <c r="L28" s="65">
        <f t="shared" si="7"/>
        <v>1.0999999999999999E-2</v>
      </c>
      <c r="M28" s="65">
        <f t="shared" si="8"/>
        <v>2.6000000000000003E-3</v>
      </c>
      <c r="N28" s="63">
        <f t="shared" si="9"/>
        <v>0.75231000000000003</v>
      </c>
      <c r="O28" s="64">
        <f t="shared" si="10"/>
        <v>2.8354563900000005</v>
      </c>
      <c r="P28" s="64">
        <f t="shared" si="11"/>
        <v>3.0177281950000001</v>
      </c>
      <c r="Q28" s="64">
        <f t="shared" si="12"/>
        <v>0.18227180499999984</v>
      </c>
      <c r="R28" s="64">
        <f t="shared" si="13"/>
        <v>0</v>
      </c>
      <c r="S28" s="64">
        <f t="shared" si="14"/>
        <v>1.7972157387561052</v>
      </c>
      <c r="T28" s="63">
        <f t="shared" si="42"/>
        <v>3.5529828527959176E-2</v>
      </c>
      <c r="U28" s="63">
        <f t="shared" si="15"/>
        <v>1.6</v>
      </c>
      <c r="V28" s="63">
        <f t="shared" si="43"/>
        <v>1.6355298285279594</v>
      </c>
      <c r="W28" s="64">
        <f t="shared" si="44"/>
        <v>0.81852575502097247</v>
      </c>
      <c r="X28" s="63">
        <f t="shared" si="16"/>
        <v>4.6898908814285711E-3</v>
      </c>
      <c r="Y28" s="63">
        <f t="shared" si="45"/>
        <v>4.6898908814285711E-3</v>
      </c>
      <c r="Z28" s="64">
        <f t="shared" si="17"/>
        <v>0.77580552309574835</v>
      </c>
      <c r="AA28" s="74">
        <f t="shared" si="18"/>
        <v>6.0187420966586775E-4</v>
      </c>
      <c r="AB28" s="75">
        <f t="shared" si="46"/>
        <v>6.0187420966586775E-4</v>
      </c>
      <c r="AC28" s="63">
        <f t="shared" si="19"/>
        <v>1.5588295521689861</v>
      </c>
      <c r="AD28" s="63">
        <f t="shared" si="47"/>
        <v>2.3084520940795938E-2</v>
      </c>
      <c r="AE28" s="63">
        <f t="shared" si="20"/>
        <v>2.3172247860316131E-2</v>
      </c>
      <c r="AF28" s="63">
        <f t="shared" si="21"/>
        <v>2.5076890787443448E-2</v>
      </c>
      <c r="AG28" s="63">
        <f t="shared" si="22"/>
        <v>3.8400000000000001E-3</v>
      </c>
      <c r="AH28" s="63">
        <f t="shared" si="23"/>
        <v>0</v>
      </c>
      <c r="AI28" s="63">
        <f t="shared" si="48"/>
        <v>3.1238095238095238E-2</v>
      </c>
      <c r="AJ28" s="63">
        <f t="shared" si="49"/>
        <v>8.3327233885854807E-2</v>
      </c>
      <c r="AK28" s="63">
        <f t="shared" si="24"/>
        <v>0.8944466663347187</v>
      </c>
      <c r="AL28" s="63">
        <f t="shared" si="25"/>
        <v>7.6003309697142704E-3</v>
      </c>
      <c r="AM28" s="63">
        <f t="shared" si="26"/>
        <v>7.6098162577514002E-3</v>
      </c>
      <c r="AN28" s="63">
        <f t="shared" si="27"/>
        <v>6.5458174440000006E-3</v>
      </c>
      <c r="AO28" s="63">
        <f t="shared" si="28"/>
        <v>36.362015901420008</v>
      </c>
      <c r="AP28" s="63">
        <f t="shared" si="50"/>
        <v>6.5458174440000006E-3</v>
      </c>
      <c r="AQ28" s="61">
        <f t="shared" si="29"/>
        <v>6.5600000000000006E-2</v>
      </c>
      <c r="AR28" s="61">
        <f t="shared" si="30"/>
        <v>7110400000</v>
      </c>
      <c r="AS28" s="61">
        <f t="shared" si="51"/>
        <v>6.5600000000000006E-2</v>
      </c>
      <c r="AT28" s="61">
        <f t="shared" si="52"/>
        <v>3.4361904761904767E-2</v>
      </c>
      <c r="AU28" s="63">
        <f t="shared" si="53"/>
        <v>4.8517538463656168E-2</v>
      </c>
      <c r="AV28" s="63">
        <f t="shared" si="31"/>
        <v>8.3979594702448986E-3</v>
      </c>
      <c r="AW28" s="63">
        <f t="shared" si="32"/>
        <v>1.9840000000000001E-3</v>
      </c>
      <c r="AX28" s="63">
        <f t="shared" si="33"/>
        <v>3.5200000000000002E-2</v>
      </c>
      <c r="AY28" s="63">
        <f t="shared" si="34"/>
        <v>3.7184000000000002E-2</v>
      </c>
      <c r="AZ28" s="63">
        <f t="shared" si="35"/>
        <v>1.8182483254388098</v>
      </c>
      <c r="BA28" s="64">
        <f t="shared" si="36"/>
        <v>19.200000000000003</v>
      </c>
      <c r="BB28" s="76">
        <f t="shared" si="54"/>
        <v>0.91349191915112427</v>
      </c>
      <c r="BC28" s="64">
        <f t="shared" si="55"/>
        <v>91.349191915112428</v>
      </c>
      <c r="BD28" s="63">
        <f t="shared" si="37"/>
        <v>1.6355298285279594</v>
      </c>
      <c r="BE28" s="63">
        <f t="shared" si="56"/>
        <v>0.13184477234951097</v>
      </c>
      <c r="BF28" s="63">
        <f t="shared" si="38"/>
        <v>8.3327233885854807E-2</v>
      </c>
      <c r="BG28" s="63">
        <f t="shared" si="39"/>
        <v>4.8517538463656168E-2</v>
      </c>
      <c r="BH28" s="63">
        <f t="shared" si="40"/>
        <v>8.3979594702448986E-3</v>
      </c>
      <c r="BI28" s="63">
        <f t="shared" si="57"/>
        <v>3.7184000000000002E-2</v>
      </c>
      <c r="BJ28" s="63">
        <f t="shared" si="58"/>
        <v>6.0187420966586775E-4</v>
      </c>
      <c r="BK28" s="63">
        <f t="shared" si="59"/>
        <v>4.6898908814285711E-3</v>
      </c>
      <c r="BL28" s="63">
        <f t="shared" si="60"/>
        <v>1.8182483254388098</v>
      </c>
    </row>
    <row r="29" spans="3:71" x14ac:dyDescent="0.2">
      <c r="C29" s="61">
        <v>17</v>
      </c>
      <c r="D29" s="61">
        <f t="shared" si="0"/>
        <v>25</v>
      </c>
      <c r="E29" s="61">
        <f t="shared" si="1"/>
        <v>25</v>
      </c>
      <c r="F29" s="61">
        <f t="shared" si="2"/>
        <v>25</v>
      </c>
      <c r="G29" s="73">
        <f t="shared" si="3"/>
        <v>16</v>
      </c>
      <c r="H29" s="64">
        <f t="shared" si="4"/>
        <v>1</v>
      </c>
      <c r="I29" s="63">
        <f t="shared" si="41"/>
        <v>1.7</v>
      </c>
      <c r="J29" s="65">
        <f t="shared" si="5"/>
        <v>9.4999999999999998E-3</v>
      </c>
      <c r="K29" s="65">
        <f t="shared" si="6"/>
        <v>9.4999999999999998E-3</v>
      </c>
      <c r="L29" s="65">
        <f t="shared" si="7"/>
        <v>1.0999999999999999E-2</v>
      </c>
      <c r="M29" s="65">
        <f t="shared" si="8"/>
        <v>2.6000000000000003E-3</v>
      </c>
      <c r="N29" s="63">
        <f t="shared" si="9"/>
        <v>0.75245437500000001</v>
      </c>
      <c r="O29" s="64">
        <f t="shared" si="10"/>
        <v>2.8360005393750005</v>
      </c>
      <c r="P29" s="64">
        <f t="shared" si="11"/>
        <v>3.1180002696875002</v>
      </c>
      <c r="Q29" s="64">
        <f t="shared" si="12"/>
        <v>0.2819997303124997</v>
      </c>
      <c r="R29" s="64">
        <f t="shared" si="13"/>
        <v>0</v>
      </c>
      <c r="S29" s="64">
        <f t="shared" si="14"/>
        <v>1.8868602460908284</v>
      </c>
      <c r="T29" s="63">
        <f t="shared" si="42"/>
        <v>3.9162657471057356E-2</v>
      </c>
      <c r="U29" s="63">
        <f t="shared" si="15"/>
        <v>1.6</v>
      </c>
      <c r="V29" s="63">
        <f t="shared" si="43"/>
        <v>1.6391626574710574</v>
      </c>
      <c r="W29" s="64">
        <f t="shared" si="44"/>
        <v>0.81868283741504022</v>
      </c>
      <c r="X29" s="63">
        <f t="shared" si="16"/>
        <v>4.6916911179455886E-3</v>
      </c>
      <c r="Y29" s="63">
        <f t="shared" si="45"/>
        <v>4.6916911179455886E-3</v>
      </c>
      <c r="Z29" s="64">
        <f t="shared" si="17"/>
        <v>0.81434315069695362</v>
      </c>
      <c r="AA29" s="74">
        <f t="shared" si="18"/>
        <v>6.6315476708704135E-4</v>
      </c>
      <c r="AB29" s="75">
        <f t="shared" si="46"/>
        <v>6.6315476708704135E-4</v>
      </c>
      <c r="AC29" s="63">
        <f t="shared" si="19"/>
        <v>1.6367404678679773</v>
      </c>
      <c r="AD29" s="63">
        <f t="shared" si="47"/>
        <v>2.5449733911988511E-2</v>
      </c>
      <c r="AE29" s="63">
        <f t="shared" si="20"/>
        <v>2.5556400099482457E-2</v>
      </c>
      <c r="AF29" s="63">
        <f t="shared" si="21"/>
        <v>2.628256901228828E-2</v>
      </c>
      <c r="AG29" s="63">
        <f t="shared" si="22"/>
        <v>3.8400000000000001E-3</v>
      </c>
      <c r="AH29" s="63">
        <f t="shared" si="23"/>
        <v>0</v>
      </c>
      <c r="AI29" s="63">
        <f t="shared" si="48"/>
        <v>3.1238095238095238E-2</v>
      </c>
      <c r="AJ29" s="63">
        <f t="shared" si="49"/>
        <v>8.6917064349865986E-2</v>
      </c>
      <c r="AK29" s="63">
        <f t="shared" si="24"/>
        <v>0.93878763792524222</v>
      </c>
      <c r="AL29" s="63">
        <f t="shared" si="25"/>
        <v>8.372561176651928E-3</v>
      </c>
      <c r="AM29" s="63">
        <f t="shared" si="26"/>
        <v>8.3840733480425554E-3</v>
      </c>
      <c r="AN29" s="63">
        <f t="shared" si="27"/>
        <v>7.0255997842500004E-3</v>
      </c>
      <c r="AO29" s="63">
        <f t="shared" si="28"/>
        <v>39.027206801508754</v>
      </c>
      <c r="AP29" s="63">
        <f t="shared" si="50"/>
        <v>7.0255997842500004E-3</v>
      </c>
      <c r="AQ29" s="61">
        <f t="shared" si="29"/>
        <v>6.5600000000000006E-2</v>
      </c>
      <c r="AR29" s="61">
        <f t="shared" si="30"/>
        <v>7110400000</v>
      </c>
      <c r="AS29" s="61">
        <f t="shared" si="51"/>
        <v>6.5600000000000006E-2</v>
      </c>
      <c r="AT29" s="61">
        <f t="shared" si="52"/>
        <v>3.4361904761904767E-2</v>
      </c>
      <c r="AU29" s="63">
        <f t="shared" si="53"/>
        <v>4.9771577894197325E-2</v>
      </c>
      <c r="AV29" s="63">
        <f t="shared" si="31"/>
        <v>9.2566281295226489E-3</v>
      </c>
      <c r="AW29" s="63">
        <f t="shared" si="32"/>
        <v>1.9840000000000001E-3</v>
      </c>
      <c r="AX29" s="63">
        <f t="shared" si="33"/>
        <v>3.5200000000000002E-2</v>
      </c>
      <c r="AY29" s="63">
        <f t="shared" si="34"/>
        <v>3.7184000000000002E-2</v>
      </c>
      <c r="AZ29" s="63">
        <f t="shared" si="35"/>
        <v>1.827646773729676</v>
      </c>
      <c r="BA29" s="64">
        <f t="shared" si="36"/>
        <v>20.399999999999999</v>
      </c>
      <c r="BB29" s="76">
        <f t="shared" si="54"/>
        <v>0.91777596646489235</v>
      </c>
      <c r="BC29" s="64">
        <f t="shared" si="55"/>
        <v>91.777596646489229</v>
      </c>
      <c r="BD29" s="63">
        <f t="shared" si="37"/>
        <v>1.6391626574710574</v>
      </c>
      <c r="BE29" s="63">
        <f t="shared" si="56"/>
        <v>0.1366886422440633</v>
      </c>
      <c r="BF29" s="63">
        <f t="shared" si="38"/>
        <v>8.6917064349865986E-2</v>
      </c>
      <c r="BG29" s="63">
        <f t="shared" si="39"/>
        <v>4.9771577894197325E-2</v>
      </c>
      <c r="BH29" s="63">
        <f t="shared" si="40"/>
        <v>9.2566281295226489E-3</v>
      </c>
      <c r="BI29" s="63">
        <f t="shared" si="57"/>
        <v>3.7184000000000002E-2</v>
      </c>
      <c r="BJ29" s="63">
        <f t="shared" si="58"/>
        <v>6.6315476708704135E-4</v>
      </c>
      <c r="BK29" s="63">
        <f t="shared" si="59"/>
        <v>4.6916911179455886E-3</v>
      </c>
      <c r="BL29" s="63">
        <f t="shared" si="60"/>
        <v>1.827646773729676</v>
      </c>
    </row>
    <row r="30" spans="3:71" x14ac:dyDescent="0.2">
      <c r="C30" s="61">
        <v>18</v>
      </c>
      <c r="D30" s="61">
        <f t="shared" si="0"/>
        <v>25</v>
      </c>
      <c r="E30" s="61">
        <f t="shared" si="1"/>
        <v>25</v>
      </c>
      <c r="F30" s="61">
        <f t="shared" si="2"/>
        <v>25</v>
      </c>
      <c r="G30" s="73">
        <f t="shared" si="3"/>
        <v>16</v>
      </c>
      <c r="H30" s="64">
        <f t="shared" si="4"/>
        <v>1</v>
      </c>
      <c r="I30" s="63">
        <f t="shared" si="41"/>
        <v>1.8</v>
      </c>
      <c r="J30" s="65">
        <f t="shared" si="5"/>
        <v>9.4999999999999998E-3</v>
      </c>
      <c r="K30" s="65">
        <f t="shared" si="6"/>
        <v>9.4999999999999998E-3</v>
      </c>
      <c r="L30" s="65">
        <f t="shared" si="7"/>
        <v>1.0999999999999999E-2</v>
      </c>
      <c r="M30" s="65">
        <f t="shared" si="8"/>
        <v>2.6000000000000003E-3</v>
      </c>
      <c r="N30" s="63">
        <f t="shared" si="9"/>
        <v>0.75259874999999998</v>
      </c>
      <c r="O30" s="64">
        <f t="shared" si="10"/>
        <v>2.8365446887500005</v>
      </c>
      <c r="P30" s="64">
        <f t="shared" si="11"/>
        <v>3.2182723443750003</v>
      </c>
      <c r="Q30" s="64">
        <f t="shared" si="12"/>
        <v>0.38172765562499977</v>
      </c>
      <c r="R30" s="64">
        <f t="shared" si="13"/>
        <v>0</v>
      </c>
      <c r="S30" s="64">
        <f t="shared" si="14"/>
        <v>1.9774981199164228</v>
      </c>
      <c r="T30" s="63">
        <f t="shared" si="42"/>
        <v>4.3015486957002851E-2</v>
      </c>
      <c r="U30" s="63">
        <f t="shared" si="15"/>
        <v>1.6</v>
      </c>
      <c r="V30" s="63">
        <f t="shared" si="43"/>
        <v>1.6430154869570028</v>
      </c>
      <c r="W30" s="64">
        <f t="shared" si="44"/>
        <v>0.81883991980910809</v>
      </c>
      <c r="X30" s="63">
        <f t="shared" si="16"/>
        <v>4.6934916999109054E-3</v>
      </c>
      <c r="Y30" s="63">
        <f t="shared" si="45"/>
        <v>4.6934916999109054E-3</v>
      </c>
      <c r="Z30" s="64">
        <f t="shared" si="17"/>
        <v>0.85329415427479449</v>
      </c>
      <c r="AA30" s="74">
        <f t="shared" si="18"/>
        <v>7.2811091371953679E-4</v>
      </c>
      <c r="AB30" s="75">
        <f t="shared" si="46"/>
        <v>7.2811091371953679E-4</v>
      </c>
      <c r="AC30" s="63">
        <f t="shared" si="19"/>
        <v>1.7155280584992867</v>
      </c>
      <c r="AD30" s="63">
        <f t="shared" si="47"/>
        <v>2.7958846935234153E-2</v>
      </c>
      <c r="AE30" s="63">
        <f t="shared" si="20"/>
        <v>2.8087635792456753E-2</v>
      </c>
      <c r="AF30" s="63">
        <f t="shared" si="21"/>
        <v>2.7488247237133112E-2</v>
      </c>
      <c r="AG30" s="63">
        <f t="shared" si="22"/>
        <v>3.8400000000000001E-3</v>
      </c>
      <c r="AH30" s="63">
        <f t="shared" si="23"/>
        <v>0</v>
      </c>
      <c r="AI30" s="63">
        <f t="shared" si="48"/>
        <v>3.1238095238095238E-2</v>
      </c>
      <c r="AJ30" s="63">
        <f t="shared" si="49"/>
        <v>9.0653978267685106E-2</v>
      </c>
      <c r="AK30" s="63">
        <f t="shared" si="24"/>
        <v>0.9835966118153594</v>
      </c>
      <c r="AL30" s="63">
        <f t="shared" si="25"/>
        <v>9.1908918003592213E-3</v>
      </c>
      <c r="AM30" s="63">
        <f t="shared" si="26"/>
        <v>9.2047662020337435E-3</v>
      </c>
      <c r="AN30" s="63">
        <f t="shared" si="27"/>
        <v>7.5053821245000011E-3</v>
      </c>
      <c r="AO30" s="63">
        <f t="shared" si="28"/>
        <v>41.6923977015975</v>
      </c>
      <c r="AP30" s="63">
        <f t="shared" si="50"/>
        <v>7.5053821245000011E-3</v>
      </c>
      <c r="AQ30" s="61">
        <f t="shared" si="29"/>
        <v>6.5600000000000006E-2</v>
      </c>
      <c r="AR30" s="61">
        <f t="shared" si="30"/>
        <v>7110400000</v>
      </c>
      <c r="AS30" s="61">
        <f t="shared" si="51"/>
        <v>6.5600000000000006E-2</v>
      </c>
      <c r="AT30" s="61">
        <f t="shared" si="52"/>
        <v>3.4361904761904767E-2</v>
      </c>
      <c r="AU30" s="63">
        <f t="shared" si="53"/>
        <v>5.1072053088438513E-2</v>
      </c>
      <c r="AV30" s="63">
        <f t="shared" si="31"/>
        <v>1.0167296917109768E-2</v>
      </c>
      <c r="AW30" s="63">
        <f t="shared" si="32"/>
        <v>1.9840000000000001E-3</v>
      </c>
      <c r="AX30" s="63">
        <f t="shared" si="33"/>
        <v>3.5200000000000002E-2</v>
      </c>
      <c r="AY30" s="63">
        <f t="shared" si="34"/>
        <v>3.7184000000000002E-2</v>
      </c>
      <c r="AZ30" s="63">
        <f t="shared" si="35"/>
        <v>1.8375144178438669</v>
      </c>
      <c r="BA30" s="64">
        <f t="shared" si="36"/>
        <v>21.6</v>
      </c>
      <c r="BB30" s="76">
        <f t="shared" si="54"/>
        <v>0.92159943306765935</v>
      </c>
      <c r="BC30" s="64">
        <f t="shared" si="55"/>
        <v>92.159943306765939</v>
      </c>
      <c r="BD30" s="63">
        <f t="shared" si="37"/>
        <v>1.6430154869570028</v>
      </c>
      <c r="BE30" s="63">
        <f t="shared" si="56"/>
        <v>0.14172603135612361</v>
      </c>
      <c r="BF30" s="63">
        <f t="shared" si="38"/>
        <v>9.0653978267685106E-2</v>
      </c>
      <c r="BG30" s="63">
        <f t="shared" si="39"/>
        <v>5.1072053088438513E-2</v>
      </c>
      <c r="BH30" s="63">
        <f t="shared" si="40"/>
        <v>1.0167296917109768E-2</v>
      </c>
      <c r="BI30" s="63">
        <f t="shared" si="57"/>
        <v>3.7184000000000002E-2</v>
      </c>
      <c r="BJ30" s="63">
        <f t="shared" si="58"/>
        <v>7.2811091371953679E-4</v>
      </c>
      <c r="BK30" s="63">
        <f t="shared" si="59"/>
        <v>4.6934916999109054E-3</v>
      </c>
      <c r="BL30" s="63">
        <f t="shared" si="60"/>
        <v>1.8375144178438669</v>
      </c>
    </row>
    <row r="31" spans="3:71" x14ac:dyDescent="0.2">
      <c r="C31" s="61">
        <v>19</v>
      </c>
      <c r="D31" s="61">
        <f t="shared" si="0"/>
        <v>25</v>
      </c>
      <c r="E31" s="61">
        <f t="shared" si="1"/>
        <v>25</v>
      </c>
      <c r="F31" s="61">
        <f t="shared" si="2"/>
        <v>25</v>
      </c>
      <c r="G31" s="73">
        <f t="shared" si="3"/>
        <v>16</v>
      </c>
      <c r="H31" s="64">
        <f t="shared" si="4"/>
        <v>1</v>
      </c>
      <c r="I31" s="63">
        <f t="shared" si="41"/>
        <v>1.9</v>
      </c>
      <c r="J31" s="65">
        <f t="shared" si="5"/>
        <v>9.4999999999999998E-3</v>
      </c>
      <c r="K31" s="65">
        <f t="shared" si="6"/>
        <v>9.4999999999999998E-3</v>
      </c>
      <c r="L31" s="65">
        <f t="shared" si="7"/>
        <v>1.0999999999999999E-2</v>
      </c>
      <c r="M31" s="65">
        <f t="shared" si="8"/>
        <v>2.6000000000000003E-3</v>
      </c>
      <c r="N31" s="63">
        <f t="shared" si="9"/>
        <v>0.75274312499999996</v>
      </c>
      <c r="O31" s="64">
        <f t="shared" si="10"/>
        <v>2.8370888381250006</v>
      </c>
      <c r="P31" s="64">
        <f t="shared" si="11"/>
        <v>3.3185444190625004</v>
      </c>
      <c r="Q31" s="64">
        <f t="shared" si="12"/>
        <v>0.48145558093749963</v>
      </c>
      <c r="R31" s="64">
        <f t="shared" si="13"/>
        <v>0</v>
      </c>
      <c r="S31" s="64">
        <f t="shared" si="14"/>
        <v>2.0689988133437365</v>
      </c>
      <c r="T31" s="63">
        <f t="shared" si="42"/>
        <v>4.7088316985795686E-2</v>
      </c>
      <c r="U31" s="63">
        <f t="shared" si="15"/>
        <v>1.6</v>
      </c>
      <c r="V31" s="63">
        <f t="shared" si="43"/>
        <v>1.6470883169857957</v>
      </c>
      <c r="W31" s="64">
        <f t="shared" si="44"/>
        <v>0.81899700220317584</v>
      </c>
      <c r="X31" s="63">
        <f t="shared" si="16"/>
        <v>4.6952926273245215E-3</v>
      </c>
      <c r="Y31" s="63">
        <f t="shared" si="45"/>
        <v>4.6952926273245215E-3</v>
      </c>
      <c r="Z31" s="64">
        <f t="shared" si="17"/>
        <v>0.89260194416380179</v>
      </c>
      <c r="AA31" s="74">
        <f t="shared" si="18"/>
        <v>7.9673823072499875E-4</v>
      </c>
      <c r="AB31" s="75">
        <f t="shared" si="46"/>
        <v>7.9673823072499875E-4</v>
      </c>
      <c r="AC31" s="63">
        <f t="shared" si="19"/>
        <v>1.795079306398933</v>
      </c>
      <c r="AD31" s="63">
        <f t="shared" si="47"/>
        <v>3.0611942304485908E-2</v>
      </c>
      <c r="AE31" s="63">
        <f t="shared" si="20"/>
        <v>3.07664006667548E-2</v>
      </c>
      <c r="AF31" s="63">
        <f t="shared" si="21"/>
        <v>2.8693925461977944E-2</v>
      </c>
      <c r="AG31" s="63">
        <f t="shared" si="22"/>
        <v>3.8400000000000001E-3</v>
      </c>
      <c r="AH31" s="63">
        <f t="shared" si="23"/>
        <v>0</v>
      </c>
      <c r="AI31" s="63">
        <f t="shared" si="48"/>
        <v>3.1238095238095238E-2</v>
      </c>
      <c r="AJ31" s="63">
        <f t="shared" si="49"/>
        <v>9.4538421366827996E-2</v>
      </c>
      <c r="AK31" s="63">
        <f t="shared" si="24"/>
        <v>1.0288082296308263</v>
      </c>
      <c r="AL31" s="63">
        <f t="shared" si="25"/>
        <v>1.0055240546883091E-2</v>
      </c>
      <c r="AM31" s="63">
        <f t="shared" si="26"/>
        <v>1.007184962568417E-2</v>
      </c>
      <c r="AN31" s="63">
        <f t="shared" si="27"/>
        <v>7.9851644647500018E-3</v>
      </c>
      <c r="AO31" s="63">
        <f t="shared" si="28"/>
        <v>44.357588601686246</v>
      </c>
      <c r="AP31" s="63">
        <f t="shared" si="50"/>
        <v>7.9851644647500018E-3</v>
      </c>
      <c r="AQ31" s="61">
        <f t="shared" si="29"/>
        <v>6.5600000000000006E-2</v>
      </c>
      <c r="AR31" s="61">
        <f t="shared" si="30"/>
        <v>7110400000</v>
      </c>
      <c r="AS31" s="61">
        <f t="shared" si="51"/>
        <v>6.5600000000000006E-2</v>
      </c>
      <c r="AT31" s="61">
        <f t="shared" si="52"/>
        <v>3.4361904761904767E-2</v>
      </c>
      <c r="AU31" s="63">
        <f t="shared" si="53"/>
        <v>5.2418918852338937E-2</v>
      </c>
      <c r="AV31" s="63">
        <f t="shared" si="31"/>
        <v>1.1129965833006255E-2</v>
      </c>
      <c r="AW31" s="63">
        <f t="shared" si="32"/>
        <v>1.9840000000000001E-3</v>
      </c>
      <c r="AX31" s="63">
        <f t="shared" si="33"/>
        <v>3.5200000000000002E-2</v>
      </c>
      <c r="AY31" s="63">
        <f t="shared" si="34"/>
        <v>3.7184000000000002E-2</v>
      </c>
      <c r="AZ31" s="63">
        <f t="shared" si="35"/>
        <v>1.8478516538960186</v>
      </c>
      <c r="BA31" s="64">
        <f t="shared" si="36"/>
        <v>22.799999999999997</v>
      </c>
      <c r="BB31" s="76">
        <f t="shared" si="54"/>
        <v>0.92502991011778768</v>
      </c>
      <c r="BC31" s="64">
        <f t="shared" si="55"/>
        <v>92.502991011778761</v>
      </c>
      <c r="BD31" s="63">
        <f t="shared" si="37"/>
        <v>1.6470883169857957</v>
      </c>
      <c r="BE31" s="63">
        <f t="shared" si="56"/>
        <v>0.14695734021916693</v>
      </c>
      <c r="BF31" s="63">
        <f t="shared" si="38"/>
        <v>9.4538421366827996E-2</v>
      </c>
      <c r="BG31" s="63">
        <f t="shared" si="39"/>
        <v>5.2418918852338937E-2</v>
      </c>
      <c r="BH31" s="63">
        <f t="shared" si="40"/>
        <v>1.1129965833006255E-2</v>
      </c>
      <c r="BI31" s="63">
        <f t="shared" si="57"/>
        <v>3.7184000000000002E-2</v>
      </c>
      <c r="BJ31" s="63">
        <f t="shared" si="58"/>
        <v>7.9673823072499875E-4</v>
      </c>
      <c r="BK31" s="63">
        <f t="shared" si="59"/>
        <v>4.6952926273245215E-3</v>
      </c>
      <c r="BL31" s="63">
        <f t="shared" si="60"/>
        <v>1.8478516538960184</v>
      </c>
    </row>
    <row r="32" spans="3:71" x14ac:dyDescent="0.2">
      <c r="C32" s="61">
        <v>20</v>
      </c>
      <c r="D32" s="61">
        <f t="shared" si="0"/>
        <v>25</v>
      </c>
      <c r="E32" s="61">
        <f t="shared" si="1"/>
        <v>25</v>
      </c>
      <c r="F32" s="61">
        <f t="shared" si="2"/>
        <v>25</v>
      </c>
      <c r="G32" s="73">
        <f t="shared" si="3"/>
        <v>16</v>
      </c>
      <c r="H32" s="64">
        <f t="shared" si="4"/>
        <v>1</v>
      </c>
      <c r="I32" s="63">
        <f t="shared" si="41"/>
        <v>2</v>
      </c>
      <c r="J32" s="65">
        <f t="shared" si="5"/>
        <v>9.4999999999999998E-3</v>
      </c>
      <c r="K32" s="65">
        <f t="shared" si="6"/>
        <v>9.4999999999999998E-3</v>
      </c>
      <c r="L32" s="65">
        <f t="shared" si="7"/>
        <v>1.0999999999999999E-2</v>
      </c>
      <c r="M32" s="65">
        <f t="shared" si="8"/>
        <v>2.6000000000000003E-3</v>
      </c>
      <c r="N32" s="63">
        <f t="shared" si="9"/>
        <v>0.75288750000000004</v>
      </c>
      <c r="O32" s="64">
        <f t="shared" si="10"/>
        <v>2.8376329875000006</v>
      </c>
      <c r="P32" s="64">
        <f t="shared" si="11"/>
        <v>3.4188164937500005</v>
      </c>
      <c r="Q32" s="64">
        <f t="shared" si="12"/>
        <v>0.5811835062499997</v>
      </c>
      <c r="R32" s="64">
        <f t="shared" si="13"/>
        <v>0</v>
      </c>
      <c r="S32" s="64">
        <f t="shared" si="14"/>
        <v>2.1612527418866003</v>
      </c>
      <c r="T32" s="63">
        <f t="shared" si="42"/>
        <v>5.1381147557435829E-2</v>
      </c>
      <c r="U32" s="63">
        <f t="shared" si="15"/>
        <v>1.6</v>
      </c>
      <c r="V32" s="63">
        <f t="shared" si="43"/>
        <v>1.6513811475574358</v>
      </c>
      <c r="W32" s="64">
        <f t="shared" si="44"/>
        <v>0.8191540845972437</v>
      </c>
      <c r="X32" s="63">
        <f t="shared" si="16"/>
        <v>4.6970939001864378E-3</v>
      </c>
      <c r="Y32" s="63">
        <f t="shared" si="45"/>
        <v>4.6970939001864378E-3</v>
      </c>
      <c r="Z32" s="64">
        <f t="shared" si="17"/>
        <v>0.93221901625233106</v>
      </c>
      <c r="AA32" s="74">
        <f t="shared" si="18"/>
        <v>8.6903229426246384E-4</v>
      </c>
      <c r="AB32" s="75">
        <f t="shared" si="46"/>
        <v>8.6903229426246384E-4</v>
      </c>
      <c r="AC32" s="63">
        <f t="shared" si="19"/>
        <v>1.8752993392970863</v>
      </c>
      <c r="AD32" s="63">
        <f t="shared" si="47"/>
        <v>3.3409102313696835E-2</v>
      </c>
      <c r="AE32" s="63">
        <f t="shared" si="20"/>
        <v>3.3593162367060968E-2</v>
      </c>
      <c r="AF32" s="63">
        <f t="shared" si="21"/>
        <v>2.9899603686822779E-2</v>
      </c>
      <c r="AG32" s="63">
        <f t="shared" si="22"/>
        <v>3.8400000000000001E-3</v>
      </c>
      <c r="AH32" s="63">
        <f t="shared" si="23"/>
        <v>0</v>
      </c>
      <c r="AI32" s="63">
        <f t="shared" si="48"/>
        <v>3.1238095238095238E-2</v>
      </c>
      <c r="AJ32" s="63">
        <f t="shared" si="49"/>
        <v>9.8570861291978978E-2</v>
      </c>
      <c r="AK32" s="63">
        <f t="shared" si="24"/>
        <v>1.0743676290470874</v>
      </c>
      <c r="AL32" s="63">
        <f t="shared" si="25"/>
        <v>1.096552512227047E-2</v>
      </c>
      <c r="AM32" s="63">
        <f t="shared" si="26"/>
        <v>1.098528045876117E-2</v>
      </c>
      <c r="AN32" s="63">
        <f t="shared" si="27"/>
        <v>8.4649468050000017E-3</v>
      </c>
      <c r="AO32" s="63">
        <f t="shared" si="28"/>
        <v>47.022779501775005</v>
      </c>
      <c r="AP32" s="63">
        <f t="shared" si="50"/>
        <v>8.4649468050000017E-3</v>
      </c>
      <c r="AQ32" s="61">
        <f t="shared" si="29"/>
        <v>6.5600000000000006E-2</v>
      </c>
      <c r="AR32" s="61">
        <f t="shared" si="30"/>
        <v>7110400000</v>
      </c>
      <c r="AS32" s="61">
        <f t="shared" si="51"/>
        <v>6.5600000000000006E-2</v>
      </c>
      <c r="AT32" s="61">
        <f t="shared" si="52"/>
        <v>3.4361904761904767E-2</v>
      </c>
      <c r="AU32" s="63">
        <f t="shared" si="53"/>
        <v>5.381213202566594E-2</v>
      </c>
      <c r="AV32" s="63">
        <f t="shared" si="31"/>
        <v>1.2144634877212106E-2</v>
      </c>
      <c r="AW32" s="63">
        <f t="shared" si="32"/>
        <v>1.9840000000000001E-3</v>
      </c>
      <c r="AX32" s="63">
        <f t="shared" si="33"/>
        <v>3.5200000000000002E-2</v>
      </c>
      <c r="AY32" s="63">
        <f t="shared" si="34"/>
        <v>3.7184000000000002E-2</v>
      </c>
      <c r="AZ32" s="63">
        <f t="shared" si="35"/>
        <v>1.8586589019467417</v>
      </c>
      <c r="BA32" s="64">
        <f t="shared" si="36"/>
        <v>24</v>
      </c>
      <c r="BB32" s="76">
        <f t="shared" si="54"/>
        <v>0.92812237831070132</v>
      </c>
      <c r="BC32" s="64">
        <f t="shared" si="55"/>
        <v>92.812237831070135</v>
      </c>
      <c r="BD32" s="63">
        <f t="shared" si="37"/>
        <v>1.6513811475574358</v>
      </c>
      <c r="BE32" s="63">
        <f t="shared" si="56"/>
        <v>0.15238299331764493</v>
      </c>
      <c r="BF32" s="63">
        <f t="shared" si="38"/>
        <v>9.8570861291978978E-2</v>
      </c>
      <c r="BG32" s="63">
        <f t="shared" si="39"/>
        <v>5.381213202566594E-2</v>
      </c>
      <c r="BH32" s="63">
        <f t="shared" si="40"/>
        <v>1.2144634877212106E-2</v>
      </c>
      <c r="BI32" s="63">
        <f t="shared" si="57"/>
        <v>3.7184000000000002E-2</v>
      </c>
      <c r="BJ32" s="63">
        <f t="shared" si="58"/>
        <v>8.6903229426246384E-4</v>
      </c>
      <c r="BK32" s="63">
        <f t="shared" si="59"/>
        <v>4.6970939001864378E-3</v>
      </c>
      <c r="BL32" s="63">
        <f t="shared" si="60"/>
        <v>1.8586589019467417</v>
      </c>
    </row>
    <row r="33" spans="3:64" x14ac:dyDescent="0.2">
      <c r="C33" s="61">
        <v>21</v>
      </c>
      <c r="D33" s="61">
        <f t="shared" si="0"/>
        <v>25</v>
      </c>
      <c r="E33" s="61">
        <f t="shared" si="1"/>
        <v>25</v>
      </c>
      <c r="F33" s="61">
        <f t="shared" si="2"/>
        <v>25</v>
      </c>
      <c r="G33" s="73">
        <f t="shared" si="3"/>
        <v>16</v>
      </c>
      <c r="H33" s="64">
        <f t="shared" si="4"/>
        <v>1</v>
      </c>
      <c r="I33" s="63">
        <f t="shared" si="41"/>
        <v>2.1</v>
      </c>
      <c r="J33" s="65">
        <f t="shared" si="5"/>
        <v>9.4999999999999998E-3</v>
      </c>
      <c r="K33" s="65">
        <f t="shared" si="6"/>
        <v>9.4999999999999998E-3</v>
      </c>
      <c r="L33" s="65">
        <f t="shared" si="7"/>
        <v>1.0999999999999999E-2</v>
      </c>
      <c r="M33" s="65">
        <f t="shared" si="8"/>
        <v>2.6000000000000003E-3</v>
      </c>
      <c r="N33" s="63">
        <f t="shared" si="9"/>
        <v>0.75303187500000002</v>
      </c>
      <c r="O33" s="64">
        <f t="shared" si="10"/>
        <v>2.8381771368750006</v>
      </c>
      <c r="P33" s="64">
        <f t="shared" si="11"/>
        <v>3.5190885684375006</v>
      </c>
      <c r="Q33" s="64">
        <f t="shared" si="12"/>
        <v>0.68091143156249978</v>
      </c>
      <c r="R33" s="64">
        <f t="shared" si="13"/>
        <v>0</v>
      </c>
      <c r="S33" s="64">
        <f t="shared" si="14"/>
        <v>2.2541674268688796</v>
      </c>
      <c r="T33" s="63">
        <f t="shared" si="42"/>
        <v>5.5893978671923326E-2</v>
      </c>
      <c r="U33" s="63">
        <f t="shared" si="15"/>
        <v>1.6</v>
      </c>
      <c r="V33" s="63">
        <f t="shared" si="43"/>
        <v>1.6558939786719233</v>
      </c>
      <c r="W33" s="64">
        <f t="shared" si="44"/>
        <v>0.81931116699131157</v>
      </c>
      <c r="X33" s="63">
        <f t="shared" si="16"/>
        <v>4.6988955184966543E-3</v>
      </c>
      <c r="Y33" s="63">
        <f t="shared" si="45"/>
        <v>4.6988955184966543E-3</v>
      </c>
      <c r="Z33" s="64">
        <f t="shared" si="17"/>
        <v>0.9721052800434562</v>
      </c>
      <c r="AA33" s="74">
        <f t="shared" si="18"/>
        <v>9.4498867548836643E-4</v>
      </c>
      <c r="AB33" s="75">
        <f t="shared" si="46"/>
        <v>9.4498867548836643E-4</v>
      </c>
      <c r="AC33" s="63">
        <f t="shared" si="19"/>
        <v>1.9561080923964678</v>
      </c>
      <c r="AD33" s="63">
        <f t="shared" si="47"/>
        <v>3.635040925682001E-2</v>
      </c>
      <c r="AE33" s="63">
        <f t="shared" si="20"/>
        <v>3.6568410634378712E-2</v>
      </c>
      <c r="AF33" s="63">
        <f t="shared" si="21"/>
        <v>3.1105281911667615E-2</v>
      </c>
      <c r="AG33" s="63">
        <f t="shared" si="22"/>
        <v>3.8400000000000001E-3</v>
      </c>
      <c r="AH33" s="63">
        <f t="shared" si="23"/>
        <v>0</v>
      </c>
      <c r="AI33" s="63">
        <f t="shared" si="48"/>
        <v>3.1238095238095238E-2</v>
      </c>
      <c r="AJ33" s="63">
        <f t="shared" si="49"/>
        <v>0.10275178778414157</v>
      </c>
      <c r="AK33" s="63">
        <f t="shared" si="24"/>
        <v>1.1202285120535531</v>
      </c>
      <c r="AL33" s="63">
        <f t="shared" si="25"/>
        <v>1.1921663232568318E-2</v>
      </c>
      <c r="AM33" s="63">
        <f t="shared" si="26"/>
        <v>1.1945017566753341E-2</v>
      </c>
      <c r="AN33" s="63">
        <f t="shared" si="27"/>
        <v>8.9447291452500015E-3</v>
      </c>
      <c r="AO33" s="63">
        <f t="shared" si="28"/>
        <v>49.687970401863758</v>
      </c>
      <c r="AP33" s="63">
        <f t="shared" si="50"/>
        <v>8.9447291452500015E-3</v>
      </c>
      <c r="AQ33" s="61">
        <f t="shared" si="29"/>
        <v>6.5600000000000006E-2</v>
      </c>
      <c r="AR33" s="61">
        <f t="shared" si="30"/>
        <v>7110400000</v>
      </c>
      <c r="AS33" s="61">
        <f t="shared" si="51"/>
        <v>6.5600000000000006E-2</v>
      </c>
      <c r="AT33" s="61">
        <f t="shared" si="52"/>
        <v>3.4361904761904767E-2</v>
      </c>
      <c r="AU33" s="63">
        <f t="shared" si="53"/>
        <v>5.5251651473908106E-2</v>
      </c>
      <c r="AV33" s="63">
        <f t="shared" si="31"/>
        <v>1.3211304049727333E-2</v>
      </c>
      <c r="AW33" s="63">
        <f t="shared" si="32"/>
        <v>1.9840000000000001E-3</v>
      </c>
      <c r="AX33" s="63">
        <f t="shared" si="33"/>
        <v>3.5200000000000002E-2</v>
      </c>
      <c r="AY33" s="63">
        <f t="shared" si="34"/>
        <v>3.7184000000000002E-2</v>
      </c>
      <c r="AZ33" s="63">
        <f t="shared" si="35"/>
        <v>1.8699366061736853</v>
      </c>
      <c r="BA33" s="64">
        <f t="shared" si="36"/>
        <v>25.200000000000003</v>
      </c>
      <c r="BB33" s="76">
        <f t="shared" si="54"/>
        <v>0.93092201753633885</v>
      </c>
      <c r="BC33" s="64">
        <f t="shared" si="55"/>
        <v>93.092201753633887</v>
      </c>
      <c r="BD33" s="63">
        <f t="shared" si="37"/>
        <v>1.6558939786719233</v>
      </c>
      <c r="BE33" s="63">
        <f t="shared" si="56"/>
        <v>0.15800343925804966</v>
      </c>
      <c r="BF33" s="63">
        <f t="shared" si="38"/>
        <v>0.10275178778414157</v>
      </c>
      <c r="BG33" s="63">
        <f t="shared" si="39"/>
        <v>5.5251651473908106E-2</v>
      </c>
      <c r="BH33" s="63">
        <f t="shared" si="40"/>
        <v>1.3211304049727333E-2</v>
      </c>
      <c r="BI33" s="63">
        <f t="shared" si="57"/>
        <v>3.7184000000000002E-2</v>
      </c>
      <c r="BJ33" s="63">
        <f t="shared" si="58"/>
        <v>9.4498867548836643E-4</v>
      </c>
      <c r="BK33" s="63">
        <f t="shared" si="59"/>
        <v>4.6988955184966543E-3</v>
      </c>
      <c r="BL33" s="63">
        <f t="shared" si="60"/>
        <v>1.8699366061736853</v>
      </c>
    </row>
    <row r="34" spans="3:64" x14ac:dyDescent="0.2">
      <c r="C34" s="61">
        <v>22</v>
      </c>
      <c r="D34" s="61">
        <f t="shared" si="0"/>
        <v>25</v>
      </c>
      <c r="E34" s="61">
        <f t="shared" si="1"/>
        <v>25</v>
      </c>
      <c r="F34" s="61">
        <f t="shared" si="2"/>
        <v>25</v>
      </c>
      <c r="G34" s="73">
        <f t="shared" si="3"/>
        <v>16</v>
      </c>
      <c r="H34" s="64">
        <f t="shared" si="4"/>
        <v>1</v>
      </c>
      <c r="I34" s="63">
        <f t="shared" si="41"/>
        <v>2.2000000000000002</v>
      </c>
      <c r="J34" s="65">
        <f t="shared" si="5"/>
        <v>9.4999999999999998E-3</v>
      </c>
      <c r="K34" s="65">
        <f t="shared" si="6"/>
        <v>9.4999999999999998E-3</v>
      </c>
      <c r="L34" s="65">
        <f t="shared" si="7"/>
        <v>1.0999999999999999E-2</v>
      </c>
      <c r="M34" s="65">
        <f t="shared" si="8"/>
        <v>2.6000000000000003E-3</v>
      </c>
      <c r="N34" s="63">
        <f t="shared" si="9"/>
        <v>0.75317624999999999</v>
      </c>
      <c r="O34" s="64">
        <f t="shared" si="10"/>
        <v>2.8387212862500006</v>
      </c>
      <c r="P34" s="64">
        <f t="shared" si="11"/>
        <v>3.6193606431250007</v>
      </c>
      <c r="Q34" s="64">
        <f t="shared" si="12"/>
        <v>0.78063935687499986</v>
      </c>
      <c r="R34" s="64">
        <f t="shared" si="13"/>
        <v>0</v>
      </c>
      <c r="S34" s="64">
        <f t="shared" si="14"/>
        <v>2.3476644163403635</v>
      </c>
      <c r="T34" s="63">
        <f t="shared" si="42"/>
        <v>6.0626810329258138E-2</v>
      </c>
      <c r="U34" s="63">
        <f t="shared" si="15"/>
        <v>1.6</v>
      </c>
      <c r="V34" s="63">
        <f t="shared" si="43"/>
        <v>1.6606268103292583</v>
      </c>
      <c r="W34" s="64">
        <f t="shared" si="44"/>
        <v>0.81946824938537932</v>
      </c>
      <c r="X34" s="63">
        <f t="shared" si="16"/>
        <v>4.7006974822551683E-3</v>
      </c>
      <c r="Y34" s="63">
        <f t="shared" si="45"/>
        <v>4.7006974822551683E-3</v>
      </c>
      <c r="Z34" s="64">
        <f t="shared" si="17"/>
        <v>1.0122267238897273</v>
      </c>
      <c r="AA34" s="74">
        <f t="shared" si="18"/>
        <v>1.0246029405565303E-3</v>
      </c>
      <c r="AB34" s="75">
        <f t="shared" si="46"/>
        <v>1.0246029405565303E-3</v>
      </c>
      <c r="AC34" s="63">
        <f t="shared" si="19"/>
        <v>2.0374376432901276</v>
      </c>
      <c r="AD34" s="63">
        <f t="shared" si="47"/>
        <v>3.9435945427808476E-2</v>
      </c>
      <c r="AE34" s="63">
        <f t="shared" si="20"/>
        <v>3.969265749367655E-2</v>
      </c>
      <c r="AF34" s="63">
        <f t="shared" si="21"/>
        <v>3.2310960136512447E-2</v>
      </c>
      <c r="AG34" s="63">
        <f t="shared" si="22"/>
        <v>3.8400000000000001E-3</v>
      </c>
      <c r="AH34" s="63">
        <f t="shared" si="23"/>
        <v>0</v>
      </c>
      <c r="AI34" s="63">
        <f t="shared" si="48"/>
        <v>3.1238095238095238E-2</v>
      </c>
      <c r="AJ34" s="63">
        <f t="shared" si="49"/>
        <v>0.10708171286828425</v>
      </c>
      <c r="AK34" s="63">
        <f t="shared" si="24"/>
        <v>1.1663516028432901</v>
      </c>
      <c r="AL34" s="63">
        <f t="shared" si="25"/>
        <v>1.2923572583823564E-2</v>
      </c>
      <c r="AM34" s="63">
        <f t="shared" si="26"/>
        <v>1.2951021833017329E-2</v>
      </c>
      <c r="AN34" s="63">
        <f t="shared" si="27"/>
        <v>9.4245114855000013E-3</v>
      </c>
      <c r="AO34" s="63">
        <f t="shared" si="28"/>
        <v>52.353161301952511</v>
      </c>
      <c r="AP34" s="63">
        <f t="shared" si="50"/>
        <v>9.4245114855000013E-3</v>
      </c>
      <c r="AQ34" s="61">
        <f t="shared" si="29"/>
        <v>6.5600000000000006E-2</v>
      </c>
      <c r="AR34" s="61">
        <f t="shared" si="30"/>
        <v>7110400000</v>
      </c>
      <c r="AS34" s="61">
        <f t="shared" si="51"/>
        <v>6.5600000000000006E-2</v>
      </c>
      <c r="AT34" s="61">
        <f t="shared" si="52"/>
        <v>3.4361904761904767E-2</v>
      </c>
      <c r="AU34" s="63">
        <f t="shared" si="53"/>
        <v>5.6737438080422101E-2</v>
      </c>
      <c r="AV34" s="63">
        <f t="shared" si="31"/>
        <v>1.4329973350551925E-2</v>
      </c>
      <c r="AW34" s="63">
        <f t="shared" si="32"/>
        <v>1.9840000000000001E-3</v>
      </c>
      <c r="AX34" s="63">
        <f t="shared" si="33"/>
        <v>3.5200000000000002E-2</v>
      </c>
      <c r="AY34" s="63">
        <f t="shared" si="34"/>
        <v>3.7184000000000002E-2</v>
      </c>
      <c r="AZ34" s="63">
        <f t="shared" si="35"/>
        <v>1.8816852350513285</v>
      </c>
      <c r="BA34" s="64">
        <f t="shared" si="36"/>
        <v>26.400000000000002</v>
      </c>
      <c r="BB34" s="76">
        <f t="shared" si="54"/>
        <v>0.93346629737894005</v>
      </c>
      <c r="BC34" s="64">
        <f t="shared" si="55"/>
        <v>93.346629737894006</v>
      </c>
      <c r="BD34" s="63">
        <f t="shared" si="37"/>
        <v>1.6606268103292583</v>
      </c>
      <c r="BE34" s="63">
        <f t="shared" si="56"/>
        <v>0.16381915094870636</v>
      </c>
      <c r="BF34" s="63">
        <f t="shared" si="38"/>
        <v>0.10708171286828425</v>
      </c>
      <c r="BG34" s="63">
        <f t="shared" si="39"/>
        <v>5.6737438080422101E-2</v>
      </c>
      <c r="BH34" s="63">
        <f t="shared" si="40"/>
        <v>1.4329973350551925E-2</v>
      </c>
      <c r="BI34" s="63">
        <f t="shared" si="57"/>
        <v>3.7184000000000002E-2</v>
      </c>
      <c r="BJ34" s="63">
        <f t="shared" si="58"/>
        <v>1.0246029405565303E-3</v>
      </c>
      <c r="BK34" s="63">
        <f t="shared" si="59"/>
        <v>4.7006974822551683E-3</v>
      </c>
      <c r="BL34" s="63">
        <f t="shared" si="60"/>
        <v>1.8816852350513285</v>
      </c>
    </row>
    <row r="35" spans="3:64" x14ac:dyDescent="0.2">
      <c r="C35" s="61">
        <v>23</v>
      </c>
      <c r="D35" s="61">
        <f t="shared" si="0"/>
        <v>25</v>
      </c>
      <c r="E35" s="61">
        <f t="shared" si="1"/>
        <v>25</v>
      </c>
      <c r="F35" s="61">
        <f t="shared" si="2"/>
        <v>25</v>
      </c>
      <c r="G35" s="73">
        <f t="shared" si="3"/>
        <v>16</v>
      </c>
      <c r="H35" s="64">
        <f t="shared" si="4"/>
        <v>1</v>
      </c>
      <c r="I35" s="63">
        <f t="shared" si="41"/>
        <v>2.2999999999999998</v>
      </c>
      <c r="J35" s="65">
        <f t="shared" si="5"/>
        <v>9.4999999999999998E-3</v>
      </c>
      <c r="K35" s="65">
        <f t="shared" si="6"/>
        <v>9.4999999999999998E-3</v>
      </c>
      <c r="L35" s="65">
        <f t="shared" si="7"/>
        <v>1.0999999999999999E-2</v>
      </c>
      <c r="M35" s="65">
        <f t="shared" si="8"/>
        <v>2.6000000000000003E-3</v>
      </c>
      <c r="N35" s="63">
        <f t="shared" si="9"/>
        <v>0.75332062499999997</v>
      </c>
      <c r="O35" s="64">
        <f t="shared" si="10"/>
        <v>2.8392654356250002</v>
      </c>
      <c r="P35" s="64">
        <f t="shared" si="11"/>
        <v>3.7196327178124999</v>
      </c>
      <c r="Q35" s="64">
        <f t="shared" si="12"/>
        <v>0.88036728218749971</v>
      </c>
      <c r="R35" s="64">
        <f t="shared" si="13"/>
        <v>0</v>
      </c>
      <c r="S35" s="64">
        <f t="shared" si="14"/>
        <v>2.4416768181916639</v>
      </c>
      <c r="T35" s="63">
        <f t="shared" si="42"/>
        <v>6.5579642529440235E-2</v>
      </c>
      <c r="U35" s="63">
        <f t="shared" si="15"/>
        <v>1.6</v>
      </c>
      <c r="V35" s="63">
        <f t="shared" si="43"/>
        <v>1.6655796425294402</v>
      </c>
      <c r="W35" s="64">
        <f t="shared" si="44"/>
        <v>0.81962533177944696</v>
      </c>
      <c r="X35" s="63">
        <f t="shared" si="16"/>
        <v>4.7024997914619799E-3</v>
      </c>
      <c r="Y35" s="63">
        <f t="shared" si="45"/>
        <v>4.7024997914619799E-3</v>
      </c>
      <c r="Z35" s="64">
        <f t="shared" si="17"/>
        <v>1.0525543456839537</v>
      </c>
      <c r="AA35" s="74">
        <f t="shared" si="18"/>
        <v>1.107870650618176E-3</v>
      </c>
      <c r="AB35" s="75">
        <f t="shared" si="46"/>
        <v>1.107870650618176E-3</v>
      </c>
      <c r="AC35" s="63">
        <f t="shared" si="19"/>
        <v>2.1192300766928303</v>
      </c>
      <c r="AD35" s="63">
        <f t="shared" si="47"/>
        <v>4.266579312061524E-2</v>
      </c>
      <c r="AE35" s="63">
        <f t="shared" si="20"/>
        <v>4.2966437450161307E-2</v>
      </c>
      <c r="AF35" s="63">
        <f t="shared" si="21"/>
        <v>3.3516638361357279E-2</v>
      </c>
      <c r="AG35" s="63">
        <f t="shared" si="22"/>
        <v>3.8400000000000001E-3</v>
      </c>
      <c r="AH35" s="63">
        <f t="shared" si="23"/>
        <v>0</v>
      </c>
      <c r="AI35" s="63">
        <f t="shared" si="48"/>
        <v>3.1238095238095238E-2</v>
      </c>
      <c r="AJ35" s="63">
        <f t="shared" si="49"/>
        <v>0.11156117104961383</v>
      </c>
      <c r="AK35" s="63">
        <f t="shared" si="24"/>
        <v>1.2127034124364735</v>
      </c>
      <c r="AL35" s="63">
        <f t="shared" si="25"/>
        <v>1.3971170882083142E-2</v>
      </c>
      <c r="AM35" s="63">
        <f t="shared" si="26"/>
        <v>1.4003256151156458E-2</v>
      </c>
      <c r="AN35" s="63">
        <f t="shared" si="27"/>
        <v>9.9042938257499994E-3</v>
      </c>
      <c r="AO35" s="63">
        <f t="shared" si="28"/>
        <v>55.018352202041243</v>
      </c>
      <c r="AP35" s="63">
        <f t="shared" si="50"/>
        <v>9.9042938257499994E-3</v>
      </c>
      <c r="AQ35" s="61">
        <f t="shared" si="29"/>
        <v>6.5600000000000006E-2</v>
      </c>
      <c r="AR35" s="61">
        <f t="shared" si="30"/>
        <v>7110400000</v>
      </c>
      <c r="AS35" s="61">
        <f t="shared" si="51"/>
        <v>6.5600000000000006E-2</v>
      </c>
      <c r="AT35" s="61">
        <f t="shared" si="52"/>
        <v>3.4361904761904767E-2</v>
      </c>
      <c r="AU35" s="63">
        <f t="shared" si="53"/>
        <v>5.8269454738811226E-2</v>
      </c>
      <c r="AV35" s="63">
        <f t="shared" si="31"/>
        <v>1.5500642779685877E-2</v>
      </c>
      <c r="AW35" s="63">
        <f t="shared" si="32"/>
        <v>1.9840000000000001E-3</v>
      </c>
      <c r="AX35" s="63">
        <f t="shared" si="33"/>
        <v>3.5200000000000002E-2</v>
      </c>
      <c r="AY35" s="63">
        <f t="shared" si="34"/>
        <v>3.7184000000000002E-2</v>
      </c>
      <c r="AZ35" s="63">
        <f t="shared" si="35"/>
        <v>1.8939052815396313</v>
      </c>
      <c r="BA35" s="64">
        <f t="shared" si="36"/>
        <v>27.599999999999998</v>
      </c>
      <c r="BB35" s="76">
        <f t="shared" si="54"/>
        <v>0.93578655442671965</v>
      </c>
      <c r="BC35" s="64">
        <f t="shared" si="55"/>
        <v>93.578655442671959</v>
      </c>
      <c r="BD35" s="63">
        <f t="shared" si="37"/>
        <v>1.6655796425294402</v>
      </c>
      <c r="BE35" s="63">
        <f t="shared" si="56"/>
        <v>0.16983062578842506</v>
      </c>
      <c r="BF35" s="63">
        <f t="shared" si="38"/>
        <v>0.11156117104961383</v>
      </c>
      <c r="BG35" s="63">
        <f t="shared" si="39"/>
        <v>5.8269454738811226E-2</v>
      </c>
      <c r="BH35" s="63">
        <f t="shared" si="40"/>
        <v>1.5500642779685877E-2</v>
      </c>
      <c r="BI35" s="63">
        <f t="shared" si="57"/>
        <v>3.7184000000000002E-2</v>
      </c>
      <c r="BJ35" s="63">
        <f t="shared" si="58"/>
        <v>1.107870650618176E-3</v>
      </c>
      <c r="BK35" s="63">
        <f t="shared" si="59"/>
        <v>4.7024997914619799E-3</v>
      </c>
      <c r="BL35" s="63">
        <f t="shared" si="60"/>
        <v>1.8939052815396313</v>
      </c>
    </row>
    <row r="36" spans="3:64" x14ac:dyDescent="0.2">
      <c r="C36" s="61">
        <v>24</v>
      </c>
      <c r="D36" s="61">
        <f t="shared" si="0"/>
        <v>25</v>
      </c>
      <c r="E36" s="61">
        <f t="shared" si="1"/>
        <v>25</v>
      </c>
      <c r="F36" s="61">
        <f t="shared" si="2"/>
        <v>25</v>
      </c>
      <c r="G36" s="73">
        <f t="shared" si="3"/>
        <v>16</v>
      </c>
      <c r="H36" s="64">
        <f t="shared" si="4"/>
        <v>1</v>
      </c>
      <c r="I36" s="63">
        <f t="shared" si="41"/>
        <v>2.4</v>
      </c>
      <c r="J36" s="65">
        <f t="shared" si="5"/>
        <v>9.4999999999999998E-3</v>
      </c>
      <c r="K36" s="65">
        <f t="shared" si="6"/>
        <v>9.4999999999999998E-3</v>
      </c>
      <c r="L36" s="65">
        <f t="shared" si="7"/>
        <v>1.0999999999999999E-2</v>
      </c>
      <c r="M36" s="65">
        <f t="shared" si="8"/>
        <v>2.6000000000000003E-3</v>
      </c>
      <c r="N36" s="63">
        <f t="shared" si="9"/>
        <v>0.75346500000000005</v>
      </c>
      <c r="O36" s="64">
        <f t="shared" si="10"/>
        <v>2.8398095850000007</v>
      </c>
      <c r="P36" s="64">
        <f t="shared" si="11"/>
        <v>3.8199047925</v>
      </c>
      <c r="Q36" s="64">
        <f t="shared" si="12"/>
        <v>0.98009520749999957</v>
      </c>
      <c r="R36" s="64">
        <f t="shared" si="13"/>
        <v>0</v>
      </c>
      <c r="S36" s="64">
        <f t="shared" si="14"/>
        <v>2.5361473156321495</v>
      </c>
      <c r="T36" s="63">
        <f t="shared" si="42"/>
        <v>7.0752475272469723E-2</v>
      </c>
      <c r="U36" s="63">
        <f t="shared" si="15"/>
        <v>1.6</v>
      </c>
      <c r="V36" s="63">
        <f t="shared" si="43"/>
        <v>1.6707524752724698</v>
      </c>
      <c r="W36" s="64">
        <f t="shared" si="44"/>
        <v>0.81978241417351494</v>
      </c>
      <c r="X36" s="63">
        <f t="shared" si="16"/>
        <v>4.7043024461170951E-3</v>
      </c>
      <c r="Y36" s="63">
        <f t="shared" si="45"/>
        <v>4.7043024461170951E-3</v>
      </c>
      <c r="Z36" s="64">
        <f t="shared" si="17"/>
        <v>1.0930632926879931</v>
      </c>
      <c r="AA36" s="74">
        <f t="shared" si="18"/>
        <v>1.1947873618219172E-3</v>
      </c>
      <c r="AB36" s="75">
        <f t="shared" si="46"/>
        <v>1.1947873618219172E-3</v>
      </c>
      <c r="AC36" s="63">
        <f t="shared" si="19"/>
        <v>2.2014357666422941</v>
      </c>
      <c r="AD36" s="63">
        <f t="shared" si="47"/>
        <v>4.6040034629193476E-2</v>
      </c>
      <c r="AE36" s="63">
        <f t="shared" si="20"/>
        <v>4.6390307694317144E-2</v>
      </c>
      <c r="AF36" s="63">
        <f t="shared" si="21"/>
        <v>3.4722316586202104E-2</v>
      </c>
      <c r="AG36" s="63">
        <f t="shared" si="22"/>
        <v>3.8400000000000001E-3</v>
      </c>
      <c r="AH36" s="63">
        <f t="shared" si="23"/>
        <v>0</v>
      </c>
      <c r="AI36" s="63">
        <f t="shared" si="48"/>
        <v>3.1238095238095238E-2</v>
      </c>
      <c r="AJ36" s="63">
        <f t="shared" si="49"/>
        <v>0.11619071951861448</v>
      </c>
      <c r="AK36" s="63">
        <f t="shared" si="24"/>
        <v>1.2592552449508445</v>
      </c>
      <c r="AL36" s="63">
        <f t="shared" si="25"/>
        <v>1.5064375833394008E-2</v>
      </c>
      <c r="AM36" s="63">
        <f t="shared" si="26"/>
        <v>1.510168541762922E-2</v>
      </c>
      <c r="AN36" s="63">
        <f t="shared" si="27"/>
        <v>1.0384076166000001E-2</v>
      </c>
      <c r="AO36" s="63">
        <f t="shared" si="28"/>
        <v>57.68354310213001</v>
      </c>
      <c r="AP36" s="63">
        <f t="shared" si="50"/>
        <v>1.0384076166000001E-2</v>
      </c>
      <c r="AQ36" s="61">
        <f t="shared" si="29"/>
        <v>6.5600000000000006E-2</v>
      </c>
      <c r="AR36" s="61">
        <f t="shared" si="30"/>
        <v>7110400000</v>
      </c>
      <c r="AS36" s="61">
        <f t="shared" si="51"/>
        <v>6.5600000000000006E-2</v>
      </c>
      <c r="AT36" s="61">
        <f t="shared" si="52"/>
        <v>3.4361904761904767E-2</v>
      </c>
      <c r="AU36" s="63">
        <f t="shared" si="53"/>
        <v>5.9847666345533984E-2</v>
      </c>
      <c r="AV36" s="63">
        <f t="shared" si="31"/>
        <v>1.6723312337129211E-2</v>
      </c>
      <c r="AW36" s="63">
        <f t="shared" si="32"/>
        <v>1.9840000000000001E-3</v>
      </c>
      <c r="AX36" s="63">
        <f t="shared" si="33"/>
        <v>3.5200000000000002E-2</v>
      </c>
      <c r="AY36" s="63">
        <f t="shared" si="34"/>
        <v>3.7184000000000002E-2</v>
      </c>
      <c r="AZ36" s="63">
        <f t="shared" si="35"/>
        <v>1.9065972632816868</v>
      </c>
      <c r="BA36" s="64">
        <f t="shared" si="36"/>
        <v>28.799999999999997</v>
      </c>
      <c r="BB36" s="76">
        <f t="shared" si="54"/>
        <v>0.93790919759248104</v>
      </c>
      <c r="BC36" s="64">
        <f t="shared" si="55"/>
        <v>93.790919759248098</v>
      </c>
      <c r="BD36" s="63">
        <f t="shared" si="37"/>
        <v>1.6707524752724698</v>
      </c>
      <c r="BE36" s="63">
        <f t="shared" si="56"/>
        <v>0.17603838586414847</v>
      </c>
      <c r="BF36" s="63">
        <f t="shared" si="38"/>
        <v>0.11619071951861448</v>
      </c>
      <c r="BG36" s="63">
        <f t="shared" si="39"/>
        <v>5.9847666345533984E-2</v>
      </c>
      <c r="BH36" s="63">
        <f t="shared" si="40"/>
        <v>1.6723312337129211E-2</v>
      </c>
      <c r="BI36" s="63">
        <f t="shared" si="57"/>
        <v>3.7184000000000002E-2</v>
      </c>
      <c r="BJ36" s="63">
        <f t="shared" si="58"/>
        <v>1.1947873618219172E-3</v>
      </c>
      <c r="BK36" s="63">
        <f t="shared" si="59"/>
        <v>4.7043024461170951E-3</v>
      </c>
      <c r="BL36" s="63">
        <f t="shared" si="60"/>
        <v>1.9065972632816868</v>
      </c>
    </row>
    <row r="37" spans="3:64" x14ac:dyDescent="0.2">
      <c r="C37" s="61">
        <v>25</v>
      </c>
      <c r="D37" s="61">
        <f t="shared" si="0"/>
        <v>25</v>
      </c>
      <c r="E37" s="61">
        <f t="shared" si="1"/>
        <v>25</v>
      </c>
      <c r="F37" s="61">
        <f t="shared" si="2"/>
        <v>25</v>
      </c>
      <c r="G37" s="73">
        <f t="shared" si="3"/>
        <v>16</v>
      </c>
      <c r="H37" s="64">
        <f t="shared" si="4"/>
        <v>1</v>
      </c>
      <c r="I37" s="63">
        <f t="shared" si="41"/>
        <v>2.5</v>
      </c>
      <c r="J37" s="65">
        <f t="shared" si="5"/>
        <v>9.4999999999999998E-3</v>
      </c>
      <c r="K37" s="65">
        <f t="shared" si="6"/>
        <v>9.4999999999999998E-3</v>
      </c>
      <c r="L37" s="65">
        <f t="shared" si="7"/>
        <v>1.0999999999999999E-2</v>
      </c>
      <c r="M37" s="65">
        <f t="shared" si="8"/>
        <v>2.6000000000000003E-3</v>
      </c>
      <c r="N37" s="63">
        <f t="shared" si="9"/>
        <v>0.75360937500000003</v>
      </c>
      <c r="O37" s="64">
        <f t="shared" si="10"/>
        <v>2.8403537343750007</v>
      </c>
      <c r="P37" s="64">
        <f t="shared" si="11"/>
        <v>3.9201768671875001</v>
      </c>
      <c r="Q37" s="64">
        <f t="shared" si="12"/>
        <v>1.0798231328124996</v>
      </c>
      <c r="R37" s="64">
        <f t="shared" si="13"/>
        <v>0</v>
      </c>
      <c r="S37" s="64">
        <f t="shared" si="14"/>
        <v>2.6310265635358951</v>
      </c>
      <c r="T37" s="63">
        <f t="shared" si="42"/>
        <v>7.6145308558346517E-2</v>
      </c>
      <c r="U37" s="63">
        <f t="shared" si="15"/>
        <v>1.6</v>
      </c>
      <c r="V37" s="63">
        <f t="shared" si="43"/>
        <v>1.6761453085583466</v>
      </c>
      <c r="W37" s="64">
        <f t="shared" si="44"/>
        <v>0.8199394965675828</v>
      </c>
      <c r="X37" s="63">
        <f t="shared" si="16"/>
        <v>4.7061054462205079E-3</v>
      </c>
      <c r="Y37" s="63">
        <f t="shared" si="45"/>
        <v>4.7061054462205079E-3</v>
      </c>
      <c r="Z37" s="64">
        <f t="shared" si="17"/>
        <v>1.1337321664810263</v>
      </c>
      <c r="AA37" s="74">
        <f t="shared" si="18"/>
        <v>1.2853486253137615E-3</v>
      </c>
      <c r="AB37" s="75">
        <f t="shared" si="46"/>
        <v>1.2853486253137615E-3</v>
      </c>
      <c r="AC37" s="63">
        <f t="shared" si="19"/>
        <v>2.2840119883429537</v>
      </c>
      <c r="AD37" s="63">
        <f t="shared" si="47"/>
        <v>4.955875224749616E-2</v>
      </c>
      <c r="AE37" s="63">
        <f t="shared" si="20"/>
        <v>4.99648483158543E-2</v>
      </c>
      <c r="AF37" s="63">
        <f t="shared" si="21"/>
        <v>3.5927994811046936E-2</v>
      </c>
      <c r="AG37" s="63">
        <f t="shared" si="22"/>
        <v>3.8400000000000001E-3</v>
      </c>
      <c r="AH37" s="63">
        <f t="shared" si="23"/>
        <v>0</v>
      </c>
      <c r="AI37" s="63">
        <f t="shared" si="48"/>
        <v>3.1238095238095238E-2</v>
      </c>
      <c r="AJ37" s="63">
        <f t="shared" si="49"/>
        <v>0.12097093836499648</v>
      </c>
      <c r="AK37" s="63">
        <f t="shared" si="24"/>
        <v>1.3059823946505436</v>
      </c>
      <c r="AL37" s="63">
        <f t="shared" si="25"/>
        <v>1.6203105143803097E-2</v>
      </c>
      <c r="AM37" s="63">
        <f t="shared" si="26"/>
        <v>1.6246276524585695E-2</v>
      </c>
      <c r="AN37" s="63">
        <f t="shared" si="27"/>
        <v>1.0863858506250001E-2</v>
      </c>
      <c r="AO37" s="63">
        <f t="shared" si="28"/>
        <v>60.348734002218748</v>
      </c>
      <c r="AP37" s="63">
        <f t="shared" si="50"/>
        <v>1.0863858506250001E-2</v>
      </c>
      <c r="AQ37" s="61">
        <f t="shared" si="29"/>
        <v>6.5600000000000006E-2</v>
      </c>
      <c r="AR37" s="61">
        <f t="shared" si="30"/>
        <v>7110400000</v>
      </c>
      <c r="AS37" s="61">
        <f t="shared" si="51"/>
        <v>6.5600000000000006E-2</v>
      </c>
      <c r="AT37" s="61">
        <f t="shared" si="52"/>
        <v>3.4361904761904767E-2</v>
      </c>
      <c r="AU37" s="63">
        <f t="shared" si="53"/>
        <v>6.1472039792740463E-2</v>
      </c>
      <c r="AV37" s="63">
        <f t="shared" si="31"/>
        <v>1.7997982022881907E-2</v>
      </c>
      <c r="AW37" s="63">
        <f t="shared" si="32"/>
        <v>1.9840000000000001E-3</v>
      </c>
      <c r="AX37" s="63">
        <f t="shared" si="33"/>
        <v>3.5200000000000002E-2</v>
      </c>
      <c r="AY37" s="63">
        <f t="shared" si="34"/>
        <v>3.7184000000000002E-2</v>
      </c>
      <c r="AZ37" s="63">
        <f t="shared" si="35"/>
        <v>1.9197617228104997</v>
      </c>
      <c r="BA37" s="64">
        <f t="shared" si="36"/>
        <v>30</v>
      </c>
      <c r="BB37" s="76">
        <f t="shared" si="54"/>
        <v>0.9398566399247712</v>
      </c>
      <c r="BC37" s="64">
        <f t="shared" si="55"/>
        <v>93.985663992477114</v>
      </c>
      <c r="BD37" s="63">
        <f t="shared" si="37"/>
        <v>1.6761453085583466</v>
      </c>
      <c r="BE37" s="63">
        <f t="shared" si="56"/>
        <v>0.18244297815773694</v>
      </c>
      <c r="BF37" s="63">
        <f t="shared" si="38"/>
        <v>0.12097093836499648</v>
      </c>
      <c r="BG37" s="63">
        <f t="shared" si="39"/>
        <v>6.1472039792740463E-2</v>
      </c>
      <c r="BH37" s="63">
        <f t="shared" si="40"/>
        <v>1.7997982022881907E-2</v>
      </c>
      <c r="BI37" s="63">
        <f t="shared" si="57"/>
        <v>3.7184000000000002E-2</v>
      </c>
      <c r="BJ37" s="63">
        <f t="shared" si="58"/>
        <v>1.2853486253137615E-3</v>
      </c>
      <c r="BK37" s="63">
        <f t="shared" si="59"/>
        <v>4.7061054462205079E-3</v>
      </c>
      <c r="BL37" s="63">
        <f t="shared" si="60"/>
        <v>1.9197617228104997</v>
      </c>
    </row>
    <row r="38" spans="3:64" x14ac:dyDescent="0.2">
      <c r="C38" s="61">
        <v>26</v>
      </c>
      <c r="D38" s="61">
        <f t="shared" si="0"/>
        <v>25</v>
      </c>
      <c r="E38" s="61">
        <f t="shared" si="1"/>
        <v>25</v>
      </c>
      <c r="F38" s="61">
        <f t="shared" si="2"/>
        <v>25</v>
      </c>
      <c r="G38" s="73">
        <f t="shared" si="3"/>
        <v>16</v>
      </c>
      <c r="H38" s="64">
        <f t="shared" si="4"/>
        <v>1</v>
      </c>
      <c r="I38" s="63">
        <f t="shared" si="41"/>
        <v>2.6</v>
      </c>
      <c r="J38" s="65">
        <f t="shared" si="5"/>
        <v>9.4999999999999998E-3</v>
      </c>
      <c r="K38" s="65">
        <f t="shared" si="6"/>
        <v>9.4999999999999998E-3</v>
      </c>
      <c r="L38" s="65">
        <f t="shared" si="7"/>
        <v>1.0999999999999999E-2</v>
      </c>
      <c r="M38" s="65">
        <f t="shared" si="8"/>
        <v>2.6000000000000003E-3</v>
      </c>
      <c r="N38" s="63">
        <f t="shared" si="9"/>
        <v>0.75375375</v>
      </c>
      <c r="O38" s="64">
        <f t="shared" si="10"/>
        <v>2.8408978837500007</v>
      </c>
      <c r="P38" s="64">
        <f t="shared" si="11"/>
        <v>4.0204489418750002</v>
      </c>
      <c r="Q38" s="64">
        <f t="shared" si="12"/>
        <v>1.1795510581249997</v>
      </c>
      <c r="R38" s="64">
        <f t="shared" si="13"/>
        <v>0</v>
      </c>
      <c r="S38" s="64">
        <f t="shared" si="14"/>
        <v>2.7262718864457747</v>
      </c>
      <c r="T38" s="63">
        <f t="shared" si="42"/>
        <v>8.1758142387070631E-2</v>
      </c>
      <c r="U38" s="63">
        <f t="shared" si="15"/>
        <v>1.6</v>
      </c>
      <c r="V38" s="63">
        <f t="shared" si="43"/>
        <v>1.6817581423870707</v>
      </c>
      <c r="W38" s="64">
        <f t="shared" si="44"/>
        <v>0.82009657896165056</v>
      </c>
      <c r="X38" s="63">
        <f t="shared" si="16"/>
        <v>4.7079087917722192E-3</v>
      </c>
      <c r="Y38" s="63">
        <f t="shared" si="45"/>
        <v>4.7079087917722192E-3</v>
      </c>
      <c r="Z38" s="64">
        <f t="shared" si="17"/>
        <v>1.1745424586778932</v>
      </c>
      <c r="AA38" s="74">
        <f t="shared" si="18"/>
        <v>1.3795499872371105E-3</v>
      </c>
      <c r="AB38" s="75">
        <f t="shared" si="46"/>
        <v>1.3795499872371105E-3</v>
      </c>
      <c r="AC38" s="63">
        <f t="shared" si="19"/>
        <v>2.3669217911050713</v>
      </c>
      <c r="AD38" s="63">
        <f t="shared" si="47"/>
        <v>5.3222028269476362E-2</v>
      </c>
      <c r="AE38" s="63">
        <f t="shared" si="20"/>
        <v>5.3690662526720223E-2</v>
      </c>
      <c r="AF38" s="63">
        <f t="shared" si="21"/>
        <v>3.7133673035891768E-2</v>
      </c>
      <c r="AG38" s="63">
        <f t="shared" si="22"/>
        <v>3.8400000000000001E-3</v>
      </c>
      <c r="AH38" s="63">
        <f t="shared" si="23"/>
        <v>0</v>
      </c>
      <c r="AI38" s="63">
        <f t="shared" si="48"/>
        <v>3.1238095238095238E-2</v>
      </c>
      <c r="AJ38" s="63">
        <f t="shared" si="49"/>
        <v>0.12590243080070723</v>
      </c>
      <c r="AK38" s="63">
        <f t="shared" si="24"/>
        <v>1.3528634940808193</v>
      </c>
      <c r="AL38" s="63">
        <f t="shared" si="25"/>
        <v>1.7387276519357349E-2</v>
      </c>
      <c r="AM38" s="63">
        <f t="shared" si="26"/>
        <v>1.7436998352930264E-2</v>
      </c>
      <c r="AN38" s="63">
        <f t="shared" si="27"/>
        <v>1.1343640846500001E-2</v>
      </c>
      <c r="AO38" s="63">
        <f t="shared" si="28"/>
        <v>63.013924902307508</v>
      </c>
      <c r="AP38" s="63">
        <f t="shared" si="50"/>
        <v>1.1343640846500001E-2</v>
      </c>
      <c r="AQ38" s="61">
        <f t="shared" si="29"/>
        <v>6.5600000000000006E-2</v>
      </c>
      <c r="AR38" s="61">
        <f t="shared" si="30"/>
        <v>7110400000</v>
      </c>
      <c r="AS38" s="61">
        <f t="shared" si="51"/>
        <v>6.5600000000000006E-2</v>
      </c>
      <c r="AT38" s="61">
        <f t="shared" si="52"/>
        <v>3.4361904761904767E-2</v>
      </c>
      <c r="AU38" s="63">
        <f t="shared" si="53"/>
        <v>6.3142543961335035E-2</v>
      </c>
      <c r="AV38" s="63">
        <f t="shared" si="31"/>
        <v>1.9324651836943971E-2</v>
      </c>
      <c r="AW38" s="63">
        <f t="shared" si="32"/>
        <v>1.9840000000000001E-3</v>
      </c>
      <c r="AX38" s="63">
        <f t="shared" si="33"/>
        <v>3.5200000000000002E-2</v>
      </c>
      <c r="AY38" s="63">
        <f t="shared" si="34"/>
        <v>3.7184000000000002E-2</v>
      </c>
      <c r="AZ38" s="63">
        <f t="shared" si="35"/>
        <v>1.9333992277650665</v>
      </c>
      <c r="BA38" s="64">
        <f t="shared" si="36"/>
        <v>31.200000000000003</v>
      </c>
      <c r="BB38" s="76">
        <f t="shared" si="54"/>
        <v>0.94164802667922709</v>
      </c>
      <c r="BC38" s="64">
        <f t="shared" si="55"/>
        <v>94.164802667922714</v>
      </c>
      <c r="BD38" s="63">
        <f t="shared" si="37"/>
        <v>1.6817581423870707</v>
      </c>
      <c r="BE38" s="63">
        <f t="shared" si="56"/>
        <v>0.18904497476204227</v>
      </c>
      <c r="BF38" s="63">
        <f t="shared" si="38"/>
        <v>0.12590243080070723</v>
      </c>
      <c r="BG38" s="63">
        <f t="shared" si="39"/>
        <v>6.3142543961335035E-2</v>
      </c>
      <c r="BH38" s="63">
        <f t="shared" si="40"/>
        <v>1.9324651836943971E-2</v>
      </c>
      <c r="BI38" s="63">
        <f t="shared" si="57"/>
        <v>3.7184000000000002E-2</v>
      </c>
      <c r="BJ38" s="63">
        <f t="shared" si="58"/>
        <v>1.3795499872371105E-3</v>
      </c>
      <c r="BK38" s="63">
        <f t="shared" si="59"/>
        <v>4.7079087917722192E-3</v>
      </c>
      <c r="BL38" s="63">
        <f t="shared" si="60"/>
        <v>1.9333992277650665</v>
      </c>
    </row>
    <row r="39" spans="3:64" x14ac:dyDescent="0.2">
      <c r="C39" s="61">
        <v>27</v>
      </c>
      <c r="D39" s="61">
        <f t="shared" si="0"/>
        <v>25</v>
      </c>
      <c r="E39" s="61">
        <f t="shared" si="1"/>
        <v>25</v>
      </c>
      <c r="F39" s="61">
        <f t="shared" si="2"/>
        <v>25</v>
      </c>
      <c r="G39" s="73">
        <f t="shared" si="3"/>
        <v>16</v>
      </c>
      <c r="H39" s="64">
        <f t="shared" si="4"/>
        <v>1</v>
      </c>
      <c r="I39" s="63">
        <f t="shared" si="41"/>
        <v>2.7</v>
      </c>
      <c r="J39" s="65">
        <f t="shared" si="5"/>
        <v>9.4999999999999998E-3</v>
      </c>
      <c r="K39" s="65">
        <f t="shared" si="6"/>
        <v>9.4999999999999998E-3</v>
      </c>
      <c r="L39" s="65">
        <f t="shared" si="7"/>
        <v>1.0999999999999999E-2</v>
      </c>
      <c r="M39" s="65">
        <f t="shared" si="8"/>
        <v>2.6000000000000003E-3</v>
      </c>
      <c r="N39" s="63">
        <f t="shared" si="9"/>
        <v>0.75389812499999997</v>
      </c>
      <c r="O39" s="64">
        <f t="shared" si="10"/>
        <v>2.8414420331250003</v>
      </c>
      <c r="P39" s="64">
        <f t="shared" si="11"/>
        <v>4.1207210165625003</v>
      </c>
      <c r="Q39" s="64">
        <f t="shared" si="12"/>
        <v>1.2792789834375</v>
      </c>
      <c r="R39" s="64">
        <f t="shared" si="13"/>
        <v>0</v>
      </c>
      <c r="S39" s="64">
        <f t="shared" si="14"/>
        <v>2.8218462163922862</v>
      </c>
      <c r="T39" s="63">
        <f t="shared" si="42"/>
        <v>8.7590976758642067E-2</v>
      </c>
      <c r="U39" s="63">
        <f t="shared" si="15"/>
        <v>1.6</v>
      </c>
      <c r="V39" s="63">
        <f t="shared" si="43"/>
        <v>1.6875909767586421</v>
      </c>
      <c r="W39" s="64">
        <f t="shared" si="44"/>
        <v>0.82025366135571831</v>
      </c>
      <c r="X39" s="63">
        <f t="shared" si="16"/>
        <v>4.7097124827722298E-3</v>
      </c>
      <c r="Y39" s="63">
        <f t="shared" si="45"/>
        <v>4.7097124827722298E-3</v>
      </c>
      <c r="Z39" s="64">
        <f t="shared" si="17"/>
        <v>1.2154780906017018</v>
      </c>
      <c r="AA39" s="74">
        <f t="shared" si="18"/>
        <v>1.4773869887327587E-3</v>
      </c>
      <c r="AB39" s="75">
        <f t="shared" si="46"/>
        <v>1.4773869887327587E-3</v>
      </c>
      <c r="AC39" s="63">
        <f t="shared" si="19"/>
        <v>2.4501330788580526</v>
      </c>
      <c r="AD39" s="63">
        <f t="shared" si="47"/>
        <v>5.7029944989087186E-2</v>
      </c>
      <c r="AE39" s="63">
        <f t="shared" si="20"/>
        <v>5.7568376893330567E-2</v>
      </c>
      <c r="AF39" s="63">
        <f t="shared" si="21"/>
        <v>3.8339351260736607E-2</v>
      </c>
      <c r="AG39" s="63">
        <f t="shared" si="22"/>
        <v>3.8400000000000001E-3</v>
      </c>
      <c r="AH39" s="63">
        <f t="shared" si="23"/>
        <v>0</v>
      </c>
      <c r="AI39" s="63">
        <f t="shared" si="48"/>
        <v>3.1238095238095238E-2</v>
      </c>
      <c r="AJ39" s="63">
        <f t="shared" si="49"/>
        <v>0.13098582339216241</v>
      </c>
      <c r="AK39" s="63">
        <f t="shared" si="24"/>
        <v>1.3998799823031336</v>
      </c>
      <c r="AL39" s="63">
        <f t="shared" si="25"/>
        <v>1.8616807666103706E-2</v>
      </c>
      <c r="AM39" s="63">
        <f t="shared" si="26"/>
        <v>1.8673821765608743E-2</v>
      </c>
      <c r="AN39" s="63">
        <f t="shared" si="27"/>
        <v>1.1823423186750004E-2</v>
      </c>
      <c r="AO39" s="63">
        <f t="shared" si="28"/>
        <v>65.679115802396268</v>
      </c>
      <c r="AP39" s="63">
        <f t="shared" si="50"/>
        <v>1.1823423186750004E-2</v>
      </c>
      <c r="AQ39" s="61">
        <f t="shared" si="29"/>
        <v>6.5600000000000006E-2</v>
      </c>
      <c r="AR39" s="61">
        <f t="shared" si="30"/>
        <v>7110400000</v>
      </c>
      <c r="AS39" s="61">
        <f t="shared" si="51"/>
        <v>6.5600000000000006E-2</v>
      </c>
      <c r="AT39" s="61">
        <f t="shared" si="52"/>
        <v>3.4361904761904767E-2</v>
      </c>
      <c r="AU39" s="63">
        <f t="shared" si="53"/>
        <v>6.4859149714263514E-2</v>
      </c>
      <c r="AV39" s="63">
        <f t="shared" si="31"/>
        <v>2.0703321779315401E-2</v>
      </c>
      <c r="AW39" s="63">
        <f t="shared" si="32"/>
        <v>1.9840000000000001E-3</v>
      </c>
      <c r="AX39" s="63">
        <f t="shared" si="33"/>
        <v>3.5200000000000002E-2</v>
      </c>
      <c r="AY39" s="63">
        <f t="shared" si="34"/>
        <v>3.7184000000000002E-2</v>
      </c>
      <c r="AZ39" s="63">
        <f t="shared" si="35"/>
        <v>1.9475103711158883</v>
      </c>
      <c r="BA39" s="64">
        <f t="shared" si="36"/>
        <v>32.400000000000006</v>
      </c>
      <c r="BB39" s="76">
        <f t="shared" si="54"/>
        <v>0.94329980979484251</v>
      </c>
      <c r="BC39" s="64">
        <f t="shared" si="55"/>
        <v>94.329980979484247</v>
      </c>
      <c r="BD39" s="63">
        <f t="shared" si="37"/>
        <v>1.6875909767586421</v>
      </c>
      <c r="BE39" s="63">
        <f t="shared" si="56"/>
        <v>0.19584497310642593</v>
      </c>
      <c r="BF39" s="63">
        <f t="shared" si="38"/>
        <v>0.13098582339216241</v>
      </c>
      <c r="BG39" s="63">
        <f t="shared" si="39"/>
        <v>6.4859149714263514E-2</v>
      </c>
      <c r="BH39" s="63">
        <f t="shared" si="40"/>
        <v>2.0703321779315401E-2</v>
      </c>
      <c r="BI39" s="63">
        <f t="shared" si="57"/>
        <v>3.7184000000000002E-2</v>
      </c>
      <c r="BJ39" s="63">
        <f t="shared" si="58"/>
        <v>1.4773869887327587E-3</v>
      </c>
      <c r="BK39" s="63">
        <f t="shared" si="59"/>
        <v>4.7097124827722298E-3</v>
      </c>
      <c r="BL39" s="63">
        <f t="shared" si="60"/>
        <v>1.9475103711158883</v>
      </c>
    </row>
    <row r="40" spans="3:64" x14ac:dyDescent="0.2">
      <c r="C40" s="61">
        <v>28</v>
      </c>
      <c r="D40" s="61">
        <f t="shared" si="0"/>
        <v>25</v>
      </c>
      <c r="E40" s="61">
        <f t="shared" si="1"/>
        <v>25</v>
      </c>
      <c r="F40" s="61">
        <f t="shared" si="2"/>
        <v>25</v>
      </c>
      <c r="G40" s="73">
        <f t="shared" si="3"/>
        <v>16</v>
      </c>
      <c r="H40" s="64">
        <f t="shared" si="4"/>
        <v>1</v>
      </c>
      <c r="I40" s="63">
        <f t="shared" si="41"/>
        <v>2.8</v>
      </c>
      <c r="J40" s="65">
        <f t="shared" si="5"/>
        <v>9.4999999999999998E-3</v>
      </c>
      <c r="K40" s="65">
        <f t="shared" si="6"/>
        <v>9.4999999999999998E-3</v>
      </c>
      <c r="L40" s="65">
        <f t="shared" si="7"/>
        <v>1.0999999999999999E-2</v>
      </c>
      <c r="M40" s="65">
        <f t="shared" si="8"/>
        <v>2.6000000000000003E-3</v>
      </c>
      <c r="N40" s="63">
        <f t="shared" si="9"/>
        <v>0.75404249999999995</v>
      </c>
      <c r="O40" s="64">
        <f t="shared" si="10"/>
        <v>2.8419861825000003</v>
      </c>
      <c r="P40" s="64">
        <f t="shared" si="11"/>
        <v>4.2209930912499996</v>
      </c>
      <c r="Q40" s="64">
        <f t="shared" si="12"/>
        <v>1.3790069087499996</v>
      </c>
      <c r="R40" s="64">
        <f t="shared" si="13"/>
        <v>0</v>
      </c>
      <c r="S40" s="64">
        <f t="shared" si="14"/>
        <v>2.9177172221550318</v>
      </c>
      <c r="T40" s="63">
        <f t="shared" si="42"/>
        <v>9.3643811673060809E-2</v>
      </c>
      <c r="U40" s="63">
        <f t="shared" si="15"/>
        <v>1.6</v>
      </c>
      <c r="V40" s="63">
        <f t="shared" si="43"/>
        <v>1.693643811673061</v>
      </c>
      <c r="W40" s="64">
        <f t="shared" si="44"/>
        <v>0.82041074374978606</v>
      </c>
      <c r="X40" s="63">
        <f t="shared" si="16"/>
        <v>4.7115165192205405E-3</v>
      </c>
      <c r="Y40" s="63">
        <f t="shared" si="45"/>
        <v>4.7115165192205405E-3</v>
      </c>
      <c r="Z40" s="64">
        <f t="shared" si="17"/>
        <v>1.2565250359379618</v>
      </c>
      <c r="AA40" s="74">
        <f t="shared" si="18"/>
        <v>1.5788551659388964E-3</v>
      </c>
      <c r="AB40" s="75">
        <f t="shared" si="46"/>
        <v>1.5788551659388964E-3</v>
      </c>
      <c r="AC40" s="63">
        <f t="shared" si="19"/>
        <v>2.5336178563735507</v>
      </c>
      <c r="AD40" s="63">
        <f t="shared" si="47"/>
        <v>6.098258470028161E-2</v>
      </c>
      <c r="AE40" s="63">
        <f t="shared" si="20"/>
        <v>6.1598641578185703E-2</v>
      </c>
      <c r="AF40" s="63">
        <f t="shared" si="21"/>
        <v>3.9545029485581432E-2</v>
      </c>
      <c r="AG40" s="63">
        <f t="shared" si="22"/>
        <v>3.8400000000000001E-3</v>
      </c>
      <c r="AH40" s="63">
        <f t="shared" si="23"/>
        <v>0</v>
      </c>
      <c r="AI40" s="63">
        <f t="shared" si="48"/>
        <v>3.1238095238095238E-2</v>
      </c>
      <c r="AJ40" s="63">
        <f t="shared" si="49"/>
        <v>0.13622176630186236</v>
      </c>
      <c r="AK40" s="63">
        <f t="shared" si="24"/>
        <v>1.4470156689978064</v>
      </c>
      <c r="AL40" s="63">
        <f t="shared" si="25"/>
        <v>1.9891616290089106E-2</v>
      </c>
      <c r="AM40" s="63">
        <f t="shared" si="26"/>
        <v>1.9956719601118257E-2</v>
      </c>
      <c r="AN40" s="63">
        <f t="shared" si="27"/>
        <v>1.2303205527E-2</v>
      </c>
      <c r="AO40" s="63">
        <f t="shared" si="28"/>
        <v>68.344306702485</v>
      </c>
      <c r="AP40" s="63">
        <f t="shared" si="50"/>
        <v>1.2303205527E-2</v>
      </c>
      <c r="AQ40" s="61">
        <f t="shared" si="29"/>
        <v>6.5600000000000006E-2</v>
      </c>
      <c r="AR40" s="61">
        <f t="shared" si="30"/>
        <v>7110400000</v>
      </c>
      <c r="AS40" s="61">
        <f t="shared" si="51"/>
        <v>6.5600000000000006E-2</v>
      </c>
      <c r="AT40" s="61">
        <f t="shared" si="52"/>
        <v>3.4361904761904767E-2</v>
      </c>
      <c r="AU40" s="63">
        <f t="shared" si="53"/>
        <v>6.6621829890023021E-2</v>
      </c>
      <c r="AV40" s="63">
        <f t="shared" si="31"/>
        <v>2.2133991849996197E-2</v>
      </c>
      <c r="AW40" s="63">
        <f t="shared" si="32"/>
        <v>1.9840000000000001E-3</v>
      </c>
      <c r="AX40" s="63">
        <f t="shared" si="33"/>
        <v>3.5200000000000002E-2</v>
      </c>
      <c r="AY40" s="63">
        <f t="shared" si="34"/>
        <v>3.7184000000000002E-2</v>
      </c>
      <c r="AZ40" s="63">
        <f t="shared" si="35"/>
        <v>1.9620957714001019</v>
      </c>
      <c r="BA40" s="64">
        <f t="shared" si="36"/>
        <v>33.599999999999994</v>
      </c>
      <c r="BB40" s="76">
        <f t="shared" si="54"/>
        <v>0.94482620529417538</v>
      </c>
      <c r="BC40" s="64">
        <f t="shared" si="55"/>
        <v>94.482620529417545</v>
      </c>
      <c r="BD40" s="63">
        <f t="shared" si="37"/>
        <v>1.693643811673061</v>
      </c>
      <c r="BE40" s="63">
        <f t="shared" si="56"/>
        <v>0.20284359619188538</v>
      </c>
      <c r="BF40" s="63">
        <f t="shared" si="38"/>
        <v>0.13622176630186236</v>
      </c>
      <c r="BG40" s="63">
        <f t="shared" si="39"/>
        <v>6.6621829890023021E-2</v>
      </c>
      <c r="BH40" s="63">
        <f t="shared" si="40"/>
        <v>2.2133991849996197E-2</v>
      </c>
      <c r="BI40" s="63">
        <f t="shared" si="57"/>
        <v>3.7184000000000002E-2</v>
      </c>
      <c r="BJ40" s="63">
        <f t="shared" si="58"/>
        <v>1.5788551659388964E-3</v>
      </c>
      <c r="BK40" s="63">
        <f t="shared" si="59"/>
        <v>4.7115165192205405E-3</v>
      </c>
      <c r="BL40" s="63">
        <f t="shared" si="60"/>
        <v>1.9620957714001019</v>
      </c>
    </row>
    <row r="41" spans="3:64" x14ac:dyDescent="0.2">
      <c r="C41" s="61">
        <v>29</v>
      </c>
      <c r="D41" s="61">
        <f t="shared" si="0"/>
        <v>25</v>
      </c>
      <c r="E41" s="61">
        <f t="shared" si="1"/>
        <v>25</v>
      </c>
      <c r="F41" s="61">
        <f t="shared" si="2"/>
        <v>25</v>
      </c>
      <c r="G41" s="73">
        <f t="shared" si="3"/>
        <v>16</v>
      </c>
      <c r="H41" s="64">
        <f t="shared" si="4"/>
        <v>1</v>
      </c>
      <c r="I41" s="63">
        <f t="shared" si="41"/>
        <v>2.9</v>
      </c>
      <c r="J41" s="65">
        <f t="shared" si="5"/>
        <v>9.4999999999999998E-3</v>
      </c>
      <c r="K41" s="65">
        <f t="shared" si="6"/>
        <v>9.4999999999999998E-3</v>
      </c>
      <c r="L41" s="65">
        <f t="shared" si="7"/>
        <v>1.0999999999999999E-2</v>
      </c>
      <c r="M41" s="65">
        <f t="shared" si="8"/>
        <v>2.6000000000000003E-3</v>
      </c>
      <c r="N41" s="63">
        <f t="shared" si="9"/>
        <v>0.75418687500000003</v>
      </c>
      <c r="O41" s="64">
        <f t="shared" si="10"/>
        <v>2.8425303318750008</v>
      </c>
      <c r="P41" s="64">
        <f t="shared" si="11"/>
        <v>4.3212651659375005</v>
      </c>
      <c r="Q41" s="64">
        <f t="shared" si="12"/>
        <v>1.4787348340624995</v>
      </c>
      <c r="R41" s="64">
        <f t="shared" si="13"/>
        <v>0</v>
      </c>
      <c r="S41" s="64">
        <f t="shared" si="14"/>
        <v>3.0138565920266429</v>
      </c>
      <c r="T41" s="63">
        <f t="shared" si="42"/>
        <v>9.9916647130326955E-2</v>
      </c>
      <c r="U41" s="63">
        <f t="shared" si="15"/>
        <v>1.6</v>
      </c>
      <c r="V41" s="63">
        <f t="shared" si="43"/>
        <v>1.6999166471303271</v>
      </c>
      <c r="W41" s="64">
        <f t="shared" si="44"/>
        <v>0.82056782614385404</v>
      </c>
      <c r="X41" s="63">
        <f t="shared" si="16"/>
        <v>4.7133209011171523E-3</v>
      </c>
      <c r="Y41" s="63">
        <f t="shared" si="45"/>
        <v>4.7133209011171523E-3</v>
      </c>
      <c r="Z41" s="64">
        <f t="shared" si="17"/>
        <v>1.2976710099216622</v>
      </c>
      <c r="AA41" s="74">
        <f t="shared" si="18"/>
        <v>1.6839500499911068E-3</v>
      </c>
      <c r="AB41" s="75">
        <f t="shared" si="46"/>
        <v>1.6839500499911068E-3</v>
      </c>
      <c r="AC41" s="63">
        <f t="shared" si="19"/>
        <v>2.6173516083611732</v>
      </c>
      <c r="AD41" s="63">
        <f t="shared" si="47"/>
        <v>6.5080029697012792E-2</v>
      </c>
      <c r="AE41" s="63">
        <f t="shared" si="20"/>
        <v>6.5782130591046081E-2</v>
      </c>
      <c r="AF41" s="63">
        <f t="shared" si="21"/>
        <v>4.075070771042627E-2</v>
      </c>
      <c r="AG41" s="63">
        <f t="shared" si="22"/>
        <v>3.8400000000000001E-3</v>
      </c>
      <c r="AH41" s="63">
        <f t="shared" si="23"/>
        <v>0</v>
      </c>
      <c r="AI41" s="63">
        <f t="shared" si="48"/>
        <v>3.1238095238095238E-2</v>
      </c>
      <c r="AJ41" s="63">
        <f t="shared" si="49"/>
        <v>0.14161093353956758</v>
      </c>
      <c r="AK41" s="63">
        <f t="shared" si="24"/>
        <v>1.4942563754294749</v>
      </c>
      <c r="AL41" s="63">
        <f t="shared" si="25"/>
        <v>2.1211620097360502E-2</v>
      </c>
      <c r="AM41" s="63">
        <f t="shared" si="26"/>
        <v>2.128566666723828E-2</v>
      </c>
      <c r="AN41" s="63">
        <f t="shared" si="27"/>
        <v>1.278298786725E-2</v>
      </c>
      <c r="AO41" s="63">
        <f t="shared" si="28"/>
        <v>71.009497602573745</v>
      </c>
      <c r="AP41" s="63">
        <f t="shared" si="50"/>
        <v>1.278298786725E-2</v>
      </c>
      <c r="AQ41" s="61">
        <f t="shared" si="29"/>
        <v>6.5600000000000006E-2</v>
      </c>
      <c r="AR41" s="61">
        <f t="shared" si="30"/>
        <v>7110400000</v>
      </c>
      <c r="AS41" s="61">
        <f t="shared" si="51"/>
        <v>6.5600000000000006E-2</v>
      </c>
      <c r="AT41" s="61">
        <f t="shared" si="52"/>
        <v>3.4361904761904767E-2</v>
      </c>
      <c r="AU41" s="63">
        <f t="shared" si="53"/>
        <v>6.8430559296393051E-2</v>
      </c>
      <c r="AV41" s="63">
        <f t="shared" si="31"/>
        <v>2.3616662048986374E-2</v>
      </c>
      <c r="AW41" s="63">
        <f t="shared" si="32"/>
        <v>1.9840000000000001E-3</v>
      </c>
      <c r="AX41" s="63">
        <f t="shared" si="33"/>
        <v>3.5200000000000002E-2</v>
      </c>
      <c r="AY41" s="63">
        <f t="shared" si="34"/>
        <v>3.7184000000000002E-2</v>
      </c>
      <c r="AZ41" s="63">
        <f t="shared" si="35"/>
        <v>1.9771560729663824</v>
      </c>
      <c r="BA41" s="64">
        <f t="shared" si="36"/>
        <v>34.799999999999997</v>
      </c>
      <c r="BB41" s="76">
        <f t="shared" si="54"/>
        <v>0.94623956052926783</v>
      </c>
      <c r="BC41" s="64">
        <f t="shared" si="55"/>
        <v>94.623956052926786</v>
      </c>
      <c r="BD41" s="63">
        <f t="shared" si="37"/>
        <v>1.6999166471303271</v>
      </c>
      <c r="BE41" s="63">
        <f t="shared" si="56"/>
        <v>0.21004149283596063</v>
      </c>
      <c r="BF41" s="63">
        <f t="shared" si="38"/>
        <v>0.14161093353956758</v>
      </c>
      <c r="BG41" s="63">
        <f t="shared" si="39"/>
        <v>6.8430559296393051E-2</v>
      </c>
      <c r="BH41" s="63">
        <f t="shared" si="40"/>
        <v>2.3616662048986374E-2</v>
      </c>
      <c r="BI41" s="63">
        <f t="shared" si="57"/>
        <v>3.7184000000000002E-2</v>
      </c>
      <c r="BJ41" s="63">
        <f t="shared" si="58"/>
        <v>1.6839500499911068E-3</v>
      </c>
      <c r="BK41" s="63">
        <f t="shared" si="59"/>
        <v>4.7133209011171523E-3</v>
      </c>
      <c r="BL41" s="63">
        <f t="shared" si="60"/>
        <v>1.9771560729663824</v>
      </c>
    </row>
    <row r="42" spans="3:64" x14ac:dyDescent="0.2">
      <c r="C42" s="61">
        <v>30</v>
      </c>
      <c r="D42" s="61">
        <f t="shared" si="0"/>
        <v>25</v>
      </c>
      <c r="E42" s="61">
        <f t="shared" si="1"/>
        <v>25</v>
      </c>
      <c r="F42" s="61">
        <f t="shared" si="2"/>
        <v>25</v>
      </c>
      <c r="G42" s="73">
        <f t="shared" si="3"/>
        <v>16</v>
      </c>
      <c r="H42" s="64">
        <f t="shared" si="4"/>
        <v>1</v>
      </c>
      <c r="I42" s="63">
        <f t="shared" si="41"/>
        <v>3</v>
      </c>
      <c r="J42" s="65">
        <f t="shared" si="5"/>
        <v>9.4999999999999998E-3</v>
      </c>
      <c r="K42" s="65">
        <f t="shared" si="6"/>
        <v>9.4999999999999998E-3</v>
      </c>
      <c r="L42" s="65">
        <f t="shared" si="7"/>
        <v>1.0999999999999999E-2</v>
      </c>
      <c r="M42" s="65">
        <f t="shared" si="8"/>
        <v>2.6000000000000003E-3</v>
      </c>
      <c r="N42" s="63">
        <f t="shared" si="9"/>
        <v>0.75433125000000001</v>
      </c>
      <c r="O42" s="64">
        <f t="shared" si="10"/>
        <v>2.8430744812500004</v>
      </c>
      <c r="P42" s="64">
        <f t="shared" si="11"/>
        <v>4.4215372406249998</v>
      </c>
      <c r="Q42" s="64">
        <f t="shared" si="12"/>
        <v>1.5784627593749998</v>
      </c>
      <c r="R42" s="64">
        <f t="shared" si="13"/>
        <v>0</v>
      </c>
      <c r="S42" s="64">
        <f t="shared" si="14"/>
        <v>3.1102394402191256</v>
      </c>
      <c r="T42" s="63">
        <f t="shared" si="42"/>
        <v>0.10640948313044037</v>
      </c>
      <c r="U42" s="63">
        <f t="shared" si="15"/>
        <v>1.6</v>
      </c>
      <c r="V42" s="63">
        <f t="shared" si="43"/>
        <v>1.7064094831304404</v>
      </c>
      <c r="W42" s="64">
        <f t="shared" si="44"/>
        <v>0.82072490853792168</v>
      </c>
      <c r="X42" s="63">
        <f t="shared" si="16"/>
        <v>4.715125628462059E-3</v>
      </c>
      <c r="Y42" s="63">
        <f t="shared" si="45"/>
        <v>4.715125628462059E-3</v>
      </c>
      <c r="Z42" s="64">
        <f t="shared" si="17"/>
        <v>1.3389052121126297</v>
      </c>
      <c r="AA42" s="74">
        <f t="shared" si="18"/>
        <v>1.7926671670223659E-3</v>
      </c>
      <c r="AB42" s="75">
        <f t="shared" si="46"/>
        <v>1.7926671670223659E-3</v>
      </c>
      <c r="AC42" s="63">
        <f t="shared" si="19"/>
        <v>2.7013127855921359</v>
      </c>
      <c r="AD42" s="63">
        <f t="shared" si="47"/>
        <v>6.932236227323367E-2</v>
      </c>
      <c r="AE42" s="63">
        <f t="shared" si="20"/>
        <v>7.0119542049845343E-2</v>
      </c>
      <c r="AF42" s="63">
        <f t="shared" si="21"/>
        <v>4.1956385935271102E-2</v>
      </c>
      <c r="AG42" s="63">
        <f t="shared" si="22"/>
        <v>3.8400000000000001E-3</v>
      </c>
      <c r="AH42" s="63">
        <f t="shared" si="23"/>
        <v>0</v>
      </c>
      <c r="AI42" s="63">
        <f t="shared" si="48"/>
        <v>3.1238095238095238E-2</v>
      </c>
      <c r="AJ42" s="63">
        <f t="shared" si="49"/>
        <v>0.14715402322321169</v>
      </c>
      <c r="AK42" s="63">
        <f t="shared" si="24"/>
        <v>1.5415896373195539</v>
      </c>
      <c r="AL42" s="63">
        <f t="shared" si="25"/>
        <v>2.2576736793964821E-2</v>
      </c>
      <c r="AM42" s="63">
        <f t="shared" si="26"/>
        <v>2.2660639734981065E-2</v>
      </c>
      <c r="AN42" s="63">
        <f t="shared" si="27"/>
        <v>1.32627702075E-2</v>
      </c>
      <c r="AO42" s="63">
        <f t="shared" si="28"/>
        <v>73.674688502662491</v>
      </c>
      <c r="AP42" s="63">
        <f t="shared" si="50"/>
        <v>1.32627702075E-2</v>
      </c>
      <c r="AQ42" s="61">
        <f t="shared" si="29"/>
        <v>6.5600000000000006E-2</v>
      </c>
      <c r="AR42" s="61">
        <f t="shared" si="30"/>
        <v>7110400000</v>
      </c>
      <c r="AS42" s="61">
        <f t="shared" si="51"/>
        <v>6.5600000000000006E-2</v>
      </c>
      <c r="AT42" s="61">
        <f t="shared" si="52"/>
        <v>3.4361904761904767E-2</v>
      </c>
      <c r="AU42" s="63">
        <f t="shared" si="53"/>
        <v>7.0285314704385843E-2</v>
      </c>
      <c r="AV42" s="63">
        <f t="shared" si="31"/>
        <v>2.5151332376285911E-2</v>
      </c>
      <c r="AW42" s="63">
        <f t="shared" si="32"/>
        <v>1.9840000000000001E-3</v>
      </c>
      <c r="AX42" s="63">
        <f t="shared" si="33"/>
        <v>3.5200000000000002E-2</v>
      </c>
      <c r="AY42" s="63">
        <f t="shared" si="34"/>
        <v>3.7184000000000002E-2</v>
      </c>
      <c r="AZ42" s="63">
        <f t="shared" si="35"/>
        <v>1.9926919462298085</v>
      </c>
      <c r="BA42" s="64">
        <f t="shared" si="36"/>
        <v>36</v>
      </c>
      <c r="BB42" s="76">
        <f t="shared" si="54"/>
        <v>0.94755065134500016</v>
      </c>
      <c r="BC42" s="64">
        <f t="shared" si="55"/>
        <v>94.755065134500015</v>
      </c>
      <c r="BD42" s="63">
        <f t="shared" si="37"/>
        <v>1.7064094831304404</v>
      </c>
      <c r="BE42" s="63">
        <f t="shared" si="56"/>
        <v>0.21743933792759754</v>
      </c>
      <c r="BF42" s="63">
        <f t="shared" si="38"/>
        <v>0.14715402322321169</v>
      </c>
      <c r="BG42" s="63">
        <f t="shared" si="39"/>
        <v>7.0285314704385843E-2</v>
      </c>
      <c r="BH42" s="63">
        <f t="shared" si="40"/>
        <v>2.5151332376285911E-2</v>
      </c>
      <c r="BI42" s="63">
        <f t="shared" si="57"/>
        <v>3.7184000000000002E-2</v>
      </c>
      <c r="BJ42" s="63">
        <f t="shared" si="58"/>
        <v>1.7926671670223659E-3</v>
      </c>
      <c r="BK42" s="63">
        <f t="shared" si="59"/>
        <v>4.715125628462059E-3</v>
      </c>
      <c r="BL42" s="63">
        <f t="shared" si="60"/>
        <v>1.9926919462298085</v>
      </c>
    </row>
    <row r="43" spans="3:64" x14ac:dyDescent="0.2">
      <c r="C43" s="61">
        <v>31</v>
      </c>
      <c r="D43" s="61">
        <f t="shared" si="0"/>
        <v>25</v>
      </c>
      <c r="E43" s="61">
        <f t="shared" si="1"/>
        <v>25</v>
      </c>
      <c r="F43" s="61">
        <f t="shared" si="2"/>
        <v>25</v>
      </c>
      <c r="G43" s="73">
        <f t="shared" si="3"/>
        <v>16</v>
      </c>
      <c r="H43" s="64">
        <f t="shared" si="4"/>
        <v>1</v>
      </c>
      <c r="I43" s="63">
        <f t="shared" si="41"/>
        <v>3.1</v>
      </c>
      <c r="J43" s="65">
        <f t="shared" si="5"/>
        <v>9.4999999999999998E-3</v>
      </c>
      <c r="K43" s="65">
        <f t="shared" si="6"/>
        <v>9.4999999999999998E-3</v>
      </c>
      <c r="L43" s="65">
        <f t="shared" si="7"/>
        <v>1.0999999999999999E-2</v>
      </c>
      <c r="M43" s="65">
        <f t="shared" si="8"/>
        <v>2.6000000000000003E-3</v>
      </c>
      <c r="N43" s="63">
        <f t="shared" si="9"/>
        <v>0.75447562499999998</v>
      </c>
      <c r="O43" s="64">
        <f t="shared" si="10"/>
        <v>2.8436186306250004</v>
      </c>
      <c r="P43" s="64">
        <f t="shared" si="11"/>
        <v>4.5218093153125007</v>
      </c>
      <c r="Q43" s="64">
        <f t="shared" si="12"/>
        <v>1.6781906846874999</v>
      </c>
      <c r="R43" s="64">
        <f t="shared" si="13"/>
        <v>0</v>
      </c>
      <c r="S43" s="64">
        <f t="shared" si="14"/>
        <v>3.2068438133212021</v>
      </c>
      <c r="T43" s="63">
        <f t="shared" si="42"/>
        <v>0.11312231967340115</v>
      </c>
      <c r="U43" s="63">
        <f t="shared" si="15"/>
        <v>1.6</v>
      </c>
      <c r="V43" s="63">
        <f t="shared" si="43"/>
        <v>1.7131223196734013</v>
      </c>
      <c r="W43" s="64">
        <f t="shared" si="44"/>
        <v>0.82088199093198955</v>
      </c>
      <c r="X43" s="63">
        <f t="shared" si="16"/>
        <v>4.7169307012552685E-3</v>
      </c>
      <c r="Y43" s="63">
        <f t="shared" si="45"/>
        <v>4.7169307012552685E-3</v>
      </c>
      <c r="Z43" s="64">
        <f t="shared" si="17"/>
        <v>1.3802181125325979</v>
      </c>
      <c r="AA43" s="74">
        <f t="shared" si="18"/>
        <v>1.905002038163047E-3</v>
      </c>
      <c r="AB43" s="75">
        <f t="shared" si="46"/>
        <v>1.905002038163047E-3</v>
      </c>
      <c r="AC43" s="63">
        <f t="shared" si="19"/>
        <v>2.7854823776312907</v>
      </c>
      <c r="AD43" s="63">
        <f t="shared" si="47"/>
        <v>7.3709664722897444E-2</v>
      </c>
      <c r="AE43" s="63">
        <f t="shared" si="20"/>
        <v>7.4611598451530939E-2</v>
      </c>
      <c r="AF43" s="63">
        <f t="shared" si="21"/>
        <v>4.3162064160115941E-2</v>
      </c>
      <c r="AG43" s="63">
        <f t="shared" si="22"/>
        <v>3.8400000000000001E-3</v>
      </c>
      <c r="AH43" s="63">
        <f t="shared" si="23"/>
        <v>0</v>
      </c>
      <c r="AI43" s="63">
        <f t="shared" si="48"/>
        <v>3.1238095238095238E-2</v>
      </c>
      <c r="AJ43" s="63">
        <f t="shared" si="49"/>
        <v>0.15285175784974211</v>
      </c>
      <c r="AK43" s="63">
        <f t="shared" si="24"/>
        <v>1.5890044578106137</v>
      </c>
      <c r="AL43" s="63">
        <f t="shared" si="25"/>
        <v>2.3986884085949026E-2</v>
      </c>
      <c r="AM43" s="63">
        <f t="shared" si="26"/>
        <v>2.4081617532760145E-2</v>
      </c>
      <c r="AN43" s="63">
        <f t="shared" si="27"/>
        <v>1.3742552547750003E-2</v>
      </c>
      <c r="AO43" s="63">
        <f t="shared" si="28"/>
        <v>76.339879402751265</v>
      </c>
      <c r="AP43" s="63">
        <f t="shared" si="50"/>
        <v>1.3742552547750003E-2</v>
      </c>
      <c r="AQ43" s="61">
        <f t="shared" si="29"/>
        <v>6.5600000000000006E-2</v>
      </c>
      <c r="AR43" s="61">
        <f t="shared" si="30"/>
        <v>7110400000</v>
      </c>
      <c r="AS43" s="61">
        <f t="shared" si="51"/>
        <v>6.5600000000000006E-2</v>
      </c>
      <c r="AT43" s="61">
        <f t="shared" si="52"/>
        <v>3.4361904761904767E-2</v>
      </c>
      <c r="AU43" s="63">
        <f t="shared" si="53"/>
        <v>7.2186074842414905E-2</v>
      </c>
      <c r="AV43" s="63">
        <f t="shared" si="31"/>
        <v>2.6738002831894821E-2</v>
      </c>
      <c r="AW43" s="63">
        <f t="shared" si="32"/>
        <v>1.9840000000000001E-3</v>
      </c>
      <c r="AX43" s="63">
        <f t="shared" si="33"/>
        <v>3.5200000000000002E-2</v>
      </c>
      <c r="AY43" s="63">
        <f t="shared" si="34"/>
        <v>3.7184000000000002E-2</v>
      </c>
      <c r="AZ43" s="63">
        <f t="shared" si="35"/>
        <v>2.0087040879368718</v>
      </c>
      <c r="BA43" s="64">
        <f t="shared" si="36"/>
        <v>37.200000000000003</v>
      </c>
      <c r="BB43" s="76">
        <f t="shared" si="54"/>
        <v>0.94876892428192039</v>
      </c>
      <c r="BC43" s="64">
        <f t="shared" si="55"/>
        <v>94.876892428192036</v>
      </c>
      <c r="BD43" s="63">
        <f t="shared" si="37"/>
        <v>1.7131223196734013</v>
      </c>
      <c r="BE43" s="63">
        <f t="shared" si="56"/>
        <v>0.22503783269215702</v>
      </c>
      <c r="BF43" s="63">
        <f t="shared" si="38"/>
        <v>0.15285175784974211</v>
      </c>
      <c r="BG43" s="63">
        <f t="shared" si="39"/>
        <v>7.2186074842414905E-2</v>
      </c>
      <c r="BH43" s="63">
        <f t="shared" si="40"/>
        <v>2.6738002831894821E-2</v>
      </c>
      <c r="BI43" s="63">
        <f t="shared" si="57"/>
        <v>3.7184000000000002E-2</v>
      </c>
      <c r="BJ43" s="63">
        <f t="shared" si="58"/>
        <v>1.905002038163047E-3</v>
      </c>
      <c r="BK43" s="63">
        <f t="shared" si="59"/>
        <v>4.7169307012552685E-3</v>
      </c>
      <c r="BL43" s="63">
        <f t="shared" si="60"/>
        <v>2.0087040879368718</v>
      </c>
    </row>
    <row r="44" spans="3:64" x14ac:dyDescent="0.2">
      <c r="C44" s="61">
        <v>32</v>
      </c>
      <c r="D44" s="61">
        <f t="shared" ref="D44:D75" si="61">T.amb+I44*$D$9</f>
        <v>25</v>
      </c>
      <c r="E44" s="61">
        <f t="shared" ref="E44:E75" si="62">T.amb+I44*$E$9</f>
        <v>25</v>
      </c>
      <c r="F44" s="61">
        <f t="shared" ref="F44:F75" si="63">T.amb+I44*$F$9</f>
        <v>25</v>
      </c>
      <c r="G44" s="73">
        <f t="shared" ref="G44:G75" si="64">V.supply_typ</f>
        <v>16</v>
      </c>
      <c r="H44" s="64">
        <f t="shared" ref="H44:H75" si="65">FPWM</f>
        <v>1</v>
      </c>
      <c r="I44" s="63">
        <f t="shared" si="41"/>
        <v>3.2</v>
      </c>
      <c r="J44" s="65">
        <f t="shared" ref="J44:J75" si="66">R.hs25*((D44+275)/300)^2.3</f>
        <v>9.4999999999999998E-3</v>
      </c>
      <c r="K44" s="65">
        <f t="shared" ref="K44:K75" si="67">R.ls25*((E44+275)/300)^2.3</f>
        <v>9.4999999999999998E-3</v>
      </c>
      <c r="L44" s="65">
        <f t="shared" ref="L44:L75" si="68">R.dcr25*((F44+275)/300)^1.2</f>
        <v>1.0999999999999999E-2</v>
      </c>
      <c r="M44" s="65">
        <f t="shared" ref="M44:M75" si="69">R.s</f>
        <v>2.6000000000000003E-3</v>
      </c>
      <c r="N44" s="63">
        <f t="shared" ref="N44:N75" si="70">(V.load+I44*(K44+L44+M44))/(V.supply_typ+I44*(K44-J44))</f>
        <v>0.75461999999999996</v>
      </c>
      <c r="O44" s="64">
        <f t="shared" ref="O44:O75" si="71">(V.supply_typ-I.load*(J44+L44+M44)-V.load)*N44/(f.sw*L.out)</f>
        <v>2.8441627800000004</v>
      </c>
      <c r="P44" s="64">
        <f t="shared" ref="P44:P75" si="72">I44+O44/2</f>
        <v>4.62208139</v>
      </c>
      <c r="Q44" s="64">
        <f t="shared" ref="Q44:Q75" si="73">I44-O44/2</f>
        <v>1.77791861</v>
      </c>
      <c r="R44" s="64">
        <f t="shared" ref="R44:R75" si="74">IF(MIN(V.supply_typ, -Q44/(C.oss_hs+C.oss_ls)*0.00000002)&lt;0, 0, MIN(V.supply_typ, -Q44/(C.oss_hs+C.oss_ls)*0.00000002))</f>
        <v>0</v>
      </c>
      <c r="S44" s="64">
        <f t="shared" ref="S44:S75" si="75">SQRT(I44^2+(O44^2)/12)</f>
        <v>3.3036502780906023</v>
      </c>
      <c r="T44" s="63">
        <f t="shared" si="42"/>
        <v>0.12005515675920925</v>
      </c>
      <c r="U44" s="63">
        <f t="shared" ref="U44:U75" si="76">IF(FPWM=1,P.core,MIN(P.core,P.core*(O44+Q44)/O44))</f>
        <v>1.6</v>
      </c>
      <c r="V44" s="63">
        <f t="shared" si="43"/>
        <v>1.7200551567592093</v>
      </c>
      <c r="W44" s="64">
        <f t="shared" si="44"/>
        <v>0.82103907332605741</v>
      </c>
      <c r="X44" s="63">
        <f t="shared" ref="X44:X75" si="77">R.esrb*W44^2</f>
        <v>4.7187361194967773E-3</v>
      </c>
      <c r="Y44" s="63">
        <f t="shared" si="45"/>
        <v>4.7187361194967773E-3</v>
      </c>
      <c r="Z44" s="64">
        <f t="shared" ref="Z44:Z75" si="78">SQRT(N44*(1-N44))*SQRT(I44^2+(O44^2)/12)</f>
        <v>1.421601273051242</v>
      </c>
      <c r="AA44" s="74">
        <f t="shared" ref="AA44:AA75" si="79">R.esr_cin*Z44^2</f>
        <v>2.0209501795409122E-3</v>
      </c>
      <c r="AB44" s="75">
        <f t="shared" si="46"/>
        <v>2.0209501795409122E-3</v>
      </c>
      <c r="AC44" s="63">
        <f t="shared" ref="AC44:AC75" si="80">SQRT(N44)*SQRT(I44^2+(O44^2)/12)</f>
        <v>2.8698435559773903</v>
      </c>
      <c r="AD44" s="63">
        <f t="shared" si="47"/>
        <v>7.8242019339957045E-2</v>
      </c>
      <c r="AE44" s="63">
        <f t="shared" ref="AE44:AE75" si="81">AD44*(1+TC_rdson_hs*(T.amb-25))/(1-AD44*TC_rdson_hs*theta.ja_hs)</f>
        <v>7.9259046953025741E-2</v>
      </c>
      <c r="AF44" s="63">
        <f t="shared" ref="AF44:AF75" si="82">(V.supply_typ*P44/2)*f.sw*T.rise+(V.supply_typ*MAX(Q44,0)/2)*f.sw*T.fall</f>
        <v>4.4367742384960773E-2</v>
      </c>
      <c r="AG44" s="63">
        <f t="shared" ref="AG44:AG75" si="83">0.5*(C.oss_hs+C.oss_ls)*(V.supply_typ-R44)^2*f.sw</f>
        <v>3.8400000000000001E-3</v>
      </c>
      <c r="AH44" s="63">
        <f t="shared" ref="AH44:AH75" si="84">IF(I44&gt;O44/2,0,ABS(Q44)*V.bd_hs*t.d_loff_hon*f.sw)</f>
        <v>0</v>
      </c>
      <c r="AI44" s="63">
        <f t="shared" si="48"/>
        <v>3.1238095238095238E-2</v>
      </c>
      <c r="AJ44" s="63">
        <f t="shared" si="49"/>
        <v>0.15870488457608176</v>
      </c>
      <c r="AK44" s="63">
        <f t="shared" ref="AK44:AK75" si="85">SQRT((1-N44))*SQRT(I44^2+(O44^2)/12)</f>
        <v>1.6364911011500067</v>
      </c>
      <c r="AL44" s="63">
        <f t="shared" ref="AL44:AL75" si="86">K44*AK44^2</f>
        <v>2.5441979679360033E-2</v>
      </c>
      <c r="AM44" s="63">
        <f t="shared" ref="AM44:AM75" si="87">AL44*(1+TC_rdson_ls*(T.amb-25))/(1-AL44*TC_rdson_ls*theta.ja_ls)</f>
        <v>2.5548580740775133E-2</v>
      </c>
      <c r="AN44" s="63">
        <f t="shared" ref="AN44:AN75" si="88">IF(I44&gt;O44/2, Q44*V.bd_ls*t.d_loff_hon*f.sw + P44*V.bd_ls*t.d_hoff_lon*f.sw,P44*V.bd_ls*t.d_hoff_lon*f.sw)</f>
        <v>1.4222334888E-2</v>
      </c>
      <c r="AO44" s="63">
        <f t="shared" ref="AO44:AO75" si="89">IF(I44&gt;O44/2, Q44*V.fwd_sch*t.d_loff_hon*f.sw + P44*V.fwd_sch*t.d_hoff_lon*f.sw,P44*V.fwd_sch*t.d_hoff_lon*f.sw)</f>
        <v>79.005070302839997</v>
      </c>
      <c r="AP44" s="63">
        <f t="shared" si="50"/>
        <v>1.4222334888E-2</v>
      </c>
      <c r="AQ44" s="61">
        <f t="shared" ref="AQ44:AQ75" si="90">Q.rr_ls*V.supply_typ*f.sw</f>
        <v>6.5600000000000006E-2</v>
      </c>
      <c r="AR44" s="61">
        <f t="shared" ref="AR44:AR75" si="91">Q.rr_sch*V.supply_typ*f.sw</f>
        <v>7110400000</v>
      </c>
      <c r="AS44" s="61">
        <f t="shared" si="51"/>
        <v>6.5600000000000006E-2</v>
      </c>
      <c r="AT44" s="61">
        <f t="shared" si="52"/>
        <v>3.4361904761904767E-2</v>
      </c>
      <c r="AU44" s="63">
        <f t="shared" si="53"/>
        <v>7.4132820390679893E-2</v>
      </c>
      <c r="AV44" s="63">
        <f t="shared" ref="AV44:AV75" si="92">R.s*S44^2</f>
        <v>2.8376673415813101E-2</v>
      </c>
      <c r="AW44" s="63">
        <f t="shared" ref="AW44:AW75" si="93">I.q_IC*V.supply_typ</f>
        <v>1.9840000000000001E-3</v>
      </c>
      <c r="AX44" s="63">
        <f t="shared" ref="AX44:AX75" si="94">IF(ExtVCC=1,  (Q.g_hs+Q.g_ls)*f.sw*V.load, (Q.g_hs+Q.g_ls)*f.sw*V.supply_typ)</f>
        <v>3.5200000000000002E-2</v>
      </c>
      <c r="AY44" s="63">
        <f t="shared" ref="AY44:AY75" si="95">SUM(AW44:AX44)</f>
        <v>3.7184000000000002E-2</v>
      </c>
      <c r="AZ44" s="63">
        <f t="shared" ref="AZ44:AZ75" si="96">V44+Y44+AB44+AJ44+AU44+AV44+AY44</f>
        <v>2.0251932214408215</v>
      </c>
      <c r="BA44" s="64">
        <f t="shared" ref="BA44:BA75" si="97">V.load*I44</f>
        <v>38.400000000000006</v>
      </c>
      <c r="BB44" s="76">
        <f t="shared" si="54"/>
        <v>0.94990269532300731</v>
      </c>
      <c r="BC44" s="64">
        <f t="shared" si="55"/>
        <v>94.990269532300729</v>
      </c>
      <c r="BD44" s="63">
        <f t="shared" ref="BD44:BD75" si="98">V44</f>
        <v>1.7200551567592093</v>
      </c>
      <c r="BE44" s="63">
        <f t="shared" si="56"/>
        <v>0.23283770496676165</v>
      </c>
      <c r="BF44" s="63">
        <f t="shared" ref="BF44:BF75" si="99">AJ44</f>
        <v>0.15870488457608176</v>
      </c>
      <c r="BG44" s="63">
        <f t="shared" ref="BG44:BG75" si="100">AU44</f>
        <v>7.4132820390679893E-2</v>
      </c>
      <c r="BH44" s="63">
        <f t="shared" ref="BH44:BH75" si="101">AV44</f>
        <v>2.8376673415813101E-2</v>
      </c>
      <c r="BI44" s="63">
        <f t="shared" si="57"/>
        <v>3.7184000000000002E-2</v>
      </c>
      <c r="BJ44" s="63">
        <f t="shared" si="58"/>
        <v>2.0209501795409122E-3</v>
      </c>
      <c r="BK44" s="63">
        <f t="shared" si="59"/>
        <v>4.7187361194967773E-3</v>
      </c>
      <c r="BL44" s="63">
        <f t="shared" si="60"/>
        <v>2.0251932214408215</v>
      </c>
    </row>
    <row r="45" spans="3:64" x14ac:dyDescent="0.2">
      <c r="C45" s="61">
        <v>33</v>
      </c>
      <c r="D45" s="61">
        <f t="shared" si="61"/>
        <v>25</v>
      </c>
      <c r="E45" s="61">
        <f t="shared" si="62"/>
        <v>25</v>
      </c>
      <c r="F45" s="61">
        <f t="shared" si="63"/>
        <v>25</v>
      </c>
      <c r="G45" s="73">
        <f t="shared" si="64"/>
        <v>16</v>
      </c>
      <c r="H45" s="64">
        <f t="shared" si="65"/>
        <v>1</v>
      </c>
      <c r="I45" s="63">
        <f t="shared" ref="I45:I76" si="102">I.load*C45/100</f>
        <v>3.3</v>
      </c>
      <c r="J45" s="65">
        <f t="shared" si="66"/>
        <v>9.4999999999999998E-3</v>
      </c>
      <c r="K45" s="65">
        <f t="shared" si="67"/>
        <v>9.4999999999999998E-3</v>
      </c>
      <c r="L45" s="65">
        <f t="shared" si="68"/>
        <v>1.0999999999999999E-2</v>
      </c>
      <c r="M45" s="65">
        <f t="shared" si="69"/>
        <v>2.6000000000000003E-3</v>
      </c>
      <c r="N45" s="63">
        <f t="shared" si="70"/>
        <v>0.75476437500000004</v>
      </c>
      <c r="O45" s="64">
        <f t="shared" si="71"/>
        <v>2.8447069293750009</v>
      </c>
      <c r="P45" s="64">
        <f t="shared" si="72"/>
        <v>4.7223534646875001</v>
      </c>
      <c r="Q45" s="64">
        <f t="shared" si="73"/>
        <v>1.8776465353124994</v>
      </c>
      <c r="R45" s="64">
        <f t="shared" si="74"/>
        <v>0</v>
      </c>
      <c r="S45" s="64">
        <f t="shared" si="75"/>
        <v>3.4006415756691428</v>
      </c>
      <c r="T45" s="63">
        <f t="shared" si="42"/>
        <v>0.12720799438786462</v>
      </c>
      <c r="U45" s="63">
        <f t="shared" si="76"/>
        <v>1.6</v>
      </c>
      <c r="V45" s="63">
        <f t="shared" si="43"/>
        <v>1.7272079943878647</v>
      </c>
      <c r="W45" s="64">
        <f t="shared" si="44"/>
        <v>0.82119615572012528</v>
      </c>
      <c r="X45" s="63">
        <f t="shared" si="77"/>
        <v>4.7205418831865855E-3</v>
      </c>
      <c r="Y45" s="63">
        <f t="shared" si="45"/>
        <v>4.7205418831865855E-3</v>
      </c>
      <c r="Z45" s="64">
        <f t="shared" si="78"/>
        <v>1.4630471975575909</v>
      </c>
      <c r="AA45" s="74">
        <f t="shared" si="79"/>
        <v>2.1405071022811205E-3</v>
      </c>
      <c r="AB45" s="75">
        <f t="shared" si="46"/>
        <v>2.1405071022811205E-3</v>
      </c>
      <c r="AC45" s="63">
        <f t="shared" si="80"/>
        <v>2.9543813747037428</v>
      </c>
      <c r="AD45" s="63">
        <f t="shared" si="47"/>
        <v>8.2919508418365581E-2</v>
      </c>
      <c r="AE45" s="63">
        <f t="shared" si="81"/>
        <v>8.4062659662516803E-2</v>
      </c>
      <c r="AF45" s="63">
        <f t="shared" si="82"/>
        <v>4.5573420609805598E-2</v>
      </c>
      <c r="AG45" s="63">
        <f t="shared" si="83"/>
        <v>3.8400000000000001E-3</v>
      </c>
      <c r="AH45" s="63">
        <f t="shared" si="84"/>
        <v>0</v>
      </c>
      <c r="AI45" s="63">
        <f t="shared" si="48"/>
        <v>3.1238095238095238E-2</v>
      </c>
      <c r="AJ45" s="63">
        <f t="shared" si="49"/>
        <v>0.16471417551041764</v>
      </c>
      <c r="AK45" s="63">
        <f t="shared" si="85"/>
        <v>1.6840409196255099</v>
      </c>
      <c r="AL45" s="63">
        <f t="shared" si="86"/>
        <v>2.6941941280244762E-2</v>
      </c>
      <c r="AM45" s="63">
        <f t="shared" si="87"/>
        <v>2.7061511985611603E-2</v>
      </c>
      <c r="AN45" s="63">
        <f t="shared" si="88"/>
        <v>1.4702117228249999E-2</v>
      </c>
      <c r="AO45" s="63">
        <f t="shared" si="89"/>
        <v>81.670261202928742</v>
      </c>
      <c r="AP45" s="63">
        <f t="shared" si="50"/>
        <v>1.4702117228249999E-2</v>
      </c>
      <c r="AQ45" s="61">
        <f t="shared" si="90"/>
        <v>6.5600000000000006E-2</v>
      </c>
      <c r="AR45" s="61">
        <f t="shared" si="91"/>
        <v>7110400000</v>
      </c>
      <c r="AS45" s="61">
        <f t="shared" si="51"/>
        <v>6.5600000000000006E-2</v>
      </c>
      <c r="AT45" s="61">
        <f t="shared" si="52"/>
        <v>3.4361904761904767E-2</v>
      </c>
      <c r="AU45" s="63">
        <f t="shared" si="53"/>
        <v>7.612553397576638E-2</v>
      </c>
      <c r="AV45" s="63">
        <f t="shared" si="92"/>
        <v>3.006734412804073E-2</v>
      </c>
      <c r="AW45" s="63">
        <f t="shared" si="93"/>
        <v>1.9840000000000001E-3</v>
      </c>
      <c r="AX45" s="63">
        <f t="shared" si="94"/>
        <v>3.5200000000000002E-2</v>
      </c>
      <c r="AY45" s="63">
        <f t="shared" si="95"/>
        <v>3.7184000000000002E-2</v>
      </c>
      <c r="AZ45" s="63">
        <f t="shared" si="96"/>
        <v>2.0421600969875566</v>
      </c>
      <c r="BA45" s="64">
        <f t="shared" si="97"/>
        <v>39.599999999999994</v>
      </c>
      <c r="BB45" s="76">
        <f t="shared" si="54"/>
        <v>0.95095931401658262</v>
      </c>
      <c r="BC45" s="64">
        <f t="shared" si="55"/>
        <v>95.095931401658262</v>
      </c>
      <c r="BD45" s="63">
        <f t="shared" si="98"/>
        <v>1.7272079943878647</v>
      </c>
      <c r="BE45" s="63">
        <f t="shared" si="56"/>
        <v>0.24083970948618402</v>
      </c>
      <c r="BF45" s="63">
        <f t="shared" si="99"/>
        <v>0.16471417551041764</v>
      </c>
      <c r="BG45" s="63">
        <f t="shared" si="100"/>
        <v>7.612553397576638E-2</v>
      </c>
      <c r="BH45" s="63">
        <f t="shared" si="101"/>
        <v>3.006734412804073E-2</v>
      </c>
      <c r="BI45" s="63">
        <f t="shared" si="57"/>
        <v>3.7184000000000002E-2</v>
      </c>
      <c r="BJ45" s="63">
        <f t="shared" si="58"/>
        <v>2.1405071022811205E-3</v>
      </c>
      <c r="BK45" s="63">
        <f t="shared" si="59"/>
        <v>4.7205418831865855E-3</v>
      </c>
      <c r="BL45" s="63">
        <f t="shared" si="60"/>
        <v>2.0421600969875575</v>
      </c>
    </row>
    <row r="46" spans="3:64" x14ac:dyDescent="0.2">
      <c r="C46" s="61">
        <v>34</v>
      </c>
      <c r="D46" s="61">
        <f t="shared" si="61"/>
        <v>25</v>
      </c>
      <c r="E46" s="61">
        <f t="shared" si="62"/>
        <v>25</v>
      </c>
      <c r="F46" s="61">
        <f t="shared" si="63"/>
        <v>25</v>
      </c>
      <c r="G46" s="73">
        <f t="shared" si="64"/>
        <v>16</v>
      </c>
      <c r="H46" s="64">
        <f t="shared" si="65"/>
        <v>1</v>
      </c>
      <c r="I46" s="63">
        <f t="shared" si="102"/>
        <v>3.4</v>
      </c>
      <c r="J46" s="65">
        <f t="shared" si="66"/>
        <v>9.4999999999999998E-3</v>
      </c>
      <c r="K46" s="65">
        <f t="shared" si="67"/>
        <v>9.4999999999999998E-3</v>
      </c>
      <c r="L46" s="65">
        <f t="shared" si="68"/>
        <v>1.0999999999999999E-2</v>
      </c>
      <c r="M46" s="65">
        <f t="shared" si="69"/>
        <v>2.6000000000000003E-3</v>
      </c>
      <c r="N46" s="63">
        <f t="shared" si="70"/>
        <v>0.75490875000000002</v>
      </c>
      <c r="O46" s="64">
        <f t="shared" si="71"/>
        <v>2.8452510787500005</v>
      </c>
      <c r="P46" s="64">
        <f t="shared" si="72"/>
        <v>4.8226255393750002</v>
      </c>
      <c r="Q46" s="64">
        <f t="shared" si="73"/>
        <v>1.9773744606249997</v>
      </c>
      <c r="R46" s="64">
        <f t="shared" si="74"/>
        <v>0</v>
      </c>
      <c r="S46" s="64">
        <f t="shared" si="75"/>
        <v>3.497802330286929</v>
      </c>
      <c r="T46" s="63">
        <f t="shared" si="42"/>
        <v>0.13458083255936737</v>
      </c>
      <c r="U46" s="63">
        <f t="shared" si="76"/>
        <v>1.6</v>
      </c>
      <c r="V46" s="63">
        <f t="shared" si="43"/>
        <v>1.7345808325593675</v>
      </c>
      <c r="W46" s="64">
        <f t="shared" si="44"/>
        <v>0.82135323811419303</v>
      </c>
      <c r="X46" s="63">
        <f t="shared" si="77"/>
        <v>4.722347992324692E-3</v>
      </c>
      <c r="Y46" s="63">
        <f t="shared" si="45"/>
        <v>4.722347992324692E-3</v>
      </c>
      <c r="Z46" s="64">
        <f t="shared" si="78"/>
        <v>1.5045492057444407</v>
      </c>
      <c r="AA46" s="74">
        <f t="shared" si="79"/>
        <v>2.2636683125062274E-3</v>
      </c>
      <c r="AB46" s="75">
        <f t="shared" si="46"/>
        <v>2.2636683125062274E-3</v>
      </c>
      <c r="AC46" s="63">
        <f t="shared" si="80"/>
        <v>3.0390825182693084</v>
      </c>
      <c r="AD46" s="63">
        <f t="shared" si="47"/>
        <v>8.7742214252076151E-2</v>
      </c>
      <c r="AE46" s="63">
        <f t="shared" si="81"/>
        <v>8.9023233941281879E-2</v>
      </c>
      <c r="AF46" s="63">
        <f t="shared" si="82"/>
        <v>4.677909883465043E-2</v>
      </c>
      <c r="AG46" s="63">
        <f t="shared" si="83"/>
        <v>3.8400000000000001E-3</v>
      </c>
      <c r="AH46" s="63">
        <f t="shared" si="84"/>
        <v>0</v>
      </c>
      <c r="AI46" s="63">
        <f t="shared" si="48"/>
        <v>3.1238095238095238E-2</v>
      </c>
      <c r="AJ46" s="63">
        <f t="shared" si="49"/>
        <v>0.17088042801402753</v>
      </c>
      <c r="AK46" s="63">
        <f t="shared" si="85"/>
        <v>1.731646207777602</v>
      </c>
      <c r="AL46" s="63">
        <f t="shared" si="86"/>
        <v>2.8486686594650226E-2</v>
      </c>
      <c r="AM46" s="63">
        <f t="shared" si="87"/>
        <v>2.8620395835054581E-2</v>
      </c>
      <c r="AN46" s="63">
        <f t="shared" si="88"/>
        <v>1.5181899568500003E-2</v>
      </c>
      <c r="AO46" s="63">
        <f t="shared" si="89"/>
        <v>84.335452103017502</v>
      </c>
      <c r="AP46" s="63">
        <f t="shared" si="50"/>
        <v>1.5181899568500003E-2</v>
      </c>
      <c r="AQ46" s="61">
        <f t="shared" si="90"/>
        <v>6.5600000000000006E-2</v>
      </c>
      <c r="AR46" s="61">
        <f t="shared" si="91"/>
        <v>7110400000</v>
      </c>
      <c r="AS46" s="61">
        <f t="shared" si="51"/>
        <v>6.5600000000000006E-2</v>
      </c>
      <c r="AT46" s="61">
        <f t="shared" si="52"/>
        <v>3.4361904761904767E-2</v>
      </c>
      <c r="AU46" s="63">
        <f t="shared" si="53"/>
        <v>7.8164200165459358E-2</v>
      </c>
      <c r="AV46" s="63">
        <f t="shared" si="92"/>
        <v>3.181001496857775E-2</v>
      </c>
      <c r="AW46" s="63">
        <f t="shared" si="93"/>
        <v>1.9840000000000001E-3</v>
      </c>
      <c r="AX46" s="63">
        <f t="shared" si="94"/>
        <v>3.5200000000000002E-2</v>
      </c>
      <c r="AY46" s="63">
        <f t="shared" si="95"/>
        <v>3.7184000000000002E-2</v>
      </c>
      <c r="AZ46" s="63">
        <f t="shared" si="96"/>
        <v>2.0596054920122628</v>
      </c>
      <c r="BA46" s="64">
        <f t="shared" si="97"/>
        <v>40.799999999999997</v>
      </c>
      <c r="BB46" s="76">
        <f t="shared" si="54"/>
        <v>0.95194529981392129</v>
      </c>
      <c r="BC46" s="64">
        <f t="shared" si="55"/>
        <v>95.194529981392122</v>
      </c>
      <c r="BD46" s="63">
        <f t="shared" si="98"/>
        <v>1.7345808325593675</v>
      </c>
      <c r="BE46" s="63">
        <f t="shared" si="56"/>
        <v>0.24904462817948689</v>
      </c>
      <c r="BF46" s="63">
        <f t="shared" si="99"/>
        <v>0.17088042801402753</v>
      </c>
      <c r="BG46" s="63">
        <f t="shared" si="100"/>
        <v>7.8164200165459358E-2</v>
      </c>
      <c r="BH46" s="63">
        <f t="shared" si="101"/>
        <v>3.181001496857775E-2</v>
      </c>
      <c r="BI46" s="63">
        <f t="shared" si="57"/>
        <v>3.7184000000000002E-2</v>
      </c>
      <c r="BJ46" s="63">
        <f t="shared" si="58"/>
        <v>2.2636683125062274E-3</v>
      </c>
      <c r="BK46" s="63">
        <f t="shared" si="59"/>
        <v>4.722347992324692E-3</v>
      </c>
      <c r="BL46" s="63">
        <f t="shared" si="60"/>
        <v>2.0596054920122633</v>
      </c>
    </row>
    <row r="47" spans="3:64" x14ac:dyDescent="0.2">
      <c r="C47" s="61">
        <v>35</v>
      </c>
      <c r="D47" s="61">
        <f t="shared" si="61"/>
        <v>25</v>
      </c>
      <c r="E47" s="61">
        <f t="shared" si="62"/>
        <v>25</v>
      </c>
      <c r="F47" s="61">
        <f t="shared" si="63"/>
        <v>25</v>
      </c>
      <c r="G47" s="73">
        <f t="shared" si="64"/>
        <v>16</v>
      </c>
      <c r="H47" s="64">
        <f t="shared" si="65"/>
        <v>1</v>
      </c>
      <c r="I47" s="63">
        <f t="shared" si="102"/>
        <v>3.5</v>
      </c>
      <c r="J47" s="65">
        <f t="shared" si="66"/>
        <v>9.4999999999999998E-3</v>
      </c>
      <c r="K47" s="65">
        <f t="shared" si="67"/>
        <v>9.4999999999999998E-3</v>
      </c>
      <c r="L47" s="65">
        <f t="shared" si="68"/>
        <v>1.0999999999999999E-2</v>
      </c>
      <c r="M47" s="65">
        <f t="shared" si="69"/>
        <v>2.6000000000000003E-3</v>
      </c>
      <c r="N47" s="63">
        <f t="shared" si="70"/>
        <v>0.75505312499999999</v>
      </c>
      <c r="O47" s="64">
        <f t="shared" si="71"/>
        <v>2.8457952281250005</v>
      </c>
      <c r="P47" s="64">
        <f t="shared" si="72"/>
        <v>4.9228976140625003</v>
      </c>
      <c r="Q47" s="64">
        <f t="shared" si="73"/>
        <v>2.0771023859374997</v>
      </c>
      <c r="R47" s="64">
        <f t="shared" si="74"/>
        <v>0</v>
      </c>
      <c r="S47" s="64">
        <f t="shared" si="75"/>
        <v>3.5951188028633467</v>
      </c>
      <c r="T47" s="63">
        <f t="shared" si="42"/>
        <v>0.14217367127371741</v>
      </c>
      <c r="U47" s="63">
        <f t="shared" si="76"/>
        <v>1.6</v>
      </c>
      <c r="V47" s="63">
        <f t="shared" si="43"/>
        <v>1.7421736712737175</v>
      </c>
      <c r="W47" s="64">
        <f t="shared" si="44"/>
        <v>0.82151032050826078</v>
      </c>
      <c r="X47" s="63">
        <f t="shared" si="77"/>
        <v>4.7241544469110979E-3</v>
      </c>
      <c r="Y47" s="63">
        <f t="shared" si="45"/>
        <v>4.7241544469110979E-3</v>
      </c>
      <c r="Z47" s="64">
        <f t="shared" si="78"/>
        <v>1.5461013263483661</v>
      </c>
      <c r="AA47" s="74">
        <f t="shared" si="79"/>
        <v>2.3904293113361768E-3</v>
      </c>
      <c r="AB47" s="75">
        <f t="shared" si="46"/>
        <v>2.3904293113361768E-3</v>
      </c>
      <c r="AC47" s="63">
        <f t="shared" si="80"/>
        <v>3.1239350881968644</v>
      </c>
      <c r="AD47" s="63">
        <f t="shared" si="47"/>
        <v>9.2710219135041738E-2</v>
      </c>
      <c r="AE47" s="63">
        <f t="shared" si="81"/>
        <v>9.4141592716275174E-2</v>
      </c>
      <c r="AF47" s="63">
        <f t="shared" si="82"/>
        <v>4.7984777059495262E-2</v>
      </c>
      <c r="AG47" s="63">
        <f t="shared" si="83"/>
        <v>3.8400000000000001E-3</v>
      </c>
      <c r="AH47" s="63">
        <f t="shared" si="84"/>
        <v>0</v>
      </c>
      <c r="AI47" s="63">
        <f t="shared" si="48"/>
        <v>3.1238095238095238E-2</v>
      </c>
      <c r="AJ47" s="63">
        <f t="shared" si="49"/>
        <v>0.17720446501386566</v>
      </c>
      <c r="AK47" s="63">
        <f t="shared" si="85"/>
        <v>1.7793000790856028</v>
      </c>
      <c r="AL47" s="63">
        <f t="shared" si="86"/>
        <v>3.0076133328623311E-2</v>
      </c>
      <c r="AM47" s="63">
        <f t="shared" si="87"/>
        <v>3.0225218793113906E-2</v>
      </c>
      <c r="AN47" s="63">
        <f t="shared" si="88"/>
        <v>1.5661681908750003E-2</v>
      </c>
      <c r="AO47" s="63">
        <f t="shared" si="89"/>
        <v>87.000643003106262</v>
      </c>
      <c r="AP47" s="63">
        <f t="shared" si="50"/>
        <v>1.5661681908750003E-2</v>
      </c>
      <c r="AQ47" s="61">
        <f t="shared" si="90"/>
        <v>6.5600000000000006E-2</v>
      </c>
      <c r="AR47" s="61">
        <f t="shared" si="91"/>
        <v>7110400000</v>
      </c>
      <c r="AS47" s="61">
        <f t="shared" si="51"/>
        <v>6.5600000000000006E-2</v>
      </c>
      <c r="AT47" s="61">
        <f t="shared" si="52"/>
        <v>3.4361904761904767E-2</v>
      </c>
      <c r="AU47" s="63">
        <f t="shared" si="53"/>
        <v>8.0248805463768669E-2</v>
      </c>
      <c r="AV47" s="63">
        <f t="shared" si="92"/>
        <v>3.360468593742412E-2</v>
      </c>
      <c r="AW47" s="63">
        <f t="shared" si="93"/>
        <v>1.9840000000000001E-3</v>
      </c>
      <c r="AX47" s="63">
        <f t="shared" si="94"/>
        <v>3.5200000000000002E-2</v>
      </c>
      <c r="AY47" s="63">
        <f t="shared" si="95"/>
        <v>3.7184000000000002E-2</v>
      </c>
      <c r="AZ47" s="63">
        <f t="shared" si="96"/>
        <v>2.0775302114470229</v>
      </c>
      <c r="BA47" s="64">
        <f t="shared" si="97"/>
        <v>42</v>
      </c>
      <c r="BB47" s="76">
        <f t="shared" si="54"/>
        <v>0.95286645595883479</v>
      </c>
      <c r="BC47" s="64">
        <f t="shared" si="55"/>
        <v>95.286645595883485</v>
      </c>
      <c r="BD47" s="63">
        <f t="shared" si="98"/>
        <v>1.7421736712737175</v>
      </c>
      <c r="BE47" s="63">
        <f t="shared" si="56"/>
        <v>0.25745327047763433</v>
      </c>
      <c r="BF47" s="63">
        <f t="shared" si="99"/>
        <v>0.17720446501386566</v>
      </c>
      <c r="BG47" s="63">
        <f t="shared" si="100"/>
        <v>8.0248805463768669E-2</v>
      </c>
      <c r="BH47" s="63">
        <f t="shared" si="101"/>
        <v>3.360468593742412E-2</v>
      </c>
      <c r="BI47" s="63">
        <f t="shared" si="57"/>
        <v>3.7184000000000002E-2</v>
      </c>
      <c r="BJ47" s="63">
        <f t="shared" si="58"/>
        <v>2.3904293113361768E-3</v>
      </c>
      <c r="BK47" s="63">
        <f t="shared" si="59"/>
        <v>4.7241544469110979E-3</v>
      </c>
      <c r="BL47" s="63">
        <f t="shared" si="60"/>
        <v>2.0775302114470233</v>
      </c>
    </row>
    <row r="48" spans="3:64" x14ac:dyDescent="0.2">
      <c r="C48" s="61">
        <v>36</v>
      </c>
      <c r="D48" s="61">
        <f t="shared" si="61"/>
        <v>25</v>
      </c>
      <c r="E48" s="61">
        <f t="shared" si="62"/>
        <v>25</v>
      </c>
      <c r="F48" s="61">
        <f t="shared" si="63"/>
        <v>25</v>
      </c>
      <c r="G48" s="73">
        <f t="shared" si="64"/>
        <v>16</v>
      </c>
      <c r="H48" s="64">
        <f t="shared" si="65"/>
        <v>1</v>
      </c>
      <c r="I48" s="63">
        <f t="shared" si="102"/>
        <v>3.6</v>
      </c>
      <c r="J48" s="65">
        <f t="shared" si="66"/>
        <v>9.4999999999999998E-3</v>
      </c>
      <c r="K48" s="65">
        <f t="shared" si="67"/>
        <v>9.4999999999999998E-3</v>
      </c>
      <c r="L48" s="65">
        <f t="shared" si="68"/>
        <v>1.0999999999999999E-2</v>
      </c>
      <c r="M48" s="65">
        <f t="shared" si="69"/>
        <v>2.6000000000000003E-3</v>
      </c>
      <c r="N48" s="63">
        <f t="shared" si="70"/>
        <v>0.75519749999999997</v>
      </c>
      <c r="O48" s="64">
        <f t="shared" si="71"/>
        <v>2.8463393775000005</v>
      </c>
      <c r="P48" s="64">
        <f t="shared" si="72"/>
        <v>5.0231696887500004</v>
      </c>
      <c r="Q48" s="64">
        <f t="shared" si="73"/>
        <v>2.1768303112499998</v>
      </c>
      <c r="R48" s="64">
        <f t="shared" si="74"/>
        <v>0</v>
      </c>
      <c r="S48" s="64">
        <f t="shared" si="75"/>
        <v>3.6925786817605197</v>
      </c>
      <c r="T48" s="63">
        <f t="shared" si="42"/>
        <v>0.14998651053091483</v>
      </c>
      <c r="U48" s="63">
        <f t="shared" si="76"/>
        <v>1.6</v>
      </c>
      <c r="V48" s="63">
        <f t="shared" si="43"/>
        <v>1.7499865105309149</v>
      </c>
      <c r="W48" s="64">
        <f t="shared" si="44"/>
        <v>0.82166740290232865</v>
      </c>
      <c r="X48" s="63">
        <f t="shared" si="77"/>
        <v>4.725961246945804E-3</v>
      </c>
      <c r="Y48" s="63">
        <f t="shared" si="45"/>
        <v>4.725961246945804E-3</v>
      </c>
      <c r="Z48" s="64">
        <f t="shared" si="78"/>
        <v>1.587698206488976</v>
      </c>
      <c r="AA48" s="74">
        <f t="shared" si="79"/>
        <v>2.5207855948883111E-3</v>
      </c>
      <c r="AB48" s="75">
        <f t="shared" si="46"/>
        <v>2.5207855948883111E-3</v>
      </c>
      <c r="AC48" s="63">
        <f t="shared" si="80"/>
        <v>3.208928421914401</v>
      </c>
      <c r="AD48" s="63">
        <f t="shared" si="47"/>
        <v>9.782360536121544E-2</v>
      </c>
      <c r="AE48" s="63">
        <f t="shared" si="81"/>
        <v>9.9418584803702331E-2</v>
      </c>
      <c r="AF48" s="63">
        <f t="shared" si="82"/>
        <v>4.9190455284340101E-2</v>
      </c>
      <c r="AG48" s="63">
        <f t="shared" si="83"/>
        <v>3.8400000000000001E-3</v>
      </c>
      <c r="AH48" s="63">
        <f t="shared" si="84"/>
        <v>0</v>
      </c>
      <c r="AI48" s="63">
        <f t="shared" si="48"/>
        <v>3.1238095238095238E-2</v>
      </c>
      <c r="AJ48" s="63">
        <f t="shared" si="49"/>
        <v>0.18368713532613767</v>
      </c>
      <c r="AK48" s="63">
        <f t="shared" si="85"/>
        <v>1.8269963612504014</v>
      </c>
      <c r="AL48" s="63">
        <f t="shared" si="86"/>
        <v>3.1710199188210969E-2</v>
      </c>
      <c r="AM48" s="63">
        <f t="shared" si="87"/>
        <v>3.1875969295260854E-2</v>
      </c>
      <c r="AN48" s="63">
        <f t="shared" si="88"/>
        <v>1.6141464249000002E-2</v>
      </c>
      <c r="AO48" s="63">
        <f t="shared" si="89"/>
        <v>89.665833903195022</v>
      </c>
      <c r="AP48" s="63">
        <f t="shared" si="50"/>
        <v>1.6141464249000002E-2</v>
      </c>
      <c r="AQ48" s="61">
        <f t="shared" si="90"/>
        <v>6.5600000000000006E-2</v>
      </c>
      <c r="AR48" s="61">
        <f t="shared" si="91"/>
        <v>7110400000</v>
      </c>
      <c r="AS48" s="61">
        <f t="shared" si="51"/>
        <v>6.5600000000000006E-2</v>
      </c>
      <c r="AT48" s="61">
        <f t="shared" si="52"/>
        <v>3.4361904761904767E-2</v>
      </c>
      <c r="AU48" s="63">
        <f t="shared" si="53"/>
        <v>8.2379338306165617E-2</v>
      </c>
      <c r="AV48" s="63">
        <f t="shared" si="92"/>
        <v>3.545135703457987E-2</v>
      </c>
      <c r="AW48" s="63">
        <f t="shared" si="93"/>
        <v>1.9840000000000001E-3</v>
      </c>
      <c r="AX48" s="63">
        <f t="shared" si="94"/>
        <v>3.5200000000000002E-2</v>
      </c>
      <c r="AY48" s="63">
        <f t="shared" si="95"/>
        <v>3.7184000000000002E-2</v>
      </c>
      <c r="AZ48" s="63">
        <f t="shared" si="96"/>
        <v>2.0959350880396324</v>
      </c>
      <c r="BA48" s="64">
        <f t="shared" si="97"/>
        <v>43.2</v>
      </c>
      <c r="BB48" s="76">
        <f t="shared" si="54"/>
        <v>0.95372796512610114</v>
      </c>
      <c r="BC48" s="64">
        <f t="shared" si="55"/>
        <v>95.372796512610108</v>
      </c>
      <c r="BD48" s="63">
        <f t="shared" si="98"/>
        <v>1.7499865105309149</v>
      </c>
      <c r="BE48" s="63">
        <f t="shared" si="56"/>
        <v>0.26606647363230329</v>
      </c>
      <c r="BF48" s="63">
        <f t="shared" si="99"/>
        <v>0.18368713532613767</v>
      </c>
      <c r="BG48" s="63">
        <f t="shared" si="100"/>
        <v>8.2379338306165617E-2</v>
      </c>
      <c r="BH48" s="63">
        <f t="shared" si="101"/>
        <v>3.545135703457987E-2</v>
      </c>
      <c r="BI48" s="63">
        <f t="shared" si="57"/>
        <v>3.7184000000000002E-2</v>
      </c>
      <c r="BJ48" s="63">
        <f t="shared" si="58"/>
        <v>2.5207855948883111E-3</v>
      </c>
      <c r="BK48" s="63">
        <f t="shared" si="59"/>
        <v>4.725961246945804E-3</v>
      </c>
      <c r="BL48" s="63">
        <f t="shared" si="60"/>
        <v>2.0959350880396319</v>
      </c>
    </row>
    <row r="49" spans="3:70" x14ac:dyDescent="0.2">
      <c r="C49" s="61">
        <v>37</v>
      </c>
      <c r="D49" s="61">
        <f t="shared" si="61"/>
        <v>25</v>
      </c>
      <c r="E49" s="61">
        <f t="shared" si="62"/>
        <v>25</v>
      </c>
      <c r="F49" s="61">
        <f t="shared" si="63"/>
        <v>25</v>
      </c>
      <c r="G49" s="73">
        <f t="shared" si="64"/>
        <v>16</v>
      </c>
      <c r="H49" s="64">
        <f t="shared" si="65"/>
        <v>1</v>
      </c>
      <c r="I49" s="63">
        <f t="shared" si="102"/>
        <v>3.7</v>
      </c>
      <c r="J49" s="65">
        <f t="shared" si="66"/>
        <v>9.4999999999999998E-3</v>
      </c>
      <c r="K49" s="65">
        <f t="shared" si="67"/>
        <v>9.4999999999999998E-3</v>
      </c>
      <c r="L49" s="65">
        <f t="shared" si="68"/>
        <v>1.0999999999999999E-2</v>
      </c>
      <c r="M49" s="65">
        <f t="shared" si="69"/>
        <v>2.6000000000000003E-3</v>
      </c>
      <c r="N49" s="63">
        <f t="shared" si="70"/>
        <v>0.75534187500000005</v>
      </c>
      <c r="O49" s="64">
        <f t="shared" si="71"/>
        <v>2.8468835268750006</v>
      </c>
      <c r="P49" s="64">
        <f t="shared" si="72"/>
        <v>5.1234417634375005</v>
      </c>
      <c r="Q49" s="64">
        <f t="shared" si="73"/>
        <v>2.2765582365624999</v>
      </c>
      <c r="R49" s="64">
        <f t="shared" si="74"/>
        <v>0</v>
      </c>
      <c r="S49" s="64">
        <f t="shared" si="75"/>
        <v>3.7901709044095475</v>
      </c>
      <c r="T49" s="63">
        <f t="shared" si="42"/>
        <v>0.15801935033095954</v>
      </c>
      <c r="U49" s="63">
        <f t="shared" si="76"/>
        <v>1.6</v>
      </c>
      <c r="V49" s="63">
        <f t="shared" si="43"/>
        <v>1.7580193503309596</v>
      </c>
      <c r="W49" s="64">
        <f t="shared" si="44"/>
        <v>0.8218244852963964</v>
      </c>
      <c r="X49" s="63">
        <f t="shared" si="77"/>
        <v>4.7277683924288076E-3</v>
      </c>
      <c r="Y49" s="63">
        <f t="shared" si="45"/>
        <v>4.7277683924288076E-3</v>
      </c>
      <c r="Z49" s="64">
        <f t="shared" si="78"/>
        <v>1.6293350343859188</v>
      </c>
      <c r="AA49" s="74">
        <f t="shared" si="79"/>
        <v>2.6547326542773631E-3</v>
      </c>
      <c r="AB49" s="75">
        <f t="shared" si="46"/>
        <v>2.6547326542773631E-3</v>
      </c>
      <c r="AC49" s="63">
        <f t="shared" si="80"/>
        <v>3.2940529383236981</v>
      </c>
      <c r="AD49" s="63">
        <f t="shared" si="47"/>
        <v>0.1030824552245504</v>
      </c>
      <c r="AE49" s="63">
        <f t="shared" si="81"/>
        <v>0.1048550852438233</v>
      </c>
      <c r="AF49" s="63">
        <f t="shared" si="82"/>
        <v>5.0396133509184933E-2</v>
      </c>
      <c r="AG49" s="63">
        <f t="shared" si="83"/>
        <v>3.8400000000000001E-3</v>
      </c>
      <c r="AH49" s="63">
        <f t="shared" si="84"/>
        <v>0</v>
      </c>
      <c r="AI49" s="63">
        <f t="shared" si="48"/>
        <v>3.1238095238095238E-2</v>
      </c>
      <c r="AJ49" s="63">
        <f t="shared" si="49"/>
        <v>0.19032931399110348</v>
      </c>
      <c r="AK49" s="63">
        <f t="shared" si="85"/>
        <v>1.8747295069299195</v>
      </c>
      <c r="AL49" s="63">
        <f t="shared" si="86"/>
        <v>3.3388801879460139E-2</v>
      </c>
      <c r="AM49" s="63">
        <f t="shared" si="87"/>
        <v>3.3572637703874086E-2</v>
      </c>
      <c r="AN49" s="63">
        <f t="shared" si="88"/>
        <v>1.6621246589250002E-2</v>
      </c>
      <c r="AO49" s="63">
        <f t="shared" si="89"/>
        <v>92.331024803283753</v>
      </c>
      <c r="AP49" s="63">
        <f t="shared" si="50"/>
        <v>1.6621246589250002E-2</v>
      </c>
      <c r="AQ49" s="61">
        <f t="shared" si="90"/>
        <v>6.5600000000000006E-2</v>
      </c>
      <c r="AR49" s="61">
        <f t="shared" si="91"/>
        <v>7110400000</v>
      </c>
      <c r="AS49" s="61">
        <f t="shared" si="51"/>
        <v>6.5600000000000006E-2</v>
      </c>
      <c r="AT49" s="61">
        <f t="shared" si="52"/>
        <v>3.4361904761904767E-2</v>
      </c>
      <c r="AU49" s="63">
        <f t="shared" si="53"/>
        <v>8.4555789055028863E-2</v>
      </c>
      <c r="AV49" s="63">
        <f t="shared" si="92"/>
        <v>3.7350028260044993E-2</v>
      </c>
      <c r="AW49" s="63">
        <f t="shared" si="93"/>
        <v>1.9840000000000001E-3</v>
      </c>
      <c r="AX49" s="63">
        <f t="shared" si="94"/>
        <v>3.5200000000000002E-2</v>
      </c>
      <c r="AY49" s="63">
        <f t="shared" si="95"/>
        <v>3.7184000000000002E-2</v>
      </c>
      <c r="AZ49" s="63">
        <f t="shared" si="96"/>
        <v>2.1148209826838431</v>
      </c>
      <c r="BA49" s="64">
        <f t="shared" si="97"/>
        <v>44.400000000000006</v>
      </c>
      <c r="BB49" s="76">
        <f t="shared" si="54"/>
        <v>0.95453447013219439</v>
      </c>
      <c r="BC49" s="64">
        <f t="shared" si="55"/>
        <v>95.453447013219446</v>
      </c>
      <c r="BD49" s="63">
        <f t="shared" si="98"/>
        <v>1.7580193503309596</v>
      </c>
      <c r="BE49" s="63">
        <f t="shared" si="56"/>
        <v>0.27488510304613234</v>
      </c>
      <c r="BF49" s="63">
        <f t="shared" si="99"/>
        <v>0.19032931399110348</v>
      </c>
      <c r="BG49" s="63">
        <f t="shared" si="100"/>
        <v>8.4555789055028863E-2</v>
      </c>
      <c r="BH49" s="63">
        <f t="shared" si="101"/>
        <v>3.7350028260044993E-2</v>
      </c>
      <c r="BI49" s="63">
        <f t="shared" si="57"/>
        <v>3.7184000000000002E-2</v>
      </c>
      <c r="BJ49" s="63">
        <f t="shared" si="58"/>
        <v>2.6547326542773631E-3</v>
      </c>
      <c r="BK49" s="63">
        <f t="shared" si="59"/>
        <v>4.7277683924288076E-3</v>
      </c>
      <c r="BL49" s="63">
        <f t="shared" si="60"/>
        <v>2.1148209826838431</v>
      </c>
    </row>
    <row r="50" spans="3:70" x14ac:dyDescent="0.2">
      <c r="C50" s="61">
        <v>38</v>
      </c>
      <c r="D50" s="61">
        <f t="shared" si="61"/>
        <v>25</v>
      </c>
      <c r="E50" s="61">
        <f t="shared" si="62"/>
        <v>25</v>
      </c>
      <c r="F50" s="61">
        <f t="shared" si="63"/>
        <v>25</v>
      </c>
      <c r="G50" s="73">
        <f t="shared" si="64"/>
        <v>16</v>
      </c>
      <c r="H50" s="64">
        <f t="shared" si="65"/>
        <v>1</v>
      </c>
      <c r="I50" s="63">
        <f t="shared" si="102"/>
        <v>3.8</v>
      </c>
      <c r="J50" s="65">
        <f t="shared" si="66"/>
        <v>9.4999999999999998E-3</v>
      </c>
      <c r="K50" s="65">
        <f t="shared" si="67"/>
        <v>9.4999999999999998E-3</v>
      </c>
      <c r="L50" s="65">
        <f t="shared" si="68"/>
        <v>1.0999999999999999E-2</v>
      </c>
      <c r="M50" s="65">
        <f t="shared" si="69"/>
        <v>2.6000000000000003E-3</v>
      </c>
      <c r="N50" s="63">
        <f t="shared" si="70"/>
        <v>0.75548625000000003</v>
      </c>
      <c r="O50" s="64">
        <f t="shared" si="71"/>
        <v>2.8474276762500006</v>
      </c>
      <c r="P50" s="64">
        <f t="shared" si="72"/>
        <v>5.2237138381250006</v>
      </c>
      <c r="Q50" s="64">
        <f t="shared" si="73"/>
        <v>2.3762861618749995</v>
      </c>
      <c r="R50" s="64">
        <f t="shared" si="74"/>
        <v>0</v>
      </c>
      <c r="S50" s="64">
        <f t="shared" si="75"/>
        <v>3.8878855046956917</v>
      </c>
      <c r="T50" s="63">
        <f t="shared" si="42"/>
        <v>0.1662721906738516</v>
      </c>
      <c r="U50" s="63">
        <f t="shared" si="76"/>
        <v>1.6</v>
      </c>
      <c r="V50" s="63">
        <f t="shared" si="43"/>
        <v>1.7662721906738517</v>
      </c>
      <c r="W50" s="64">
        <f t="shared" si="44"/>
        <v>0.82198156769046427</v>
      </c>
      <c r="X50" s="63">
        <f t="shared" si="77"/>
        <v>4.7295758833601131E-3</v>
      </c>
      <c r="Y50" s="63">
        <f t="shared" si="45"/>
        <v>4.7295758833601131E-3</v>
      </c>
      <c r="Z50" s="64">
        <f t="shared" si="78"/>
        <v>1.6710074732374667</v>
      </c>
      <c r="AA50" s="74">
        <f t="shared" si="79"/>
        <v>2.7922659756154634E-3</v>
      </c>
      <c r="AB50" s="75">
        <f t="shared" si="46"/>
        <v>2.7922659756154634E-3</v>
      </c>
      <c r="AC50" s="63">
        <f t="shared" si="80"/>
        <v>3.3793000056691831</v>
      </c>
      <c r="AD50" s="63">
        <f t="shared" si="47"/>
        <v>0.10848685101899953</v>
      </c>
      <c r="AE50" s="63">
        <f t="shared" si="81"/>
        <v>0.11045199564723084</v>
      </c>
      <c r="AF50" s="63">
        <f t="shared" si="82"/>
        <v>5.1601811734029765E-2</v>
      </c>
      <c r="AG50" s="63">
        <f t="shared" si="83"/>
        <v>3.8400000000000001E-3</v>
      </c>
      <c r="AH50" s="63">
        <f t="shared" si="84"/>
        <v>0</v>
      </c>
      <c r="AI50" s="63">
        <f t="shared" si="48"/>
        <v>3.1238095238095238E-2</v>
      </c>
      <c r="AJ50" s="63">
        <f t="shared" si="49"/>
        <v>0.19713190261935584</v>
      </c>
      <c r="AK50" s="63">
        <f t="shared" si="85"/>
        <v>1.9224945173672499</v>
      </c>
      <c r="AL50" s="63">
        <f t="shared" si="86"/>
        <v>3.5111859108417777E-2</v>
      </c>
      <c r="AM50" s="63">
        <f t="shared" si="87"/>
        <v>3.5315216303894059E-2</v>
      </c>
      <c r="AN50" s="63">
        <f t="shared" si="88"/>
        <v>1.7101028929500002E-2</v>
      </c>
      <c r="AO50" s="63">
        <f t="shared" si="89"/>
        <v>94.996215703372513</v>
      </c>
      <c r="AP50" s="63">
        <f t="shared" si="50"/>
        <v>1.7101028929500002E-2</v>
      </c>
      <c r="AQ50" s="61">
        <f t="shared" si="90"/>
        <v>6.5600000000000006E-2</v>
      </c>
      <c r="AR50" s="61">
        <f t="shared" si="91"/>
        <v>7110400000</v>
      </c>
      <c r="AS50" s="61">
        <f t="shared" si="51"/>
        <v>6.5600000000000006E-2</v>
      </c>
      <c r="AT50" s="61">
        <f t="shared" si="52"/>
        <v>3.4361904761904767E-2</v>
      </c>
      <c r="AU50" s="63">
        <f t="shared" si="53"/>
        <v>8.6778149995298828E-2</v>
      </c>
      <c r="AV50" s="63">
        <f t="shared" si="92"/>
        <v>3.9300699613819476E-2</v>
      </c>
      <c r="AW50" s="63">
        <f t="shared" si="93"/>
        <v>1.9840000000000001E-3</v>
      </c>
      <c r="AX50" s="63">
        <f t="shared" si="94"/>
        <v>3.5200000000000002E-2</v>
      </c>
      <c r="AY50" s="63">
        <f t="shared" si="95"/>
        <v>3.7184000000000002E-2</v>
      </c>
      <c r="AZ50" s="63">
        <f t="shared" si="96"/>
        <v>2.1341887847613012</v>
      </c>
      <c r="BA50" s="64">
        <f t="shared" si="97"/>
        <v>45.599999999999994</v>
      </c>
      <c r="BB50" s="76">
        <f t="shared" si="54"/>
        <v>0.95529014236767296</v>
      </c>
      <c r="BC50" s="64">
        <f t="shared" si="55"/>
        <v>95.529014236767296</v>
      </c>
      <c r="BD50" s="63">
        <f t="shared" si="98"/>
        <v>1.7662721906738517</v>
      </c>
      <c r="BE50" s="63">
        <f t="shared" si="56"/>
        <v>0.28391005261465468</v>
      </c>
      <c r="BF50" s="63">
        <f t="shared" si="99"/>
        <v>0.19713190261935584</v>
      </c>
      <c r="BG50" s="63">
        <f t="shared" si="100"/>
        <v>8.6778149995298828E-2</v>
      </c>
      <c r="BH50" s="63">
        <f t="shared" si="101"/>
        <v>3.9300699613819476E-2</v>
      </c>
      <c r="BI50" s="63">
        <f t="shared" si="57"/>
        <v>3.7184000000000002E-2</v>
      </c>
      <c r="BJ50" s="63">
        <f t="shared" si="58"/>
        <v>2.7922659756154634E-3</v>
      </c>
      <c r="BK50" s="63">
        <f t="shared" si="59"/>
        <v>4.7295758833601131E-3</v>
      </c>
      <c r="BL50" s="63">
        <f t="shared" si="60"/>
        <v>2.1341887847613017</v>
      </c>
    </row>
    <row r="51" spans="3:70" x14ac:dyDescent="0.2">
      <c r="C51" s="61">
        <v>39</v>
      </c>
      <c r="D51" s="61">
        <f t="shared" si="61"/>
        <v>25</v>
      </c>
      <c r="E51" s="61">
        <f t="shared" si="62"/>
        <v>25</v>
      </c>
      <c r="F51" s="61">
        <f t="shared" si="63"/>
        <v>25</v>
      </c>
      <c r="G51" s="73">
        <f t="shared" si="64"/>
        <v>16</v>
      </c>
      <c r="H51" s="64">
        <f t="shared" si="65"/>
        <v>1</v>
      </c>
      <c r="I51" s="63">
        <f t="shared" si="102"/>
        <v>3.9</v>
      </c>
      <c r="J51" s="65">
        <f t="shared" si="66"/>
        <v>9.4999999999999998E-3</v>
      </c>
      <c r="K51" s="65">
        <f t="shared" si="67"/>
        <v>9.4999999999999998E-3</v>
      </c>
      <c r="L51" s="65">
        <f t="shared" si="68"/>
        <v>1.0999999999999999E-2</v>
      </c>
      <c r="M51" s="65">
        <f t="shared" si="69"/>
        <v>2.6000000000000003E-3</v>
      </c>
      <c r="N51" s="63">
        <f t="shared" si="70"/>
        <v>0.755630625</v>
      </c>
      <c r="O51" s="64">
        <f t="shared" si="71"/>
        <v>2.8479718256250006</v>
      </c>
      <c r="P51" s="64">
        <f t="shared" si="72"/>
        <v>5.3239859128124998</v>
      </c>
      <c r="Q51" s="64">
        <f t="shared" si="73"/>
        <v>2.4760140871874996</v>
      </c>
      <c r="R51" s="64">
        <f t="shared" si="74"/>
        <v>0</v>
      </c>
      <c r="S51" s="64">
        <f t="shared" si="75"/>
        <v>3.9857134819204973</v>
      </c>
      <c r="T51" s="63">
        <f t="shared" si="42"/>
        <v>0.17474503155959095</v>
      </c>
      <c r="U51" s="63">
        <f t="shared" si="76"/>
        <v>1.6</v>
      </c>
      <c r="V51" s="63">
        <f t="shared" si="43"/>
        <v>1.774745031559591</v>
      </c>
      <c r="W51" s="64">
        <f t="shared" si="44"/>
        <v>0.82213865008453202</v>
      </c>
      <c r="X51" s="63">
        <f t="shared" si="77"/>
        <v>4.7313837197397162E-3</v>
      </c>
      <c r="Y51" s="63">
        <f t="shared" si="45"/>
        <v>4.7313837197397162E-3</v>
      </c>
      <c r="Z51" s="64">
        <f t="shared" si="78"/>
        <v>1.7127116044483761</v>
      </c>
      <c r="AA51" s="74">
        <f t="shared" si="79"/>
        <v>2.9333810400121309E-3</v>
      </c>
      <c r="AB51" s="75">
        <f t="shared" si="46"/>
        <v>2.9333810400121309E-3</v>
      </c>
      <c r="AC51" s="63">
        <f t="shared" si="80"/>
        <v>3.4646618280867871</v>
      </c>
      <c r="AD51" s="63">
        <f t="shared" si="47"/>
        <v>0.11403687503851592</v>
      </c>
      <c r="AE51" s="63">
        <f t="shared" si="81"/>
        <v>0.11621024455286427</v>
      </c>
      <c r="AF51" s="63">
        <f t="shared" si="82"/>
        <v>5.2807489958874597E-2</v>
      </c>
      <c r="AG51" s="63">
        <f t="shared" si="83"/>
        <v>3.8400000000000001E-3</v>
      </c>
      <c r="AH51" s="63">
        <f t="shared" si="84"/>
        <v>0</v>
      </c>
      <c r="AI51" s="63">
        <f t="shared" si="48"/>
        <v>3.1238095238095238E-2</v>
      </c>
      <c r="AJ51" s="63">
        <f t="shared" si="49"/>
        <v>0.20409582974983409</v>
      </c>
      <c r="AK51" s="63">
        <f t="shared" si="85"/>
        <v>1.9702868768179769</v>
      </c>
      <c r="AL51" s="63">
        <f t="shared" si="86"/>
        <v>3.6879288581130806E-2</v>
      </c>
      <c r="AM51" s="63">
        <f t="shared" si="87"/>
        <v>3.7103699298684449E-2</v>
      </c>
      <c r="AN51" s="63">
        <f t="shared" si="88"/>
        <v>1.7580811269750002E-2</v>
      </c>
      <c r="AO51" s="63">
        <f t="shared" si="89"/>
        <v>97.661406603461245</v>
      </c>
      <c r="AP51" s="63">
        <f t="shared" si="50"/>
        <v>1.7580811269750002E-2</v>
      </c>
      <c r="AQ51" s="61">
        <f t="shared" si="90"/>
        <v>6.5600000000000006E-2</v>
      </c>
      <c r="AR51" s="61">
        <f t="shared" si="91"/>
        <v>7110400000</v>
      </c>
      <c r="AS51" s="61">
        <f t="shared" si="51"/>
        <v>6.5600000000000006E-2</v>
      </c>
      <c r="AT51" s="61">
        <f t="shared" si="52"/>
        <v>3.4361904761904767E-2</v>
      </c>
      <c r="AU51" s="63">
        <f t="shared" si="53"/>
        <v>8.9046415330339218E-2</v>
      </c>
      <c r="AV51" s="63">
        <f t="shared" si="92"/>
        <v>4.1303371095903325E-2</v>
      </c>
      <c r="AW51" s="63">
        <f t="shared" si="93"/>
        <v>1.9840000000000001E-3</v>
      </c>
      <c r="AX51" s="63">
        <f t="shared" si="94"/>
        <v>3.5200000000000002E-2</v>
      </c>
      <c r="AY51" s="63">
        <f t="shared" si="95"/>
        <v>3.7184000000000002E-2</v>
      </c>
      <c r="AZ51" s="63">
        <f t="shared" si="96"/>
        <v>2.1540394124954196</v>
      </c>
      <c r="BA51" s="64">
        <f t="shared" si="97"/>
        <v>46.8</v>
      </c>
      <c r="BB51" s="76">
        <f t="shared" si="54"/>
        <v>0.95599874007648067</v>
      </c>
      <c r="BC51" s="64">
        <f t="shared" si="55"/>
        <v>95.599874007648069</v>
      </c>
      <c r="BD51" s="63">
        <f t="shared" si="98"/>
        <v>1.774745031559591</v>
      </c>
      <c r="BE51" s="63">
        <f t="shared" si="56"/>
        <v>0.29314224508017328</v>
      </c>
      <c r="BF51" s="63">
        <f t="shared" si="99"/>
        <v>0.20409582974983409</v>
      </c>
      <c r="BG51" s="63">
        <f t="shared" si="100"/>
        <v>8.9046415330339218E-2</v>
      </c>
      <c r="BH51" s="63">
        <f t="shared" si="101"/>
        <v>4.1303371095903325E-2</v>
      </c>
      <c r="BI51" s="63">
        <f t="shared" si="57"/>
        <v>3.7184000000000002E-2</v>
      </c>
      <c r="BJ51" s="63">
        <f t="shared" si="58"/>
        <v>2.9333810400121309E-3</v>
      </c>
      <c r="BK51" s="63">
        <f t="shared" si="59"/>
        <v>4.7313837197397162E-3</v>
      </c>
      <c r="BL51" s="63">
        <f t="shared" si="60"/>
        <v>2.1540394124954192</v>
      </c>
    </row>
    <row r="52" spans="3:70" s="81" customFormat="1" x14ac:dyDescent="0.2">
      <c r="C52" s="81">
        <v>40</v>
      </c>
      <c r="D52" s="61">
        <f t="shared" si="61"/>
        <v>25</v>
      </c>
      <c r="E52" s="61">
        <f t="shared" si="62"/>
        <v>25</v>
      </c>
      <c r="F52" s="61">
        <f t="shared" si="63"/>
        <v>25</v>
      </c>
      <c r="G52" s="89">
        <f t="shared" si="64"/>
        <v>16</v>
      </c>
      <c r="H52" s="85">
        <f t="shared" si="65"/>
        <v>1</v>
      </c>
      <c r="I52" s="86">
        <f t="shared" si="102"/>
        <v>4</v>
      </c>
      <c r="J52" s="90">
        <f t="shared" si="66"/>
        <v>9.4999999999999998E-3</v>
      </c>
      <c r="K52" s="90">
        <f t="shared" si="67"/>
        <v>9.4999999999999998E-3</v>
      </c>
      <c r="L52" s="90">
        <f t="shared" si="68"/>
        <v>1.0999999999999999E-2</v>
      </c>
      <c r="M52" s="90">
        <f t="shared" si="69"/>
        <v>2.6000000000000003E-3</v>
      </c>
      <c r="N52" s="86">
        <f t="shared" si="70"/>
        <v>0.75577499999999997</v>
      </c>
      <c r="O52" s="85">
        <f t="shared" si="71"/>
        <v>2.8485159750000006</v>
      </c>
      <c r="P52" s="85">
        <f t="shared" si="72"/>
        <v>5.4242579875000008</v>
      </c>
      <c r="Q52" s="85">
        <f t="shared" si="73"/>
        <v>2.5757420124999997</v>
      </c>
      <c r="R52" s="85">
        <f t="shared" si="74"/>
        <v>0</v>
      </c>
      <c r="S52" s="85">
        <f t="shared" si="75"/>
        <v>4.0836466879068416</v>
      </c>
      <c r="T52" s="86">
        <f t="shared" si="42"/>
        <v>0.18343787298817768</v>
      </c>
      <c r="U52" s="86">
        <f t="shared" si="76"/>
        <v>1.6</v>
      </c>
      <c r="V52" s="86">
        <f t="shared" si="43"/>
        <v>1.7834378729881777</v>
      </c>
      <c r="W52" s="85">
        <f t="shared" si="44"/>
        <v>0.82229573247859988</v>
      </c>
      <c r="X52" s="86">
        <f t="shared" si="77"/>
        <v>4.7331919015676195E-3</v>
      </c>
      <c r="Y52" s="86">
        <f t="shared" si="45"/>
        <v>4.7331919015676195E-3</v>
      </c>
      <c r="Z52" s="85">
        <f t="shared" si="78"/>
        <v>1.7544438787189187</v>
      </c>
      <c r="AA52" s="88">
        <f t="shared" si="79"/>
        <v>3.0780733235742843E-3</v>
      </c>
      <c r="AB52" s="87">
        <f t="shared" si="46"/>
        <v>3.0780733235742843E-3</v>
      </c>
      <c r="AC52" s="86">
        <f t="shared" si="80"/>
        <v>3.5501313478599887</v>
      </c>
      <c r="AD52" s="86">
        <f t="shared" si="47"/>
        <v>0.1197326095770527</v>
      </c>
      <c r="AE52" s="86">
        <f t="shared" si="81"/>
        <v>0.12213078779802515</v>
      </c>
      <c r="AF52" s="86">
        <f t="shared" si="82"/>
        <v>5.4013168183719436E-2</v>
      </c>
      <c r="AG52" s="86">
        <f t="shared" si="83"/>
        <v>3.8400000000000001E-3</v>
      </c>
      <c r="AH52" s="86">
        <f t="shared" si="84"/>
        <v>0</v>
      </c>
      <c r="AI52" s="63">
        <f t="shared" si="48"/>
        <v>3.1238095238095238E-2</v>
      </c>
      <c r="AJ52" s="63">
        <f t="shared" si="49"/>
        <v>0.21122205121983983</v>
      </c>
      <c r="AK52" s="86">
        <f t="shared" si="85"/>
        <v>2.0181024960577045</v>
      </c>
      <c r="AL52" s="86">
        <f t="shared" si="86"/>
        <v>3.8691008003646207E-2</v>
      </c>
      <c r="AM52" s="86">
        <f t="shared" si="87"/>
        <v>3.893808280609979E-2</v>
      </c>
      <c r="AN52" s="86">
        <f t="shared" si="88"/>
        <v>1.8060593610000002E-2</v>
      </c>
      <c r="AO52" s="86">
        <f t="shared" si="89"/>
        <v>100.32659750355</v>
      </c>
      <c r="AP52" s="86">
        <f t="shared" si="50"/>
        <v>1.8060593610000002E-2</v>
      </c>
      <c r="AQ52" s="81">
        <f t="shared" si="90"/>
        <v>6.5600000000000006E-2</v>
      </c>
      <c r="AR52" s="81">
        <f t="shared" si="91"/>
        <v>7110400000</v>
      </c>
      <c r="AS52" s="81">
        <f t="shared" si="51"/>
        <v>6.5600000000000006E-2</v>
      </c>
      <c r="AT52" s="61">
        <f t="shared" si="52"/>
        <v>3.4361904761904767E-2</v>
      </c>
      <c r="AU52" s="63">
        <f t="shared" si="53"/>
        <v>9.1360581178004552E-2</v>
      </c>
      <c r="AV52" s="86">
        <f t="shared" si="92"/>
        <v>4.3358042706296548E-2</v>
      </c>
      <c r="AW52" s="86">
        <f t="shared" si="93"/>
        <v>1.9840000000000001E-3</v>
      </c>
      <c r="AX52" s="86">
        <f t="shared" si="94"/>
        <v>3.5200000000000002E-2</v>
      </c>
      <c r="AY52" s="86">
        <f t="shared" si="95"/>
        <v>3.7184000000000002E-2</v>
      </c>
      <c r="AZ52" s="86">
        <f t="shared" si="96"/>
        <v>2.1743738133174606</v>
      </c>
      <c r="BA52" s="85">
        <f t="shared" si="97"/>
        <v>48</v>
      </c>
      <c r="BB52" s="91">
        <f t="shared" si="54"/>
        <v>0.9566636581971586</v>
      </c>
      <c r="BC52" s="85">
        <f t="shared" si="55"/>
        <v>95.666365819715864</v>
      </c>
      <c r="BD52" s="86">
        <f t="shared" si="98"/>
        <v>1.7834378729881777</v>
      </c>
      <c r="BE52" s="86">
        <f t="shared" si="56"/>
        <v>0.30258263239784439</v>
      </c>
      <c r="BF52" s="86">
        <f t="shared" si="99"/>
        <v>0.21122205121983983</v>
      </c>
      <c r="BG52" s="86">
        <f t="shared" si="100"/>
        <v>9.1360581178004552E-2</v>
      </c>
      <c r="BH52" s="86">
        <f t="shared" si="101"/>
        <v>4.3358042706296548E-2</v>
      </c>
      <c r="BI52" s="86">
        <f t="shared" si="57"/>
        <v>3.7184000000000002E-2</v>
      </c>
      <c r="BJ52" s="86">
        <f t="shared" si="58"/>
        <v>3.0780733235742843E-3</v>
      </c>
      <c r="BK52" s="86">
        <f t="shared" si="59"/>
        <v>4.7331919015676195E-3</v>
      </c>
      <c r="BL52" s="86">
        <f t="shared" si="60"/>
        <v>2.1743738133174606</v>
      </c>
    </row>
    <row r="53" spans="3:70" x14ac:dyDescent="0.2">
      <c r="C53" s="61">
        <v>41</v>
      </c>
      <c r="D53" s="61">
        <f t="shared" si="61"/>
        <v>25</v>
      </c>
      <c r="E53" s="61">
        <f t="shared" si="62"/>
        <v>25</v>
      </c>
      <c r="F53" s="61">
        <f t="shared" si="63"/>
        <v>25</v>
      </c>
      <c r="G53" s="73">
        <f t="shared" si="64"/>
        <v>16</v>
      </c>
      <c r="H53" s="64">
        <f t="shared" si="65"/>
        <v>1</v>
      </c>
      <c r="I53" s="63">
        <f t="shared" si="102"/>
        <v>4.0999999999999996</v>
      </c>
      <c r="J53" s="65">
        <f t="shared" si="66"/>
        <v>9.4999999999999998E-3</v>
      </c>
      <c r="K53" s="65">
        <f t="shared" si="67"/>
        <v>9.4999999999999998E-3</v>
      </c>
      <c r="L53" s="65">
        <f t="shared" si="68"/>
        <v>1.0999999999999999E-2</v>
      </c>
      <c r="M53" s="65">
        <f t="shared" si="69"/>
        <v>2.6000000000000003E-3</v>
      </c>
      <c r="N53" s="63">
        <f t="shared" si="70"/>
        <v>0.75591937499999995</v>
      </c>
      <c r="O53" s="64">
        <f t="shared" si="71"/>
        <v>2.8490601243750002</v>
      </c>
      <c r="P53" s="64">
        <f t="shared" si="72"/>
        <v>5.5245300621875</v>
      </c>
      <c r="Q53" s="64">
        <f t="shared" si="73"/>
        <v>2.6754699378124993</v>
      </c>
      <c r="R53" s="64">
        <f t="shared" si="74"/>
        <v>0</v>
      </c>
      <c r="S53" s="64">
        <f t="shared" si="75"/>
        <v>4.181677729415787</v>
      </c>
      <c r="T53" s="63">
        <f t="shared" si="42"/>
        <v>0.19235071495961167</v>
      </c>
      <c r="U53" s="63">
        <f t="shared" si="76"/>
        <v>1.6</v>
      </c>
      <c r="V53" s="63">
        <f t="shared" si="43"/>
        <v>1.7923507149596118</v>
      </c>
      <c r="W53" s="64">
        <f t="shared" si="44"/>
        <v>0.82245281487266753</v>
      </c>
      <c r="X53" s="63">
        <f t="shared" si="77"/>
        <v>4.7350004288438203E-3</v>
      </c>
      <c r="Y53" s="63">
        <f t="shared" si="45"/>
        <v>4.7350004288438203E-3</v>
      </c>
      <c r="Z53" s="64">
        <f t="shared" si="78"/>
        <v>1.7962010737682552</v>
      </c>
      <c r="AA53" s="74">
        <f t="shared" si="79"/>
        <v>3.2263382974062334E-3</v>
      </c>
      <c r="AB53" s="75">
        <f t="shared" si="46"/>
        <v>3.2263382974062334E-3</v>
      </c>
      <c r="AC53" s="63">
        <f t="shared" si="80"/>
        <v>3.635702160932138</v>
      </c>
      <c r="AD53" s="63">
        <f t="shared" si="47"/>
        <v>0.12557413692856287</v>
      </c>
      <c r="AE53" s="63">
        <f t="shared" si="81"/>
        <v>0.12821460890067388</v>
      </c>
      <c r="AF53" s="63">
        <f t="shared" si="82"/>
        <v>5.5218846408564261E-2</v>
      </c>
      <c r="AG53" s="63">
        <f t="shared" si="83"/>
        <v>3.8400000000000001E-3</v>
      </c>
      <c r="AH53" s="63">
        <f t="shared" si="84"/>
        <v>0</v>
      </c>
      <c r="AI53" s="63">
        <f t="shared" si="48"/>
        <v>3.1238095238095238E-2</v>
      </c>
      <c r="AJ53" s="63">
        <f t="shared" si="49"/>
        <v>0.21851155054733337</v>
      </c>
      <c r="AK53" s="63">
        <f t="shared" si="85"/>
        <v>2.0659376635526425</v>
      </c>
      <c r="AL53" s="63">
        <f t="shared" si="86"/>
        <v>4.0546935082010835E-2</v>
      </c>
      <c r="AM53" s="63">
        <f t="shared" si="87"/>
        <v>4.0818364854757663E-2</v>
      </c>
      <c r="AN53" s="63">
        <f t="shared" si="88"/>
        <v>1.8540375950250002E-2</v>
      </c>
      <c r="AO53" s="63">
        <f t="shared" si="89"/>
        <v>102.99178840363876</v>
      </c>
      <c r="AP53" s="63">
        <f t="shared" si="50"/>
        <v>1.8540375950250002E-2</v>
      </c>
      <c r="AQ53" s="61">
        <f t="shared" si="90"/>
        <v>6.5600000000000006E-2</v>
      </c>
      <c r="AR53" s="61">
        <f t="shared" si="91"/>
        <v>7110400000</v>
      </c>
      <c r="AS53" s="61">
        <f t="shared" si="51"/>
        <v>6.5600000000000006E-2</v>
      </c>
      <c r="AT53" s="61">
        <f t="shared" si="52"/>
        <v>3.4361904761904767E-2</v>
      </c>
      <c r="AU53" s="63">
        <f t="shared" si="53"/>
        <v>9.3720645566912425E-2</v>
      </c>
      <c r="AV53" s="63">
        <f t="shared" si="92"/>
        <v>4.5464714444999131E-2</v>
      </c>
      <c r="AW53" s="63">
        <f t="shared" si="93"/>
        <v>1.9840000000000001E-3</v>
      </c>
      <c r="AX53" s="63">
        <f t="shared" si="94"/>
        <v>3.5200000000000002E-2</v>
      </c>
      <c r="AY53" s="63">
        <f t="shared" si="95"/>
        <v>3.7184000000000002E-2</v>
      </c>
      <c r="AZ53" s="63">
        <f t="shared" si="96"/>
        <v>2.1951929642451069</v>
      </c>
      <c r="BA53" s="64">
        <f t="shared" si="97"/>
        <v>49.199999999999996</v>
      </c>
      <c r="BB53" s="76">
        <f t="shared" si="54"/>
        <v>0.95728797115768638</v>
      </c>
      <c r="BC53" s="64">
        <f t="shared" si="55"/>
        <v>95.728797115768643</v>
      </c>
      <c r="BD53" s="63">
        <f t="shared" si="98"/>
        <v>1.7923507149596118</v>
      </c>
      <c r="BE53" s="63">
        <f t="shared" si="56"/>
        <v>0.3122321961142458</v>
      </c>
      <c r="BF53" s="63">
        <f t="shared" si="99"/>
        <v>0.21851155054733337</v>
      </c>
      <c r="BG53" s="63">
        <f t="shared" si="100"/>
        <v>9.3720645566912425E-2</v>
      </c>
      <c r="BH53" s="63">
        <f t="shared" si="101"/>
        <v>4.5464714444999131E-2</v>
      </c>
      <c r="BI53" s="63">
        <f t="shared" si="57"/>
        <v>3.7184000000000002E-2</v>
      </c>
      <c r="BJ53" s="63">
        <f t="shared" si="58"/>
        <v>3.2263382974062334E-3</v>
      </c>
      <c r="BK53" s="63">
        <f t="shared" si="59"/>
        <v>4.7350004288438203E-3</v>
      </c>
      <c r="BL53" s="63">
        <f t="shared" si="60"/>
        <v>2.1951929642451069</v>
      </c>
    </row>
    <row r="54" spans="3:70" x14ac:dyDescent="0.2">
      <c r="C54" s="61">
        <v>42</v>
      </c>
      <c r="D54" s="61">
        <f t="shared" si="61"/>
        <v>25</v>
      </c>
      <c r="E54" s="61">
        <f t="shared" si="62"/>
        <v>25</v>
      </c>
      <c r="F54" s="61">
        <f t="shared" si="63"/>
        <v>25</v>
      </c>
      <c r="G54" s="73">
        <f t="shared" si="64"/>
        <v>16</v>
      </c>
      <c r="H54" s="64">
        <f t="shared" si="65"/>
        <v>1</v>
      </c>
      <c r="I54" s="63">
        <f t="shared" si="102"/>
        <v>4.2</v>
      </c>
      <c r="J54" s="65">
        <f t="shared" si="66"/>
        <v>9.4999999999999998E-3</v>
      </c>
      <c r="K54" s="65">
        <f t="shared" si="67"/>
        <v>9.4999999999999998E-3</v>
      </c>
      <c r="L54" s="65">
        <f t="shared" si="68"/>
        <v>1.0999999999999999E-2</v>
      </c>
      <c r="M54" s="65">
        <f t="shared" si="69"/>
        <v>2.6000000000000003E-3</v>
      </c>
      <c r="N54" s="63">
        <f t="shared" si="70"/>
        <v>0.75606375000000003</v>
      </c>
      <c r="O54" s="64">
        <f t="shared" si="71"/>
        <v>2.8496042737500007</v>
      </c>
      <c r="P54" s="64">
        <f t="shared" si="72"/>
        <v>5.624802136875001</v>
      </c>
      <c r="Q54" s="64">
        <f t="shared" si="73"/>
        <v>2.7751978631249998</v>
      </c>
      <c r="R54" s="64">
        <f t="shared" si="74"/>
        <v>0</v>
      </c>
      <c r="S54" s="64">
        <f t="shared" si="75"/>
        <v>4.2797998835320783</v>
      </c>
      <c r="T54" s="63">
        <f t="shared" si="42"/>
        <v>0.2014835574738931</v>
      </c>
      <c r="U54" s="63">
        <f t="shared" si="76"/>
        <v>1.6</v>
      </c>
      <c r="V54" s="63">
        <f t="shared" si="43"/>
        <v>1.8014835574738932</v>
      </c>
      <c r="W54" s="64">
        <f t="shared" si="44"/>
        <v>0.8226098972667355</v>
      </c>
      <c r="X54" s="63">
        <f t="shared" si="77"/>
        <v>4.7368093015683239E-3</v>
      </c>
      <c r="Y54" s="63">
        <f t="shared" si="45"/>
        <v>4.7368093015683239E-3</v>
      </c>
      <c r="Z54" s="64">
        <f t="shared" si="78"/>
        <v>1.8379802576768014</v>
      </c>
      <c r="AA54" s="74">
        <f t="shared" si="79"/>
        <v>3.3781714276096817E-3</v>
      </c>
      <c r="AB54" s="75">
        <f t="shared" si="46"/>
        <v>3.3781714276096817E-3</v>
      </c>
      <c r="AC54" s="63">
        <f t="shared" si="80"/>
        <v>3.7213684436465542</v>
      </c>
      <c r="AD54" s="63">
        <f t="shared" si="47"/>
        <v>0.13156153938699958</v>
      </c>
      <c r="AE54" s="63">
        <f t="shared" si="81"/>
        <v>0.13446271945429697</v>
      </c>
      <c r="AF54" s="63">
        <f t="shared" si="82"/>
        <v>5.6424524633409107E-2</v>
      </c>
      <c r="AG54" s="63">
        <f t="shared" si="83"/>
        <v>3.8400000000000001E-3</v>
      </c>
      <c r="AH54" s="63">
        <f t="shared" si="84"/>
        <v>0</v>
      </c>
      <c r="AI54" s="63">
        <f t="shared" si="48"/>
        <v>3.1238095238095238E-2</v>
      </c>
      <c r="AJ54" s="63">
        <f t="shared" si="49"/>
        <v>0.22596533932580132</v>
      </c>
      <c r="AK54" s="63">
        <f t="shared" si="85"/>
        <v>2.1137890031204187</v>
      </c>
      <c r="AL54" s="63">
        <f t="shared" si="86"/>
        <v>4.2446987522271724E-2</v>
      </c>
      <c r="AM54" s="63">
        <f t="shared" si="87"/>
        <v>4.2744545380515274E-2</v>
      </c>
      <c r="AN54" s="63">
        <f t="shared" si="88"/>
        <v>1.9020158290500005E-2</v>
      </c>
      <c r="AO54" s="63">
        <f t="shared" si="89"/>
        <v>105.65697930372752</v>
      </c>
      <c r="AP54" s="63">
        <f t="shared" si="50"/>
        <v>1.9020158290500005E-2</v>
      </c>
      <c r="AQ54" s="61">
        <f t="shared" si="90"/>
        <v>6.5600000000000006E-2</v>
      </c>
      <c r="AR54" s="61">
        <f t="shared" si="91"/>
        <v>7110400000</v>
      </c>
      <c r="AS54" s="61">
        <f t="shared" si="51"/>
        <v>6.5600000000000006E-2</v>
      </c>
      <c r="AT54" s="61">
        <f t="shared" si="52"/>
        <v>3.4361904761904767E-2</v>
      </c>
      <c r="AU54" s="63">
        <f t="shared" si="53"/>
        <v>9.6126608432920035E-2</v>
      </c>
      <c r="AV54" s="63">
        <f t="shared" si="92"/>
        <v>4.7623386312011108E-2</v>
      </c>
      <c r="AW54" s="63">
        <f t="shared" si="93"/>
        <v>1.9840000000000001E-3</v>
      </c>
      <c r="AX54" s="63">
        <f t="shared" si="94"/>
        <v>3.5200000000000002E-2</v>
      </c>
      <c r="AY54" s="63">
        <f t="shared" si="95"/>
        <v>3.7184000000000002E-2</v>
      </c>
      <c r="AZ54" s="63">
        <f t="shared" si="96"/>
        <v>2.2164978722738033</v>
      </c>
      <c r="BA54" s="64">
        <f t="shared" si="97"/>
        <v>50.400000000000006</v>
      </c>
      <c r="BB54" s="76">
        <f t="shared" si="54"/>
        <v>0.95787446975938351</v>
      </c>
      <c r="BC54" s="64">
        <f t="shared" si="55"/>
        <v>95.787446975938352</v>
      </c>
      <c r="BD54" s="63">
        <f t="shared" si="98"/>
        <v>1.8014835574738932</v>
      </c>
      <c r="BE54" s="63">
        <f t="shared" si="56"/>
        <v>0.32209194775872135</v>
      </c>
      <c r="BF54" s="63">
        <f t="shared" si="99"/>
        <v>0.22596533932580132</v>
      </c>
      <c r="BG54" s="63">
        <f t="shared" si="100"/>
        <v>9.6126608432920035E-2</v>
      </c>
      <c r="BH54" s="63">
        <f t="shared" si="101"/>
        <v>4.7623386312011108E-2</v>
      </c>
      <c r="BI54" s="63">
        <f t="shared" si="57"/>
        <v>3.7184000000000002E-2</v>
      </c>
      <c r="BJ54" s="63">
        <f t="shared" si="58"/>
        <v>3.3781714276096817E-3</v>
      </c>
      <c r="BK54" s="63">
        <f t="shared" si="59"/>
        <v>4.7368093015683239E-3</v>
      </c>
      <c r="BL54" s="63">
        <f t="shared" si="60"/>
        <v>2.2164978722738033</v>
      </c>
    </row>
    <row r="55" spans="3:70" x14ac:dyDescent="0.2">
      <c r="C55" s="61">
        <v>43</v>
      </c>
      <c r="D55" s="61">
        <f t="shared" si="61"/>
        <v>25</v>
      </c>
      <c r="E55" s="61">
        <f t="shared" si="62"/>
        <v>25</v>
      </c>
      <c r="F55" s="61">
        <f t="shared" si="63"/>
        <v>25</v>
      </c>
      <c r="G55" s="73">
        <f t="shared" si="64"/>
        <v>16</v>
      </c>
      <c r="H55" s="64">
        <f t="shared" si="65"/>
        <v>1</v>
      </c>
      <c r="I55" s="63">
        <f t="shared" si="102"/>
        <v>4.3</v>
      </c>
      <c r="J55" s="65">
        <f t="shared" si="66"/>
        <v>9.4999999999999998E-3</v>
      </c>
      <c r="K55" s="65">
        <f t="shared" si="67"/>
        <v>9.4999999999999998E-3</v>
      </c>
      <c r="L55" s="65">
        <f t="shared" si="68"/>
        <v>1.0999999999999999E-2</v>
      </c>
      <c r="M55" s="65">
        <f t="shared" si="69"/>
        <v>2.6000000000000003E-3</v>
      </c>
      <c r="N55" s="63">
        <f t="shared" si="70"/>
        <v>0.75620812500000001</v>
      </c>
      <c r="O55" s="64">
        <f t="shared" si="71"/>
        <v>2.8501484231250007</v>
      </c>
      <c r="P55" s="64">
        <f t="shared" si="72"/>
        <v>5.7250742115625002</v>
      </c>
      <c r="Q55" s="64">
        <f t="shared" si="73"/>
        <v>2.8749257884374995</v>
      </c>
      <c r="R55" s="64">
        <f t="shared" si="74"/>
        <v>0</v>
      </c>
      <c r="S55" s="64">
        <f t="shared" si="75"/>
        <v>4.3780070240715876</v>
      </c>
      <c r="T55" s="63">
        <f t="shared" si="42"/>
        <v>0.21083640053102173</v>
      </c>
      <c r="U55" s="63">
        <f t="shared" si="76"/>
        <v>1.6</v>
      </c>
      <c r="V55" s="63">
        <f t="shared" si="43"/>
        <v>1.8108364005310218</v>
      </c>
      <c r="W55" s="64">
        <f t="shared" si="44"/>
        <v>0.82276697966080337</v>
      </c>
      <c r="X55" s="63">
        <f t="shared" si="77"/>
        <v>4.738618519741126E-3</v>
      </c>
      <c r="Y55" s="63">
        <f t="shared" si="45"/>
        <v>4.738618519741126E-3</v>
      </c>
      <c r="Z55" s="64">
        <f t="shared" si="78"/>
        <v>1.8797787570040594</v>
      </c>
      <c r="AA55" s="74">
        <f t="shared" si="79"/>
        <v>3.5335681752837267E-3</v>
      </c>
      <c r="AB55" s="75">
        <f t="shared" si="46"/>
        <v>3.5335681752837267E-3</v>
      </c>
      <c r="AC55" s="63">
        <f t="shared" si="80"/>
        <v>3.807124889029097</v>
      </c>
      <c r="AD55" s="63">
        <f t="shared" si="47"/>
        <v>0.13769489924631573</v>
      </c>
      <c r="AE55" s="63">
        <f t="shared" si="81"/>
        <v>0.14087615953564456</v>
      </c>
      <c r="AF55" s="63">
        <f t="shared" si="82"/>
        <v>5.7630202858253932E-2</v>
      </c>
      <c r="AG55" s="63">
        <f t="shared" si="83"/>
        <v>3.8400000000000001E-3</v>
      </c>
      <c r="AH55" s="63">
        <f t="shared" si="84"/>
        <v>0</v>
      </c>
      <c r="AI55" s="63">
        <f t="shared" si="48"/>
        <v>3.1238095238095238E-2</v>
      </c>
      <c r="AJ55" s="63">
        <f t="shared" si="49"/>
        <v>0.23358445763199373</v>
      </c>
      <c r="AK55" s="63">
        <f t="shared" si="85"/>
        <v>2.1616534371067311</v>
      </c>
      <c r="AL55" s="63">
        <f t="shared" si="86"/>
        <v>4.4391083030475773E-2</v>
      </c>
      <c r="AM55" s="63">
        <f t="shared" si="87"/>
        <v>4.4716626223148148E-2</v>
      </c>
      <c r="AN55" s="63">
        <f t="shared" si="88"/>
        <v>1.9499940630750001E-2</v>
      </c>
      <c r="AO55" s="63">
        <f t="shared" si="89"/>
        <v>108.32217020381626</v>
      </c>
      <c r="AP55" s="63">
        <f t="shared" si="50"/>
        <v>1.9499940630750001E-2</v>
      </c>
      <c r="AQ55" s="61">
        <f t="shared" si="90"/>
        <v>6.5600000000000006E-2</v>
      </c>
      <c r="AR55" s="61">
        <f t="shared" si="91"/>
        <v>7110400000</v>
      </c>
      <c r="AS55" s="61">
        <f t="shared" si="51"/>
        <v>6.5600000000000006E-2</v>
      </c>
      <c r="AT55" s="61">
        <f t="shared" si="52"/>
        <v>3.4361904761904767E-2</v>
      </c>
      <c r="AU55" s="63">
        <f t="shared" si="53"/>
        <v>9.857847161580291E-2</v>
      </c>
      <c r="AV55" s="63">
        <f t="shared" si="92"/>
        <v>4.9834058307332417E-2</v>
      </c>
      <c r="AW55" s="63">
        <f t="shared" si="93"/>
        <v>1.9840000000000001E-3</v>
      </c>
      <c r="AX55" s="63">
        <f t="shared" si="94"/>
        <v>3.5200000000000002E-2</v>
      </c>
      <c r="AY55" s="63">
        <f t="shared" si="95"/>
        <v>3.7184000000000002E-2</v>
      </c>
      <c r="AZ55" s="63">
        <f t="shared" si="96"/>
        <v>2.238289574781176</v>
      </c>
      <c r="BA55" s="64">
        <f t="shared" si="97"/>
        <v>51.599999999999994</v>
      </c>
      <c r="BB55" s="76">
        <f t="shared" si="54"/>
        <v>0.95842569308090286</v>
      </c>
      <c r="BC55" s="64">
        <f t="shared" si="55"/>
        <v>95.84256930809029</v>
      </c>
      <c r="BD55" s="63">
        <f t="shared" si="98"/>
        <v>1.8108364005310218</v>
      </c>
      <c r="BE55" s="63">
        <f t="shared" si="56"/>
        <v>0.33216292924779667</v>
      </c>
      <c r="BF55" s="63">
        <f t="shared" si="99"/>
        <v>0.23358445763199373</v>
      </c>
      <c r="BG55" s="63">
        <f t="shared" si="100"/>
        <v>9.857847161580291E-2</v>
      </c>
      <c r="BH55" s="63">
        <f t="shared" si="101"/>
        <v>4.9834058307332417E-2</v>
      </c>
      <c r="BI55" s="63">
        <f t="shared" si="57"/>
        <v>3.7184000000000002E-2</v>
      </c>
      <c r="BJ55" s="63">
        <f t="shared" si="58"/>
        <v>3.5335681752837267E-3</v>
      </c>
      <c r="BK55" s="63">
        <f t="shared" si="59"/>
        <v>4.738618519741126E-3</v>
      </c>
      <c r="BL55" s="63">
        <f t="shared" si="60"/>
        <v>2.2382895747811755</v>
      </c>
    </row>
    <row r="56" spans="3:70" x14ac:dyDescent="0.2">
      <c r="C56" s="61">
        <v>44</v>
      </c>
      <c r="D56" s="61">
        <f t="shared" si="61"/>
        <v>25</v>
      </c>
      <c r="E56" s="61">
        <f t="shared" si="62"/>
        <v>25</v>
      </c>
      <c r="F56" s="61">
        <f t="shared" si="63"/>
        <v>25</v>
      </c>
      <c r="G56" s="73">
        <f t="shared" si="64"/>
        <v>16</v>
      </c>
      <c r="H56" s="64">
        <f t="shared" si="65"/>
        <v>1</v>
      </c>
      <c r="I56" s="63">
        <f t="shared" si="102"/>
        <v>4.4000000000000004</v>
      </c>
      <c r="J56" s="65">
        <f t="shared" si="66"/>
        <v>9.4999999999999998E-3</v>
      </c>
      <c r="K56" s="65">
        <f t="shared" si="67"/>
        <v>9.4999999999999998E-3</v>
      </c>
      <c r="L56" s="65">
        <f t="shared" si="68"/>
        <v>1.0999999999999999E-2</v>
      </c>
      <c r="M56" s="65">
        <f t="shared" si="69"/>
        <v>2.6000000000000003E-3</v>
      </c>
      <c r="N56" s="63">
        <f t="shared" si="70"/>
        <v>0.75635249999999998</v>
      </c>
      <c r="O56" s="64">
        <f t="shared" si="71"/>
        <v>2.8506925725000003</v>
      </c>
      <c r="P56" s="64">
        <f t="shared" si="72"/>
        <v>5.8253462862500003</v>
      </c>
      <c r="Q56" s="64">
        <f t="shared" si="73"/>
        <v>2.9746537137500004</v>
      </c>
      <c r="R56" s="64">
        <f t="shared" si="74"/>
        <v>0</v>
      </c>
      <c r="S56" s="64">
        <f t="shared" si="75"/>
        <v>4.476293557387506</v>
      </c>
      <c r="T56" s="63">
        <f t="shared" si="42"/>
        <v>0.22040924413099783</v>
      </c>
      <c r="U56" s="63">
        <f t="shared" si="76"/>
        <v>1.6</v>
      </c>
      <c r="V56" s="63">
        <f t="shared" si="43"/>
        <v>1.8204092441309978</v>
      </c>
      <c r="W56" s="64">
        <f t="shared" si="44"/>
        <v>0.82292406205487101</v>
      </c>
      <c r="X56" s="63">
        <f t="shared" si="77"/>
        <v>4.7404280833622248E-3</v>
      </c>
      <c r="Y56" s="63">
        <f t="shared" si="45"/>
        <v>4.7404280833622248E-3</v>
      </c>
      <c r="Z56" s="64">
        <f t="shared" si="78"/>
        <v>1.9215941289785576</v>
      </c>
      <c r="AA56" s="74">
        <f t="shared" si="79"/>
        <v>3.6925239965248618E-3</v>
      </c>
      <c r="AB56" s="75">
        <f t="shared" si="46"/>
        <v>3.6925239965248618E-3</v>
      </c>
      <c r="AC56" s="63">
        <f t="shared" si="80"/>
        <v>3.8929666512079604</v>
      </c>
      <c r="AD56" s="63">
        <f t="shared" si="47"/>
        <v>0.14397429880046456</v>
      </c>
      <c r="AE56" s="63">
        <f t="shared" si="81"/>
        <v>0.14745599812565094</v>
      </c>
      <c r="AF56" s="63">
        <f t="shared" si="82"/>
        <v>5.8835881083098764E-2</v>
      </c>
      <c r="AG56" s="63">
        <f t="shared" si="83"/>
        <v>3.8400000000000001E-3</v>
      </c>
      <c r="AH56" s="63">
        <f t="shared" si="84"/>
        <v>0</v>
      </c>
      <c r="AI56" s="63">
        <f t="shared" si="48"/>
        <v>3.1238095238095238E-2</v>
      </c>
      <c r="AJ56" s="63">
        <f t="shared" si="49"/>
        <v>0.24136997444684494</v>
      </c>
      <c r="AK56" s="63">
        <f t="shared" si="85"/>
        <v>2.2095281542654241</v>
      </c>
      <c r="AL56" s="63">
        <f t="shared" si="86"/>
        <v>4.6379139312669931E-2</v>
      </c>
      <c r="AM56" s="63">
        <f t="shared" si="87"/>
        <v>4.6734611123231212E-2</v>
      </c>
      <c r="AN56" s="63">
        <f t="shared" si="88"/>
        <v>1.9979722971000004E-2</v>
      </c>
      <c r="AO56" s="63">
        <f t="shared" si="89"/>
        <v>110.98736110390502</v>
      </c>
      <c r="AP56" s="63">
        <f t="shared" si="50"/>
        <v>1.9979722971000004E-2</v>
      </c>
      <c r="AQ56" s="61">
        <f t="shared" si="90"/>
        <v>6.5600000000000006E-2</v>
      </c>
      <c r="AR56" s="61">
        <f t="shared" si="91"/>
        <v>7110400000</v>
      </c>
      <c r="AS56" s="61">
        <f t="shared" si="51"/>
        <v>6.5600000000000006E-2</v>
      </c>
      <c r="AT56" s="61">
        <f t="shared" si="52"/>
        <v>3.4361904761904767E-2</v>
      </c>
      <c r="AU56" s="63">
        <f t="shared" si="53"/>
        <v>0.10107623885613598</v>
      </c>
      <c r="AV56" s="63">
        <f t="shared" si="92"/>
        <v>5.2096730430963134E-2</v>
      </c>
      <c r="AW56" s="63">
        <f t="shared" si="93"/>
        <v>1.9840000000000001E-3</v>
      </c>
      <c r="AX56" s="63">
        <f t="shared" si="94"/>
        <v>3.5200000000000002E-2</v>
      </c>
      <c r="AY56" s="63">
        <f t="shared" si="95"/>
        <v>3.7184000000000002E-2</v>
      </c>
      <c r="AZ56" s="63">
        <f t="shared" si="96"/>
        <v>2.2605691399448289</v>
      </c>
      <c r="BA56" s="64">
        <f t="shared" si="97"/>
        <v>52.800000000000004</v>
      </c>
      <c r="BB56" s="76">
        <f t="shared" si="54"/>
        <v>0.95894395616944594</v>
      </c>
      <c r="BC56" s="64">
        <f t="shared" si="55"/>
        <v>95.894395616944593</v>
      </c>
      <c r="BD56" s="63">
        <f t="shared" si="98"/>
        <v>1.8204092441309978</v>
      </c>
      <c r="BE56" s="63">
        <f t="shared" si="56"/>
        <v>0.34244621330298092</v>
      </c>
      <c r="BF56" s="63">
        <f t="shared" si="99"/>
        <v>0.24136997444684494</v>
      </c>
      <c r="BG56" s="63">
        <f t="shared" si="100"/>
        <v>0.10107623885613598</v>
      </c>
      <c r="BH56" s="63">
        <f t="shared" si="101"/>
        <v>5.2096730430963134E-2</v>
      </c>
      <c r="BI56" s="63">
        <f t="shared" si="57"/>
        <v>3.7184000000000002E-2</v>
      </c>
      <c r="BJ56" s="63">
        <f t="shared" si="58"/>
        <v>3.6925239965248618E-3</v>
      </c>
      <c r="BK56" s="63">
        <f t="shared" si="59"/>
        <v>4.7404280833622248E-3</v>
      </c>
      <c r="BL56" s="63">
        <f t="shared" si="60"/>
        <v>2.2605691399448284</v>
      </c>
    </row>
    <row r="57" spans="3:70" x14ac:dyDescent="0.2">
      <c r="C57" s="61">
        <v>45</v>
      </c>
      <c r="D57" s="61">
        <f t="shared" si="61"/>
        <v>25</v>
      </c>
      <c r="E57" s="61">
        <f t="shared" si="62"/>
        <v>25</v>
      </c>
      <c r="F57" s="61">
        <f t="shared" si="63"/>
        <v>25</v>
      </c>
      <c r="G57" s="73">
        <f t="shared" si="64"/>
        <v>16</v>
      </c>
      <c r="H57" s="64">
        <f t="shared" si="65"/>
        <v>1</v>
      </c>
      <c r="I57" s="63">
        <f t="shared" si="102"/>
        <v>4.5</v>
      </c>
      <c r="J57" s="65">
        <f t="shared" si="66"/>
        <v>9.4999999999999998E-3</v>
      </c>
      <c r="K57" s="65">
        <f t="shared" si="67"/>
        <v>9.4999999999999998E-3</v>
      </c>
      <c r="L57" s="65">
        <f t="shared" si="68"/>
        <v>1.0999999999999999E-2</v>
      </c>
      <c r="M57" s="65">
        <f t="shared" si="69"/>
        <v>2.6000000000000003E-3</v>
      </c>
      <c r="N57" s="63">
        <f t="shared" si="70"/>
        <v>0.75649687499999996</v>
      </c>
      <c r="O57" s="64">
        <f t="shared" si="71"/>
        <v>2.8512367218750003</v>
      </c>
      <c r="P57" s="64">
        <f t="shared" si="72"/>
        <v>5.9256183609375004</v>
      </c>
      <c r="Q57" s="64">
        <f t="shared" si="73"/>
        <v>3.0743816390624996</v>
      </c>
      <c r="R57" s="64">
        <f t="shared" si="74"/>
        <v>0</v>
      </c>
      <c r="S57" s="64">
        <f t="shared" si="75"/>
        <v>4.5746543662169028</v>
      </c>
      <c r="T57" s="63">
        <f t="shared" si="42"/>
        <v>0.2302020882738211</v>
      </c>
      <c r="U57" s="63">
        <f t="shared" si="76"/>
        <v>1.6</v>
      </c>
      <c r="V57" s="63">
        <f t="shared" si="43"/>
        <v>1.8302020882738212</v>
      </c>
      <c r="W57" s="64">
        <f t="shared" si="44"/>
        <v>0.82308114444893887</v>
      </c>
      <c r="X57" s="63">
        <f t="shared" si="77"/>
        <v>4.7422379924316254E-3</v>
      </c>
      <c r="Y57" s="63">
        <f t="shared" si="45"/>
        <v>4.7422379924316254E-3</v>
      </c>
      <c r="Z57" s="64">
        <f t="shared" si="78"/>
        <v>1.963424137171327</v>
      </c>
      <c r="AA57" s="74">
        <f t="shared" si="79"/>
        <v>3.8550343424269703E-3</v>
      </c>
      <c r="AB57" s="75">
        <f t="shared" si="46"/>
        <v>3.8550343424269703E-3</v>
      </c>
      <c r="AC57" s="63">
        <f t="shared" si="80"/>
        <v>3.9788892967946787</v>
      </c>
      <c r="AD57" s="63">
        <f t="shared" si="47"/>
        <v>0.15039982034339891</v>
      </c>
      <c r="AE57" s="63">
        <f t="shared" si="81"/>
        <v>0.15420333354386029</v>
      </c>
      <c r="AF57" s="63">
        <f t="shared" si="82"/>
        <v>6.0041559307943602E-2</v>
      </c>
      <c r="AG57" s="63">
        <f t="shared" si="83"/>
        <v>3.8400000000000001E-3</v>
      </c>
      <c r="AH57" s="63">
        <f t="shared" si="84"/>
        <v>0</v>
      </c>
      <c r="AI57" s="63">
        <f t="shared" si="48"/>
        <v>3.1238095238095238E-2</v>
      </c>
      <c r="AJ57" s="63">
        <f t="shared" si="49"/>
        <v>0.24932298808989911</v>
      </c>
      <c r="AK57" s="63">
        <f t="shared" si="85"/>
        <v>2.2574105816621217</v>
      </c>
      <c r="AL57" s="63">
        <f t="shared" si="86"/>
        <v>4.8411074074901125E-2</v>
      </c>
      <c r="AM57" s="63">
        <f t="shared" si="87"/>
        <v>4.8798505719220418E-2</v>
      </c>
      <c r="AN57" s="63">
        <f t="shared" si="88"/>
        <v>2.0459505311250001E-2</v>
      </c>
      <c r="AO57" s="63">
        <f t="shared" si="89"/>
        <v>113.65255200399375</v>
      </c>
      <c r="AP57" s="63">
        <f t="shared" si="50"/>
        <v>2.0459505311250001E-2</v>
      </c>
      <c r="AQ57" s="61">
        <f t="shared" si="90"/>
        <v>6.5600000000000006E-2</v>
      </c>
      <c r="AR57" s="61">
        <f t="shared" si="91"/>
        <v>7110400000</v>
      </c>
      <c r="AS57" s="61">
        <f t="shared" si="51"/>
        <v>6.5600000000000006E-2</v>
      </c>
      <c r="AT57" s="61">
        <f t="shared" si="52"/>
        <v>3.4361904761904767E-2</v>
      </c>
      <c r="AU57" s="63">
        <f t="shared" si="53"/>
        <v>0.10361991579237517</v>
      </c>
      <c r="AV57" s="63">
        <f t="shared" si="92"/>
        <v>5.4411402682903176E-2</v>
      </c>
      <c r="AW57" s="63">
        <f t="shared" si="93"/>
        <v>1.9840000000000001E-3</v>
      </c>
      <c r="AX57" s="63">
        <f t="shared" si="94"/>
        <v>3.5200000000000002E-2</v>
      </c>
      <c r="AY57" s="63">
        <f t="shared" si="95"/>
        <v>3.7184000000000002E-2</v>
      </c>
      <c r="AZ57" s="63">
        <f t="shared" si="96"/>
        <v>2.283337667173857</v>
      </c>
      <c r="BA57" s="64">
        <f t="shared" si="97"/>
        <v>54</v>
      </c>
      <c r="BB57" s="76">
        <f t="shared" si="54"/>
        <v>0.95943137415417412</v>
      </c>
      <c r="BC57" s="64">
        <f t="shared" si="55"/>
        <v>95.943137415417411</v>
      </c>
      <c r="BD57" s="63">
        <f t="shared" si="98"/>
        <v>1.8302020882738212</v>
      </c>
      <c r="BE57" s="63">
        <f t="shared" si="56"/>
        <v>0.35294290388227428</v>
      </c>
      <c r="BF57" s="63">
        <f t="shared" si="99"/>
        <v>0.24932298808989911</v>
      </c>
      <c r="BG57" s="63">
        <f t="shared" si="100"/>
        <v>0.10361991579237517</v>
      </c>
      <c r="BH57" s="63">
        <f t="shared" si="101"/>
        <v>5.4411402682903176E-2</v>
      </c>
      <c r="BI57" s="63">
        <f t="shared" si="57"/>
        <v>3.7184000000000002E-2</v>
      </c>
      <c r="BJ57" s="63">
        <f t="shared" si="58"/>
        <v>3.8550343424269703E-3</v>
      </c>
      <c r="BK57" s="63">
        <f t="shared" si="59"/>
        <v>4.7422379924316254E-3</v>
      </c>
      <c r="BL57" s="63">
        <f t="shared" si="60"/>
        <v>2.283337667173857</v>
      </c>
    </row>
    <row r="58" spans="3:70" x14ac:dyDescent="0.2">
      <c r="C58" s="61">
        <v>46</v>
      </c>
      <c r="D58" s="61">
        <f t="shared" si="61"/>
        <v>25</v>
      </c>
      <c r="E58" s="61">
        <f t="shared" si="62"/>
        <v>25</v>
      </c>
      <c r="F58" s="61">
        <f t="shared" si="63"/>
        <v>25</v>
      </c>
      <c r="G58" s="73">
        <f t="shared" si="64"/>
        <v>16</v>
      </c>
      <c r="H58" s="64">
        <f t="shared" si="65"/>
        <v>1</v>
      </c>
      <c r="I58" s="63">
        <f t="shared" si="102"/>
        <v>4.5999999999999996</v>
      </c>
      <c r="J58" s="65">
        <f t="shared" si="66"/>
        <v>9.4999999999999998E-3</v>
      </c>
      <c r="K58" s="65">
        <f t="shared" si="67"/>
        <v>9.4999999999999998E-3</v>
      </c>
      <c r="L58" s="65">
        <f t="shared" si="68"/>
        <v>1.0999999999999999E-2</v>
      </c>
      <c r="M58" s="65">
        <f t="shared" si="69"/>
        <v>2.6000000000000003E-3</v>
      </c>
      <c r="N58" s="63">
        <f t="shared" si="70"/>
        <v>0.75664125000000004</v>
      </c>
      <c r="O58" s="64">
        <f t="shared" si="71"/>
        <v>2.8517808712500008</v>
      </c>
      <c r="P58" s="64">
        <f t="shared" si="72"/>
        <v>6.0258904356249996</v>
      </c>
      <c r="Q58" s="64">
        <f t="shared" si="73"/>
        <v>3.1741095643749992</v>
      </c>
      <c r="R58" s="64">
        <f t="shared" si="74"/>
        <v>0</v>
      </c>
      <c r="S58" s="64">
        <f t="shared" si="75"/>
        <v>4.6730847604270576</v>
      </c>
      <c r="T58" s="63">
        <f t="shared" si="42"/>
        <v>0.2402149329594917</v>
      </c>
      <c r="U58" s="63">
        <f t="shared" si="76"/>
        <v>1.6</v>
      </c>
      <c r="V58" s="63">
        <f t="shared" si="43"/>
        <v>1.8402149329594919</v>
      </c>
      <c r="W58" s="64">
        <f t="shared" si="44"/>
        <v>0.82323822684300674</v>
      </c>
      <c r="X58" s="63">
        <f t="shared" si="77"/>
        <v>4.7440482469493245E-3</v>
      </c>
      <c r="Y58" s="63">
        <f t="shared" si="45"/>
        <v>4.7440482469493245E-3</v>
      </c>
      <c r="Z58" s="64">
        <f t="shared" si="78"/>
        <v>2.0052667301586915</v>
      </c>
      <c r="AA58" s="74">
        <f t="shared" si="79"/>
        <v>4.0210946590813305E-3</v>
      </c>
      <c r="AB58" s="75">
        <f t="shared" si="46"/>
        <v>4.0210946590813305E-3</v>
      </c>
      <c r="AC58" s="63">
        <f t="shared" si="80"/>
        <v>4.0648887622388887</v>
      </c>
      <c r="AD58" s="63">
        <f t="shared" si="47"/>
        <v>0.15697154616907202</v>
      </c>
      <c r="AE58" s="63">
        <f t="shared" si="81"/>
        <v>0.16111929389669594</v>
      </c>
      <c r="AF58" s="63">
        <f t="shared" si="82"/>
        <v>6.1247237532788421E-2</v>
      </c>
      <c r="AG58" s="63">
        <f t="shared" si="83"/>
        <v>3.8400000000000001E-3</v>
      </c>
      <c r="AH58" s="63">
        <f t="shared" si="84"/>
        <v>0</v>
      </c>
      <c r="AI58" s="63">
        <f t="shared" si="48"/>
        <v>3.1238095238095238E-2</v>
      </c>
      <c r="AJ58" s="63">
        <f t="shared" si="49"/>
        <v>0.25744462666757961</v>
      </c>
      <c r="AK58" s="63">
        <f t="shared" si="85"/>
        <v>2.3052983600305641</v>
      </c>
      <c r="AL58" s="63">
        <f t="shared" si="86"/>
        <v>5.0486805023216279E-2</v>
      </c>
      <c r="AM58" s="63">
        <f t="shared" si="87"/>
        <v>5.0908317544734599E-2</v>
      </c>
      <c r="AN58" s="63">
        <f t="shared" si="88"/>
        <v>2.0939287651500001E-2</v>
      </c>
      <c r="AO58" s="63">
        <f t="shared" si="89"/>
        <v>116.31774290408249</v>
      </c>
      <c r="AP58" s="63">
        <f t="shared" si="50"/>
        <v>2.0939287651500001E-2</v>
      </c>
      <c r="AQ58" s="61">
        <f t="shared" si="90"/>
        <v>6.5600000000000006E-2</v>
      </c>
      <c r="AR58" s="61">
        <f t="shared" si="91"/>
        <v>7110400000</v>
      </c>
      <c r="AS58" s="61">
        <f t="shared" si="51"/>
        <v>6.5600000000000006E-2</v>
      </c>
      <c r="AT58" s="61">
        <f t="shared" si="52"/>
        <v>3.4361904761904767E-2</v>
      </c>
      <c r="AU58" s="63">
        <f t="shared" si="53"/>
        <v>0.10620950995813935</v>
      </c>
      <c r="AV58" s="63">
        <f t="shared" si="92"/>
        <v>5.6778075063152592E-2</v>
      </c>
      <c r="AW58" s="63">
        <f t="shared" si="93"/>
        <v>1.9840000000000001E-3</v>
      </c>
      <c r="AX58" s="63">
        <f t="shared" si="94"/>
        <v>3.5200000000000002E-2</v>
      </c>
      <c r="AY58" s="63">
        <f t="shared" si="95"/>
        <v>3.7184000000000002E-2</v>
      </c>
      <c r="AZ58" s="63">
        <f t="shared" si="96"/>
        <v>2.3065962875543944</v>
      </c>
      <c r="BA58" s="64">
        <f t="shared" si="97"/>
        <v>55.199999999999996</v>
      </c>
      <c r="BB58" s="76">
        <f t="shared" si="54"/>
        <v>0.95988988330972413</v>
      </c>
      <c r="BC58" s="64">
        <f t="shared" si="55"/>
        <v>95.988988330972418</v>
      </c>
      <c r="BD58" s="63">
        <f t="shared" si="98"/>
        <v>1.8402149329594919</v>
      </c>
      <c r="BE58" s="63">
        <f t="shared" si="56"/>
        <v>0.36365413662571899</v>
      </c>
      <c r="BF58" s="63">
        <f t="shared" si="99"/>
        <v>0.25744462666757961</v>
      </c>
      <c r="BG58" s="63">
        <f t="shared" si="100"/>
        <v>0.10620950995813935</v>
      </c>
      <c r="BH58" s="63">
        <f t="shared" si="101"/>
        <v>5.6778075063152592E-2</v>
      </c>
      <c r="BI58" s="63">
        <f t="shared" si="57"/>
        <v>3.7184000000000002E-2</v>
      </c>
      <c r="BJ58" s="63">
        <f t="shared" si="58"/>
        <v>4.0210946590813305E-3</v>
      </c>
      <c r="BK58" s="63">
        <f t="shared" si="59"/>
        <v>4.7440482469493245E-3</v>
      </c>
      <c r="BL58" s="63">
        <f t="shared" si="60"/>
        <v>2.3065962875543939</v>
      </c>
    </row>
    <row r="59" spans="3:70" x14ac:dyDescent="0.2">
      <c r="C59" s="61">
        <v>47</v>
      </c>
      <c r="D59" s="61">
        <f t="shared" si="61"/>
        <v>25</v>
      </c>
      <c r="E59" s="61">
        <f t="shared" si="62"/>
        <v>25</v>
      </c>
      <c r="F59" s="61">
        <f t="shared" si="63"/>
        <v>25</v>
      </c>
      <c r="G59" s="73">
        <f t="shared" si="64"/>
        <v>16</v>
      </c>
      <c r="H59" s="64">
        <f t="shared" si="65"/>
        <v>1</v>
      </c>
      <c r="I59" s="63">
        <f t="shared" si="102"/>
        <v>4.7</v>
      </c>
      <c r="J59" s="65">
        <f t="shared" si="66"/>
        <v>9.4999999999999998E-3</v>
      </c>
      <c r="K59" s="65">
        <f t="shared" si="67"/>
        <v>9.4999999999999998E-3</v>
      </c>
      <c r="L59" s="65">
        <f t="shared" si="68"/>
        <v>1.0999999999999999E-2</v>
      </c>
      <c r="M59" s="65">
        <f t="shared" si="69"/>
        <v>2.6000000000000003E-3</v>
      </c>
      <c r="N59" s="63">
        <f t="shared" si="70"/>
        <v>0.75678562500000002</v>
      </c>
      <c r="O59" s="64">
        <f t="shared" si="71"/>
        <v>2.8523250206250008</v>
      </c>
      <c r="P59" s="64">
        <f t="shared" si="72"/>
        <v>6.1261625103125006</v>
      </c>
      <c r="Q59" s="64">
        <f t="shared" si="73"/>
        <v>3.2738374896874998</v>
      </c>
      <c r="R59" s="64">
        <f t="shared" si="74"/>
        <v>0</v>
      </c>
      <c r="S59" s="64">
        <f t="shared" si="75"/>
        <v>4.7715804337005174</v>
      </c>
      <c r="T59" s="63">
        <f t="shared" si="42"/>
        <v>0.25044777818800978</v>
      </c>
      <c r="U59" s="63">
        <f t="shared" si="76"/>
        <v>1.6</v>
      </c>
      <c r="V59" s="63">
        <f t="shared" si="43"/>
        <v>1.85044777818801</v>
      </c>
      <c r="W59" s="64">
        <f t="shared" si="44"/>
        <v>0.8233953092370746</v>
      </c>
      <c r="X59" s="63">
        <f t="shared" si="77"/>
        <v>4.7458588469153238E-3</v>
      </c>
      <c r="Y59" s="63">
        <f t="shared" si="45"/>
        <v>4.7458588469153238E-3</v>
      </c>
      <c r="Z59" s="64">
        <f t="shared" si="78"/>
        <v>2.0471200227579778</v>
      </c>
      <c r="AA59" s="74">
        <f t="shared" si="79"/>
        <v>4.1907003875766239E-3</v>
      </c>
      <c r="AB59" s="75">
        <f t="shared" si="46"/>
        <v>4.1907003875766239E-3</v>
      </c>
      <c r="AC59" s="63">
        <f t="shared" si="80"/>
        <v>4.1509613163248034</v>
      </c>
      <c r="AD59" s="63">
        <f t="shared" si="47"/>
        <v>0.16368955857143697</v>
      </c>
      <c r="AE59" s="63">
        <f t="shared" si="81"/>
        <v>0.16820503753991878</v>
      </c>
      <c r="AF59" s="63">
        <f t="shared" si="82"/>
        <v>6.2452915757633259E-2</v>
      </c>
      <c r="AG59" s="63">
        <f t="shared" si="83"/>
        <v>3.8400000000000001E-3</v>
      </c>
      <c r="AH59" s="63">
        <f t="shared" si="84"/>
        <v>0</v>
      </c>
      <c r="AI59" s="63">
        <f t="shared" si="48"/>
        <v>3.1238095238095238E-2</v>
      </c>
      <c r="AJ59" s="63">
        <f t="shared" si="49"/>
        <v>0.26573604853564725</v>
      </c>
      <c r="AK59" s="63">
        <f t="shared" si="85"/>
        <v>2.3531893221006834</v>
      </c>
      <c r="AL59" s="63">
        <f t="shared" si="86"/>
        <v>5.2606249863662406E-2</v>
      </c>
      <c r="AM59" s="63">
        <f t="shared" si="87"/>
        <v>5.3064056026036359E-2</v>
      </c>
      <c r="AN59" s="63">
        <f t="shared" si="88"/>
        <v>2.1419069991750004E-2</v>
      </c>
      <c r="AO59" s="63">
        <f t="shared" si="89"/>
        <v>118.98293380417125</v>
      </c>
      <c r="AP59" s="63">
        <f t="shared" si="50"/>
        <v>2.1419069991750004E-2</v>
      </c>
      <c r="AQ59" s="61">
        <f t="shared" si="90"/>
        <v>6.5600000000000006E-2</v>
      </c>
      <c r="AR59" s="61">
        <f t="shared" si="91"/>
        <v>7110400000</v>
      </c>
      <c r="AS59" s="61">
        <f t="shared" si="51"/>
        <v>6.5600000000000006E-2</v>
      </c>
      <c r="AT59" s="61">
        <f t="shared" si="52"/>
        <v>3.4361904761904767E-2</v>
      </c>
      <c r="AU59" s="63">
        <f t="shared" si="53"/>
        <v>0.10884503077969113</v>
      </c>
      <c r="AV59" s="63">
        <f t="shared" si="92"/>
        <v>5.9196747571711415E-2</v>
      </c>
      <c r="AW59" s="63">
        <f t="shared" si="93"/>
        <v>1.9840000000000001E-3</v>
      </c>
      <c r="AX59" s="63">
        <f t="shared" si="94"/>
        <v>3.5200000000000002E-2</v>
      </c>
      <c r="AY59" s="63">
        <f t="shared" si="95"/>
        <v>3.7184000000000002E-2</v>
      </c>
      <c r="AZ59" s="63">
        <f t="shared" si="96"/>
        <v>2.3303461643095513</v>
      </c>
      <c r="BA59" s="64">
        <f t="shared" si="97"/>
        <v>56.400000000000006</v>
      </c>
      <c r="BB59" s="76">
        <f t="shared" si="54"/>
        <v>0.96032125951054403</v>
      </c>
      <c r="BC59" s="64">
        <f t="shared" si="55"/>
        <v>96.032125951054397</v>
      </c>
      <c r="BD59" s="63">
        <f t="shared" si="98"/>
        <v>1.85044777818801</v>
      </c>
      <c r="BE59" s="63">
        <f t="shared" si="56"/>
        <v>0.37458107931533835</v>
      </c>
      <c r="BF59" s="63">
        <f t="shared" si="99"/>
        <v>0.26573604853564725</v>
      </c>
      <c r="BG59" s="63">
        <f t="shared" si="100"/>
        <v>0.10884503077969113</v>
      </c>
      <c r="BH59" s="63">
        <f t="shared" si="101"/>
        <v>5.9196747571711415E-2</v>
      </c>
      <c r="BI59" s="63">
        <f t="shared" si="57"/>
        <v>3.7184000000000002E-2</v>
      </c>
      <c r="BJ59" s="63">
        <f t="shared" si="58"/>
        <v>4.1907003875766239E-3</v>
      </c>
      <c r="BK59" s="63">
        <f t="shared" si="59"/>
        <v>4.7458588469153238E-3</v>
      </c>
      <c r="BL59" s="63">
        <f t="shared" si="60"/>
        <v>2.3303461643095513</v>
      </c>
      <c r="BQ59" s="77"/>
      <c r="BR59" s="78"/>
    </row>
    <row r="60" spans="3:70" x14ac:dyDescent="0.2">
      <c r="C60" s="61">
        <v>48</v>
      </c>
      <c r="D60" s="61">
        <f t="shared" si="61"/>
        <v>25</v>
      </c>
      <c r="E60" s="61">
        <f t="shared" si="62"/>
        <v>25</v>
      </c>
      <c r="F60" s="61">
        <f t="shared" si="63"/>
        <v>25</v>
      </c>
      <c r="G60" s="73">
        <f t="shared" si="64"/>
        <v>16</v>
      </c>
      <c r="H60" s="64">
        <f t="shared" si="65"/>
        <v>1</v>
      </c>
      <c r="I60" s="63">
        <f t="shared" si="102"/>
        <v>4.8</v>
      </c>
      <c r="J60" s="65">
        <f t="shared" si="66"/>
        <v>9.4999999999999998E-3</v>
      </c>
      <c r="K60" s="65">
        <f t="shared" si="67"/>
        <v>9.4999999999999998E-3</v>
      </c>
      <c r="L60" s="65">
        <f t="shared" si="68"/>
        <v>1.0999999999999999E-2</v>
      </c>
      <c r="M60" s="65">
        <f t="shared" si="69"/>
        <v>2.6000000000000003E-3</v>
      </c>
      <c r="N60" s="63">
        <f t="shared" si="70"/>
        <v>0.75692999999999999</v>
      </c>
      <c r="O60" s="64">
        <f t="shared" si="71"/>
        <v>2.8528691700000004</v>
      </c>
      <c r="P60" s="64">
        <f t="shared" si="72"/>
        <v>6.2264345849999998</v>
      </c>
      <c r="Q60" s="64">
        <f t="shared" si="73"/>
        <v>3.3735654149999998</v>
      </c>
      <c r="R60" s="64">
        <f t="shared" si="74"/>
        <v>0</v>
      </c>
      <c r="S60" s="64">
        <f t="shared" si="75"/>
        <v>4.8701374253465755</v>
      </c>
      <c r="T60" s="63">
        <f t="shared" si="42"/>
        <v>0.26090062395937502</v>
      </c>
      <c r="U60" s="63">
        <f t="shared" si="76"/>
        <v>1.6</v>
      </c>
      <c r="V60" s="63">
        <f t="shared" si="43"/>
        <v>1.8609006239593751</v>
      </c>
      <c r="W60" s="64">
        <f t="shared" si="44"/>
        <v>0.82355239163114224</v>
      </c>
      <c r="X60" s="63">
        <f t="shared" si="77"/>
        <v>4.7476697923296207E-3</v>
      </c>
      <c r="Y60" s="63">
        <f t="shared" si="45"/>
        <v>4.7476697923296207E-3</v>
      </c>
      <c r="Z60" s="64">
        <f t="shared" si="78"/>
        <v>2.0889822794841773</v>
      </c>
      <c r="AA60" s="74">
        <f t="shared" si="79"/>
        <v>4.3638469639989087E-3</v>
      </c>
      <c r="AB60" s="75">
        <f t="shared" si="46"/>
        <v>4.3638469639989087E-3</v>
      </c>
      <c r="AC60" s="63">
        <f t="shared" si="80"/>
        <v>4.2371035271061563</v>
      </c>
      <c r="AD60" s="63">
        <f t="shared" si="47"/>
        <v>0.17055393984444658</v>
      </c>
      <c r="AE60" s="63">
        <f t="shared" si="81"/>
        <v>0.17546175355563903</v>
      </c>
      <c r="AF60" s="63">
        <f t="shared" si="82"/>
        <v>6.3658593982478084E-2</v>
      </c>
      <c r="AG60" s="63">
        <f t="shared" si="83"/>
        <v>3.8400000000000001E-3</v>
      </c>
      <c r="AH60" s="63">
        <f t="shared" si="84"/>
        <v>0</v>
      </c>
      <c r="AI60" s="63">
        <f t="shared" si="48"/>
        <v>3.1238095238095238E-2</v>
      </c>
      <c r="AJ60" s="63">
        <f t="shared" si="49"/>
        <v>0.27419844277621236</v>
      </c>
      <c r="AK60" s="63">
        <f t="shared" si="85"/>
        <v>2.4010814734918799</v>
      </c>
      <c r="AL60" s="63">
        <f t="shared" si="86"/>
        <v>5.4769326302286397E-2</v>
      </c>
      <c r="AM60" s="63">
        <f t="shared" si="87"/>
        <v>5.5265732479711047E-2</v>
      </c>
      <c r="AN60" s="63">
        <f t="shared" si="88"/>
        <v>2.1898852332E-2</v>
      </c>
      <c r="AO60" s="63">
        <f t="shared" si="89"/>
        <v>121.64812470426001</v>
      </c>
      <c r="AP60" s="63">
        <f t="shared" si="50"/>
        <v>2.1898852332E-2</v>
      </c>
      <c r="AQ60" s="61">
        <f t="shared" si="90"/>
        <v>6.5600000000000006E-2</v>
      </c>
      <c r="AR60" s="61">
        <f t="shared" si="91"/>
        <v>7110400000</v>
      </c>
      <c r="AS60" s="61">
        <f t="shared" si="51"/>
        <v>6.5600000000000006E-2</v>
      </c>
      <c r="AT60" s="61">
        <f t="shared" si="52"/>
        <v>3.4361904761904767E-2</v>
      </c>
      <c r="AU60" s="63">
        <f t="shared" si="53"/>
        <v>0.1115264895736158</v>
      </c>
      <c r="AV60" s="63">
        <f t="shared" si="92"/>
        <v>6.1667420208579571E-2</v>
      </c>
      <c r="AW60" s="63">
        <f t="shared" si="93"/>
        <v>1.9840000000000001E-3</v>
      </c>
      <c r="AX60" s="63">
        <f t="shared" si="94"/>
        <v>3.5200000000000002E-2</v>
      </c>
      <c r="AY60" s="63">
        <f t="shared" si="95"/>
        <v>3.7184000000000002E-2</v>
      </c>
      <c r="AZ60" s="63">
        <f t="shared" si="96"/>
        <v>2.354588493274111</v>
      </c>
      <c r="BA60" s="64">
        <f t="shared" si="97"/>
        <v>57.599999999999994</v>
      </c>
      <c r="BB60" s="76">
        <f t="shared" si="54"/>
        <v>0.96072713444546032</v>
      </c>
      <c r="BC60" s="64">
        <f t="shared" si="55"/>
        <v>96.072713444546025</v>
      </c>
      <c r="BD60" s="63">
        <f t="shared" si="98"/>
        <v>1.8609006239593751</v>
      </c>
      <c r="BE60" s="63">
        <f t="shared" si="56"/>
        <v>0.38572493234982819</v>
      </c>
      <c r="BF60" s="63">
        <f t="shared" si="99"/>
        <v>0.27419844277621236</v>
      </c>
      <c r="BG60" s="63">
        <f t="shared" si="100"/>
        <v>0.1115264895736158</v>
      </c>
      <c r="BH60" s="63">
        <f t="shared" si="101"/>
        <v>6.1667420208579571E-2</v>
      </c>
      <c r="BI60" s="63">
        <f t="shared" si="57"/>
        <v>3.7184000000000002E-2</v>
      </c>
      <c r="BJ60" s="63">
        <f t="shared" si="58"/>
        <v>4.3638469639989087E-3</v>
      </c>
      <c r="BK60" s="63">
        <f t="shared" si="59"/>
        <v>4.7476697923296207E-3</v>
      </c>
      <c r="BL60" s="63">
        <f t="shared" si="60"/>
        <v>2.3545884932741115</v>
      </c>
      <c r="BQ60" s="77"/>
      <c r="BR60" s="78"/>
    </row>
    <row r="61" spans="3:70" x14ac:dyDescent="0.2">
      <c r="C61" s="61">
        <v>49</v>
      </c>
      <c r="D61" s="61">
        <f t="shared" si="61"/>
        <v>25</v>
      </c>
      <c r="E61" s="61">
        <f t="shared" si="62"/>
        <v>25</v>
      </c>
      <c r="F61" s="61">
        <f t="shared" si="63"/>
        <v>25</v>
      </c>
      <c r="G61" s="73">
        <f t="shared" si="64"/>
        <v>16</v>
      </c>
      <c r="H61" s="64">
        <f t="shared" si="65"/>
        <v>1</v>
      </c>
      <c r="I61" s="63">
        <f t="shared" si="102"/>
        <v>4.9000000000000004</v>
      </c>
      <c r="J61" s="65">
        <f t="shared" si="66"/>
        <v>9.4999999999999998E-3</v>
      </c>
      <c r="K61" s="65">
        <f t="shared" si="67"/>
        <v>9.4999999999999998E-3</v>
      </c>
      <c r="L61" s="65">
        <f t="shared" si="68"/>
        <v>1.0999999999999999E-2</v>
      </c>
      <c r="M61" s="65">
        <f t="shared" si="69"/>
        <v>2.6000000000000003E-3</v>
      </c>
      <c r="N61" s="63">
        <f t="shared" si="70"/>
        <v>0.75707437499999997</v>
      </c>
      <c r="O61" s="64">
        <f t="shared" si="71"/>
        <v>2.8534133193750004</v>
      </c>
      <c r="P61" s="64">
        <f t="shared" si="72"/>
        <v>6.3267066596875008</v>
      </c>
      <c r="Q61" s="64">
        <f t="shared" si="73"/>
        <v>3.4732933403124999</v>
      </c>
      <c r="R61" s="64">
        <f t="shared" si="74"/>
        <v>0</v>
      </c>
      <c r="S61" s="64">
        <f t="shared" si="75"/>
        <v>4.9687520865503938</v>
      </c>
      <c r="T61" s="63">
        <f t="shared" si="42"/>
        <v>0.2715734702735878</v>
      </c>
      <c r="U61" s="63">
        <f t="shared" si="76"/>
        <v>1.6</v>
      </c>
      <c r="V61" s="63">
        <f t="shared" si="43"/>
        <v>1.8715734702735878</v>
      </c>
      <c r="W61" s="64">
        <f t="shared" si="44"/>
        <v>0.82370947402521011</v>
      </c>
      <c r="X61" s="63">
        <f t="shared" si="77"/>
        <v>4.7494810831922186E-3</v>
      </c>
      <c r="Y61" s="63">
        <f t="shared" si="45"/>
        <v>4.7494810831922186E-3</v>
      </c>
      <c r="Z61" s="64">
        <f t="shared" si="78"/>
        <v>2.130851899929147</v>
      </c>
      <c r="AA61" s="74">
        <f t="shared" si="79"/>
        <v>4.5405298194316551E-3</v>
      </c>
      <c r="AB61" s="75">
        <f t="shared" si="46"/>
        <v>4.5405298194316551E-3</v>
      </c>
      <c r="AC61" s="63">
        <f t="shared" si="80"/>
        <v>4.3233122326832776</v>
      </c>
      <c r="AD61" s="63">
        <f t="shared" si="47"/>
        <v>0.17756477228205422</v>
      </c>
      <c r="AE61" s="63">
        <f t="shared" si="81"/>
        <v>0.18289066224425635</v>
      </c>
      <c r="AF61" s="63">
        <f t="shared" si="82"/>
        <v>6.4864272207322923E-2</v>
      </c>
      <c r="AG61" s="63">
        <f t="shared" si="83"/>
        <v>3.8400000000000001E-3</v>
      </c>
      <c r="AH61" s="63">
        <f t="shared" si="84"/>
        <v>0</v>
      </c>
      <c r="AI61" s="63">
        <f t="shared" si="48"/>
        <v>3.1238095238095238E-2</v>
      </c>
      <c r="AJ61" s="63">
        <f t="shared" si="49"/>
        <v>0.2828330296896745</v>
      </c>
      <c r="AK61" s="63">
        <f t="shared" si="85"/>
        <v>2.4489729758268104</v>
      </c>
      <c r="AL61" s="63">
        <f t="shared" si="86"/>
        <v>5.6975952045135218E-2</v>
      </c>
      <c r="AM61" s="63">
        <f t="shared" si="87"/>
        <v>5.7513360110543733E-2</v>
      </c>
      <c r="AN61" s="63">
        <f t="shared" si="88"/>
        <v>2.2378634672250007E-2</v>
      </c>
      <c r="AO61" s="63">
        <f t="shared" si="89"/>
        <v>124.31331560434876</v>
      </c>
      <c r="AP61" s="63">
        <f t="shared" si="50"/>
        <v>2.2378634672250007E-2</v>
      </c>
      <c r="AQ61" s="61">
        <f t="shared" si="90"/>
        <v>6.5600000000000006E-2</v>
      </c>
      <c r="AR61" s="61">
        <f t="shared" si="91"/>
        <v>7110400000</v>
      </c>
      <c r="AS61" s="61">
        <f t="shared" si="51"/>
        <v>6.5600000000000006E-2</v>
      </c>
      <c r="AT61" s="61">
        <f t="shared" si="52"/>
        <v>3.4361904761904767E-2</v>
      </c>
      <c r="AU61" s="63">
        <f t="shared" si="53"/>
        <v>0.1142538995446985</v>
      </c>
      <c r="AV61" s="63">
        <f t="shared" si="92"/>
        <v>6.4190092973757135E-2</v>
      </c>
      <c r="AW61" s="63">
        <f t="shared" si="93"/>
        <v>1.9840000000000001E-3</v>
      </c>
      <c r="AX61" s="63">
        <f t="shared" si="94"/>
        <v>3.5200000000000002E-2</v>
      </c>
      <c r="AY61" s="63">
        <f t="shared" si="95"/>
        <v>3.7184000000000002E-2</v>
      </c>
      <c r="AZ61" s="63">
        <f t="shared" si="96"/>
        <v>2.3793245033843418</v>
      </c>
      <c r="BA61" s="64">
        <f t="shared" si="97"/>
        <v>58.800000000000004</v>
      </c>
      <c r="BB61" s="76">
        <f t="shared" si="54"/>
        <v>0.96110900990329307</v>
      </c>
      <c r="BC61" s="64">
        <f t="shared" si="55"/>
        <v>96.110900990329313</v>
      </c>
      <c r="BD61" s="63">
        <f t="shared" si="98"/>
        <v>1.8715734702735878</v>
      </c>
      <c r="BE61" s="63">
        <f t="shared" si="56"/>
        <v>0.397086929234373</v>
      </c>
      <c r="BF61" s="63">
        <f t="shared" si="99"/>
        <v>0.2828330296896745</v>
      </c>
      <c r="BG61" s="63">
        <f t="shared" si="100"/>
        <v>0.1142538995446985</v>
      </c>
      <c r="BH61" s="63">
        <f t="shared" si="101"/>
        <v>6.4190092973757135E-2</v>
      </c>
      <c r="BI61" s="63">
        <f t="shared" si="57"/>
        <v>3.7184000000000002E-2</v>
      </c>
      <c r="BJ61" s="63">
        <f t="shared" si="58"/>
        <v>4.5405298194316551E-3</v>
      </c>
      <c r="BK61" s="63">
        <f t="shared" si="59"/>
        <v>4.7494810831922186E-3</v>
      </c>
      <c r="BL61" s="63">
        <f t="shared" si="60"/>
        <v>2.3793245033843418</v>
      </c>
      <c r="BQ61" s="77"/>
      <c r="BR61" s="78"/>
    </row>
    <row r="62" spans="3:70" x14ac:dyDescent="0.2">
      <c r="C62" s="61">
        <v>50</v>
      </c>
      <c r="D62" s="61">
        <f t="shared" si="61"/>
        <v>25</v>
      </c>
      <c r="E62" s="61">
        <f t="shared" si="62"/>
        <v>25</v>
      </c>
      <c r="F62" s="61">
        <f t="shared" si="63"/>
        <v>25</v>
      </c>
      <c r="G62" s="73">
        <f t="shared" si="64"/>
        <v>16</v>
      </c>
      <c r="H62" s="64">
        <f t="shared" si="65"/>
        <v>1</v>
      </c>
      <c r="I62" s="63">
        <f t="shared" si="102"/>
        <v>5</v>
      </c>
      <c r="J62" s="65">
        <f t="shared" si="66"/>
        <v>9.4999999999999998E-3</v>
      </c>
      <c r="K62" s="65">
        <f t="shared" si="67"/>
        <v>9.4999999999999998E-3</v>
      </c>
      <c r="L62" s="65">
        <f t="shared" si="68"/>
        <v>1.0999999999999999E-2</v>
      </c>
      <c r="M62" s="65">
        <f t="shared" si="69"/>
        <v>2.6000000000000003E-3</v>
      </c>
      <c r="N62" s="63">
        <f t="shared" si="70"/>
        <v>0.75721875000000005</v>
      </c>
      <c r="O62" s="64">
        <f t="shared" si="71"/>
        <v>2.8539574687500009</v>
      </c>
      <c r="P62" s="64">
        <f t="shared" si="72"/>
        <v>6.426978734375</v>
      </c>
      <c r="Q62" s="64">
        <f t="shared" si="73"/>
        <v>3.5730212656249996</v>
      </c>
      <c r="R62" s="64">
        <f t="shared" si="74"/>
        <v>0</v>
      </c>
      <c r="S62" s="64">
        <f t="shared" si="75"/>
        <v>5.0674210504739152</v>
      </c>
      <c r="T62" s="63">
        <f t="shared" si="42"/>
        <v>0.28246631713064774</v>
      </c>
      <c r="U62" s="63">
        <f t="shared" si="76"/>
        <v>1.6</v>
      </c>
      <c r="V62" s="63">
        <f t="shared" si="43"/>
        <v>1.8824663171306479</v>
      </c>
      <c r="W62" s="64">
        <f t="shared" si="44"/>
        <v>0.82386655641927808</v>
      </c>
      <c r="X62" s="63">
        <f t="shared" si="77"/>
        <v>4.7512927195031167E-3</v>
      </c>
      <c r="Y62" s="63">
        <f t="shared" si="45"/>
        <v>4.7512927195031167E-3</v>
      </c>
      <c r="Z62" s="64">
        <f t="shared" si="78"/>
        <v>2.1727274058095061</v>
      </c>
      <c r="AA62" s="74">
        <f t="shared" si="79"/>
        <v>4.7207443799557056E-3</v>
      </c>
      <c r="AB62" s="75">
        <f t="shared" si="46"/>
        <v>4.7207443799557056E-3</v>
      </c>
      <c r="AC62" s="63">
        <f t="shared" si="80"/>
        <v>4.409584515315089</v>
      </c>
      <c r="AD62" s="63">
        <f t="shared" si="47"/>
        <v>0.18472213817821279</v>
      </c>
      <c r="AE62" s="63">
        <f t="shared" si="81"/>
        <v>0.19049301563171583</v>
      </c>
      <c r="AF62" s="63">
        <f t="shared" si="82"/>
        <v>6.6069950432167748E-2</v>
      </c>
      <c r="AG62" s="63">
        <f t="shared" si="83"/>
        <v>3.8400000000000001E-3</v>
      </c>
      <c r="AH62" s="63">
        <f t="shared" si="84"/>
        <v>0</v>
      </c>
      <c r="AI62" s="63">
        <f t="shared" si="48"/>
        <v>3.1238095238095238E-2</v>
      </c>
      <c r="AJ62" s="63">
        <f t="shared" si="49"/>
        <v>0.29164106130197881</v>
      </c>
      <c r="AK62" s="63">
        <f t="shared" si="85"/>
        <v>2.4968621317725077</v>
      </c>
      <c r="AL62" s="63">
        <f t="shared" si="86"/>
        <v>5.9226044798255738E-2</v>
      </c>
      <c r="AM62" s="63">
        <f t="shared" si="87"/>
        <v>5.980695400959251E-2</v>
      </c>
      <c r="AN62" s="63">
        <f t="shared" si="88"/>
        <v>2.2858417012500003E-2</v>
      </c>
      <c r="AO62" s="63">
        <f t="shared" si="89"/>
        <v>126.9785065044375</v>
      </c>
      <c r="AP62" s="63">
        <f t="shared" si="50"/>
        <v>2.2858417012500003E-2</v>
      </c>
      <c r="AQ62" s="61">
        <f t="shared" si="90"/>
        <v>6.5600000000000006E-2</v>
      </c>
      <c r="AR62" s="61">
        <f t="shared" si="91"/>
        <v>7110400000</v>
      </c>
      <c r="AS62" s="61">
        <f t="shared" si="51"/>
        <v>6.5600000000000006E-2</v>
      </c>
      <c r="AT62" s="61">
        <f t="shared" si="52"/>
        <v>3.4361904761904767E-2</v>
      </c>
      <c r="AU62" s="63">
        <f t="shared" si="53"/>
        <v>0.11702727578399727</v>
      </c>
      <c r="AV62" s="63">
        <f t="shared" si="92"/>
        <v>6.676476586724403E-2</v>
      </c>
      <c r="AW62" s="63">
        <f t="shared" si="93"/>
        <v>1.9840000000000001E-3</v>
      </c>
      <c r="AX62" s="63">
        <f t="shared" si="94"/>
        <v>3.5200000000000002E-2</v>
      </c>
      <c r="AY62" s="63">
        <f t="shared" si="95"/>
        <v>3.7184000000000002E-2</v>
      </c>
      <c r="AZ62" s="63">
        <f t="shared" si="96"/>
        <v>2.4045554571833265</v>
      </c>
      <c r="BA62" s="64">
        <f t="shared" si="97"/>
        <v>60</v>
      </c>
      <c r="BB62" s="76">
        <f t="shared" si="54"/>
        <v>0.96146827039200478</v>
      </c>
      <c r="BC62" s="64">
        <f t="shared" si="55"/>
        <v>96.146827039200474</v>
      </c>
      <c r="BD62" s="63">
        <f t="shared" si="98"/>
        <v>1.8824663171306479</v>
      </c>
      <c r="BE62" s="63">
        <f t="shared" si="56"/>
        <v>0.40866833708597605</v>
      </c>
      <c r="BF62" s="63">
        <f t="shared" si="99"/>
        <v>0.29164106130197881</v>
      </c>
      <c r="BG62" s="63">
        <f t="shared" si="100"/>
        <v>0.11702727578399727</v>
      </c>
      <c r="BH62" s="63">
        <f t="shared" si="101"/>
        <v>6.676476586724403E-2</v>
      </c>
      <c r="BI62" s="63">
        <f t="shared" si="57"/>
        <v>3.7184000000000002E-2</v>
      </c>
      <c r="BJ62" s="63">
        <f t="shared" si="58"/>
        <v>4.7207443799557056E-3</v>
      </c>
      <c r="BK62" s="63">
        <f t="shared" si="59"/>
        <v>4.7512927195031167E-3</v>
      </c>
      <c r="BL62" s="63">
        <f t="shared" si="60"/>
        <v>2.4045554571833265</v>
      </c>
      <c r="BQ62" s="77"/>
      <c r="BR62" s="78"/>
    </row>
    <row r="63" spans="3:70" x14ac:dyDescent="0.2">
      <c r="C63" s="61">
        <v>51</v>
      </c>
      <c r="D63" s="61">
        <f t="shared" si="61"/>
        <v>25</v>
      </c>
      <c r="E63" s="61">
        <f t="shared" si="62"/>
        <v>25</v>
      </c>
      <c r="F63" s="61">
        <f t="shared" si="63"/>
        <v>25</v>
      </c>
      <c r="G63" s="73">
        <f t="shared" si="64"/>
        <v>16</v>
      </c>
      <c r="H63" s="64">
        <f t="shared" si="65"/>
        <v>1</v>
      </c>
      <c r="I63" s="63">
        <f t="shared" si="102"/>
        <v>5.0999999999999996</v>
      </c>
      <c r="J63" s="65">
        <f t="shared" si="66"/>
        <v>9.4999999999999998E-3</v>
      </c>
      <c r="K63" s="65">
        <f t="shared" si="67"/>
        <v>9.4999999999999998E-3</v>
      </c>
      <c r="L63" s="65">
        <f t="shared" si="68"/>
        <v>1.0999999999999999E-2</v>
      </c>
      <c r="M63" s="65">
        <f t="shared" si="69"/>
        <v>2.6000000000000003E-3</v>
      </c>
      <c r="N63" s="63">
        <f t="shared" si="70"/>
        <v>0.75736312500000003</v>
      </c>
      <c r="O63" s="64">
        <f t="shared" si="71"/>
        <v>2.8545016181250005</v>
      </c>
      <c r="P63" s="64">
        <f t="shared" si="72"/>
        <v>6.5272508090625001</v>
      </c>
      <c r="Q63" s="64">
        <f t="shared" si="73"/>
        <v>3.6727491909374992</v>
      </c>
      <c r="R63" s="64">
        <f t="shared" si="74"/>
        <v>0</v>
      </c>
      <c r="S63" s="64">
        <f t="shared" si="75"/>
        <v>5.166141205708878</v>
      </c>
      <c r="T63" s="63">
        <f t="shared" si="42"/>
        <v>0.29357916453055499</v>
      </c>
      <c r="U63" s="63">
        <f t="shared" si="76"/>
        <v>1.6</v>
      </c>
      <c r="V63" s="63">
        <f t="shared" si="43"/>
        <v>1.8935791645305551</v>
      </c>
      <c r="W63" s="64">
        <f t="shared" si="44"/>
        <v>0.82402363881334573</v>
      </c>
      <c r="X63" s="63">
        <f t="shared" si="77"/>
        <v>4.7531047012623114E-3</v>
      </c>
      <c r="Y63" s="63">
        <f t="shared" si="45"/>
        <v>4.7531047012623114E-3</v>
      </c>
      <c r="Z63" s="64">
        <f t="shared" si="78"/>
        <v>2.2146074294667488</v>
      </c>
      <c r="AA63" s="74">
        <f t="shared" si="79"/>
        <v>4.904486066649321E-3</v>
      </c>
      <c r="AB63" s="75">
        <f t="shared" si="46"/>
        <v>4.904486066649321E-3</v>
      </c>
      <c r="AC63" s="63">
        <f t="shared" si="80"/>
        <v>4.4959176784334058</v>
      </c>
      <c r="AD63" s="63">
        <f t="shared" si="47"/>
        <v>0.19202611982687523</v>
      </c>
      <c r="AE63" s="63">
        <f t="shared" si="81"/>
        <v>0.19827009799248663</v>
      </c>
      <c r="AF63" s="63">
        <f t="shared" si="82"/>
        <v>6.7275628657012587E-2</v>
      </c>
      <c r="AG63" s="63">
        <f t="shared" si="83"/>
        <v>3.8400000000000001E-3</v>
      </c>
      <c r="AH63" s="63">
        <f t="shared" si="84"/>
        <v>0</v>
      </c>
      <c r="AI63" s="63">
        <f t="shared" si="48"/>
        <v>3.1238095238095238E-2</v>
      </c>
      <c r="AJ63" s="63">
        <f t="shared" si="49"/>
        <v>0.30062382188759446</v>
      </c>
      <c r="AK63" s="63">
        <f t="shared" si="85"/>
        <v>2.5447473717587674</v>
      </c>
      <c r="AL63" s="63">
        <f t="shared" si="86"/>
        <v>6.1519522267694964E-2</v>
      </c>
      <c r="AM63" s="63">
        <f t="shared" si="87"/>
        <v>6.2146531152458322E-2</v>
      </c>
      <c r="AN63" s="63">
        <f t="shared" si="88"/>
        <v>2.333819935275E-2</v>
      </c>
      <c r="AO63" s="63">
        <f t="shared" si="89"/>
        <v>129.64369740452625</v>
      </c>
      <c r="AP63" s="63">
        <f t="shared" si="50"/>
        <v>2.333819935275E-2</v>
      </c>
      <c r="AQ63" s="61">
        <f t="shared" si="90"/>
        <v>6.5600000000000006E-2</v>
      </c>
      <c r="AR63" s="61">
        <f t="shared" si="91"/>
        <v>7110400000</v>
      </c>
      <c r="AS63" s="61">
        <f t="shared" si="51"/>
        <v>6.5600000000000006E-2</v>
      </c>
      <c r="AT63" s="61">
        <f t="shared" si="52"/>
        <v>3.4361904761904767E-2</v>
      </c>
      <c r="AU63" s="63">
        <f t="shared" si="53"/>
        <v>0.11984663526711309</v>
      </c>
      <c r="AV63" s="63">
        <f t="shared" si="92"/>
        <v>6.9391438889040286E-2</v>
      </c>
      <c r="AW63" s="63">
        <f t="shared" si="93"/>
        <v>1.9840000000000001E-3</v>
      </c>
      <c r="AX63" s="63">
        <f t="shared" si="94"/>
        <v>3.5200000000000002E-2</v>
      </c>
      <c r="AY63" s="63">
        <f t="shared" si="95"/>
        <v>3.7184000000000002E-2</v>
      </c>
      <c r="AZ63" s="63">
        <f t="shared" si="96"/>
        <v>2.4302826513422144</v>
      </c>
      <c r="BA63" s="64">
        <f t="shared" si="97"/>
        <v>61.199999999999996</v>
      </c>
      <c r="BB63" s="76">
        <f t="shared" si="54"/>
        <v>0.96180619431381775</v>
      </c>
      <c r="BC63" s="64">
        <f t="shared" si="55"/>
        <v>96.180619431381771</v>
      </c>
      <c r="BD63" s="63">
        <f t="shared" si="98"/>
        <v>1.8935791645305551</v>
      </c>
      <c r="BE63" s="63">
        <f t="shared" si="56"/>
        <v>0.42047045715470754</v>
      </c>
      <c r="BF63" s="63">
        <f t="shared" si="99"/>
        <v>0.30062382188759446</v>
      </c>
      <c r="BG63" s="63">
        <f t="shared" si="100"/>
        <v>0.11984663526711309</v>
      </c>
      <c r="BH63" s="63">
        <f t="shared" si="101"/>
        <v>6.9391438889040286E-2</v>
      </c>
      <c r="BI63" s="63">
        <f t="shared" si="57"/>
        <v>3.7184000000000002E-2</v>
      </c>
      <c r="BJ63" s="63">
        <f t="shared" si="58"/>
        <v>4.904486066649321E-3</v>
      </c>
      <c r="BK63" s="63">
        <f t="shared" si="59"/>
        <v>4.7531047012623114E-3</v>
      </c>
      <c r="BL63" s="63">
        <f t="shared" si="60"/>
        <v>2.4302826513422144</v>
      </c>
      <c r="BQ63" s="77"/>
      <c r="BR63" s="78"/>
    </row>
    <row r="64" spans="3:70" x14ac:dyDescent="0.2">
      <c r="C64" s="61">
        <v>52</v>
      </c>
      <c r="D64" s="61">
        <f t="shared" si="61"/>
        <v>25</v>
      </c>
      <c r="E64" s="61">
        <f t="shared" si="62"/>
        <v>25</v>
      </c>
      <c r="F64" s="61">
        <f t="shared" si="63"/>
        <v>25</v>
      </c>
      <c r="G64" s="73">
        <f t="shared" si="64"/>
        <v>16</v>
      </c>
      <c r="H64" s="64">
        <f t="shared" si="65"/>
        <v>1</v>
      </c>
      <c r="I64" s="63">
        <f t="shared" si="102"/>
        <v>5.2</v>
      </c>
      <c r="J64" s="65">
        <f t="shared" si="66"/>
        <v>9.4999999999999998E-3</v>
      </c>
      <c r="K64" s="65">
        <f t="shared" si="67"/>
        <v>9.4999999999999998E-3</v>
      </c>
      <c r="L64" s="65">
        <f t="shared" si="68"/>
        <v>1.0999999999999999E-2</v>
      </c>
      <c r="M64" s="65">
        <f t="shared" si="69"/>
        <v>2.6000000000000003E-3</v>
      </c>
      <c r="N64" s="63">
        <f t="shared" si="70"/>
        <v>0.7575075</v>
      </c>
      <c r="O64" s="64">
        <f t="shared" si="71"/>
        <v>2.8550457675000005</v>
      </c>
      <c r="P64" s="64">
        <f t="shared" si="72"/>
        <v>6.6275228837500002</v>
      </c>
      <c r="Q64" s="64">
        <f t="shared" si="73"/>
        <v>3.7724771162500002</v>
      </c>
      <c r="R64" s="64">
        <f t="shared" si="74"/>
        <v>0</v>
      </c>
      <c r="S64" s="64">
        <f t="shared" si="75"/>
        <v>5.2649096726544107</v>
      </c>
      <c r="T64" s="63">
        <f t="shared" si="42"/>
        <v>0.30491201247330968</v>
      </c>
      <c r="U64" s="63">
        <f t="shared" si="76"/>
        <v>1.6</v>
      </c>
      <c r="V64" s="63">
        <f t="shared" si="43"/>
        <v>1.9049120124733099</v>
      </c>
      <c r="W64" s="64">
        <f t="shared" si="44"/>
        <v>0.82418072120741359</v>
      </c>
      <c r="X64" s="63">
        <f t="shared" si="77"/>
        <v>4.7549170284698072E-3</v>
      </c>
      <c r="Y64" s="63">
        <f t="shared" si="45"/>
        <v>4.7549170284698072E-3</v>
      </c>
      <c r="Z64" s="64">
        <f t="shared" si="78"/>
        <v>2.2564907036343276</v>
      </c>
      <c r="AA64" s="74">
        <f t="shared" si="79"/>
        <v>5.0917502955881424E-3</v>
      </c>
      <c r="AB64" s="75">
        <f t="shared" si="46"/>
        <v>5.0917502955881424E-3</v>
      </c>
      <c r="AC64" s="63">
        <f t="shared" si="80"/>
        <v>4.5823092261894018</v>
      </c>
      <c r="AD64" s="63">
        <f t="shared" si="47"/>
        <v>0.1994767995219949</v>
      </c>
      <c r="AE64" s="63">
        <f t="shared" si="81"/>
        <v>0.2062232263886816</v>
      </c>
      <c r="AF64" s="63">
        <f t="shared" si="82"/>
        <v>6.8481306881857426E-2</v>
      </c>
      <c r="AG64" s="63">
        <f t="shared" si="83"/>
        <v>3.8400000000000001E-3</v>
      </c>
      <c r="AH64" s="63">
        <f t="shared" si="84"/>
        <v>0</v>
      </c>
      <c r="AI64" s="63">
        <f t="shared" si="48"/>
        <v>3.1238095238095238E-2</v>
      </c>
      <c r="AJ64" s="63">
        <f t="shared" si="49"/>
        <v>0.30978262850863425</v>
      </c>
      <c r="AK64" s="63">
        <f t="shared" si="85"/>
        <v>2.5926272421598635</v>
      </c>
      <c r="AL64" s="63">
        <f t="shared" si="86"/>
        <v>6.3856302159499861E-2</v>
      </c>
      <c r="AM64" s="63">
        <f t="shared" si="87"/>
        <v>6.4532110397749878E-2</v>
      </c>
      <c r="AN64" s="63">
        <f t="shared" si="88"/>
        <v>2.3817981693000007E-2</v>
      </c>
      <c r="AO64" s="63">
        <f t="shared" si="89"/>
        <v>132.30888830461504</v>
      </c>
      <c r="AP64" s="63">
        <f t="shared" si="50"/>
        <v>2.3817981693000007E-2</v>
      </c>
      <c r="AQ64" s="61">
        <f t="shared" si="90"/>
        <v>6.5600000000000006E-2</v>
      </c>
      <c r="AR64" s="61">
        <f t="shared" si="91"/>
        <v>7110400000</v>
      </c>
      <c r="AS64" s="61">
        <f t="shared" si="51"/>
        <v>6.5600000000000006E-2</v>
      </c>
      <c r="AT64" s="61">
        <f t="shared" si="52"/>
        <v>3.4361904761904767E-2</v>
      </c>
      <c r="AU64" s="63">
        <f t="shared" si="53"/>
        <v>0.12271199685265466</v>
      </c>
      <c r="AV64" s="63">
        <f t="shared" si="92"/>
        <v>7.2070112039145942E-2</v>
      </c>
      <c r="AW64" s="63">
        <f t="shared" si="93"/>
        <v>1.9840000000000001E-3</v>
      </c>
      <c r="AX64" s="63">
        <f t="shared" si="94"/>
        <v>3.5200000000000002E-2</v>
      </c>
      <c r="AY64" s="63">
        <f t="shared" si="95"/>
        <v>3.7184000000000002E-2</v>
      </c>
      <c r="AZ64" s="63">
        <f t="shared" si="96"/>
        <v>2.4565074171978027</v>
      </c>
      <c r="BA64" s="64">
        <f t="shared" si="97"/>
        <v>62.400000000000006</v>
      </c>
      <c r="BB64" s="76">
        <f t="shared" si="54"/>
        <v>0.9621239638854433</v>
      </c>
      <c r="BC64" s="64">
        <f t="shared" si="55"/>
        <v>96.212396388544335</v>
      </c>
      <c r="BD64" s="63">
        <f t="shared" si="98"/>
        <v>1.9049120124733099</v>
      </c>
      <c r="BE64" s="63">
        <f t="shared" si="56"/>
        <v>0.43249462536128891</v>
      </c>
      <c r="BF64" s="63">
        <f t="shared" si="99"/>
        <v>0.30978262850863425</v>
      </c>
      <c r="BG64" s="63">
        <f t="shared" si="100"/>
        <v>0.12271199685265466</v>
      </c>
      <c r="BH64" s="63">
        <f t="shared" si="101"/>
        <v>7.2070112039145942E-2</v>
      </c>
      <c r="BI64" s="63">
        <f t="shared" si="57"/>
        <v>3.7184000000000002E-2</v>
      </c>
      <c r="BJ64" s="63">
        <f t="shared" si="58"/>
        <v>5.0917502955881424E-3</v>
      </c>
      <c r="BK64" s="63">
        <f t="shared" si="59"/>
        <v>4.7549170284698072E-3</v>
      </c>
      <c r="BL64" s="63">
        <f t="shared" si="60"/>
        <v>2.4565074171978027</v>
      </c>
      <c r="BQ64" s="77"/>
      <c r="BR64" s="78"/>
    </row>
    <row r="65" spans="3:70" x14ac:dyDescent="0.2">
      <c r="C65" s="61">
        <v>53</v>
      </c>
      <c r="D65" s="61">
        <f t="shared" si="61"/>
        <v>25</v>
      </c>
      <c r="E65" s="61">
        <f t="shared" si="62"/>
        <v>25</v>
      </c>
      <c r="F65" s="61">
        <f t="shared" si="63"/>
        <v>25</v>
      </c>
      <c r="G65" s="73">
        <f t="shared" si="64"/>
        <v>16</v>
      </c>
      <c r="H65" s="64">
        <f t="shared" si="65"/>
        <v>1</v>
      </c>
      <c r="I65" s="63">
        <f t="shared" si="102"/>
        <v>5.3</v>
      </c>
      <c r="J65" s="65">
        <f t="shared" si="66"/>
        <v>9.4999999999999998E-3</v>
      </c>
      <c r="K65" s="65">
        <f t="shared" si="67"/>
        <v>9.4999999999999998E-3</v>
      </c>
      <c r="L65" s="65">
        <f t="shared" si="68"/>
        <v>1.0999999999999999E-2</v>
      </c>
      <c r="M65" s="65">
        <f t="shared" si="69"/>
        <v>2.6000000000000003E-3</v>
      </c>
      <c r="N65" s="63">
        <f t="shared" si="70"/>
        <v>0.75765187499999997</v>
      </c>
      <c r="O65" s="64">
        <f t="shared" si="71"/>
        <v>2.8555899168750005</v>
      </c>
      <c r="P65" s="64">
        <f t="shared" si="72"/>
        <v>6.7277949584375003</v>
      </c>
      <c r="Q65" s="64">
        <f t="shared" si="73"/>
        <v>3.8722050415624993</v>
      </c>
      <c r="R65" s="64">
        <f t="shared" si="74"/>
        <v>0</v>
      </c>
      <c r="S65" s="64">
        <f t="shared" si="75"/>
        <v>5.3637237824524959</v>
      </c>
      <c r="T65" s="63">
        <f t="shared" si="42"/>
        <v>0.31646486095891158</v>
      </c>
      <c r="U65" s="63">
        <f t="shared" si="76"/>
        <v>1.6</v>
      </c>
      <c r="V65" s="63">
        <f t="shared" si="43"/>
        <v>1.9164648609589117</v>
      </c>
      <c r="W65" s="64">
        <f t="shared" si="44"/>
        <v>0.82433780360148134</v>
      </c>
      <c r="X65" s="63">
        <f t="shared" si="77"/>
        <v>4.7567297011256015E-3</v>
      </c>
      <c r="Y65" s="63">
        <f t="shared" si="45"/>
        <v>4.7567297011256015E-3</v>
      </c>
      <c r="Z65" s="64">
        <f t="shared" si="78"/>
        <v>2.2983760523128498</v>
      </c>
      <c r="AA65" s="74">
        <f t="shared" si="79"/>
        <v>5.2825324778451995E-3</v>
      </c>
      <c r="AB65" s="75">
        <f t="shared" si="46"/>
        <v>5.2825324778451995E-3</v>
      </c>
      <c r="AC65" s="63">
        <f t="shared" si="80"/>
        <v>4.668756845214733</v>
      </c>
      <c r="AD65" s="63">
        <f t="shared" si="47"/>
        <v>0.20707425955752456</v>
      </c>
      <c r="AE65" s="63">
        <f t="shared" si="81"/>
        <v>0.21435375122575037</v>
      </c>
      <c r="AF65" s="63">
        <f t="shared" si="82"/>
        <v>6.9686985106702265E-2</v>
      </c>
      <c r="AG65" s="63">
        <f t="shared" si="83"/>
        <v>3.8400000000000001E-3</v>
      </c>
      <c r="AH65" s="63">
        <f t="shared" si="84"/>
        <v>0</v>
      </c>
      <c r="AI65" s="63">
        <f t="shared" si="48"/>
        <v>3.1238095238095238E-2</v>
      </c>
      <c r="AJ65" s="63">
        <f t="shared" si="49"/>
        <v>0.31911883157054788</v>
      </c>
      <c r="AK65" s="63">
        <f t="shared" si="85"/>
        <v>2.6405003947560934</v>
      </c>
      <c r="AL65" s="63">
        <f t="shared" si="86"/>
        <v>6.6236302179717307E-2</v>
      </c>
      <c r="AM65" s="63">
        <f t="shared" si="87"/>
        <v>6.6963712485743468E-2</v>
      </c>
      <c r="AN65" s="63">
        <f t="shared" si="88"/>
        <v>2.4297764033249999E-2</v>
      </c>
      <c r="AO65" s="63">
        <f t="shared" si="89"/>
        <v>134.97407920470377</v>
      </c>
      <c r="AP65" s="63">
        <f t="shared" si="50"/>
        <v>2.4297764033249999E-2</v>
      </c>
      <c r="AQ65" s="61">
        <f t="shared" si="90"/>
        <v>6.5600000000000006E-2</v>
      </c>
      <c r="AR65" s="61">
        <f t="shared" si="91"/>
        <v>7110400000</v>
      </c>
      <c r="AS65" s="61">
        <f t="shared" si="51"/>
        <v>6.5600000000000006E-2</v>
      </c>
      <c r="AT65" s="61">
        <f t="shared" si="52"/>
        <v>3.4361904761904767E-2</v>
      </c>
      <c r="AU65" s="63">
        <f t="shared" si="53"/>
        <v>0.12562338128089823</v>
      </c>
      <c r="AV65" s="63">
        <f t="shared" si="92"/>
        <v>7.4800785317560931E-2</v>
      </c>
      <c r="AW65" s="63">
        <f t="shared" si="93"/>
        <v>1.9840000000000001E-3</v>
      </c>
      <c r="AX65" s="63">
        <f t="shared" si="94"/>
        <v>3.5200000000000002E-2</v>
      </c>
      <c r="AY65" s="63">
        <f t="shared" si="95"/>
        <v>3.7184000000000002E-2</v>
      </c>
      <c r="AZ65" s="63">
        <f t="shared" si="96"/>
        <v>2.4832311213068889</v>
      </c>
      <c r="BA65" s="64">
        <f t="shared" si="97"/>
        <v>63.599999999999994</v>
      </c>
      <c r="BB65" s="76">
        <f t="shared" si="54"/>
        <v>0.96242267396476877</v>
      </c>
      <c r="BC65" s="64">
        <f t="shared" si="55"/>
        <v>96.242267396476876</v>
      </c>
      <c r="BD65" s="63">
        <f t="shared" si="98"/>
        <v>1.9164648609589117</v>
      </c>
      <c r="BE65" s="63">
        <f t="shared" si="56"/>
        <v>0.44474221285144611</v>
      </c>
      <c r="BF65" s="63">
        <f t="shared" si="99"/>
        <v>0.31911883157054788</v>
      </c>
      <c r="BG65" s="63">
        <f t="shared" si="100"/>
        <v>0.12562338128089823</v>
      </c>
      <c r="BH65" s="63">
        <f t="shared" si="101"/>
        <v>7.4800785317560931E-2</v>
      </c>
      <c r="BI65" s="63">
        <f t="shared" si="57"/>
        <v>3.7184000000000002E-2</v>
      </c>
      <c r="BJ65" s="63">
        <f t="shared" si="58"/>
        <v>5.2825324778451995E-3</v>
      </c>
      <c r="BK65" s="63">
        <f t="shared" si="59"/>
        <v>4.7567297011256015E-3</v>
      </c>
      <c r="BL65" s="63">
        <f t="shared" si="60"/>
        <v>2.4832311213068898</v>
      </c>
      <c r="BQ65" s="77"/>
      <c r="BR65" s="78"/>
    </row>
    <row r="66" spans="3:70" x14ac:dyDescent="0.2">
      <c r="C66" s="61">
        <v>54</v>
      </c>
      <c r="D66" s="61">
        <f t="shared" si="61"/>
        <v>25</v>
      </c>
      <c r="E66" s="61">
        <f t="shared" si="62"/>
        <v>25</v>
      </c>
      <c r="F66" s="61">
        <f t="shared" si="63"/>
        <v>25</v>
      </c>
      <c r="G66" s="73">
        <f t="shared" si="64"/>
        <v>16</v>
      </c>
      <c r="H66" s="64">
        <f t="shared" si="65"/>
        <v>1</v>
      </c>
      <c r="I66" s="63">
        <f t="shared" si="102"/>
        <v>5.4</v>
      </c>
      <c r="J66" s="65">
        <f t="shared" si="66"/>
        <v>9.4999999999999998E-3</v>
      </c>
      <c r="K66" s="65">
        <f t="shared" si="67"/>
        <v>9.4999999999999998E-3</v>
      </c>
      <c r="L66" s="65">
        <f t="shared" si="68"/>
        <v>1.0999999999999999E-2</v>
      </c>
      <c r="M66" s="65">
        <f t="shared" si="69"/>
        <v>2.6000000000000003E-3</v>
      </c>
      <c r="N66" s="63">
        <f t="shared" si="70"/>
        <v>0.75779624999999995</v>
      </c>
      <c r="O66" s="64">
        <f t="shared" si="71"/>
        <v>2.8561340662500005</v>
      </c>
      <c r="P66" s="64">
        <f t="shared" si="72"/>
        <v>6.8280670331250004</v>
      </c>
      <c r="Q66" s="64">
        <f t="shared" si="73"/>
        <v>3.9719329668750003</v>
      </c>
      <c r="R66" s="64">
        <f t="shared" si="74"/>
        <v>0</v>
      </c>
      <c r="S66" s="64">
        <f t="shared" si="75"/>
        <v>5.4625810581658936</v>
      </c>
      <c r="T66" s="63">
        <f t="shared" si="42"/>
        <v>0.32823770998736096</v>
      </c>
      <c r="U66" s="63">
        <f t="shared" si="76"/>
        <v>1.6</v>
      </c>
      <c r="V66" s="63">
        <f t="shared" si="43"/>
        <v>1.9282377099873611</v>
      </c>
      <c r="W66" s="64">
        <f t="shared" si="44"/>
        <v>0.82449488599554921</v>
      </c>
      <c r="X66" s="63">
        <f t="shared" si="77"/>
        <v>4.7585427192296959E-3</v>
      </c>
      <c r="Y66" s="63">
        <f t="shared" si="45"/>
        <v>4.7585427192296959E-3</v>
      </c>
      <c r="Z66" s="64">
        <f t="shared" si="78"/>
        <v>2.3402623826167299</v>
      </c>
      <c r="AA66" s="74">
        <f t="shared" si="79"/>
        <v>5.4768280194909336E-3</v>
      </c>
      <c r="AB66" s="75">
        <f t="shared" si="46"/>
        <v>5.4768280194909336E-3</v>
      </c>
      <c r="AC66" s="63">
        <f t="shared" si="80"/>
        <v>4.7552583883242505</v>
      </c>
      <c r="AD66" s="63">
        <f t="shared" si="47"/>
        <v>0.21481858222741743</v>
      </c>
      <c r="AE66" s="63">
        <f t="shared" si="81"/>
        <v>0.22266305682520193</v>
      </c>
      <c r="AF66" s="63">
        <f t="shared" si="82"/>
        <v>7.089266333154709E-2</v>
      </c>
      <c r="AG66" s="63">
        <f t="shared" si="83"/>
        <v>3.8400000000000001E-3</v>
      </c>
      <c r="AH66" s="63">
        <f t="shared" si="84"/>
        <v>0</v>
      </c>
      <c r="AI66" s="63">
        <f t="shared" si="48"/>
        <v>3.1238095238095238E-2</v>
      </c>
      <c r="AJ66" s="63">
        <f t="shared" si="49"/>
        <v>0.32863381539484426</v>
      </c>
      <c r="AK66" s="63">
        <f t="shared" si="85"/>
        <v>2.6883655773173154</v>
      </c>
      <c r="AL66" s="63">
        <f t="shared" si="86"/>
        <v>6.8659440034394295E-2</v>
      </c>
      <c r="AM66" s="63">
        <f t="shared" si="87"/>
        <v>6.9441360037237193E-2</v>
      </c>
      <c r="AN66" s="63">
        <f t="shared" si="88"/>
        <v>2.4777546373500003E-2</v>
      </c>
      <c r="AO66" s="63">
        <f t="shared" si="89"/>
        <v>137.6392701047925</v>
      </c>
      <c r="AP66" s="63">
        <f t="shared" si="50"/>
        <v>2.4777546373500003E-2</v>
      </c>
      <c r="AQ66" s="61">
        <f t="shared" si="90"/>
        <v>6.5600000000000006E-2</v>
      </c>
      <c r="AR66" s="61">
        <f t="shared" si="91"/>
        <v>7110400000</v>
      </c>
      <c r="AS66" s="61">
        <f t="shared" si="51"/>
        <v>6.5600000000000006E-2</v>
      </c>
      <c r="AT66" s="61">
        <f t="shared" si="52"/>
        <v>3.4361904761904767E-2</v>
      </c>
      <c r="AU66" s="63">
        <f t="shared" si="53"/>
        <v>0.12858081117264197</v>
      </c>
      <c r="AV66" s="63">
        <f t="shared" si="92"/>
        <v>7.7583458724285334E-2</v>
      </c>
      <c r="AW66" s="63">
        <f t="shared" si="93"/>
        <v>1.9840000000000001E-3</v>
      </c>
      <c r="AX66" s="63">
        <f t="shared" si="94"/>
        <v>3.5200000000000002E-2</v>
      </c>
      <c r="AY66" s="63">
        <f t="shared" si="95"/>
        <v>3.7184000000000002E-2</v>
      </c>
      <c r="AZ66" s="63">
        <f t="shared" si="96"/>
        <v>2.5104551660178531</v>
      </c>
      <c r="BA66" s="64">
        <f t="shared" si="97"/>
        <v>64.800000000000011</v>
      </c>
      <c r="BB66" s="76">
        <f t="shared" si="54"/>
        <v>0.96270333992206802</v>
      </c>
      <c r="BC66" s="64">
        <f t="shared" si="55"/>
        <v>96.270333992206801</v>
      </c>
      <c r="BD66" s="63">
        <f t="shared" si="98"/>
        <v>1.9282377099873611</v>
      </c>
      <c r="BE66" s="63">
        <f t="shared" si="56"/>
        <v>0.45721462656748624</v>
      </c>
      <c r="BF66" s="63">
        <f t="shared" si="99"/>
        <v>0.32863381539484426</v>
      </c>
      <c r="BG66" s="63">
        <f t="shared" si="100"/>
        <v>0.12858081117264197</v>
      </c>
      <c r="BH66" s="63">
        <f t="shared" si="101"/>
        <v>7.7583458724285334E-2</v>
      </c>
      <c r="BI66" s="63">
        <f t="shared" si="57"/>
        <v>3.7184000000000002E-2</v>
      </c>
      <c r="BJ66" s="63">
        <f t="shared" si="58"/>
        <v>5.4768280194909336E-3</v>
      </c>
      <c r="BK66" s="63">
        <f t="shared" si="59"/>
        <v>4.7585427192296959E-3</v>
      </c>
      <c r="BL66" s="63">
        <f t="shared" si="60"/>
        <v>2.5104551660178536</v>
      </c>
      <c r="BQ66" s="77"/>
      <c r="BR66" s="78"/>
    </row>
    <row r="67" spans="3:70" x14ac:dyDescent="0.2">
      <c r="C67" s="61">
        <v>55</v>
      </c>
      <c r="D67" s="61">
        <f t="shared" si="61"/>
        <v>25</v>
      </c>
      <c r="E67" s="61">
        <f t="shared" si="62"/>
        <v>25</v>
      </c>
      <c r="F67" s="61">
        <f t="shared" si="63"/>
        <v>25</v>
      </c>
      <c r="G67" s="73">
        <f t="shared" si="64"/>
        <v>16</v>
      </c>
      <c r="H67" s="64">
        <f t="shared" si="65"/>
        <v>1</v>
      </c>
      <c r="I67" s="63">
        <f t="shared" si="102"/>
        <v>5.5</v>
      </c>
      <c r="J67" s="65">
        <f t="shared" si="66"/>
        <v>9.4999999999999998E-3</v>
      </c>
      <c r="K67" s="65">
        <f t="shared" si="67"/>
        <v>9.4999999999999998E-3</v>
      </c>
      <c r="L67" s="65">
        <f t="shared" si="68"/>
        <v>1.0999999999999999E-2</v>
      </c>
      <c r="M67" s="65">
        <f t="shared" si="69"/>
        <v>2.6000000000000003E-3</v>
      </c>
      <c r="N67" s="63">
        <f t="shared" si="70"/>
        <v>0.75794062500000003</v>
      </c>
      <c r="O67" s="64">
        <f t="shared" si="71"/>
        <v>2.8566782156250006</v>
      </c>
      <c r="P67" s="64">
        <f t="shared" si="72"/>
        <v>6.9283391078125005</v>
      </c>
      <c r="Q67" s="64">
        <f t="shared" si="73"/>
        <v>4.0716608921874995</v>
      </c>
      <c r="R67" s="64">
        <f t="shared" si="74"/>
        <v>0</v>
      </c>
      <c r="S67" s="64">
        <f t="shared" si="75"/>
        <v>5.5614791979264719</v>
      </c>
      <c r="T67" s="63">
        <f t="shared" si="42"/>
        <v>0.34023055955865761</v>
      </c>
      <c r="U67" s="63">
        <f t="shared" si="76"/>
        <v>1.6</v>
      </c>
      <c r="V67" s="63">
        <f t="shared" si="43"/>
        <v>1.9402305595586578</v>
      </c>
      <c r="W67" s="64">
        <f t="shared" si="44"/>
        <v>0.82465196838961696</v>
      </c>
      <c r="X67" s="63">
        <f t="shared" si="77"/>
        <v>4.7603560827820888E-3</v>
      </c>
      <c r="Y67" s="63">
        <f t="shared" si="45"/>
        <v>4.7603560827820888E-3</v>
      </c>
      <c r="Z67" s="64">
        <f t="shared" si="78"/>
        <v>2.3821486774744267</v>
      </c>
      <c r="AA67" s="74">
        <f t="shared" si="79"/>
        <v>5.6746323215931599E-3</v>
      </c>
      <c r="AB67" s="75">
        <f t="shared" si="46"/>
        <v>5.6746323215931599E-3</v>
      </c>
      <c r="AC67" s="63">
        <f t="shared" si="80"/>
        <v>4.8418118599247597</v>
      </c>
      <c r="AD67" s="63">
        <f t="shared" si="47"/>
        <v>0.22270984982562658</v>
      </c>
      <c r="AE67" s="63">
        <f t="shared" si="81"/>
        <v>0.23115256201481979</v>
      </c>
      <c r="AF67" s="63">
        <f t="shared" si="82"/>
        <v>7.2098341556391915E-2</v>
      </c>
      <c r="AG67" s="63">
        <f t="shared" si="83"/>
        <v>3.8400000000000001E-3</v>
      </c>
      <c r="AH67" s="63">
        <f t="shared" si="84"/>
        <v>0</v>
      </c>
      <c r="AI67" s="63">
        <f t="shared" si="48"/>
        <v>3.1238095238095238E-2</v>
      </c>
      <c r="AJ67" s="63">
        <f t="shared" si="49"/>
        <v>0.33832899880930695</v>
      </c>
      <c r="AK67" s="63">
        <f t="shared" si="85"/>
        <v>2.736221625172349</v>
      </c>
      <c r="AL67" s="63">
        <f t="shared" si="86"/>
        <v>7.11256334295777E-2</v>
      </c>
      <c r="AM67" s="63">
        <f t="shared" si="87"/>
        <v>7.1965077552598608E-2</v>
      </c>
      <c r="AN67" s="63">
        <f t="shared" si="88"/>
        <v>2.5257328713750003E-2</v>
      </c>
      <c r="AO67" s="63">
        <f t="shared" si="89"/>
        <v>140.30446100488126</v>
      </c>
      <c r="AP67" s="63">
        <f t="shared" si="50"/>
        <v>2.5257328713750003E-2</v>
      </c>
      <c r="AQ67" s="61">
        <f t="shared" si="90"/>
        <v>6.5600000000000006E-2</v>
      </c>
      <c r="AR67" s="61">
        <f t="shared" si="91"/>
        <v>7110400000</v>
      </c>
      <c r="AS67" s="61">
        <f t="shared" si="51"/>
        <v>6.5600000000000006E-2</v>
      </c>
      <c r="AT67" s="61">
        <f t="shared" si="52"/>
        <v>3.4361904761904767E-2</v>
      </c>
      <c r="AU67" s="63">
        <f t="shared" si="53"/>
        <v>0.13158431102825338</v>
      </c>
      <c r="AV67" s="63">
        <f t="shared" si="92"/>
        <v>8.0418132259319083E-2</v>
      </c>
      <c r="AW67" s="63">
        <f t="shared" si="93"/>
        <v>1.9840000000000001E-3</v>
      </c>
      <c r="AX67" s="63">
        <f t="shared" si="94"/>
        <v>3.5200000000000002E-2</v>
      </c>
      <c r="AY67" s="63">
        <f t="shared" si="95"/>
        <v>3.7184000000000002E-2</v>
      </c>
      <c r="AZ67" s="63">
        <f t="shared" si="96"/>
        <v>2.5381809900599124</v>
      </c>
      <c r="BA67" s="64">
        <f t="shared" si="97"/>
        <v>66</v>
      </c>
      <c r="BB67" s="76">
        <f t="shared" si="54"/>
        <v>0.96296690467422785</v>
      </c>
      <c r="BC67" s="64">
        <f t="shared" si="55"/>
        <v>96.296690467422792</v>
      </c>
      <c r="BD67" s="63">
        <f t="shared" si="98"/>
        <v>1.9402305595586578</v>
      </c>
      <c r="BE67" s="63">
        <f t="shared" si="56"/>
        <v>0.4699133098375603</v>
      </c>
      <c r="BF67" s="63">
        <f t="shared" si="99"/>
        <v>0.33832899880930695</v>
      </c>
      <c r="BG67" s="63">
        <f t="shared" si="100"/>
        <v>0.13158431102825338</v>
      </c>
      <c r="BH67" s="63">
        <f t="shared" si="101"/>
        <v>8.0418132259319083E-2</v>
      </c>
      <c r="BI67" s="63">
        <f t="shared" si="57"/>
        <v>3.7184000000000002E-2</v>
      </c>
      <c r="BJ67" s="63">
        <f t="shared" si="58"/>
        <v>5.6746323215931599E-3</v>
      </c>
      <c r="BK67" s="63">
        <f t="shared" si="59"/>
        <v>4.7603560827820888E-3</v>
      </c>
      <c r="BL67" s="63">
        <f t="shared" si="60"/>
        <v>2.5381809900599124</v>
      </c>
      <c r="BQ67" s="77"/>
      <c r="BR67" s="78"/>
    </row>
    <row r="68" spans="3:70" x14ac:dyDescent="0.2">
      <c r="C68" s="61">
        <v>56</v>
      </c>
      <c r="D68" s="61">
        <f t="shared" si="61"/>
        <v>25</v>
      </c>
      <c r="E68" s="61">
        <f t="shared" si="62"/>
        <v>25</v>
      </c>
      <c r="F68" s="61">
        <f t="shared" si="63"/>
        <v>25</v>
      </c>
      <c r="G68" s="73">
        <f t="shared" si="64"/>
        <v>16</v>
      </c>
      <c r="H68" s="64">
        <f t="shared" si="65"/>
        <v>1</v>
      </c>
      <c r="I68" s="63">
        <f t="shared" si="102"/>
        <v>5.6</v>
      </c>
      <c r="J68" s="65">
        <f t="shared" si="66"/>
        <v>9.4999999999999998E-3</v>
      </c>
      <c r="K68" s="65">
        <f t="shared" si="67"/>
        <v>9.4999999999999998E-3</v>
      </c>
      <c r="L68" s="65">
        <f t="shared" si="68"/>
        <v>1.0999999999999999E-2</v>
      </c>
      <c r="M68" s="65">
        <f t="shared" si="69"/>
        <v>2.6000000000000003E-3</v>
      </c>
      <c r="N68" s="63">
        <f t="shared" si="70"/>
        <v>0.75808500000000001</v>
      </c>
      <c r="O68" s="64">
        <f t="shared" si="71"/>
        <v>2.8572223650000006</v>
      </c>
      <c r="P68" s="64">
        <f t="shared" si="72"/>
        <v>7.0286111824999997</v>
      </c>
      <c r="Q68" s="64">
        <f t="shared" si="73"/>
        <v>4.1713888174999996</v>
      </c>
      <c r="R68" s="64">
        <f t="shared" si="74"/>
        <v>0</v>
      </c>
      <c r="S68" s="64">
        <f t="shared" si="75"/>
        <v>5.6604160598188082</v>
      </c>
      <c r="T68" s="63">
        <f t="shared" si="42"/>
        <v>0.35244340967280147</v>
      </c>
      <c r="U68" s="63">
        <f t="shared" si="76"/>
        <v>1.6</v>
      </c>
      <c r="V68" s="63">
        <f t="shared" si="43"/>
        <v>1.9524434096728016</v>
      </c>
      <c r="W68" s="64">
        <f t="shared" si="44"/>
        <v>0.82480905078368483</v>
      </c>
      <c r="X68" s="63">
        <f t="shared" si="77"/>
        <v>4.7621697917827827E-3</v>
      </c>
      <c r="Y68" s="63">
        <f t="shared" si="45"/>
        <v>4.7621697917827827E-3</v>
      </c>
      <c r="Z68" s="64">
        <f t="shared" si="78"/>
        <v>2.4240339890804137</v>
      </c>
      <c r="AA68" s="74">
        <f t="shared" si="79"/>
        <v>5.8759407802171032E-3</v>
      </c>
      <c r="AB68" s="75">
        <f t="shared" si="46"/>
        <v>5.8759407802171032E-3</v>
      </c>
      <c r="AC68" s="63">
        <f t="shared" si="80"/>
        <v>4.9284154029262304</v>
      </c>
      <c r="AD68" s="63">
        <f t="shared" si="47"/>
        <v>0.23074814464610491</v>
      </c>
      <c r="AE68" s="63">
        <f t="shared" si="81"/>
        <v>0.23982372073685843</v>
      </c>
      <c r="AF68" s="63">
        <f t="shared" si="82"/>
        <v>7.330401978123674E-2</v>
      </c>
      <c r="AG68" s="63">
        <f t="shared" si="83"/>
        <v>3.8400000000000001E-3</v>
      </c>
      <c r="AH68" s="63">
        <f t="shared" si="84"/>
        <v>0</v>
      </c>
      <c r="AI68" s="63">
        <f t="shared" si="48"/>
        <v>3.1238095238095238E-2</v>
      </c>
      <c r="AJ68" s="63">
        <f t="shared" si="49"/>
        <v>0.34820583575619041</v>
      </c>
      <c r="AK68" s="63">
        <f t="shared" si="85"/>
        <v>2.7840674536465815</v>
      </c>
      <c r="AL68" s="63">
        <f t="shared" si="86"/>
        <v>7.3634800071314524E-2</v>
      </c>
      <c r="AM68" s="63">
        <f t="shared" si="87"/>
        <v>7.4534891411005916E-2</v>
      </c>
      <c r="AN68" s="63">
        <f t="shared" si="88"/>
        <v>2.5737111054000002E-2</v>
      </c>
      <c r="AO68" s="63">
        <f t="shared" si="89"/>
        <v>142.96965190496999</v>
      </c>
      <c r="AP68" s="63">
        <f t="shared" si="50"/>
        <v>2.5737111054000002E-2</v>
      </c>
      <c r="AQ68" s="61">
        <f t="shared" si="90"/>
        <v>6.5600000000000006E-2</v>
      </c>
      <c r="AR68" s="61">
        <f t="shared" si="91"/>
        <v>7110400000</v>
      </c>
      <c r="AS68" s="61">
        <f t="shared" si="51"/>
        <v>6.5600000000000006E-2</v>
      </c>
      <c r="AT68" s="61">
        <f t="shared" si="52"/>
        <v>3.4361904761904767E-2</v>
      </c>
      <c r="AU68" s="63">
        <f t="shared" si="53"/>
        <v>0.13463390722691068</v>
      </c>
      <c r="AV68" s="63">
        <f t="shared" si="92"/>
        <v>8.3304805922662178E-2</v>
      </c>
      <c r="AW68" s="63">
        <f t="shared" si="93"/>
        <v>1.9840000000000001E-3</v>
      </c>
      <c r="AX68" s="63">
        <f t="shared" si="94"/>
        <v>3.5200000000000002E-2</v>
      </c>
      <c r="AY68" s="63">
        <f t="shared" si="95"/>
        <v>3.7184000000000002E-2</v>
      </c>
      <c r="AZ68" s="63">
        <f t="shared" si="96"/>
        <v>2.5664100691505642</v>
      </c>
      <c r="BA68" s="64">
        <f t="shared" si="97"/>
        <v>67.199999999999989</v>
      </c>
      <c r="BB68" s="76">
        <f t="shared" si="54"/>
        <v>0.96321424498398578</v>
      </c>
      <c r="BC68" s="64">
        <f t="shared" si="55"/>
        <v>96.321424498398585</v>
      </c>
      <c r="BD68" s="63">
        <f t="shared" si="98"/>
        <v>1.9524434096728016</v>
      </c>
      <c r="BE68" s="63">
        <f t="shared" si="56"/>
        <v>0.48283974298310106</v>
      </c>
      <c r="BF68" s="63">
        <f t="shared" si="99"/>
        <v>0.34820583575619041</v>
      </c>
      <c r="BG68" s="63">
        <f t="shared" si="100"/>
        <v>0.13463390722691068</v>
      </c>
      <c r="BH68" s="63">
        <f t="shared" si="101"/>
        <v>8.3304805922662178E-2</v>
      </c>
      <c r="BI68" s="63">
        <f t="shared" si="57"/>
        <v>3.7184000000000002E-2</v>
      </c>
      <c r="BJ68" s="63">
        <f t="shared" si="58"/>
        <v>5.8759407802171032E-3</v>
      </c>
      <c r="BK68" s="63">
        <f t="shared" si="59"/>
        <v>4.7621697917827827E-3</v>
      </c>
      <c r="BL68" s="63">
        <f t="shared" si="60"/>
        <v>2.5664100691505642</v>
      </c>
      <c r="BQ68" s="77"/>
      <c r="BR68" s="78"/>
    </row>
    <row r="69" spans="3:70" x14ac:dyDescent="0.2">
      <c r="C69" s="61">
        <v>57</v>
      </c>
      <c r="D69" s="61">
        <f t="shared" si="61"/>
        <v>25</v>
      </c>
      <c r="E69" s="61">
        <f t="shared" si="62"/>
        <v>25</v>
      </c>
      <c r="F69" s="61">
        <f t="shared" si="63"/>
        <v>25</v>
      </c>
      <c r="G69" s="73">
        <f t="shared" si="64"/>
        <v>16</v>
      </c>
      <c r="H69" s="64">
        <f t="shared" si="65"/>
        <v>1</v>
      </c>
      <c r="I69" s="63">
        <f t="shared" si="102"/>
        <v>5.7</v>
      </c>
      <c r="J69" s="65">
        <f t="shared" si="66"/>
        <v>9.4999999999999998E-3</v>
      </c>
      <c r="K69" s="65">
        <f t="shared" si="67"/>
        <v>9.4999999999999998E-3</v>
      </c>
      <c r="L69" s="65">
        <f t="shared" si="68"/>
        <v>1.0999999999999999E-2</v>
      </c>
      <c r="M69" s="65">
        <f t="shared" si="69"/>
        <v>2.6000000000000003E-3</v>
      </c>
      <c r="N69" s="63">
        <f t="shared" si="70"/>
        <v>0.75822937499999998</v>
      </c>
      <c r="O69" s="64">
        <f t="shared" si="71"/>
        <v>2.8577665143750006</v>
      </c>
      <c r="P69" s="64">
        <f t="shared" si="72"/>
        <v>7.1288832571875007</v>
      </c>
      <c r="Q69" s="64">
        <f t="shared" si="73"/>
        <v>4.2711167428124996</v>
      </c>
      <c r="R69" s="64">
        <f t="shared" si="74"/>
        <v>0</v>
      </c>
      <c r="S69" s="64">
        <f t="shared" si="75"/>
        <v>5.7593896482952305</v>
      </c>
      <c r="T69" s="63">
        <f t="shared" si="42"/>
        <v>0.36487626032979281</v>
      </c>
      <c r="U69" s="63">
        <f t="shared" si="76"/>
        <v>1.6</v>
      </c>
      <c r="V69" s="63">
        <f t="shared" si="43"/>
        <v>1.9648762603297929</v>
      </c>
      <c r="W69" s="64">
        <f t="shared" si="44"/>
        <v>0.82496613317775258</v>
      </c>
      <c r="X69" s="63">
        <f t="shared" si="77"/>
        <v>4.7639838462317742E-3</v>
      </c>
      <c r="Y69" s="63">
        <f t="shared" si="45"/>
        <v>4.7639838462317742E-3</v>
      </c>
      <c r="Z69" s="64">
        <f t="shared" si="78"/>
        <v>2.4659174330105569</v>
      </c>
      <c r="AA69" s="74">
        <f t="shared" si="79"/>
        <v>6.0807487864253749E-3</v>
      </c>
      <c r="AB69" s="75">
        <f t="shared" si="46"/>
        <v>6.0807487864253749E-3</v>
      </c>
      <c r="AC69" s="63">
        <f t="shared" si="80"/>
        <v>5.0150672869790007</v>
      </c>
      <c r="AD69" s="63">
        <f t="shared" si="47"/>
        <v>0.23893354898280569</v>
      </c>
      <c r="AE69" s="63">
        <f t="shared" si="81"/>
        <v>0.24867802267472425</v>
      </c>
      <c r="AF69" s="63">
        <f t="shared" si="82"/>
        <v>7.4509698006081579E-2</v>
      </c>
      <c r="AG69" s="63">
        <f t="shared" si="83"/>
        <v>3.8400000000000001E-3</v>
      </c>
      <c r="AH69" s="63">
        <f t="shared" si="84"/>
        <v>0</v>
      </c>
      <c r="AI69" s="63">
        <f t="shared" si="48"/>
        <v>3.1238095238095238E-2</v>
      </c>
      <c r="AJ69" s="63">
        <f t="shared" si="49"/>
        <v>0.35826581591890105</v>
      </c>
      <c r="AK69" s="63">
        <f t="shared" si="85"/>
        <v>2.8319020512657813</v>
      </c>
      <c r="AL69" s="63">
        <f t="shared" si="86"/>
        <v>7.6186857665651725E-2</v>
      </c>
      <c r="AM69" s="63">
        <f t="shared" si="87"/>
        <v>7.7150829869881435E-2</v>
      </c>
      <c r="AN69" s="63">
        <f t="shared" si="88"/>
        <v>2.6216893394250006E-2</v>
      </c>
      <c r="AO69" s="63">
        <f t="shared" si="89"/>
        <v>145.63484280505878</v>
      </c>
      <c r="AP69" s="63">
        <f t="shared" si="50"/>
        <v>2.6216893394250006E-2</v>
      </c>
      <c r="AQ69" s="61">
        <f t="shared" si="90"/>
        <v>6.5600000000000006E-2</v>
      </c>
      <c r="AR69" s="61">
        <f t="shared" si="91"/>
        <v>7110400000</v>
      </c>
      <c r="AS69" s="61">
        <f t="shared" si="51"/>
        <v>6.5600000000000006E-2</v>
      </c>
      <c r="AT69" s="61">
        <f t="shared" si="52"/>
        <v>3.4361904761904767E-2</v>
      </c>
      <c r="AU69" s="63">
        <f t="shared" si="53"/>
        <v>0.13772962802603619</v>
      </c>
      <c r="AV69" s="63">
        <f t="shared" si="92"/>
        <v>8.6243479714314675E-2</v>
      </c>
      <c r="AW69" s="63">
        <f t="shared" si="93"/>
        <v>1.9840000000000001E-3</v>
      </c>
      <c r="AX69" s="63">
        <f t="shared" si="94"/>
        <v>3.5200000000000002E-2</v>
      </c>
      <c r="AY69" s="63">
        <f t="shared" si="95"/>
        <v>3.7184000000000002E-2</v>
      </c>
      <c r="AZ69" s="63">
        <f t="shared" si="96"/>
        <v>2.5951439166217019</v>
      </c>
      <c r="BA69" s="64">
        <f t="shared" si="97"/>
        <v>68.400000000000006</v>
      </c>
      <c r="BB69" s="76">
        <f t="shared" si="54"/>
        <v>0.96344617711220493</v>
      </c>
      <c r="BC69" s="64">
        <f t="shared" si="55"/>
        <v>96.344617711220494</v>
      </c>
      <c r="BD69" s="63">
        <f t="shared" si="98"/>
        <v>1.9648762603297929</v>
      </c>
      <c r="BE69" s="63">
        <f t="shared" si="56"/>
        <v>0.49599544394493722</v>
      </c>
      <c r="BF69" s="63">
        <f t="shared" si="99"/>
        <v>0.35826581591890105</v>
      </c>
      <c r="BG69" s="63">
        <f t="shared" si="100"/>
        <v>0.13772962802603619</v>
      </c>
      <c r="BH69" s="63">
        <f t="shared" si="101"/>
        <v>8.6243479714314675E-2</v>
      </c>
      <c r="BI69" s="63">
        <f t="shared" si="57"/>
        <v>3.7184000000000002E-2</v>
      </c>
      <c r="BJ69" s="63">
        <f t="shared" si="58"/>
        <v>6.0807487864253749E-3</v>
      </c>
      <c r="BK69" s="63">
        <f t="shared" si="59"/>
        <v>4.7639838462317742E-3</v>
      </c>
      <c r="BL69" s="63">
        <f t="shared" si="60"/>
        <v>2.5951439166217014</v>
      </c>
      <c r="BQ69" s="77"/>
      <c r="BR69" s="78"/>
    </row>
    <row r="70" spans="3:70" x14ac:dyDescent="0.2">
      <c r="C70" s="61">
        <v>58</v>
      </c>
      <c r="D70" s="61">
        <f t="shared" si="61"/>
        <v>25</v>
      </c>
      <c r="E70" s="61">
        <f t="shared" si="62"/>
        <v>25</v>
      </c>
      <c r="F70" s="61">
        <f t="shared" si="63"/>
        <v>25</v>
      </c>
      <c r="G70" s="73">
        <f t="shared" si="64"/>
        <v>16</v>
      </c>
      <c r="H70" s="64">
        <f t="shared" si="65"/>
        <v>1</v>
      </c>
      <c r="I70" s="63">
        <f t="shared" si="102"/>
        <v>5.8</v>
      </c>
      <c r="J70" s="65">
        <f t="shared" si="66"/>
        <v>9.4999999999999998E-3</v>
      </c>
      <c r="K70" s="65">
        <f t="shared" si="67"/>
        <v>9.4999999999999998E-3</v>
      </c>
      <c r="L70" s="65">
        <f t="shared" si="68"/>
        <v>1.0999999999999999E-2</v>
      </c>
      <c r="M70" s="65">
        <f t="shared" si="69"/>
        <v>2.6000000000000003E-3</v>
      </c>
      <c r="N70" s="63">
        <f t="shared" si="70"/>
        <v>0.75837374999999996</v>
      </c>
      <c r="O70" s="64">
        <f t="shared" si="71"/>
        <v>2.8583106637500002</v>
      </c>
      <c r="P70" s="64">
        <f t="shared" si="72"/>
        <v>7.2291553318749999</v>
      </c>
      <c r="Q70" s="64">
        <f t="shared" si="73"/>
        <v>4.3708446681249997</v>
      </c>
      <c r="R70" s="64">
        <f t="shared" si="74"/>
        <v>0</v>
      </c>
      <c r="S70" s="64">
        <f t="shared" si="75"/>
        <v>5.8583981019452391</v>
      </c>
      <c r="T70" s="63">
        <f t="shared" si="42"/>
        <v>0.37752911152963131</v>
      </c>
      <c r="U70" s="63">
        <f t="shared" si="76"/>
        <v>1.6</v>
      </c>
      <c r="V70" s="63">
        <f t="shared" si="43"/>
        <v>1.9775291115296314</v>
      </c>
      <c r="W70" s="64">
        <f t="shared" si="44"/>
        <v>0.82512321557182033</v>
      </c>
      <c r="X70" s="63">
        <f t="shared" si="77"/>
        <v>4.765798246129065E-3</v>
      </c>
      <c r="Y70" s="63">
        <f t="shared" si="45"/>
        <v>4.765798246129065E-3</v>
      </c>
      <c r="Z70" s="64">
        <f t="shared" si="78"/>
        <v>2.5077981829242115</v>
      </c>
      <c r="AA70" s="74">
        <f t="shared" si="79"/>
        <v>6.2890517262779774E-3</v>
      </c>
      <c r="AB70" s="75">
        <f t="shared" si="46"/>
        <v>6.2890517262779774E-3</v>
      </c>
      <c r="AC70" s="63">
        <f t="shared" si="80"/>
        <v>5.1017658978836549</v>
      </c>
      <c r="AD70" s="63">
        <f t="shared" si="47"/>
        <v>0.24726614512968184</v>
      </c>
      <c r="AE70" s="63">
        <f t="shared" si="81"/>
        <v>0.25771699389866187</v>
      </c>
      <c r="AF70" s="63">
        <f t="shared" si="82"/>
        <v>7.5715376230926418E-2</v>
      </c>
      <c r="AG70" s="63">
        <f t="shared" si="83"/>
        <v>3.8400000000000001E-3</v>
      </c>
      <c r="AH70" s="63">
        <f t="shared" si="84"/>
        <v>0</v>
      </c>
      <c r="AI70" s="63">
        <f t="shared" si="48"/>
        <v>3.1238095238095238E-2</v>
      </c>
      <c r="AJ70" s="63">
        <f t="shared" si="49"/>
        <v>0.3685104653676835</v>
      </c>
      <c r="AK70" s="63">
        <f t="shared" si="85"/>
        <v>2.8797244736375327</v>
      </c>
      <c r="AL70" s="63">
        <f t="shared" si="86"/>
        <v>7.8781723918636151E-2</v>
      </c>
      <c r="AM70" s="63">
        <f t="shared" si="87"/>
        <v>7.9812923064517496E-2</v>
      </c>
      <c r="AN70" s="63">
        <f t="shared" si="88"/>
        <v>2.6696675734499999E-2</v>
      </c>
      <c r="AO70" s="63">
        <f t="shared" si="89"/>
        <v>148.30003370514748</v>
      </c>
      <c r="AP70" s="63">
        <f t="shared" si="50"/>
        <v>2.6696675734499999E-2</v>
      </c>
      <c r="AQ70" s="61">
        <f t="shared" si="90"/>
        <v>6.5600000000000006E-2</v>
      </c>
      <c r="AR70" s="61">
        <f t="shared" si="91"/>
        <v>7110400000</v>
      </c>
      <c r="AS70" s="61">
        <f t="shared" si="51"/>
        <v>6.5600000000000006E-2</v>
      </c>
      <c r="AT70" s="61">
        <f t="shared" si="52"/>
        <v>3.4361904761904767E-2</v>
      </c>
      <c r="AU70" s="63">
        <f t="shared" si="53"/>
        <v>0.14087150356092226</v>
      </c>
      <c r="AV70" s="63">
        <f t="shared" si="92"/>
        <v>8.9234153634276517E-2</v>
      </c>
      <c r="AW70" s="63">
        <f t="shared" si="93"/>
        <v>1.9840000000000001E-3</v>
      </c>
      <c r="AX70" s="63">
        <f t="shared" si="94"/>
        <v>3.5200000000000002E-2</v>
      </c>
      <c r="AY70" s="63">
        <f t="shared" si="95"/>
        <v>3.7184000000000002E-2</v>
      </c>
      <c r="AZ70" s="63">
        <f t="shared" si="96"/>
        <v>2.6243840840649209</v>
      </c>
      <c r="BA70" s="64">
        <f t="shared" si="97"/>
        <v>69.599999999999994</v>
      </c>
      <c r="BB70" s="76">
        <f t="shared" si="54"/>
        <v>0.96366346189937335</v>
      </c>
      <c r="BC70" s="64">
        <f t="shared" si="55"/>
        <v>96.366346189937332</v>
      </c>
      <c r="BD70" s="63">
        <f t="shared" si="98"/>
        <v>1.9775291115296314</v>
      </c>
      <c r="BE70" s="63">
        <f t="shared" si="56"/>
        <v>0.50938196892860577</v>
      </c>
      <c r="BF70" s="63">
        <f t="shared" si="99"/>
        <v>0.3685104653676835</v>
      </c>
      <c r="BG70" s="63">
        <f t="shared" si="100"/>
        <v>0.14087150356092226</v>
      </c>
      <c r="BH70" s="63">
        <f t="shared" si="101"/>
        <v>8.9234153634276517E-2</v>
      </c>
      <c r="BI70" s="63">
        <f t="shared" si="57"/>
        <v>3.7184000000000002E-2</v>
      </c>
      <c r="BJ70" s="63">
        <f t="shared" si="58"/>
        <v>6.2890517262779774E-3</v>
      </c>
      <c r="BK70" s="63">
        <f t="shared" si="59"/>
        <v>4.765798246129065E-3</v>
      </c>
      <c r="BL70" s="63">
        <f t="shared" si="60"/>
        <v>2.6243840840649213</v>
      </c>
      <c r="BQ70" s="77"/>
      <c r="BR70" s="78"/>
    </row>
    <row r="71" spans="3:70" x14ac:dyDescent="0.2">
      <c r="C71" s="61">
        <v>59</v>
      </c>
      <c r="D71" s="61">
        <f t="shared" si="61"/>
        <v>25</v>
      </c>
      <c r="E71" s="61">
        <f t="shared" si="62"/>
        <v>25</v>
      </c>
      <c r="F71" s="61">
        <f t="shared" si="63"/>
        <v>25</v>
      </c>
      <c r="G71" s="73">
        <f t="shared" si="64"/>
        <v>16</v>
      </c>
      <c r="H71" s="64">
        <f t="shared" si="65"/>
        <v>1</v>
      </c>
      <c r="I71" s="63">
        <f t="shared" si="102"/>
        <v>5.9</v>
      </c>
      <c r="J71" s="65">
        <f t="shared" si="66"/>
        <v>9.4999999999999998E-3</v>
      </c>
      <c r="K71" s="65">
        <f t="shared" si="67"/>
        <v>9.4999999999999998E-3</v>
      </c>
      <c r="L71" s="65">
        <f t="shared" si="68"/>
        <v>1.0999999999999999E-2</v>
      </c>
      <c r="M71" s="65">
        <f t="shared" si="69"/>
        <v>2.6000000000000003E-3</v>
      </c>
      <c r="N71" s="63">
        <f t="shared" si="70"/>
        <v>0.75851812500000004</v>
      </c>
      <c r="O71" s="64">
        <f t="shared" si="71"/>
        <v>2.8588548131250007</v>
      </c>
      <c r="P71" s="64">
        <f t="shared" si="72"/>
        <v>7.3294274065625009</v>
      </c>
      <c r="Q71" s="64">
        <f t="shared" si="73"/>
        <v>4.4705725934374998</v>
      </c>
      <c r="R71" s="64">
        <f t="shared" si="74"/>
        <v>0</v>
      </c>
      <c r="S71" s="64">
        <f t="shared" si="75"/>
        <v>5.957439682465167</v>
      </c>
      <c r="T71" s="63">
        <f t="shared" si="42"/>
        <v>0.3904019632723173</v>
      </c>
      <c r="U71" s="63">
        <f t="shared" si="76"/>
        <v>1.6</v>
      </c>
      <c r="V71" s="63">
        <f t="shared" si="43"/>
        <v>1.9904019632723173</v>
      </c>
      <c r="W71" s="64">
        <f t="shared" si="44"/>
        <v>0.8252802979658882</v>
      </c>
      <c r="X71" s="63">
        <f t="shared" si="77"/>
        <v>4.7676129914746568E-3</v>
      </c>
      <c r="Y71" s="63">
        <f t="shared" si="45"/>
        <v>4.7676129914746568E-3</v>
      </c>
      <c r="Z71" s="64">
        <f t="shared" si="78"/>
        <v>2.5496754657862475</v>
      </c>
      <c r="AA71" s="74">
        <f t="shared" si="79"/>
        <v>6.5008449808323186E-3</v>
      </c>
      <c r="AB71" s="75">
        <f t="shared" si="46"/>
        <v>6.5008449808323186E-3</v>
      </c>
      <c r="AC71" s="63">
        <f t="shared" si="80"/>
        <v>5.188509728040124</v>
      </c>
      <c r="AD71" s="63">
        <f t="shared" si="47"/>
        <v>0.25574601538068653</v>
      </c>
      <c r="AE71" s="63">
        <f t="shared" si="81"/>
        <v>0.26694219753099102</v>
      </c>
      <c r="AF71" s="63">
        <f t="shared" si="82"/>
        <v>7.6921054455771243E-2</v>
      </c>
      <c r="AG71" s="63">
        <f t="shared" si="83"/>
        <v>3.8400000000000001E-3</v>
      </c>
      <c r="AH71" s="63">
        <f t="shared" si="84"/>
        <v>0</v>
      </c>
      <c r="AI71" s="63">
        <f t="shared" si="48"/>
        <v>3.1238095238095238E-2</v>
      </c>
      <c r="AJ71" s="63">
        <f t="shared" si="49"/>
        <v>0.37894134722485751</v>
      </c>
      <c r="AK71" s="63">
        <f t="shared" si="85"/>
        <v>2.9275338379331615</v>
      </c>
      <c r="AL71" s="63">
        <f t="shared" si="86"/>
        <v>8.1419316536314831E-2</v>
      </c>
      <c r="AM71" s="63">
        <f t="shared" si="87"/>
        <v>8.2521203007894617E-2</v>
      </c>
      <c r="AN71" s="63">
        <f t="shared" si="88"/>
        <v>2.7176458074750005E-2</v>
      </c>
      <c r="AO71" s="63">
        <f t="shared" si="89"/>
        <v>150.96522460523627</v>
      </c>
      <c r="AP71" s="63">
        <f t="shared" si="50"/>
        <v>2.7176458074750005E-2</v>
      </c>
      <c r="AQ71" s="61">
        <f t="shared" si="90"/>
        <v>6.5600000000000006E-2</v>
      </c>
      <c r="AR71" s="61">
        <f t="shared" si="91"/>
        <v>7110400000</v>
      </c>
      <c r="AS71" s="61">
        <f t="shared" si="51"/>
        <v>6.5600000000000006E-2</v>
      </c>
      <c r="AT71" s="61">
        <f t="shared" si="52"/>
        <v>3.4361904761904767E-2</v>
      </c>
      <c r="AU71" s="63">
        <f t="shared" si="53"/>
        <v>0.14405956584454938</v>
      </c>
      <c r="AV71" s="63">
        <f t="shared" si="92"/>
        <v>9.2276827682547746E-2</v>
      </c>
      <c r="AW71" s="63">
        <f t="shared" si="93"/>
        <v>1.9840000000000001E-3</v>
      </c>
      <c r="AX71" s="63">
        <f t="shared" si="94"/>
        <v>3.5200000000000002E-2</v>
      </c>
      <c r="AY71" s="63">
        <f t="shared" si="95"/>
        <v>3.7184000000000002E-2</v>
      </c>
      <c r="AZ71" s="63">
        <f t="shared" si="96"/>
        <v>2.654132161996579</v>
      </c>
      <c r="BA71" s="64">
        <f t="shared" si="97"/>
        <v>70.800000000000011</v>
      </c>
      <c r="BB71" s="76">
        <f t="shared" si="54"/>
        <v>0.96386680934241886</v>
      </c>
      <c r="BC71" s="64">
        <f t="shared" si="55"/>
        <v>96.38668093424188</v>
      </c>
      <c r="BD71" s="63">
        <f t="shared" si="98"/>
        <v>1.9904019632723173</v>
      </c>
      <c r="BE71" s="63">
        <f t="shared" si="56"/>
        <v>0.52300091306940688</v>
      </c>
      <c r="BF71" s="63">
        <f t="shared" si="99"/>
        <v>0.37894134722485751</v>
      </c>
      <c r="BG71" s="63">
        <f t="shared" si="100"/>
        <v>0.14405956584454938</v>
      </c>
      <c r="BH71" s="63">
        <f t="shared" si="101"/>
        <v>9.2276827682547746E-2</v>
      </c>
      <c r="BI71" s="63">
        <f t="shared" si="57"/>
        <v>3.7184000000000002E-2</v>
      </c>
      <c r="BJ71" s="63">
        <f t="shared" si="58"/>
        <v>6.5008449808323186E-3</v>
      </c>
      <c r="BK71" s="63">
        <f t="shared" si="59"/>
        <v>4.7676129914746568E-3</v>
      </c>
      <c r="BL71" s="63">
        <f t="shared" si="60"/>
        <v>2.654132161996579</v>
      </c>
      <c r="BQ71" s="77"/>
      <c r="BR71" s="78"/>
    </row>
    <row r="72" spans="3:70" s="81" customFormat="1" x14ac:dyDescent="0.2">
      <c r="C72" s="81">
        <v>60</v>
      </c>
      <c r="D72" s="61">
        <f t="shared" si="61"/>
        <v>25</v>
      </c>
      <c r="E72" s="61">
        <f t="shared" si="62"/>
        <v>25</v>
      </c>
      <c r="F72" s="61">
        <f t="shared" si="63"/>
        <v>25</v>
      </c>
      <c r="G72" s="89">
        <f t="shared" si="64"/>
        <v>16</v>
      </c>
      <c r="H72" s="85">
        <f t="shared" si="65"/>
        <v>1</v>
      </c>
      <c r="I72" s="86">
        <f t="shared" si="102"/>
        <v>6</v>
      </c>
      <c r="J72" s="90">
        <f t="shared" si="66"/>
        <v>9.4999999999999998E-3</v>
      </c>
      <c r="K72" s="90">
        <f t="shared" si="67"/>
        <v>9.4999999999999998E-3</v>
      </c>
      <c r="L72" s="90">
        <f t="shared" si="68"/>
        <v>1.0999999999999999E-2</v>
      </c>
      <c r="M72" s="90">
        <f t="shared" si="69"/>
        <v>2.6000000000000003E-3</v>
      </c>
      <c r="N72" s="86">
        <f t="shared" si="70"/>
        <v>0.75866250000000002</v>
      </c>
      <c r="O72" s="85">
        <f t="shared" si="71"/>
        <v>2.8593989625000007</v>
      </c>
      <c r="P72" s="85">
        <f t="shared" si="72"/>
        <v>7.4296994812500001</v>
      </c>
      <c r="Q72" s="85">
        <f t="shared" si="73"/>
        <v>4.5703005187499999</v>
      </c>
      <c r="R72" s="85">
        <f t="shared" si="74"/>
        <v>0</v>
      </c>
      <c r="S72" s="85">
        <f t="shared" si="75"/>
        <v>6.0565127646935171</v>
      </c>
      <c r="T72" s="86">
        <f t="shared" si="42"/>
        <v>0.40349481555785061</v>
      </c>
      <c r="U72" s="86">
        <f t="shared" si="76"/>
        <v>1.6</v>
      </c>
      <c r="V72" s="86">
        <f t="shared" si="43"/>
        <v>2.0034948155578505</v>
      </c>
      <c r="W72" s="85">
        <f t="shared" si="44"/>
        <v>0.82543738035995606</v>
      </c>
      <c r="X72" s="86">
        <f t="shared" si="77"/>
        <v>4.7694280822685479E-3</v>
      </c>
      <c r="Y72" s="86">
        <f t="shared" si="45"/>
        <v>4.7694280822685479E-3</v>
      </c>
      <c r="Z72" s="85">
        <f t="shared" si="78"/>
        <v>2.591548557550714</v>
      </c>
      <c r="AA72" s="88">
        <f t="shared" si="79"/>
        <v>6.7161239261431865E-3</v>
      </c>
      <c r="AB72" s="87">
        <f t="shared" si="46"/>
        <v>6.7161239261431865E-3</v>
      </c>
      <c r="AC72" s="86">
        <f t="shared" si="80"/>
        <v>5.2752973678195092</v>
      </c>
      <c r="AD72" s="86">
        <f t="shared" si="47"/>
        <v>0.26437324202977269</v>
      </c>
      <c r="AE72" s="86">
        <f t="shared" si="81"/>
        <v>0.27635523443145349</v>
      </c>
      <c r="AF72" s="86">
        <f t="shared" si="82"/>
        <v>7.8126732680616082E-2</v>
      </c>
      <c r="AG72" s="86">
        <f t="shared" si="83"/>
        <v>3.8400000000000001E-3</v>
      </c>
      <c r="AH72" s="86">
        <f t="shared" si="84"/>
        <v>0</v>
      </c>
      <c r="AI72" s="63">
        <f t="shared" si="48"/>
        <v>3.1238095238095238E-2</v>
      </c>
      <c r="AJ72" s="63">
        <f t="shared" si="49"/>
        <v>0.38956006235016477</v>
      </c>
      <c r="AK72" s="86">
        <f t="shared" si="85"/>
        <v>2.9753293179028217</v>
      </c>
      <c r="AL72" s="86">
        <f t="shared" si="86"/>
        <v>8.4099553224734655E-2</v>
      </c>
      <c r="AM72" s="86">
        <f t="shared" si="87"/>
        <v>8.5275703590690574E-2</v>
      </c>
      <c r="AN72" s="86">
        <f t="shared" si="88"/>
        <v>2.7656240415000002E-2</v>
      </c>
      <c r="AO72" s="86">
        <f t="shared" si="89"/>
        <v>153.630415505325</v>
      </c>
      <c r="AP72" s="86">
        <f t="shared" si="50"/>
        <v>2.7656240415000002E-2</v>
      </c>
      <c r="AQ72" s="81">
        <f t="shared" si="90"/>
        <v>6.5600000000000006E-2</v>
      </c>
      <c r="AR72" s="81">
        <f t="shared" si="91"/>
        <v>7110400000</v>
      </c>
      <c r="AS72" s="81">
        <f t="shared" si="51"/>
        <v>6.5600000000000006E-2</v>
      </c>
      <c r="AT72" s="61">
        <f t="shared" si="52"/>
        <v>3.4361904761904767E-2</v>
      </c>
      <c r="AU72" s="63">
        <f t="shared" si="53"/>
        <v>0.14729384876759535</v>
      </c>
      <c r="AV72" s="86">
        <f t="shared" si="92"/>
        <v>9.5371501859128335E-2</v>
      </c>
      <c r="AW72" s="86">
        <f t="shared" si="93"/>
        <v>1.9840000000000001E-3</v>
      </c>
      <c r="AX72" s="86">
        <f t="shared" si="94"/>
        <v>3.5200000000000002E-2</v>
      </c>
      <c r="AY72" s="86">
        <f t="shared" si="95"/>
        <v>3.7184000000000002E-2</v>
      </c>
      <c r="AZ72" s="86">
        <f t="shared" si="96"/>
        <v>2.6843897805431505</v>
      </c>
      <c r="BA72" s="85">
        <f t="shared" si="97"/>
        <v>72</v>
      </c>
      <c r="BB72" s="91">
        <f t="shared" si="54"/>
        <v>0.96405688272434009</v>
      </c>
      <c r="BC72" s="85">
        <f t="shared" si="55"/>
        <v>96.405688272434006</v>
      </c>
      <c r="BD72" s="86">
        <f t="shared" si="98"/>
        <v>2.0034948155578505</v>
      </c>
      <c r="BE72" s="86">
        <f t="shared" si="56"/>
        <v>0.53685391111776015</v>
      </c>
      <c r="BF72" s="86">
        <f t="shared" si="99"/>
        <v>0.38956006235016477</v>
      </c>
      <c r="BG72" s="86">
        <f t="shared" si="100"/>
        <v>0.14729384876759535</v>
      </c>
      <c r="BH72" s="86">
        <f t="shared" si="101"/>
        <v>9.5371501859128335E-2</v>
      </c>
      <c r="BI72" s="86">
        <f t="shared" si="57"/>
        <v>3.7184000000000002E-2</v>
      </c>
      <c r="BJ72" s="86">
        <f t="shared" si="58"/>
        <v>6.7161239261431865E-3</v>
      </c>
      <c r="BK72" s="86">
        <f t="shared" si="59"/>
        <v>4.7694280822685479E-3</v>
      </c>
      <c r="BL72" s="86">
        <f t="shared" si="60"/>
        <v>2.6843897805431505</v>
      </c>
      <c r="BQ72" s="92"/>
      <c r="BR72" s="93"/>
    </row>
    <row r="73" spans="3:70" x14ac:dyDescent="0.2">
      <c r="C73" s="61">
        <v>61</v>
      </c>
      <c r="D73" s="61">
        <f t="shared" si="61"/>
        <v>25</v>
      </c>
      <c r="E73" s="61">
        <f t="shared" si="62"/>
        <v>25</v>
      </c>
      <c r="F73" s="61">
        <f t="shared" si="63"/>
        <v>25</v>
      </c>
      <c r="G73" s="73">
        <f t="shared" si="64"/>
        <v>16</v>
      </c>
      <c r="H73" s="64">
        <f t="shared" si="65"/>
        <v>1</v>
      </c>
      <c r="I73" s="63">
        <f t="shared" si="102"/>
        <v>6.1</v>
      </c>
      <c r="J73" s="65">
        <f t="shared" si="66"/>
        <v>9.4999999999999998E-3</v>
      </c>
      <c r="K73" s="65">
        <f t="shared" si="67"/>
        <v>9.4999999999999998E-3</v>
      </c>
      <c r="L73" s="65">
        <f t="shared" si="68"/>
        <v>1.0999999999999999E-2</v>
      </c>
      <c r="M73" s="65">
        <f t="shared" si="69"/>
        <v>2.6000000000000003E-3</v>
      </c>
      <c r="N73" s="63">
        <f t="shared" si="70"/>
        <v>0.75880687499999999</v>
      </c>
      <c r="O73" s="64">
        <f t="shared" si="71"/>
        <v>2.8599431118750007</v>
      </c>
      <c r="P73" s="64">
        <f t="shared" si="72"/>
        <v>7.5299715559375002</v>
      </c>
      <c r="Q73" s="64">
        <f t="shared" si="73"/>
        <v>4.6700284440624991</v>
      </c>
      <c r="R73" s="64">
        <f t="shared" si="74"/>
        <v>0</v>
      </c>
      <c r="S73" s="64">
        <f t="shared" si="75"/>
        <v>6.1556158275943522</v>
      </c>
      <c r="T73" s="63">
        <f t="shared" si="42"/>
        <v>0.41680766838623107</v>
      </c>
      <c r="U73" s="63">
        <f t="shared" si="76"/>
        <v>1.6</v>
      </c>
      <c r="V73" s="63">
        <f t="shared" si="43"/>
        <v>2.0168076683862313</v>
      </c>
      <c r="W73" s="64">
        <f t="shared" si="44"/>
        <v>0.82559446275402393</v>
      </c>
      <c r="X73" s="63">
        <f t="shared" si="77"/>
        <v>4.7712435185107375E-3</v>
      </c>
      <c r="Y73" s="63">
        <f t="shared" si="45"/>
        <v>4.7712435185107375E-3</v>
      </c>
      <c r="Z73" s="64">
        <f t="shared" si="78"/>
        <v>2.6334167792551884</v>
      </c>
      <c r="AA73" s="74">
        <f t="shared" si="79"/>
        <v>6.9348839332627693E-3</v>
      </c>
      <c r="AB73" s="75">
        <f t="shared" si="46"/>
        <v>6.9348839332627693E-3</v>
      </c>
      <c r="AC73" s="63">
        <f t="shared" si="80"/>
        <v>5.3621274977567719</v>
      </c>
      <c r="AD73" s="63">
        <f t="shared" si="47"/>
        <v>0.27314790737089334</v>
      </c>
      <c r="AE73" s="63">
        <f t="shared" si="81"/>
        <v>0.28595774390325623</v>
      </c>
      <c r="AF73" s="63">
        <f t="shared" si="82"/>
        <v>7.9332410905460921E-2</v>
      </c>
      <c r="AG73" s="63">
        <f t="shared" si="83"/>
        <v>3.8400000000000001E-3</v>
      </c>
      <c r="AH73" s="63">
        <f t="shared" si="84"/>
        <v>0</v>
      </c>
      <c r="AI73" s="63">
        <f t="shared" si="48"/>
        <v>3.1238095238095238E-2</v>
      </c>
      <c r="AJ73" s="63">
        <f t="shared" si="49"/>
        <v>0.40036825004681237</v>
      </c>
      <c r="AK73" s="63">
        <f t="shared" si="85"/>
        <v>3.0231101393648894</v>
      </c>
      <c r="AL73" s="63">
        <f t="shared" si="86"/>
        <v>8.6822351689942609E-2</v>
      </c>
      <c r="AM73" s="63">
        <f t="shared" si="87"/>
        <v>8.8076460581481164E-2</v>
      </c>
      <c r="AN73" s="63">
        <f t="shared" si="88"/>
        <v>2.8136022755250002E-2</v>
      </c>
      <c r="AO73" s="63">
        <f t="shared" si="89"/>
        <v>156.29560640541374</v>
      </c>
      <c r="AP73" s="63">
        <f t="shared" si="50"/>
        <v>2.8136022755250002E-2</v>
      </c>
      <c r="AQ73" s="61">
        <f t="shared" si="90"/>
        <v>6.5600000000000006E-2</v>
      </c>
      <c r="AR73" s="61">
        <f t="shared" si="91"/>
        <v>7110400000</v>
      </c>
      <c r="AS73" s="61">
        <f t="shared" si="51"/>
        <v>6.5600000000000006E-2</v>
      </c>
      <c r="AT73" s="61">
        <f t="shared" si="52"/>
        <v>3.4361904761904767E-2</v>
      </c>
      <c r="AU73" s="63">
        <f t="shared" si="53"/>
        <v>0.15057438809863594</v>
      </c>
      <c r="AV73" s="63">
        <f t="shared" si="92"/>
        <v>9.851817616401827E-2</v>
      </c>
      <c r="AW73" s="63">
        <f t="shared" si="93"/>
        <v>1.9840000000000001E-3</v>
      </c>
      <c r="AX73" s="63">
        <f t="shared" si="94"/>
        <v>3.5200000000000002E-2</v>
      </c>
      <c r="AY73" s="63">
        <f t="shared" si="95"/>
        <v>3.7184000000000002E-2</v>
      </c>
      <c r="AZ73" s="63">
        <f t="shared" si="96"/>
        <v>2.7151586101474714</v>
      </c>
      <c r="BA73" s="64">
        <f t="shared" si="97"/>
        <v>73.199999999999989</v>
      </c>
      <c r="BB73" s="76">
        <f t="shared" si="54"/>
        <v>0.96423430234677088</v>
      </c>
      <c r="BC73" s="64">
        <f t="shared" si="55"/>
        <v>96.423430234677085</v>
      </c>
      <c r="BD73" s="63">
        <f t="shared" si="98"/>
        <v>2.0168076683862313</v>
      </c>
      <c r="BE73" s="63">
        <f t="shared" si="56"/>
        <v>0.5509426381454483</v>
      </c>
      <c r="BF73" s="63">
        <f t="shared" si="99"/>
        <v>0.40036825004681237</v>
      </c>
      <c r="BG73" s="63">
        <f t="shared" si="100"/>
        <v>0.15057438809863594</v>
      </c>
      <c r="BH73" s="63">
        <f t="shared" si="101"/>
        <v>9.851817616401827E-2</v>
      </c>
      <c r="BI73" s="63">
        <f t="shared" si="57"/>
        <v>3.7184000000000002E-2</v>
      </c>
      <c r="BJ73" s="63">
        <f t="shared" si="58"/>
        <v>6.9348839332627693E-3</v>
      </c>
      <c r="BK73" s="63">
        <f t="shared" si="59"/>
        <v>4.7712435185107375E-3</v>
      </c>
      <c r="BL73" s="63">
        <f t="shared" si="60"/>
        <v>2.7151586101474714</v>
      </c>
      <c r="BQ73" s="77"/>
      <c r="BR73" s="78"/>
    </row>
    <row r="74" spans="3:70" x14ac:dyDescent="0.2">
      <c r="C74" s="61">
        <v>62</v>
      </c>
      <c r="D74" s="61">
        <f t="shared" si="61"/>
        <v>25</v>
      </c>
      <c r="E74" s="61">
        <f t="shared" si="62"/>
        <v>25</v>
      </c>
      <c r="F74" s="61">
        <f t="shared" si="63"/>
        <v>25</v>
      </c>
      <c r="G74" s="73">
        <f t="shared" si="64"/>
        <v>16</v>
      </c>
      <c r="H74" s="64">
        <f t="shared" si="65"/>
        <v>1</v>
      </c>
      <c r="I74" s="63">
        <f t="shared" si="102"/>
        <v>6.2</v>
      </c>
      <c r="J74" s="65">
        <f t="shared" si="66"/>
        <v>9.4999999999999998E-3</v>
      </c>
      <c r="K74" s="65">
        <f t="shared" si="67"/>
        <v>9.4999999999999998E-3</v>
      </c>
      <c r="L74" s="65">
        <f t="shared" si="68"/>
        <v>1.0999999999999999E-2</v>
      </c>
      <c r="M74" s="65">
        <f t="shared" si="69"/>
        <v>2.6000000000000003E-3</v>
      </c>
      <c r="N74" s="63">
        <f t="shared" si="70"/>
        <v>0.75895124999999997</v>
      </c>
      <c r="O74" s="64">
        <f t="shared" si="71"/>
        <v>2.8604872612500003</v>
      </c>
      <c r="P74" s="64">
        <f t="shared" si="72"/>
        <v>7.6302436306250003</v>
      </c>
      <c r="Q74" s="64">
        <f t="shared" si="73"/>
        <v>4.769756369375</v>
      </c>
      <c r="R74" s="64">
        <f t="shared" si="74"/>
        <v>0</v>
      </c>
      <c r="S74" s="64">
        <f t="shared" si="75"/>
        <v>6.2547474460856103</v>
      </c>
      <c r="T74" s="63">
        <f t="shared" si="42"/>
        <v>0.43034052175745907</v>
      </c>
      <c r="U74" s="63">
        <f t="shared" si="76"/>
        <v>1.6</v>
      </c>
      <c r="V74" s="63">
        <f t="shared" si="43"/>
        <v>2.0303405217574593</v>
      </c>
      <c r="W74" s="64">
        <f t="shared" si="44"/>
        <v>0.82575154514809157</v>
      </c>
      <c r="X74" s="63">
        <f t="shared" si="77"/>
        <v>4.7730593002012246E-3</v>
      </c>
      <c r="Y74" s="63">
        <f t="shared" si="45"/>
        <v>4.7730593002012246E-3</v>
      </c>
      <c r="Z74" s="64">
        <f t="shared" si="78"/>
        <v>2.6752794934811304</v>
      </c>
      <c r="AA74" s="74">
        <f t="shared" si="79"/>
        <v>7.1571203682406544E-3</v>
      </c>
      <c r="AB74" s="75">
        <f t="shared" si="46"/>
        <v>7.1571203682406544E-3</v>
      </c>
      <c r="AC74" s="63">
        <f t="shared" si="80"/>
        <v>5.4489988814750161</v>
      </c>
      <c r="AD74" s="63">
        <f t="shared" si="47"/>
        <v>0.28207009369800179</v>
      </c>
      <c r="AE74" s="63">
        <f t="shared" si="81"/>
        <v>0.2957514044204157</v>
      </c>
      <c r="AF74" s="63">
        <f t="shared" si="82"/>
        <v>8.0538089130305746E-2</v>
      </c>
      <c r="AG74" s="63">
        <f t="shared" si="83"/>
        <v>3.8400000000000001E-3</v>
      </c>
      <c r="AH74" s="63">
        <f t="shared" si="84"/>
        <v>0</v>
      </c>
      <c r="AI74" s="63">
        <f t="shared" si="48"/>
        <v>3.1238095238095238E-2</v>
      </c>
      <c r="AJ74" s="63">
        <f t="shared" si="49"/>
        <v>0.41136758878881668</v>
      </c>
      <c r="AK74" s="63">
        <f t="shared" si="85"/>
        <v>3.0708755761180697</v>
      </c>
      <c r="AL74" s="63">
        <f t="shared" si="86"/>
        <v>8.9587629637985625E-2</v>
      </c>
      <c r="AM74" s="63">
        <f t="shared" si="87"/>
        <v>9.0923511627131609E-2</v>
      </c>
      <c r="AN74" s="63">
        <f t="shared" si="88"/>
        <v>2.8615805095500005E-2</v>
      </c>
      <c r="AO74" s="63">
        <f t="shared" si="89"/>
        <v>158.96079730550252</v>
      </c>
      <c r="AP74" s="63">
        <f t="shared" si="50"/>
        <v>2.8615805095500005E-2</v>
      </c>
      <c r="AQ74" s="61">
        <f t="shared" si="90"/>
        <v>6.5600000000000006E-2</v>
      </c>
      <c r="AR74" s="61">
        <f t="shared" si="91"/>
        <v>7110400000</v>
      </c>
      <c r="AS74" s="61">
        <f t="shared" si="51"/>
        <v>6.5600000000000006E-2</v>
      </c>
      <c r="AT74" s="61">
        <f t="shared" si="52"/>
        <v>3.4361904761904767E-2</v>
      </c>
      <c r="AU74" s="63">
        <f t="shared" si="53"/>
        <v>0.15390122148453639</v>
      </c>
      <c r="AV74" s="63">
        <f t="shared" si="92"/>
        <v>0.10171685059721762</v>
      </c>
      <c r="AW74" s="63">
        <f t="shared" si="93"/>
        <v>1.9840000000000001E-3</v>
      </c>
      <c r="AX74" s="63">
        <f t="shared" si="94"/>
        <v>3.5200000000000002E-2</v>
      </c>
      <c r="AY74" s="63">
        <f t="shared" si="95"/>
        <v>3.7184000000000002E-2</v>
      </c>
      <c r="AZ74" s="63">
        <f t="shared" si="96"/>
        <v>2.7464403622964717</v>
      </c>
      <c r="BA74" s="64">
        <f t="shared" si="97"/>
        <v>74.400000000000006</v>
      </c>
      <c r="BB74" s="76">
        <f t="shared" si="54"/>
        <v>0.96439964890928753</v>
      </c>
      <c r="BC74" s="64">
        <f t="shared" si="55"/>
        <v>96.439964890928749</v>
      </c>
      <c r="BD74" s="63">
        <f t="shared" si="98"/>
        <v>2.0303405217574593</v>
      </c>
      <c r="BE74" s="63">
        <f t="shared" si="56"/>
        <v>0.56526881027335307</v>
      </c>
      <c r="BF74" s="63">
        <f t="shared" si="99"/>
        <v>0.41136758878881668</v>
      </c>
      <c r="BG74" s="63">
        <f t="shared" si="100"/>
        <v>0.15390122148453639</v>
      </c>
      <c r="BH74" s="63">
        <f t="shared" si="101"/>
        <v>0.10171685059721762</v>
      </c>
      <c r="BI74" s="63">
        <f t="shared" si="57"/>
        <v>3.7184000000000002E-2</v>
      </c>
      <c r="BJ74" s="63">
        <f t="shared" si="58"/>
        <v>7.1571203682406544E-3</v>
      </c>
      <c r="BK74" s="63">
        <f t="shared" si="59"/>
        <v>4.7730593002012246E-3</v>
      </c>
      <c r="BL74" s="63">
        <f t="shared" si="60"/>
        <v>2.7464403622964717</v>
      </c>
      <c r="BQ74" s="77"/>
      <c r="BR74" s="78"/>
    </row>
    <row r="75" spans="3:70" x14ac:dyDescent="0.2">
      <c r="C75" s="61">
        <v>63</v>
      </c>
      <c r="D75" s="61">
        <f t="shared" si="61"/>
        <v>25</v>
      </c>
      <c r="E75" s="61">
        <f t="shared" si="62"/>
        <v>25</v>
      </c>
      <c r="F75" s="61">
        <f t="shared" si="63"/>
        <v>25</v>
      </c>
      <c r="G75" s="73">
        <f t="shared" si="64"/>
        <v>16</v>
      </c>
      <c r="H75" s="64">
        <f t="shared" si="65"/>
        <v>1</v>
      </c>
      <c r="I75" s="63">
        <f t="shared" si="102"/>
        <v>6.3</v>
      </c>
      <c r="J75" s="65">
        <f t="shared" si="66"/>
        <v>9.4999999999999998E-3</v>
      </c>
      <c r="K75" s="65">
        <f t="shared" si="67"/>
        <v>9.4999999999999998E-3</v>
      </c>
      <c r="L75" s="65">
        <f t="shared" si="68"/>
        <v>1.0999999999999999E-2</v>
      </c>
      <c r="M75" s="65">
        <f t="shared" si="69"/>
        <v>2.6000000000000003E-3</v>
      </c>
      <c r="N75" s="63">
        <f t="shared" si="70"/>
        <v>0.75909562500000005</v>
      </c>
      <c r="O75" s="64">
        <f t="shared" si="71"/>
        <v>2.8610314106250008</v>
      </c>
      <c r="P75" s="64">
        <f t="shared" si="72"/>
        <v>7.7305157053125004</v>
      </c>
      <c r="Q75" s="64">
        <f t="shared" si="73"/>
        <v>4.8694842946874992</v>
      </c>
      <c r="R75" s="64">
        <f t="shared" si="74"/>
        <v>0</v>
      </c>
      <c r="S75" s="64">
        <f t="shared" si="75"/>
        <v>6.3539062836217983</v>
      </c>
      <c r="T75" s="63">
        <f t="shared" si="42"/>
        <v>0.44409337567153423</v>
      </c>
      <c r="U75" s="63">
        <f t="shared" si="76"/>
        <v>1.6</v>
      </c>
      <c r="V75" s="63">
        <f t="shared" si="43"/>
        <v>2.0440933756715345</v>
      </c>
      <c r="W75" s="64">
        <f t="shared" si="44"/>
        <v>0.82590862754215955</v>
      </c>
      <c r="X75" s="63">
        <f t="shared" si="77"/>
        <v>4.7748754273400154E-3</v>
      </c>
      <c r="Y75" s="63">
        <f t="shared" si="45"/>
        <v>4.7748754273400154E-3</v>
      </c>
      <c r="Z75" s="64">
        <f t="shared" si="78"/>
        <v>2.7171361011410178</v>
      </c>
      <c r="AA75" s="74">
        <f t="shared" si="79"/>
        <v>7.3828285921238111E-3</v>
      </c>
      <c r="AB75" s="75">
        <f t="shared" si="46"/>
        <v>7.3828285921238111E-3</v>
      </c>
      <c r="AC75" s="63">
        <f t="shared" si="80"/>
        <v>5.5359103592629486</v>
      </c>
      <c r="AD75" s="63">
        <f t="shared" si="47"/>
        <v>0.29113988330505086</v>
      </c>
      <c r="AE75" s="63">
        <f t="shared" si="81"/>
        <v>0.30573793437702962</v>
      </c>
      <c r="AF75" s="63">
        <f t="shared" si="82"/>
        <v>8.1743767355150571E-2</v>
      </c>
      <c r="AG75" s="63">
        <f t="shared" si="83"/>
        <v>3.8400000000000001E-3</v>
      </c>
      <c r="AH75" s="63">
        <f t="shared" si="84"/>
        <v>0</v>
      </c>
      <c r="AI75" s="63">
        <f t="shared" si="48"/>
        <v>3.1238095238095238E-2</v>
      </c>
      <c r="AJ75" s="63">
        <f t="shared" si="49"/>
        <v>0.4225597969702754</v>
      </c>
      <c r="AK75" s="63">
        <f t="shared" si="85"/>
        <v>3.1186249462309092</v>
      </c>
      <c r="AL75" s="63">
        <f t="shared" si="86"/>
        <v>9.2395304774910536E-2</v>
      </c>
      <c r="AM75" s="63">
        <f t="shared" si="87"/>
        <v>9.3816896253378732E-2</v>
      </c>
      <c r="AN75" s="63">
        <f t="shared" si="88"/>
        <v>2.9095587435750005E-2</v>
      </c>
      <c r="AO75" s="63">
        <f t="shared" si="89"/>
        <v>161.62598820559123</v>
      </c>
      <c r="AP75" s="63">
        <f t="shared" si="50"/>
        <v>2.9095587435750005E-2</v>
      </c>
      <c r="AQ75" s="61">
        <f t="shared" si="90"/>
        <v>6.5600000000000006E-2</v>
      </c>
      <c r="AR75" s="61">
        <f t="shared" si="91"/>
        <v>7110400000</v>
      </c>
      <c r="AS75" s="61">
        <f t="shared" si="51"/>
        <v>6.5600000000000006E-2</v>
      </c>
      <c r="AT75" s="61">
        <f t="shared" si="52"/>
        <v>3.4361904761904767E-2</v>
      </c>
      <c r="AU75" s="63">
        <f t="shared" si="53"/>
        <v>0.1572743884510335</v>
      </c>
      <c r="AV75" s="63">
        <f t="shared" si="92"/>
        <v>0.1049675251587263</v>
      </c>
      <c r="AW75" s="63">
        <f t="shared" si="93"/>
        <v>1.9840000000000001E-3</v>
      </c>
      <c r="AX75" s="63">
        <f t="shared" si="94"/>
        <v>3.5200000000000002E-2</v>
      </c>
      <c r="AY75" s="63">
        <f t="shared" si="95"/>
        <v>3.7184000000000002E-2</v>
      </c>
      <c r="AZ75" s="63">
        <f t="shared" si="96"/>
        <v>2.7782367902710337</v>
      </c>
      <c r="BA75" s="64">
        <f t="shared" si="97"/>
        <v>75.599999999999994</v>
      </c>
      <c r="BB75" s="76">
        <f t="shared" si="54"/>
        <v>0.96455346657382457</v>
      </c>
      <c r="BC75" s="64">
        <f t="shared" si="55"/>
        <v>96.455346657382464</v>
      </c>
      <c r="BD75" s="63">
        <f t="shared" si="98"/>
        <v>2.0440933756715345</v>
      </c>
      <c r="BE75" s="63">
        <f t="shared" si="56"/>
        <v>0.57983418542130893</v>
      </c>
      <c r="BF75" s="63">
        <f t="shared" si="99"/>
        <v>0.4225597969702754</v>
      </c>
      <c r="BG75" s="63">
        <f t="shared" si="100"/>
        <v>0.1572743884510335</v>
      </c>
      <c r="BH75" s="63">
        <f t="shared" si="101"/>
        <v>0.1049675251587263</v>
      </c>
      <c r="BI75" s="63">
        <f t="shared" si="57"/>
        <v>3.7184000000000002E-2</v>
      </c>
      <c r="BJ75" s="63">
        <f t="shared" si="58"/>
        <v>7.3828285921238111E-3</v>
      </c>
      <c r="BK75" s="63">
        <f t="shared" si="59"/>
        <v>4.7748754273400154E-3</v>
      </c>
      <c r="BL75" s="63">
        <f t="shared" si="60"/>
        <v>2.7782367902710337</v>
      </c>
      <c r="BQ75" s="77"/>
      <c r="BR75" s="78"/>
    </row>
    <row r="76" spans="3:70" x14ac:dyDescent="0.2">
      <c r="C76" s="61">
        <v>64</v>
      </c>
      <c r="D76" s="61">
        <f t="shared" ref="D76:D112" si="103">T.amb+I76*$D$9</f>
        <v>25</v>
      </c>
      <c r="E76" s="61">
        <f t="shared" ref="E76:E112" si="104">T.amb+I76*$E$9</f>
        <v>25</v>
      </c>
      <c r="F76" s="61">
        <f t="shared" ref="F76:F112" si="105">T.amb+I76*$F$9</f>
        <v>25</v>
      </c>
      <c r="G76" s="73">
        <f t="shared" ref="G76:G112" si="106">V.supply_typ</f>
        <v>16</v>
      </c>
      <c r="H76" s="64">
        <f t="shared" ref="H76:H112" si="107">FPWM</f>
        <v>1</v>
      </c>
      <c r="I76" s="63">
        <f t="shared" si="102"/>
        <v>6.4</v>
      </c>
      <c r="J76" s="65">
        <f t="shared" ref="J76:J112" si="108">R.hs25*((D76+275)/300)^2.3</f>
        <v>9.4999999999999998E-3</v>
      </c>
      <c r="K76" s="65">
        <f t="shared" ref="K76:K112" si="109">R.ls25*((E76+275)/300)^2.3</f>
        <v>9.4999999999999998E-3</v>
      </c>
      <c r="L76" s="65">
        <f t="shared" ref="L76:L112" si="110">R.dcr25*((F76+275)/300)^1.2</f>
        <v>1.0999999999999999E-2</v>
      </c>
      <c r="M76" s="65">
        <f t="shared" ref="M76:M112" si="111">R.s</f>
        <v>2.6000000000000003E-3</v>
      </c>
      <c r="N76" s="63">
        <f t="shared" ref="N76:N107" si="112">(V.load+I76*(K76+L76+M76))/(V.supply_typ+I76*(K76-J76))</f>
        <v>0.75924000000000003</v>
      </c>
      <c r="O76" s="64">
        <f t="shared" ref="O76:O107" si="113">(V.supply_typ-I.load*(J76+L76+M76)-V.load)*N76/(f.sw*L.out)</f>
        <v>2.8615755600000008</v>
      </c>
      <c r="P76" s="64">
        <f t="shared" ref="P76:P107" si="114">I76+O76/2</f>
        <v>7.8307877800000005</v>
      </c>
      <c r="Q76" s="64">
        <f t="shared" ref="Q76:Q112" si="115">I76-O76/2</f>
        <v>4.9692122200000002</v>
      </c>
      <c r="R76" s="64">
        <f t="shared" ref="R76:R107" si="116">IF(MIN(V.supply_typ, -Q76/(C.oss_hs+C.oss_ls)*0.00000002)&lt;0, 0, MIN(V.supply_typ, -Q76/(C.oss_hs+C.oss_ls)*0.00000002))</f>
        <v>0</v>
      </c>
      <c r="S76" s="64">
        <f t="shared" ref="S76:S112" si="117">SQRT(I76^2+(O76^2)/12)</f>
        <v>6.4530910854514092</v>
      </c>
      <c r="T76" s="63">
        <f t="shared" si="42"/>
        <v>0.45806623012845687</v>
      </c>
      <c r="U76" s="63">
        <f t="shared" ref="U76:U112" si="118">IF(FPWM=1,P.core,MIN(P.core,P.core*(O76+Q76)/O76))</f>
        <v>1.6</v>
      </c>
      <c r="V76" s="63">
        <f t="shared" si="43"/>
        <v>2.0580662301284569</v>
      </c>
      <c r="W76" s="64">
        <f t="shared" si="44"/>
        <v>0.8260657099362273</v>
      </c>
      <c r="X76" s="63">
        <f t="shared" ref="X76:X107" si="119">R.esrb*W76^2</f>
        <v>4.776691899927102E-3</v>
      </c>
      <c r="Y76" s="63">
        <f t="shared" si="45"/>
        <v>4.776691899927102E-3</v>
      </c>
      <c r="Z76" s="64">
        <f t="shared" ref="Z76:Z112" si="120">SQRT(N76*(1-N76))*SQRT(I76^2+(O76^2)/12)</f>
        <v>2.7589860385577558</v>
      </c>
      <c r="AA76" s="74">
        <f t="shared" ref="AA76:AA107" si="121">R.esr_cin*Z76^2</f>
        <v>7.612003960956619E-3</v>
      </c>
      <c r="AB76" s="75">
        <f t="shared" si="46"/>
        <v>7.612003960956619E-3</v>
      </c>
      <c r="AC76" s="63">
        <f t="shared" ref="AC76:AC112" si="122">SQRT(N76)*SQRT(I76^2+(O76^2)/12)</f>
        <v>5.6228608422365598</v>
      </c>
      <c r="AD76" s="63">
        <f t="shared" si="47"/>
        <v>0.30035735848599371</v>
      </c>
      <c r="AE76" s="63">
        <f t="shared" ref="AE76:AE107" si="123">AD76*(1+TC_rdson_hs*(T.amb-25))/(1-AD76*TC_rdson_hs*theta.ja_hs)</f>
        <v>0.31591909285913328</v>
      </c>
      <c r="AF76" s="63">
        <f t="shared" ref="AF76:AF112" si="124">(V.supply_typ*P76/2)*f.sw*T.rise+(V.supply_typ*MAX(Q76,0)/2)*f.sw*T.fall</f>
        <v>8.2949445579995423E-2</v>
      </c>
      <c r="AG76" s="63">
        <f t="shared" ref="AG76:AG112" si="125">0.5*(C.oss_hs+C.oss_ls)*(V.supply_typ-R76)^2*f.sw</f>
        <v>3.8400000000000001E-3</v>
      </c>
      <c r="AH76" s="63">
        <f t="shared" ref="AH76:AH112" si="126">IF(I76&gt;O76/2,0,ABS(Q76)*V.bd_hs*t.d_loff_hon*f.sw)</f>
        <v>0</v>
      </c>
      <c r="AI76" s="63">
        <f t="shared" si="48"/>
        <v>3.1238095238095238E-2</v>
      </c>
      <c r="AJ76" s="63">
        <f t="shared" si="49"/>
        <v>0.43394663367722391</v>
      </c>
      <c r="AK76" s="63">
        <f t="shared" ref="AK76:AK112" si="127">SQRT((1-N76))*SQRT(I76^2+(O76^2)/12)</f>
        <v>3.1663576086688638</v>
      </c>
      <c r="AL76" s="63">
        <f t="shared" ref="AL76:AL107" si="128">K76*AK76^2</f>
        <v>9.5245294806764455E-2</v>
      </c>
      <c r="AM76" s="63">
        <f t="shared" ref="AM76:AM107" si="129">AL76*(1+TC_rdson_ls*(T.amb-25))/(1-AL76*TC_rdson_ls*theta.ja_ls)</f>
        <v>9.6756655865603974E-2</v>
      </c>
      <c r="AN76" s="63">
        <f t="shared" ref="AN76:AN112" si="130">IF(I76&gt;O76/2, Q76*V.bd_ls*t.d_loff_hon*f.sw + P76*V.bd_ls*t.d_hoff_lon*f.sw,P76*V.bd_ls*t.d_hoff_lon*f.sw)</f>
        <v>2.9575369776000011E-2</v>
      </c>
      <c r="AO76" s="63">
        <f t="shared" ref="AO76:AO112" si="131">IF(I76&gt;O76/2, Q76*V.fwd_sch*t.d_loff_hon*f.sw + P76*V.fwd_sch*t.d_hoff_lon*f.sw,P76*V.fwd_sch*t.d_hoff_lon*f.sw)</f>
        <v>164.29117910568002</v>
      </c>
      <c r="AP76" s="63">
        <f t="shared" si="50"/>
        <v>2.9575369776000011E-2</v>
      </c>
      <c r="AQ76" s="61">
        <f t="shared" ref="AQ76:AQ112" si="132">Q.rr_ls*V.supply_typ*f.sw</f>
        <v>6.5600000000000006E-2</v>
      </c>
      <c r="AR76" s="61">
        <f t="shared" ref="AR76:AR112" si="133">Q.rr_sch*V.supply_typ*f.sw</f>
        <v>7110400000</v>
      </c>
      <c r="AS76" s="61">
        <f t="shared" si="51"/>
        <v>6.5600000000000006E-2</v>
      </c>
      <c r="AT76" s="61">
        <f t="shared" si="52"/>
        <v>3.4361904761904767E-2</v>
      </c>
      <c r="AU76" s="63">
        <f t="shared" si="53"/>
        <v>0.16069393040350874</v>
      </c>
      <c r="AV76" s="63">
        <f t="shared" ref="AV76:AV112" si="134">R.s*S76^2</f>
        <v>0.10827019984854437</v>
      </c>
      <c r="AW76" s="63">
        <f t="shared" ref="AW76:AW112" si="135">I.q_IC*V.supply_typ</f>
        <v>1.9840000000000001E-3</v>
      </c>
      <c r="AX76" s="63">
        <f t="shared" ref="AX76:AX112" si="136">IF(ExtVCC=1,  (Q.g_hs+Q.g_ls)*f.sw*V.load, (Q.g_hs+Q.g_ls)*f.sw*V.supply_typ)</f>
        <v>3.5200000000000002E-2</v>
      </c>
      <c r="AY76" s="63">
        <f t="shared" ref="AY76:AY107" si="137">SUM(AW76:AX76)</f>
        <v>3.7184000000000002E-2</v>
      </c>
      <c r="AZ76" s="63">
        <f t="shared" ref="AZ76:AZ107" si="138">V76+Y76+AB76+AJ76+AU76+AV76+AY76</f>
        <v>2.8105496899186173</v>
      </c>
      <c r="BA76" s="64">
        <f t="shared" ref="BA76:BA112" si="139">V.load*I76</f>
        <v>76.800000000000011</v>
      </c>
      <c r="BB76" s="76">
        <f t="shared" si="54"/>
        <v>0.96469626574787326</v>
      </c>
      <c r="BC76" s="64">
        <f t="shared" si="55"/>
        <v>96.469626574787327</v>
      </c>
      <c r="BD76" s="63">
        <f t="shared" ref="BD76:BD112" si="140">V76</f>
        <v>2.0580662301284569</v>
      </c>
      <c r="BE76" s="63">
        <f t="shared" si="56"/>
        <v>0.59464056408073263</v>
      </c>
      <c r="BF76" s="63">
        <f t="shared" ref="BF76:BF112" si="141">AJ76</f>
        <v>0.43394663367722391</v>
      </c>
      <c r="BG76" s="63">
        <f t="shared" ref="BG76:BG112" si="142">AU76</f>
        <v>0.16069393040350874</v>
      </c>
      <c r="BH76" s="63">
        <f t="shared" ref="BH76:BH112" si="143">AV76</f>
        <v>0.10827019984854437</v>
      </c>
      <c r="BI76" s="63">
        <f t="shared" si="57"/>
        <v>3.7184000000000002E-2</v>
      </c>
      <c r="BJ76" s="63">
        <f t="shared" si="58"/>
        <v>7.612003960956619E-3</v>
      </c>
      <c r="BK76" s="63">
        <f t="shared" si="59"/>
        <v>4.776691899927102E-3</v>
      </c>
      <c r="BL76" s="63">
        <f t="shared" si="60"/>
        <v>2.8105496899186173</v>
      </c>
      <c r="BQ76" s="77"/>
      <c r="BR76" s="78"/>
    </row>
    <row r="77" spans="3:70" x14ac:dyDescent="0.2">
      <c r="C77" s="61">
        <v>65</v>
      </c>
      <c r="D77" s="61">
        <f t="shared" si="103"/>
        <v>25</v>
      </c>
      <c r="E77" s="61">
        <f t="shared" si="104"/>
        <v>25</v>
      </c>
      <c r="F77" s="61">
        <f t="shared" si="105"/>
        <v>25</v>
      </c>
      <c r="G77" s="73">
        <f t="shared" si="106"/>
        <v>16</v>
      </c>
      <c r="H77" s="64">
        <f t="shared" si="107"/>
        <v>1</v>
      </c>
      <c r="I77" s="63">
        <f t="shared" ref="I77:I112" si="144">I.load*C77/100</f>
        <v>6.5</v>
      </c>
      <c r="J77" s="65">
        <f t="shared" si="108"/>
        <v>9.4999999999999998E-3</v>
      </c>
      <c r="K77" s="65">
        <f t="shared" si="109"/>
        <v>9.4999999999999998E-3</v>
      </c>
      <c r="L77" s="65">
        <f t="shared" si="110"/>
        <v>1.0999999999999999E-2</v>
      </c>
      <c r="M77" s="65">
        <f t="shared" si="111"/>
        <v>2.6000000000000003E-3</v>
      </c>
      <c r="N77" s="63">
        <f t="shared" si="112"/>
        <v>0.759384375</v>
      </c>
      <c r="O77" s="64">
        <f t="shared" si="113"/>
        <v>2.8621197093750004</v>
      </c>
      <c r="P77" s="64">
        <f t="shared" si="114"/>
        <v>7.9310598546875006</v>
      </c>
      <c r="Q77" s="64">
        <f t="shared" si="115"/>
        <v>5.0689401453124994</v>
      </c>
      <c r="R77" s="64">
        <f t="shared" si="116"/>
        <v>0</v>
      </c>
      <c r="S77" s="64">
        <f t="shared" si="117"/>
        <v>6.5523006724787951</v>
      </c>
      <c r="T77" s="63">
        <f t="shared" ref="T77:T112" si="145">S77^2*L77</f>
        <v>0.47225908512822679</v>
      </c>
      <c r="U77" s="63">
        <f t="shared" si="118"/>
        <v>1.6</v>
      </c>
      <c r="V77" s="63">
        <f t="shared" ref="V77:V112" si="146">U77+T77</f>
        <v>2.072259085128227</v>
      </c>
      <c r="W77" s="64">
        <f t="shared" ref="W77:W112" si="147">O77/SQRT(12)</f>
        <v>0.82622279233029505</v>
      </c>
      <c r="X77" s="63">
        <f t="shared" si="119"/>
        <v>4.7785087179624897E-3</v>
      </c>
      <c r="Y77" s="63">
        <f t="shared" ref="Y77:Y112" si="148">X77</f>
        <v>4.7785087179624897E-3</v>
      </c>
      <c r="Z77" s="64">
        <f t="shared" si="120"/>
        <v>2.8008287748059195</v>
      </c>
      <c r="AA77" s="74">
        <f t="shared" si="121"/>
        <v>7.8446418257808286E-3</v>
      </c>
      <c r="AB77" s="75">
        <f t="shared" ref="AB77:AB112" si="149">AA77</f>
        <v>7.8446418257808286E-3</v>
      </c>
      <c r="AC77" s="63">
        <f t="shared" si="122"/>
        <v>5.7098493070241858</v>
      </c>
      <c r="AD77" s="63">
        <f t="shared" ref="AD77:AD112" si="150">J77*AC77^2</f>
        <v>0.30972260153478343</v>
      </c>
      <c r="AE77" s="63">
        <f t="shared" si="123"/>
        <v>0.32629668043981258</v>
      </c>
      <c r="AF77" s="63">
        <f t="shared" si="124"/>
        <v>8.4155123804840248E-2</v>
      </c>
      <c r="AG77" s="63">
        <f t="shared" si="125"/>
        <v>3.8400000000000001E-3</v>
      </c>
      <c r="AH77" s="63">
        <f t="shared" si="126"/>
        <v>0</v>
      </c>
      <c r="AI77" s="63">
        <f t="shared" ref="AI77:AI112" si="151">AS77*$AJ$6</f>
        <v>3.1238095238095238E-2</v>
      </c>
      <c r="AJ77" s="63">
        <f t="shared" ref="AJ77:AJ112" si="152">(AH77+AG77+AF77+AE77+AI77)</f>
        <v>0.44552989948274807</v>
      </c>
      <c r="AK77" s="63">
        <f t="shared" si="127"/>
        <v>3.2140729602237563</v>
      </c>
      <c r="AL77" s="63">
        <f t="shared" si="128"/>
        <v>9.8137517439594243E-2</v>
      </c>
      <c r="AM77" s="63">
        <f t="shared" si="129"/>
        <v>9.9742833749795839E-2</v>
      </c>
      <c r="AN77" s="63">
        <f t="shared" si="130"/>
        <v>3.0055152116250004E-2</v>
      </c>
      <c r="AO77" s="63">
        <f t="shared" si="131"/>
        <v>166.95637000576875</v>
      </c>
      <c r="AP77" s="63">
        <f t="shared" ref="AP77:AP112" si="153">MIN(AN77:AO77)</f>
        <v>3.0055152116250004E-2</v>
      </c>
      <c r="AQ77" s="61">
        <f t="shared" si="132"/>
        <v>6.5600000000000006E-2</v>
      </c>
      <c r="AR77" s="61">
        <f t="shared" si="133"/>
        <v>7110400000</v>
      </c>
      <c r="AS77" s="61">
        <f t="shared" ref="AS77:AS112" si="154">MIN(AQ77:AR77)</f>
        <v>6.5600000000000006E-2</v>
      </c>
      <c r="AT77" s="61">
        <f t="shared" ref="AT77:AT112" si="155">AS77*$AJ$7</f>
        <v>3.4361904761904767E-2</v>
      </c>
      <c r="AU77" s="63">
        <f t="shared" ref="AU77:AU112" si="156">AM77+AP77+AT77</f>
        <v>0.16415989062795061</v>
      </c>
      <c r="AV77" s="63">
        <f t="shared" si="134"/>
        <v>0.1116248746666718</v>
      </c>
      <c r="AW77" s="63">
        <f t="shared" si="135"/>
        <v>1.9840000000000001E-3</v>
      </c>
      <c r="AX77" s="63">
        <f t="shared" si="136"/>
        <v>3.5200000000000002E-2</v>
      </c>
      <c r="AY77" s="63">
        <f t="shared" si="137"/>
        <v>3.7184000000000002E-2</v>
      </c>
      <c r="AZ77" s="63">
        <f t="shared" si="138"/>
        <v>2.8433809004493407</v>
      </c>
      <c r="BA77" s="64">
        <f t="shared" si="139"/>
        <v>78</v>
      </c>
      <c r="BB77" s="76">
        <f t="shared" ref="BB77:BB112" si="157">BA77/(BA77+AZ77)</f>
        <v>0.96482852561608368</v>
      </c>
      <c r="BC77" s="64">
        <f t="shared" ref="BC77:BC112" si="158">BB77*100</f>
        <v>96.482852561608368</v>
      </c>
      <c r="BD77" s="63">
        <f t="shared" si="140"/>
        <v>2.072259085128227</v>
      </c>
      <c r="BE77" s="63">
        <f t="shared" ref="BE77:BE112" si="159">BF77+BG77</f>
        <v>0.60968979011069868</v>
      </c>
      <c r="BF77" s="63">
        <f t="shared" si="141"/>
        <v>0.44552989948274807</v>
      </c>
      <c r="BG77" s="63">
        <f t="shared" si="142"/>
        <v>0.16415989062795061</v>
      </c>
      <c r="BH77" s="63">
        <f t="shared" si="143"/>
        <v>0.1116248746666718</v>
      </c>
      <c r="BI77" s="63">
        <f t="shared" ref="BI77:BI112" si="160">AY77</f>
        <v>3.7184000000000002E-2</v>
      </c>
      <c r="BJ77" s="63">
        <f t="shared" ref="BJ77:BJ112" si="161">AB77</f>
        <v>7.8446418257808286E-3</v>
      </c>
      <c r="BK77" s="63">
        <f t="shared" ref="BK77:BK112" si="162">Y77</f>
        <v>4.7785087179624897E-3</v>
      </c>
      <c r="BL77" s="63">
        <f t="shared" ref="BL77:BL112" si="163">BD77+BF77+BG77+BH77+BI77+BJ77+BK77</f>
        <v>2.8433809004493407</v>
      </c>
      <c r="BQ77" s="77"/>
      <c r="BR77" s="78"/>
    </row>
    <row r="78" spans="3:70" x14ac:dyDescent="0.2">
      <c r="C78" s="61">
        <v>66</v>
      </c>
      <c r="D78" s="61">
        <f t="shared" si="103"/>
        <v>25</v>
      </c>
      <c r="E78" s="61">
        <f t="shared" si="104"/>
        <v>25</v>
      </c>
      <c r="F78" s="61">
        <f t="shared" si="105"/>
        <v>25</v>
      </c>
      <c r="G78" s="73">
        <f t="shared" si="106"/>
        <v>16</v>
      </c>
      <c r="H78" s="64">
        <f t="shared" si="107"/>
        <v>1</v>
      </c>
      <c r="I78" s="63">
        <f t="shared" si="144"/>
        <v>6.6</v>
      </c>
      <c r="J78" s="65">
        <f t="shared" si="108"/>
        <v>9.4999999999999998E-3</v>
      </c>
      <c r="K78" s="65">
        <f t="shared" si="109"/>
        <v>9.4999999999999998E-3</v>
      </c>
      <c r="L78" s="65">
        <f t="shared" si="110"/>
        <v>1.0999999999999999E-2</v>
      </c>
      <c r="M78" s="65">
        <f t="shared" si="111"/>
        <v>2.6000000000000003E-3</v>
      </c>
      <c r="N78" s="63">
        <f t="shared" si="112"/>
        <v>0.75952874999999997</v>
      </c>
      <c r="O78" s="64">
        <f t="shared" si="113"/>
        <v>2.8626638587500004</v>
      </c>
      <c r="P78" s="64">
        <f t="shared" si="114"/>
        <v>8.0313319293749998</v>
      </c>
      <c r="Q78" s="64">
        <f t="shared" si="115"/>
        <v>5.1686680706249994</v>
      </c>
      <c r="R78" s="64">
        <f t="shared" si="116"/>
        <v>0</v>
      </c>
      <c r="S78" s="64">
        <f t="shared" si="117"/>
        <v>6.6515339356684819</v>
      </c>
      <c r="T78" s="63">
        <f t="shared" si="145"/>
        <v>0.48667194067084391</v>
      </c>
      <c r="U78" s="63">
        <f t="shared" si="118"/>
        <v>1.6</v>
      </c>
      <c r="V78" s="63">
        <f t="shared" si="146"/>
        <v>2.0866719406708438</v>
      </c>
      <c r="W78" s="64">
        <f t="shared" si="147"/>
        <v>0.82637987472436281</v>
      </c>
      <c r="X78" s="63">
        <f t="shared" si="119"/>
        <v>4.7803258814461749E-3</v>
      </c>
      <c r="Y78" s="63">
        <f t="shared" si="148"/>
        <v>4.7803258814461749E-3</v>
      </c>
      <c r="Z78" s="64">
        <f t="shared" si="120"/>
        <v>2.8426638092879726</v>
      </c>
      <c r="AA78" s="74">
        <f t="shared" si="121"/>
        <v>8.0807375326356085E-3</v>
      </c>
      <c r="AB78" s="75">
        <f t="shared" si="149"/>
        <v>8.0807375326356085E-3</v>
      </c>
      <c r="AC78" s="63">
        <f t="shared" si="122"/>
        <v>5.796874790921243</v>
      </c>
      <c r="AD78" s="63">
        <f t="shared" si="150"/>
        <v>0.31923569474537294</v>
      </c>
      <c r="AE78" s="63">
        <f t="shared" si="123"/>
        <v>0.33687253999827915</v>
      </c>
      <c r="AF78" s="63">
        <f t="shared" si="124"/>
        <v>8.5360802029685073E-2</v>
      </c>
      <c r="AG78" s="63">
        <f t="shared" si="125"/>
        <v>3.8400000000000001E-3</v>
      </c>
      <c r="AH78" s="63">
        <f t="shared" si="126"/>
        <v>0</v>
      </c>
      <c r="AI78" s="63">
        <f t="shared" si="151"/>
        <v>3.1238095238095238E-2</v>
      </c>
      <c r="AJ78" s="63">
        <f t="shared" si="152"/>
        <v>0.45731143726605944</v>
      </c>
      <c r="AK78" s="63">
        <f t="shared" si="127"/>
        <v>3.2617704327146084</v>
      </c>
      <c r="AL78" s="63">
        <f t="shared" si="128"/>
        <v>0.10107189037944682</v>
      </c>
      <c r="AM78" s="63">
        <f t="shared" si="129"/>
        <v>0.10277547507370338</v>
      </c>
      <c r="AN78" s="63">
        <f t="shared" si="130"/>
        <v>3.0534934456500004E-2</v>
      </c>
      <c r="AO78" s="63">
        <f t="shared" si="131"/>
        <v>169.62156090585751</v>
      </c>
      <c r="AP78" s="63">
        <f t="shared" si="153"/>
        <v>3.0534934456500004E-2</v>
      </c>
      <c r="AQ78" s="61">
        <f t="shared" si="132"/>
        <v>6.5600000000000006E-2</v>
      </c>
      <c r="AR78" s="61">
        <f t="shared" si="133"/>
        <v>7110400000</v>
      </c>
      <c r="AS78" s="61">
        <f t="shared" si="154"/>
        <v>6.5600000000000006E-2</v>
      </c>
      <c r="AT78" s="61">
        <f t="shared" si="155"/>
        <v>3.4361904761904767E-2</v>
      </c>
      <c r="AU78" s="63">
        <f t="shared" si="156"/>
        <v>0.16767231429210816</v>
      </c>
      <c r="AV78" s="63">
        <f t="shared" si="134"/>
        <v>0.11503154961310857</v>
      </c>
      <c r="AW78" s="63">
        <f t="shared" si="135"/>
        <v>1.9840000000000001E-3</v>
      </c>
      <c r="AX78" s="63">
        <f t="shared" si="136"/>
        <v>3.5200000000000002E-2</v>
      </c>
      <c r="AY78" s="63">
        <f t="shared" si="137"/>
        <v>3.7184000000000002E-2</v>
      </c>
      <c r="AZ78" s="63">
        <f t="shared" si="138"/>
        <v>2.8767323052562017</v>
      </c>
      <c r="BA78" s="64">
        <f t="shared" si="139"/>
        <v>79.199999999999989</v>
      </c>
      <c r="BB78" s="76">
        <f t="shared" si="157"/>
        <v>0.96495069644637921</v>
      </c>
      <c r="BC78" s="64">
        <f t="shared" si="158"/>
        <v>96.495069644637923</v>
      </c>
      <c r="BD78" s="63">
        <f t="shared" si="140"/>
        <v>2.0866719406708438</v>
      </c>
      <c r="BE78" s="63">
        <f t="shared" si="159"/>
        <v>0.62498375155816754</v>
      </c>
      <c r="BF78" s="63">
        <f t="shared" si="141"/>
        <v>0.45731143726605944</v>
      </c>
      <c r="BG78" s="63">
        <f t="shared" si="142"/>
        <v>0.16767231429210816</v>
      </c>
      <c r="BH78" s="63">
        <f t="shared" si="143"/>
        <v>0.11503154961310857</v>
      </c>
      <c r="BI78" s="63">
        <f t="shared" si="160"/>
        <v>3.7184000000000002E-2</v>
      </c>
      <c r="BJ78" s="63">
        <f t="shared" si="161"/>
        <v>8.0807375326356085E-3</v>
      </c>
      <c r="BK78" s="63">
        <f t="shared" si="162"/>
        <v>4.7803258814461749E-3</v>
      </c>
      <c r="BL78" s="63">
        <f t="shared" si="163"/>
        <v>2.8767323052562013</v>
      </c>
      <c r="BQ78" s="77"/>
      <c r="BR78" s="78"/>
    </row>
    <row r="79" spans="3:70" x14ac:dyDescent="0.2">
      <c r="C79" s="61">
        <v>67</v>
      </c>
      <c r="D79" s="61">
        <f t="shared" si="103"/>
        <v>25</v>
      </c>
      <c r="E79" s="61">
        <f t="shared" si="104"/>
        <v>25</v>
      </c>
      <c r="F79" s="61">
        <f t="shared" si="105"/>
        <v>25</v>
      </c>
      <c r="G79" s="73">
        <f t="shared" si="106"/>
        <v>16</v>
      </c>
      <c r="H79" s="64">
        <f t="shared" si="107"/>
        <v>1</v>
      </c>
      <c r="I79" s="63">
        <f t="shared" si="144"/>
        <v>6.7</v>
      </c>
      <c r="J79" s="65">
        <f t="shared" si="108"/>
        <v>9.4999999999999998E-3</v>
      </c>
      <c r="K79" s="65">
        <f t="shared" si="109"/>
        <v>9.4999999999999998E-3</v>
      </c>
      <c r="L79" s="65">
        <f t="shared" si="110"/>
        <v>1.0999999999999999E-2</v>
      </c>
      <c r="M79" s="65">
        <f t="shared" si="111"/>
        <v>2.6000000000000003E-3</v>
      </c>
      <c r="N79" s="63">
        <f t="shared" si="112"/>
        <v>0.75967312499999995</v>
      </c>
      <c r="O79" s="64">
        <f t="shared" si="113"/>
        <v>2.8632080081250004</v>
      </c>
      <c r="P79" s="64">
        <f t="shared" si="114"/>
        <v>8.1316040040625008</v>
      </c>
      <c r="Q79" s="64">
        <f t="shared" si="115"/>
        <v>5.2683959959374995</v>
      </c>
      <c r="R79" s="64">
        <f t="shared" si="116"/>
        <v>0</v>
      </c>
      <c r="S79" s="64">
        <f t="shared" si="117"/>
        <v>6.7507898309370136</v>
      </c>
      <c r="T79" s="63">
        <f t="shared" si="145"/>
        <v>0.50130479675630846</v>
      </c>
      <c r="U79" s="63">
        <f t="shared" si="118"/>
        <v>1.6</v>
      </c>
      <c r="V79" s="63">
        <f t="shared" si="146"/>
        <v>2.1013047967563088</v>
      </c>
      <c r="W79" s="64">
        <f t="shared" si="147"/>
        <v>0.82653695711843067</v>
      </c>
      <c r="X79" s="63">
        <f t="shared" si="119"/>
        <v>4.7821433903781612E-3</v>
      </c>
      <c r="Y79" s="63">
        <f t="shared" si="148"/>
        <v>4.7821433903781612E-3</v>
      </c>
      <c r="Z79" s="64">
        <f t="shared" si="120"/>
        <v>2.8844906695216586</v>
      </c>
      <c r="AA79" s="74">
        <f t="shared" si="121"/>
        <v>8.320286422557506E-3</v>
      </c>
      <c r="AB79" s="75">
        <f t="shared" si="149"/>
        <v>8.320286422557506E-3</v>
      </c>
      <c r="AC79" s="63">
        <f t="shared" si="122"/>
        <v>5.883936387467112</v>
      </c>
      <c r="AD79" s="63">
        <f t="shared" si="150"/>
        <v>0.32889672041171547</v>
      </c>
      <c r="AE79" s="63">
        <f t="shared" si="123"/>
        <v>0.34764855756363661</v>
      </c>
      <c r="AF79" s="63">
        <f t="shared" si="124"/>
        <v>8.6566480254529912E-2</v>
      </c>
      <c r="AG79" s="63">
        <f t="shared" si="125"/>
        <v>3.8400000000000001E-3</v>
      </c>
      <c r="AH79" s="63">
        <f t="shared" si="126"/>
        <v>0</v>
      </c>
      <c r="AI79" s="63">
        <f t="shared" si="151"/>
        <v>3.1238095238095238E-2</v>
      </c>
      <c r="AJ79" s="63">
        <f t="shared" si="152"/>
        <v>0.46929313305626175</v>
      </c>
      <c r="AK79" s="63">
        <f t="shared" si="127"/>
        <v>3.3094494904323697</v>
      </c>
      <c r="AL79" s="63">
        <f t="shared" si="128"/>
        <v>0.10404833133236917</v>
      </c>
      <c r="AM79" s="63">
        <f t="shared" si="129"/>
        <v>0.10585462688817936</v>
      </c>
      <c r="AN79" s="63">
        <f t="shared" si="130"/>
        <v>3.1014716796750004E-2</v>
      </c>
      <c r="AO79" s="63">
        <f t="shared" si="131"/>
        <v>172.28675180594627</v>
      </c>
      <c r="AP79" s="63">
        <f t="shared" si="153"/>
        <v>3.1014716796750004E-2</v>
      </c>
      <c r="AQ79" s="61">
        <f t="shared" si="132"/>
        <v>6.5600000000000006E-2</v>
      </c>
      <c r="AR79" s="61">
        <f t="shared" si="133"/>
        <v>7110400000</v>
      </c>
      <c r="AS79" s="61">
        <f t="shared" si="154"/>
        <v>6.5600000000000006E-2</v>
      </c>
      <c r="AT79" s="61">
        <f t="shared" si="155"/>
        <v>3.4361904761904767E-2</v>
      </c>
      <c r="AU79" s="63">
        <f t="shared" si="156"/>
        <v>0.17123124844683413</v>
      </c>
      <c r="AV79" s="63">
        <f t="shared" si="134"/>
        <v>0.11849022468785475</v>
      </c>
      <c r="AW79" s="63">
        <f t="shared" si="135"/>
        <v>1.9840000000000001E-3</v>
      </c>
      <c r="AX79" s="63">
        <f t="shared" si="136"/>
        <v>3.5200000000000002E-2</v>
      </c>
      <c r="AY79" s="63">
        <f t="shared" si="137"/>
        <v>3.7184000000000002E-2</v>
      </c>
      <c r="AZ79" s="63">
        <f t="shared" si="138"/>
        <v>2.9106058327601954</v>
      </c>
      <c r="BA79" s="64">
        <f t="shared" si="139"/>
        <v>80.400000000000006</v>
      </c>
      <c r="BB79" s="76">
        <f t="shared" si="157"/>
        <v>0.96506320169363524</v>
      </c>
      <c r="BC79" s="64">
        <f t="shared" si="158"/>
        <v>96.506320169363519</v>
      </c>
      <c r="BD79" s="63">
        <f t="shared" si="140"/>
        <v>2.1013047967563088</v>
      </c>
      <c r="BE79" s="63">
        <f t="shared" si="159"/>
        <v>0.64052438150309587</v>
      </c>
      <c r="BF79" s="63">
        <f t="shared" si="141"/>
        <v>0.46929313305626175</v>
      </c>
      <c r="BG79" s="63">
        <f t="shared" si="142"/>
        <v>0.17123124844683413</v>
      </c>
      <c r="BH79" s="63">
        <f t="shared" si="143"/>
        <v>0.11849022468785475</v>
      </c>
      <c r="BI79" s="63">
        <f t="shared" si="160"/>
        <v>3.7184000000000002E-2</v>
      </c>
      <c r="BJ79" s="63">
        <f t="shared" si="161"/>
        <v>8.320286422557506E-3</v>
      </c>
      <c r="BK79" s="63">
        <f t="shared" si="162"/>
        <v>4.7821433903781612E-3</v>
      </c>
      <c r="BL79" s="63">
        <f t="shared" si="163"/>
        <v>2.9106058327601949</v>
      </c>
      <c r="BQ79" s="77"/>
      <c r="BR79" s="78"/>
    </row>
    <row r="80" spans="3:70" x14ac:dyDescent="0.2">
      <c r="C80" s="61">
        <v>68</v>
      </c>
      <c r="D80" s="61">
        <f t="shared" si="103"/>
        <v>25</v>
      </c>
      <c r="E80" s="61">
        <f t="shared" si="104"/>
        <v>25</v>
      </c>
      <c r="F80" s="61">
        <f t="shared" si="105"/>
        <v>25</v>
      </c>
      <c r="G80" s="73">
        <f t="shared" si="106"/>
        <v>16</v>
      </c>
      <c r="H80" s="64">
        <f t="shared" si="107"/>
        <v>1</v>
      </c>
      <c r="I80" s="63">
        <f t="shared" si="144"/>
        <v>6.8</v>
      </c>
      <c r="J80" s="65">
        <f t="shared" si="108"/>
        <v>9.4999999999999998E-3</v>
      </c>
      <c r="K80" s="65">
        <f t="shared" si="109"/>
        <v>9.4999999999999998E-3</v>
      </c>
      <c r="L80" s="65">
        <f t="shared" si="110"/>
        <v>1.0999999999999999E-2</v>
      </c>
      <c r="M80" s="65">
        <f t="shared" si="111"/>
        <v>2.6000000000000003E-3</v>
      </c>
      <c r="N80" s="63">
        <f t="shared" si="112"/>
        <v>0.75981750000000003</v>
      </c>
      <c r="O80" s="64">
        <f t="shared" si="113"/>
        <v>2.8637521575000005</v>
      </c>
      <c r="P80" s="64">
        <f t="shared" si="114"/>
        <v>8.23187607875</v>
      </c>
      <c r="Q80" s="64">
        <f t="shared" si="115"/>
        <v>5.3681239212499996</v>
      </c>
      <c r="R80" s="64">
        <f t="shared" si="116"/>
        <v>0</v>
      </c>
      <c r="S80" s="64">
        <f t="shared" si="117"/>
        <v>6.850067374483662</v>
      </c>
      <c r="T80" s="63">
        <f t="shared" si="145"/>
        <v>0.51615765338462039</v>
      </c>
      <c r="U80" s="63">
        <f t="shared" si="118"/>
        <v>1.6</v>
      </c>
      <c r="V80" s="63">
        <f t="shared" si="146"/>
        <v>2.1161576533846205</v>
      </c>
      <c r="W80" s="64">
        <f t="shared" si="147"/>
        <v>0.82669403951249842</v>
      </c>
      <c r="X80" s="63">
        <f t="shared" si="119"/>
        <v>4.7839612447584459E-3</v>
      </c>
      <c r="Y80" s="63">
        <f t="shared" si="148"/>
        <v>4.7839612447584459E-3</v>
      </c>
      <c r="Z80" s="64">
        <f t="shared" si="120"/>
        <v>2.9263089091175019</v>
      </c>
      <c r="AA80" s="74">
        <f t="shared" si="121"/>
        <v>8.5632838315804639E-3</v>
      </c>
      <c r="AB80" s="75">
        <f t="shared" si="149"/>
        <v>8.5632838315804639E-3</v>
      </c>
      <c r="AC80" s="63">
        <f t="shared" si="122"/>
        <v>5.9710332424020125</v>
      </c>
      <c r="AD80" s="63">
        <f t="shared" si="150"/>
        <v>0.33870576082776399</v>
      </c>
      <c r="AE80" s="63">
        <f t="shared" si="123"/>
        <v>0.35862666318409409</v>
      </c>
      <c r="AF80" s="63">
        <f t="shared" si="124"/>
        <v>8.7772158479374737E-2</v>
      </c>
      <c r="AG80" s="63">
        <f t="shared" si="125"/>
        <v>3.8400000000000001E-3</v>
      </c>
      <c r="AH80" s="63">
        <f t="shared" si="126"/>
        <v>0</v>
      </c>
      <c r="AI80" s="63">
        <f t="shared" si="151"/>
        <v>3.1238095238095238E-2</v>
      </c>
      <c r="AJ80" s="63">
        <f t="shared" si="152"/>
        <v>0.48147691690156408</v>
      </c>
      <c r="AK80" s="63">
        <f t="shared" si="127"/>
        <v>3.3571096278041916</v>
      </c>
      <c r="AL80" s="63">
        <f t="shared" si="128"/>
        <v>0.10706675800440818</v>
      </c>
      <c r="AM80" s="63">
        <f t="shared" si="129"/>
        <v>0.10898033812871333</v>
      </c>
      <c r="AN80" s="63">
        <f t="shared" si="130"/>
        <v>3.1494499137000004E-2</v>
      </c>
      <c r="AO80" s="63">
        <f t="shared" si="131"/>
        <v>174.95194270603503</v>
      </c>
      <c r="AP80" s="63">
        <f t="shared" si="153"/>
        <v>3.1494499137000004E-2</v>
      </c>
      <c r="AQ80" s="61">
        <f t="shared" si="132"/>
        <v>6.5600000000000006E-2</v>
      </c>
      <c r="AR80" s="61">
        <f t="shared" si="133"/>
        <v>7110400000</v>
      </c>
      <c r="AS80" s="61">
        <f t="shared" si="154"/>
        <v>6.5600000000000006E-2</v>
      </c>
      <c r="AT80" s="61">
        <f t="shared" si="155"/>
        <v>3.4361904761904767E-2</v>
      </c>
      <c r="AU80" s="63">
        <f t="shared" si="156"/>
        <v>0.17483674202761809</v>
      </c>
      <c r="AV80" s="63">
        <f t="shared" si="134"/>
        <v>0.12200089989091029</v>
      </c>
      <c r="AW80" s="63">
        <f t="shared" si="135"/>
        <v>1.9840000000000001E-3</v>
      </c>
      <c r="AX80" s="63">
        <f t="shared" si="136"/>
        <v>3.5200000000000002E-2</v>
      </c>
      <c r="AY80" s="63">
        <f t="shared" si="137"/>
        <v>3.7184000000000002E-2</v>
      </c>
      <c r="AZ80" s="63">
        <f t="shared" si="138"/>
        <v>2.945003457281052</v>
      </c>
      <c r="BA80" s="64">
        <f t="shared" si="139"/>
        <v>81.599999999999994</v>
      </c>
      <c r="BB80" s="76">
        <f t="shared" si="157"/>
        <v>0.96516643992132423</v>
      </c>
      <c r="BC80" s="64">
        <f t="shared" si="158"/>
        <v>96.51664399213243</v>
      </c>
      <c r="BD80" s="63">
        <f t="shared" si="140"/>
        <v>2.1161576533846205</v>
      </c>
      <c r="BE80" s="63">
        <f t="shared" si="159"/>
        <v>0.65631365892918214</v>
      </c>
      <c r="BF80" s="63">
        <f t="shared" si="141"/>
        <v>0.48147691690156408</v>
      </c>
      <c r="BG80" s="63">
        <f t="shared" si="142"/>
        <v>0.17483674202761809</v>
      </c>
      <c r="BH80" s="63">
        <f t="shared" si="143"/>
        <v>0.12200089989091029</v>
      </c>
      <c r="BI80" s="63">
        <f t="shared" si="160"/>
        <v>3.7184000000000002E-2</v>
      </c>
      <c r="BJ80" s="63">
        <f t="shared" si="161"/>
        <v>8.5632838315804639E-3</v>
      </c>
      <c r="BK80" s="63">
        <f t="shared" si="162"/>
        <v>4.7839612447584459E-3</v>
      </c>
      <c r="BL80" s="63">
        <f t="shared" si="163"/>
        <v>2.945003457281052</v>
      </c>
      <c r="BQ80" s="77"/>
      <c r="BR80" s="78"/>
    </row>
    <row r="81" spans="3:70" x14ac:dyDescent="0.2">
      <c r="C81" s="61">
        <v>69</v>
      </c>
      <c r="D81" s="61">
        <f t="shared" si="103"/>
        <v>25</v>
      </c>
      <c r="E81" s="61">
        <f t="shared" si="104"/>
        <v>25</v>
      </c>
      <c r="F81" s="61">
        <f t="shared" si="105"/>
        <v>25</v>
      </c>
      <c r="G81" s="73">
        <f t="shared" si="106"/>
        <v>16</v>
      </c>
      <c r="H81" s="64">
        <f t="shared" si="107"/>
        <v>1</v>
      </c>
      <c r="I81" s="63">
        <f t="shared" si="144"/>
        <v>6.9</v>
      </c>
      <c r="J81" s="65">
        <f t="shared" si="108"/>
        <v>9.4999999999999998E-3</v>
      </c>
      <c r="K81" s="65">
        <f t="shared" si="109"/>
        <v>9.4999999999999998E-3</v>
      </c>
      <c r="L81" s="65">
        <f t="shared" si="110"/>
        <v>1.0999999999999999E-2</v>
      </c>
      <c r="M81" s="65">
        <f t="shared" si="111"/>
        <v>2.6000000000000003E-3</v>
      </c>
      <c r="N81" s="63">
        <f t="shared" si="112"/>
        <v>0.75996187500000001</v>
      </c>
      <c r="O81" s="64">
        <f t="shared" si="113"/>
        <v>2.8642963068750005</v>
      </c>
      <c r="P81" s="64">
        <f t="shared" si="114"/>
        <v>8.332148153437501</v>
      </c>
      <c r="Q81" s="64">
        <f t="shared" si="115"/>
        <v>5.4678518465624997</v>
      </c>
      <c r="R81" s="64">
        <f t="shared" si="116"/>
        <v>0</v>
      </c>
      <c r="S81" s="64">
        <f t="shared" si="117"/>
        <v>6.9493656385168103</v>
      </c>
      <c r="T81" s="63">
        <f t="shared" si="145"/>
        <v>0.53123051055577963</v>
      </c>
      <c r="U81" s="63">
        <f t="shared" si="118"/>
        <v>1.6</v>
      </c>
      <c r="V81" s="63">
        <f t="shared" si="146"/>
        <v>2.1312305105557798</v>
      </c>
      <c r="W81" s="64">
        <f t="shared" si="147"/>
        <v>0.82685112190656629</v>
      </c>
      <c r="X81" s="63">
        <f t="shared" si="119"/>
        <v>4.7857794445870317E-3</v>
      </c>
      <c r="Y81" s="63">
        <f t="shared" si="148"/>
        <v>4.7857794445870317E-3</v>
      </c>
      <c r="Z81" s="64">
        <f t="shared" si="120"/>
        <v>2.9681181059276986</v>
      </c>
      <c r="AA81" s="74">
        <f t="shared" si="121"/>
        <v>8.8097250907358295E-3</v>
      </c>
      <c r="AB81" s="75">
        <f t="shared" si="149"/>
        <v>8.8097250907358295E-3</v>
      </c>
      <c r="AC81" s="63">
        <f t="shared" si="122"/>
        <v>6.0581645499664907</v>
      </c>
      <c r="AD81" s="63">
        <f t="shared" si="150"/>
        <v>0.3486628982874716</v>
      </c>
      <c r="AE81" s="63">
        <f t="shared" si="123"/>
        <v>0.36980883182241481</v>
      </c>
      <c r="AF81" s="63">
        <f t="shared" si="124"/>
        <v>8.8977836704219576E-2</v>
      </c>
      <c r="AG81" s="63">
        <f t="shared" si="125"/>
        <v>3.8400000000000001E-3</v>
      </c>
      <c r="AH81" s="63">
        <f t="shared" si="126"/>
        <v>0</v>
      </c>
      <c r="AI81" s="63">
        <f t="shared" si="151"/>
        <v>3.1238095238095238E-2</v>
      </c>
      <c r="AJ81" s="63">
        <f t="shared" si="152"/>
        <v>0.4938647637647296</v>
      </c>
      <c r="AK81" s="63">
        <f t="shared" si="127"/>
        <v>3.4047503672556467</v>
      </c>
      <c r="AL81" s="63">
        <f t="shared" si="128"/>
        <v>0.11012708810161088</v>
      </c>
      <c r="AM81" s="63">
        <f t="shared" si="129"/>
        <v>0.112152659617155</v>
      </c>
      <c r="AN81" s="63">
        <f t="shared" si="130"/>
        <v>3.1974281477250011E-2</v>
      </c>
      <c r="AO81" s="63">
        <f t="shared" si="131"/>
        <v>177.61713360612379</v>
      </c>
      <c r="AP81" s="63">
        <f t="shared" si="153"/>
        <v>3.1974281477250011E-2</v>
      </c>
      <c r="AQ81" s="61">
        <f t="shared" si="132"/>
        <v>6.5600000000000006E-2</v>
      </c>
      <c r="AR81" s="61">
        <f t="shared" si="133"/>
        <v>7110400000</v>
      </c>
      <c r="AS81" s="61">
        <f t="shared" si="154"/>
        <v>6.5600000000000006E-2</v>
      </c>
      <c r="AT81" s="61">
        <f t="shared" si="155"/>
        <v>3.4361904761904767E-2</v>
      </c>
      <c r="AU81" s="63">
        <f t="shared" si="156"/>
        <v>0.17848884585630975</v>
      </c>
      <c r="AV81" s="63">
        <f t="shared" si="134"/>
        <v>0.12556357522227521</v>
      </c>
      <c r="AW81" s="63">
        <f t="shared" si="135"/>
        <v>1.9840000000000001E-3</v>
      </c>
      <c r="AX81" s="63">
        <f t="shared" si="136"/>
        <v>3.5200000000000002E-2</v>
      </c>
      <c r="AY81" s="63">
        <f t="shared" si="137"/>
        <v>3.7184000000000002E-2</v>
      </c>
      <c r="AZ81" s="63">
        <f t="shared" si="138"/>
        <v>2.979927199934417</v>
      </c>
      <c r="BA81" s="64">
        <f t="shared" si="139"/>
        <v>82.800000000000011</v>
      </c>
      <c r="BB81" s="76">
        <f t="shared" si="157"/>
        <v>0.96526078655920444</v>
      </c>
      <c r="BC81" s="64">
        <f t="shared" si="158"/>
        <v>96.526078655920443</v>
      </c>
      <c r="BD81" s="63">
        <f t="shared" si="140"/>
        <v>2.1312305105557798</v>
      </c>
      <c r="BE81" s="63">
        <f t="shared" si="159"/>
        <v>0.67235360962103941</v>
      </c>
      <c r="BF81" s="63">
        <f t="shared" si="141"/>
        <v>0.4938647637647296</v>
      </c>
      <c r="BG81" s="63">
        <f t="shared" si="142"/>
        <v>0.17848884585630975</v>
      </c>
      <c r="BH81" s="63">
        <f t="shared" si="143"/>
        <v>0.12556357522227521</v>
      </c>
      <c r="BI81" s="63">
        <f t="shared" si="160"/>
        <v>3.7184000000000002E-2</v>
      </c>
      <c r="BJ81" s="63">
        <f t="shared" si="161"/>
        <v>8.8097250907358295E-3</v>
      </c>
      <c r="BK81" s="63">
        <f t="shared" si="162"/>
        <v>4.7857794445870317E-3</v>
      </c>
      <c r="BL81" s="63">
        <f t="shared" si="163"/>
        <v>2.979927199934417</v>
      </c>
      <c r="BQ81" s="77"/>
      <c r="BR81" s="78"/>
    </row>
    <row r="82" spans="3:70" x14ac:dyDescent="0.2">
      <c r="C82" s="61">
        <v>70</v>
      </c>
      <c r="D82" s="61">
        <f t="shared" si="103"/>
        <v>25</v>
      </c>
      <c r="E82" s="61">
        <f t="shared" si="104"/>
        <v>25</v>
      </c>
      <c r="F82" s="61">
        <f t="shared" si="105"/>
        <v>25</v>
      </c>
      <c r="G82" s="73">
        <f t="shared" si="106"/>
        <v>16</v>
      </c>
      <c r="H82" s="64">
        <f t="shared" si="107"/>
        <v>1</v>
      </c>
      <c r="I82" s="63">
        <f t="shared" si="144"/>
        <v>7</v>
      </c>
      <c r="J82" s="65">
        <f t="shared" si="108"/>
        <v>9.4999999999999998E-3</v>
      </c>
      <c r="K82" s="65">
        <f t="shared" si="109"/>
        <v>9.4999999999999998E-3</v>
      </c>
      <c r="L82" s="65">
        <f t="shared" si="110"/>
        <v>1.0999999999999999E-2</v>
      </c>
      <c r="M82" s="65">
        <f t="shared" si="111"/>
        <v>2.6000000000000003E-3</v>
      </c>
      <c r="N82" s="63">
        <f t="shared" si="112"/>
        <v>0.76010624999999998</v>
      </c>
      <c r="O82" s="64">
        <f t="shared" si="113"/>
        <v>2.8648404562500005</v>
      </c>
      <c r="P82" s="64">
        <f t="shared" si="114"/>
        <v>8.4324202281250002</v>
      </c>
      <c r="Q82" s="64">
        <f t="shared" si="115"/>
        <v>5.5675797718749998</v>
      </c>
      <c r="R82" s="64">
        <f t="shared" si="116"/>
        <v>0</v>
      </c>
      <c r="S82" s="64">
        <f t="shared" si="117"/>
        <v>7.0486837473375523</v>
      </c>
      <c r="T82" s="63">
        <f t="shared" si="145"/>
        <v>0.54652336826978609</v>
      </c>
      <c r="U82" s="63">
        <f t="shared" si="118"/>
        <v>1.6</v>
      </c>
      <c r="V82" s="63">
        <f t="shared" si="146"/>
        <v>2.1465233682697864</v>
      </c>
      <c r="W82" s="64">
        <f t="shared" si="147"/>
        <v>0.82700820430063404</v>
      </c>
      <c r="X82" s="63">
        <f t="shared" si="119"/>
        <v>4.787597989863915E-3</v>
      </c>
      <c r="Y82" s="63">
        <f t="shared" si="148"/>
        <v>4.787597989863915E-3</v>
      </c>
      <c r="Z82" s="64">
        <f t="shared" si="120"/>
        <v>3.0099178603497356</v>
      </c>
      <c r="AA82" s="74">
        <f t="shared" si="121"/>
        <v>9.0596055260523303E-3</v>
      </c>
      <c r="AB82" s="75">
        <f t="shared" si="149"/>
        <v>9.0596055260523303E-3</v>
      </c>
      <c r="AC82" s="63">
        <f t="shared" si="122"/>
        <v>6.1453295495102038</v>
      </c>
      <c r="AD82" s="63">
        <f t="shared" si="150"/>
        <v>0.35876821508479123</v>
      </c>
      <c r="AE82" s="63">
        <f t="shared" si="123"/>
        <v>0.38119708427841459</v>
      </c>
      <c r="AF82" s="63">
        <f t="shared" si="124"/>
        <v>9.0183514929064401E-2</v>
      </c>
      <c r="AG82" s="63">
        <f t="shared" si="125"/>
        <v>3.8400000000000001E-3</v>
      </c>
      <c r="AH82" s="63">
        <f t="shared" si="126"/>
        <v>0</v>
      </c>
      <c r="AI82" s="63">
        <f t="shared" si="151"/>
        <v>3.1238095238095238E-2</v>
      </c>
      <c r="AJ82" s="63">
        <f t="shared" si="152"/>
        <v>0.50645869444557423</v>
      </c>
      <c r="AK82" s="63">
        <f t="shared" si="127"/>
        <v>3.4523712572516407</v>
      </c>
      <c r="AL82" s="63">
        <f t="shared" si="128"/>
        <v>0.11322923933002411</v>
      </c>
      <c r="AM82" s="63">
        <f t="shared" si="129"/>
        <v>0.11537164406362703</v>
      </c>
      <c r="AN82" s="63">
        <f t="shared" si="130"/>
        <v>3.2454063817500003E-2</v>
      </c>
      <c r="AO82" s="63">
        <f t="shared" si="131"/>
        <v>180.28232450621252</v>
      </c>
      <c r="AP82" s="63">
        <f t="shared" si="153"/>
        <v>3.2454063817500003E-2</v>
      </c>
      <c r="AQ82" s="61">
        <f t="shared" si="132"/>
        <v>6.5600000000000006E-2</v>
      </c>
      <c r="AR82" s="61">
        <f t="shared" si="133"/>
        <v>7110400000</v>
      </c>
      <c r="AS82" s="61">
        <f t="shared" si="154"/>
        <v>6.5600000000000006E-2</v>
      </c>
      <c r="AT82" s="61">
        <f t="shared" si="155"/>
        <v>3.4361904761904767E-2</v>
      </c>
      <c r="AU82" s="63">
        <f t="shared" si="156"/>
        <v>0.18218761264303179</v>
      </c>
      <c r="AV82" s="63">
        <f t="shared" si="134"/>
        <v>0.12917825068194946</v>
      </c>
      <c r="AW82" s="63">
        <f t="shared" si="135"/>
        <v>1.9840000000000001E-3</v>
      </c>
      <c r="AX82" s="63">
        <f t="shared" si="136"/>
        <v>3.5200000000000002E-2</v>
      </c>
      <c r="AY82" s="63">
        <f t="shared" si="137"/>
        <v>3.7184000000000002E-2</v>
      </c>
      <c r="AZ82" s="63">
        <f t="shared" si="138"/>
        <v>3.0153791295562575</v>
      </c>
      <c r="BA82" s="64">
        <f t="shared" si="139"/>
        <v>84</v>
      </c>
      <c r="BB82" s="76">
        <f t="shared" si="157"/>
        <v>0.96534659551311397</v>
      </c>
      <c r="BC82" s="64">
        <f t="shared" si="158"/>
        <v>96.534659551311393</v>
      </c>
      <c r="BD82" s="63">
        <f t="shared" si="140"/>
        <v>2.1465233682697864</v>
      </c>
      <c r="BE82" s="63">
        <f t="shared" si="159"/>
        <v>0.68864630708860597</v>
      </c>
      <c r="BF82" s="63">
        <f t="shared" si="141"/>
        <v>0.50645869444557423</v>
      </c>
      <c r="BG82" s="63">
        <f t="shared" si="142"/>
        <v>0.18218761264303179</v>
      </c>
      <c r="BH82" s="63">
        <f t="shared" si="143"/>
        <v>0.12917825068194946</v>
      </c>
      <c r="BI82" s="63">
        <f t="shared" si="160"/>
        <v>3.7184000000000002E-2</v>
      </c>
      <c r="BJ82" s="63">
        <f t="shared" si="161"/>
        <v>9.0596055260523303E-3</v>
      </c>
      <c r="BK82" s="63">
        <f t="shared" si="162"/>
        <v>4.787597989863915E-3</v>
      </c>
      <c r="BL82" s="63">
        <f t="shared" si="163"/>
        <v>3.0153791295562575</v>
      </c>
      <c r="BQ82" s="77"/>
      <c r="BR82" s="78"/>
    </row>
    <row r="83" spans="3:70" x14ac:dyDescent="0.2">
      <c r="C83" s="61">
        <v>71</v>
      </c>
      <c r="D83" s="61">
        <f t="shared" si="103"/>
        <v>25</v>
      </c>
      <c r="E83" s="61">
        <f t="shared" si="104"/>
        <v>25</v>
      </c>
      <c r="F83" s="61">
        <f t="shared" si="105"/>
        <v>25</v>
      </c>
      <c r="G83" s="73">
        <f t="shared" si="106"/>
        <v>16</v>
      </c>
      <c r="H83" s="64">
        <f t="shared" si="107"/>
        <v>1</v>
      </c>
      <c r="I83" s="63">
        <f t="shared" si="144"/>
        <v>7.1</v>
      </c>
      <c r="J83" s="65">
        <f t="shared" si="108"/>
        <v>9.4999999999999998E-3</v>
      </c>
      <c r="K83" s="65">
        <f t="shared" si="109"/>
        <v>9.4999999999999998E-3</v>
      </c>
      <c r="L83" s="65">
        <f t="shared" si="110"/>
        <v>1.0999999999999999E-2</v>
      </c>
      <c r="M83" s="65">
        <f t="shared" si="111"/>
        <v>2.6000000000000003E-3</v>
      </c>
      <c r="N83" s="63">
        <f t="shared" si="112"/>
        <v>0.76025062499999996</v>
      </c>
      <c r="O83" s="64">
        <f t="shared" si="113"/>
        <v>2.8653846056250005</v>
      </c>
      <c r="P83" s="64">
        <f t="shared" si="114"/>
        <v>8.5326923028124995</v>
      </c>
      <c r="Q83" s="64">
        <f t="shared" si="115"/>
        <v>5.6673076971874998</v>
      </c>
      <c r="R83" s="64">
        <f t="shared" si="116"/>
        <v>0</v>
      </c>
      <c r="S83" s="64">
        <f t="shared" si="117"/>
        <v>7.1480208737462938</v>
      </c>
      <c r="T83" s="63">
        <f t="shared" si="145"/>
        <v>0.56203622652663998</v>
      </c>
      <c r="U83" s="63">
        <f t="shared" si="118"/>
        <v>1.6</v>
      </c>
      <c r="V83" s="63">
        <f t="shared" si="146"/>
        <v>2.1620362265266402</v>
      </c>
      <c r="W83" s="64">
        <f t="shared" si="147"/>
        <v>0.82716528669470191</v>
      </c>
      <c r="X83" s="63">
        <f t="shared" si="119"/>
        <v>4.7894168805890994E-3</v>
      </c>
      <c r="Y83" s="63">
        <f t="shared" si="148"/>
        <v>4.7894168805890994E-3</v>
      </c>
      <c r="Z83" s="64">
        <f t="shared" si="120"/>
        <v>3.051707793769924</v>
      </c>
      <c r="AA83" s="74">
        <f t="shared" si="121"/>
        <v>9.3129204585560964E-3</v>
      </c>
      <c r="AB83" s="75">
        <f t="shared" si="149"/>
        <v>9.3129204585560964E-3</v>
      </c>
      <c r="AC83" s="63">
        <f t="shared" si="122"/>
        <v>6.2325275223803906</v>
      </c>
      <c r="AD83" s="63">
        <f t="shared" si="150"/>
        <v>0.36902179351367592</v>
      </c>
      <c r="AE83" s="63">
        <f t="shared" si="123"/>
        <v>0.39279348813935933</v>
      </c>
      <c r="AF83" s="63">
        <f t="shared" si="124"/>
        <v>9.138919315390924E-2</v>
      </c>
      <c r="AG83" s="63">
        <f t="shared" si="125"/>
        <v>3.8400000000000001E-3</v>
      </c>
      <c r="AH83" s="63">
        <f t="shared" si="126"/>
        <v>0</v>
      </c>
      <c r="AI83" s="63">
        <f t="shared" si="151"/>
        <v>3.1238095238095238E-2</v>
      </c>
      <c r="AJ83" s="63">
        <f t="shared" si="152"/>
        <v>0.51926077653136382</v>
      </c>
      <c r="AK83" s="63">
        <f t="shared" si="127"/>
        <v>3.4999718704989147</v>
      </c>
      <c r="AL83" s="63">
        <f t="shared" si="128"/>
        <v>0.11637312939569489</v>
      </c>
      <c r="AM83" s="63">
        <f t="shared" si="129"/>
        <v>0.11863734606862873</v>
      </c>
      <c r="AN83" s="63">
        <f t="shared" si="130"/>
        <v>3.2933846157750003E-2</v>
      </c>
      <c r="AO83" s="63">
        <f t="shared" si="131"/>
        <v>182.94751540630128</v>
      </c>
      <c r="AP83" s="63">
        <f t="shared" si="153"/>
        <v>3.2933846157750003E-2</v>
      </c>
      <c r="AQ83" s="61">
        <f t="shared" si="132"/>
        <v>6.5600000000000006E-2</v>
      </c>
      <c r="AR83" s="61">
        <f t="shared" si="133"/>
        <v>7110400000</v>
      </c>
      <c r="AS83" s="61">
        <f t="shared" si="154"/>
        <v>6.5600000000000006E-2</v>
      </c>
      <c r="AT83" s="61">
        <f t="shared" si="155"/>
        <v>3.4361904761904767E-2</v>
      </c>
      <c r="AU83" s="63">
        <f t="shared" si="156"/>
        <v>0.1859330969882835</v>
      </c>
      <c r="AV83" s="63">
        <f t="shared" si="134"/>
        <v>0.13284492626993313</v>
      </c>
      <c r="AW83" s="63">
        <f t="shared" si="135"/>
        <v>1.9840000000000001E-3</v>
      </c>
      <c r="AX83" s="63">
        <f t="shared" si="136"/>
        <v>3.5200000000000002E-2</v>
      </c>
      <c r="AY83" s="63">
        <f t="shared" si="137"/>
        <v>3.7184000000000002E-2</v>
      </c>
      <c r="AZ83" s="63">
        <f t="shared" si="138"/>
        <v>3.0513613636553658</v>
      </c>
      <c r="BA83" s="64">
        <f t="shared" si="139"/>
        <v>85.199999999999989</v>
      </c>
      <c r="BB83" s="76">
        <f t="shared" si="157"/>
        <v>0.9654242006411472</v>
      </c>
      <c r="BC83" s="64">
        <f t="shared" si="158"/>
        <v>96.542420064114722</v>
      </c>
      <c r="BD83" s="63">
        <f t="shared" si="140"/>
        <v>2.1620362265266402</v>
      </c>
      <c r="BE83" s="63">
        <f t="shared" si="159"/>
        <v>0.70519387351964735</v>
      </c>
      <c r="BF83" s="63">
        <f t="shared" si="141"/>
        <v>0.51926077653136382</v>
      </c>
      <c r="BG83" s="63">
        <f t="shared" si="142"/>
        <v>0.1859330969882835</v>
      </c>
      <c r="BH83" s="63">
        <f t="shared" si="143"/>
        <v>0.13284492626993313</v>
      </c>
      <c r="BI83" s="63">
        <f t="shared" si="160"/>
        <v>3.7184000000000002E-2</v>
      </c>
      <c r="BJ83" s="63">
        <f t="shared" si="161"/>
        <v>9.3129204585560964E-3</v>
      </c>
      <c r="BK83" s="63">
        <f t="shared" si="162"/>
        <v>4.7894168805890994E-3</v>
      </c>
      <c r="BL83" s="63">
        <f t="shared" si="163"/>
        <v>3.0513613636553658</v>
      </c>
      <c r="BQ83" s="77"/>
      <c r="BR83" s="78"/>
    </row>
    <row r="84" spans="3:70" x14ac:dyDescent="0.2">
      <c r="C84" s="61">
        <v>72</v>
      </c>
      <c r="D84" s="61">
        <f t="shared" si="103"/>
        <v>25</v>
      </c>
      <c r="E84" s="61">
        <f t="shared" si="104"/>
        <v>25</v>
      </c>
      <c r="F84" s="61">
        <f t="shared" si="105"/>
        <v>25</v>
      </c>
      <c r="G84" s="73">
        <f t="shared" si="106"/>
        <v>16</v>
      </c>
      <c r="H84" s="64">
        <f t="shared" si="107"/>
        <v>1</v>
      </c>
      <c r="I84" s="63">
        <f t="shared" si="144"/>
        <v>7.2</v>
      </c>
      <c r="J84" s="65">
        <f t="shared" si="108"/>
        <v>9.4999999999999998E-3</v>
      </c>
      <c r="K84" s="65">
        <f t="shared" si="109"/>
        <v>9.4999999999999998E-3</v>
      </c>
      <c r="L84" s="65">
        <f t="shared" si="110"/>
        <v>1.0999999999999999E-2</v>
      </c>
      <c r="M84" s="65">
        <f t="shared" si="111"/>
        <v>2.6000000000000003E-3</v>
      </c>
      <c r="N84" s="63">
        <f t="shared" si="112"/>
        <v>0.76039500000000004</v>
      </c>
      <c r="O84" s="64">
        <f t="shared" si="113"/>
        <v>2.8659287550000005</v>
      </c>
      <c r="P84" s="64">
        <f t="shared" si="114"/>
        <v>8.6329643775000005</v>
      </c>
      <c r="Q84" s="64">
        <f t="shared" si="115"/>
        <v>5.7670356224999999</v>
      </c>
      <c r="R84" s="64">
        <f t="shared" si="116"/>
        <v>0</v>
      </c>
      <c r="S84" s="64">
        <f t="shared" si="117"/>
        <v>7.2473762357417781</v>
      </c>
      <c r="T84" s="63">
        <f t="shared" si="145"/>
        <v>0.5777690853263413</v>
      </c>
      <c r="U84" s="63">
        <f t="shared" si="118"/>
        <v>1.6</v>
      </c>
      <c r="V84" s="63">
        <f t="shared" si="146"/>
        <v>2.1777690853263412</v>
      </c>
      <c r="W84" s="64">
        <f t="shared" si="147"/>
        <v>0.82732236908876977</v>
      </c>
      <c r="X84" s="63">
        <f t="shared" si="119"/>
        <v>4.7912361167625822E-3</v>
      </c>
      <c r="Y84" s="63">
        <f t="shared" si="148"/>
        <v>4.7912361167625822E-3</v>
      </c>
      <c r="Z84" s="64">
        <f t="shared" si="120"/>
        <v>3.0934875471335981</v>
      </c>
      <c r="AA84" s="74">
        <f t="shared" si="121"/>
        <v>9.5696652042706453E-3</v>
      </c>
      <c r="AB84" s="75">
        <f t="shared" si="149"/>
        <v>9.5696652042706453E-3</v>
      </c>
      <c r="AC84" s="63">
        <f t="shared" si="122"/>
        <v>6.3197577890635488</v>
      </c>
      <c r="AD84" s="63">
        <f t="shared" si="150"/>
        <v>0.37942371586807921</v>
      </c>
      <c r="AE84" s="63">
        <f t="shared" si="123"/>
        <v>0.40460015875914135</v>
      </c>
      <c r="AF84" s="63">
        <f t="shared" si="124"/>
        <v>9.2594871378754079E-2</v>
      </c>
      <c r="AG84" s="63">
        <f t="shared" si="125"/>
        <v>3.8400000000000001E-3</v>
      </c>
      <c r="AH84" s="63">
        <f t="shared" si="126"/>
        <v>0</v>
      </c>
      <c r="AI84" s="63">
        <f t="shared" si="151"/>
        <v>3.1238095238095238E-2</v>
      </c>
      <c r="AJ84" s="63">
        <f t="shared" si="152"/>
        <v>0.5322731253759907</v>
      </c>
      <c r="AK84" s="63">
        <f t="shared" si="127"/>
        <v>3.5475518022948265</v>
      </c>
      <c r="AL84" s="63">
        <f t="shared" si="128"/>
        <v>0.11955867600467007</v>
      </c>
      <c r="AM84" s="63">
        <f t="shared" si="129"/>
        <v>0.1219498221253288</v>
      </c>
      <c r="AN84" s="63">
        <f t="shared" si="130"/>
        <v>3.3413628498000003E-2</v>
      </c>
      <c r="AO84" s="63">
        <f t="shared" si="131"/>
        <v>185.61270630639001</v>
      </c>
      <c r="AP84" s="63">
        <f t="shared" si="153"/>
        <v>3.3413628498000003E-2</v>
      </c>
      <c r="AQ84" s="61">
        <f t="shared" si="132"/>
        <v>6.5600000000000006E-2</v>
      </c>
      <c r="AR84" s="61">
        <f t="shared" si="133"/>
        <v>7110400000</v>
      </c>
      <c r="AS84" s="61">
        <f t="shared" si="154"/>
        <v>6.5600000000000006E-2</v>
      </c>
      <c r="AT84" s="61">
        <f t="shared" si="155"/>
        <v>3.4361904761904767E-2</v>
      </c>
      <c r="AU84" s="63">
        <f t="shared" si="156"/>
        <v>0.18972535538523355</v>
      </c>
      <c r="AV84" s="63">
        <f t="shared" si="134"/>
        <v>0.13656360198622616</v>
      </c>
      <c r="AW84" s="63">
        <f t="shared" si="135"/>
        <v>1.9840000000000001E-3</v>
      </c>
      <c r="AX84" s="63">
        <f t="shared" si="136"/>
        <v>3.5200000000000002E-2</v>
      </c>
      <c r="AY84" s="63">
        <f t="shared" si="137"/>
        <v>3.7184000000000002E-2</v>
      </c>
      <c r="AZ84" s="63">
        <f t="shared" si="138"/>
        <v>3.0878760693948246</v>
      </c>
      <c r="BA84" s="64">
        <f t="shared" si="139"/>
        <v>86.4</v>
      </c>
      <c r="BB84" s="76">
        <f t="shared" si="157"/>
        <v>0.96549391710894694</v>
      </c>
      <c r="BC84" s="64">
        <f t="shared" si="158"/>
        <v>96.549391710894696</v>
      </c>
      <c r="BD84" s="63">
        <f t="shared" si="140"/>
        <v>2.1777690853263412</v>
      </c>
      <c r="BE84" s="63">
        <f t="shared" si="159"/>
        <v>0.7219984807612243</v>
      </c>
      <c r="BF84" s="63">
        <f t="shared" si="141"/>
        <v>0.5322731253759907</v>
      </c>
      <c r="BG84" s="63">
        <f t="shared" si="142"/>
        <v>0.18972535538523355</v>
      </c>
      <c r="BH84" s="63">
        <f t="shared" si="143"/>
        <v>0.13656360198622616</v>
      </c>
      <c r="BI84" s="63">
        <f t="shared" si="160"/>
        <v>3.7184000000000002E-2</v>
      </c>
      <c r="BJ84" s="63">
        <f t="shared" si="161"/>
        <v>9.5696652042706453E-3</v>
      </c>
      <c r="BK84" s="63">
        <f t="shared" si="162"/>
        <v>4.7912361167625822E-3</v>
      </c>
      <c r="BL84" s="63">
        <f t="shared" si="163"/>
        <v>3.0878760693948242</v>
      </c>
      <c r="BQ84" s="77"/>
      <c r="BR84" s="78"/>
    </row>
    <row r="85" spans="3:70" x14ac:dyDescent="0.2">
      <c r="C85" s="61">
        <v>73</v>
      </c>
      <c r="D85" s="61">
        <f t="shared" si="103"/>
        <v>25</v>
      </c>
      <c r="E85" s="61">
        <f t="shared" si="104"/>
        <v>25</v>
      </c>
      <c r="F85" s="61">
        <f t="shared" si="105"/>
        <v>25</v>
      </c>
      <c r="G85" s="73">
        <f t="shared" si="106"/>
        <v>16</v>
      </c>
      <c r="H85" s="64">
        <f t="shared" si="107"/>
        <v>1</v>
      </c>
      <c r="I85" s="63">
        <f t="shared" si="144"/>
        <v>7.3</v>
      </c>
      <c r="J85" s="65">
        <f t="shared" si="108"/>
        <v>9.4999999999999998E-3</v>
      </c>
      <c r="K85" s="65">
        <f t="shared" si="109"/>
        <v>9.4999999999999998E-3</v>
      </c>
      <c r="L85" s="65">
        <f t="shared" si="110"/>
        <v>1.0999999999999999E-2</v>
      </c>
      <c r="M85" s="65">
        <f t="shared" si="111"/>
        <v>2.6000000000000003E-3</v>
      </c>
      <c r="N85" s="63">
        <f t="shared" si="112"/>
        <v>0.76053937500000002</v>
      </c>
      <c r="O85" s="64">
        <f t="shared" si="113"/>
        <v>2.8664729043750006</v>
      </c>
      <c r="P85" s="64">
        <f t="shared" si="114"/>
        <v>8.7332364521874997</v>
      </c>
      <c r="Q85" s="64">
        <f t="shared" si="115"/>
        <v>5.8667635478125</v>
      </c>
      <c r="R85" s="64">
        <f t="shared" si="116"/>
        <v>0</v>
      </c>
      <c r="S85" s="64">
        <f t="shared" si="117"/>
        <v>7.3467490934852497</v>
      </c>
      <c r="T85" s="63">
        <f t="shared" si="145"/>
        <v>0.59372194466888972</v>
      </c>
      <c r="U85" s="63">
        <f t="shared" si="118"/>
        <v>1.6</v>
      </c>
      <c r="V85" s="63">
        <f t="shared" si="146"/>
        <v>2.1937219446688898</v>
      </c>
      <c r="W85" s="64">
        <f t="shared" si="147"/>
        <v>0.82747945148283752</v>
      </c>
      <c r="X85" s="63">
        <f t="shared" si="119"/>
        <v>4.7930556983843634E-3</v>
      </c>
      <c r="Y85" s="63">
        <f t="shared" si="148"/>
        <v>4.7930556983843634E-3</v>
      </c>
      <c r="Z85" s="64">
        <f t="shared" si="120"/>
        <v>3.1352567796301614</v>
      </c>
      <c r="AA85" s="74">
        <f t="shared" si="121"/>
        <v>9.8298350742168899E-3</v>
      </c>
      <c r="AB85" s="75">
        <f t="shared" si="149"/>
        <v>9.8298350742168899E-3</v>
      </c>
      <c r="AC85" s="63">
        <f t="shared" si="122"/>
        <v>6.407019706556679</v>
      </c>
      <c r="AD85" s="63">
        <f t="shared" si="150"/>
        <v>0.38997406444195348</v>
      </c>
      <c r="AE85" s="63">
        <f t="shared" si="123"/>
        <v>0.41661926026714691</v>
      </c>
      <c r="AF85" s="63">
        <f t="shared" si="124"/>
        <v>9.3800549603598904E-2</v>
      </c>
      <c r="AG85" s="63">
        <f t="shared" si="125"/>
        <v>3.8400000000000001E-3</v>
      </c>
      <c r="AH85" s="63">
        <f t="shared" si="126"/>
        <v>0</v>
      </c>
      <c r="AI85" s="63">
        <f t="shared" si="151"/>
        <v>3.1238095238095238E-2</v>
      </c>
      <c r="AJ85" s="63">
        <f t="shared" si="152"/>
        <v>0.54549790510884111</v>
      </c>
      <c r="AK85" s="63">
        <f t="shared" si="127"/>
        <v>3.5951106690087729</v>
      </c>
      <c r="AL85" s="63">
        <f t="shared" si="128"/>
        <v>0.12278579686299672</v>
      </c>
      <c r="AM85" s="63">
        <f t="shared" si="129"/>
        <v>0.12530913062204929</v>
      </c>
      <c r="AN85" s="63">
        <f t="shared" si="130"/>
        <v>3.3893410838250003E-2</v>
      </c>
      <c r="AO85" s="63">
        <f t="shared" si="131"/>
        <v>188.27789720647877</v>
      </c>
      <c r="AP85" s="63">
        <f t="shared" si="153"/>
        <v>3.3893410838250003E-2</v>
      </c>
      <c r="AQ85" s="61">
        <f t="shared" si="132"/>
        <v>6.5600000000000006E-2</v>
      </c>
      <c r="AR85" s="61">
        <f t="shared" si="133"/>
        <v>7110400000</v>
      </c>
      <c r="AS85" s="61">
        <f t="shared" si="154"/>
        <v>6.5600000000000006E-2</v>
      </c>
      <c r="AT85" s="61">
        <f t="shared" si="155"/>
        <v>3.4361904761904767E-2</v>
      </c>
      <c r="AU85" s="63">
        <f t="shared" si="156"/>
        <v>0.19356444622220406</v>
      </c>
      <c r="AV85" s="63">
        <f t="shared" si="134"/>
        <v>0.1403342778308285</v>
      </c>
      <c r="AW85" s="63">
        <f t="shared" si="135"/>
        <v>1.9840000000000001E-3</v>
      </c>
      <c r="AX85" s="63">
        <f t="shared" si="136"/>
        <v>3.5200000000000002E-2</v>
      </c>
      <c r="AY85" s="63">
        <f t="shared" si="137"/>
        <v>3.7184000000000002E-2</v>
      </c>
      <c r="AZ85" s="63">
        <f t="shared" si="138"/>
        <v>3.124925464603364</v>
      </c>
      <c r="BA85" s="64">
        <f t="shared" si="139"/>
        <v>87.6</v>
      </c>
      <c r="BB85" s="76">
        <f t="shared" si="157"/>
        <v>0.96555604263546557</v>
      </c>
      <c r="BC85" s="64">
        <f t="shared" si="158"/>
        <v>96.555604263546556</v>
      </c>
      <c r="BD85" s="63">
        <f t="shared" si="140"/>
        <v>2.1937219446688898</v>
      </c>
      <c r="BE85" s="63">
        <f t="shared" si="159"/>
        <v>0.73906235133104514</v>
      </c>
      <c r="BF85" s="63">
        <f t="shared" si="141"/>
        <v>0.54549790510884111</v>
      </c>
      <c r="BG85" s="63">
        <f t="shared" si="142"/>
        <v>0.19356444622220406</v>
      </c>
      <c r="BH85" s="63">
        <f t="shared" si="143"/>
        <v>0.1403342778308285</v>
      </c>
      <c r="BI85" s="63">
        <f t="shared" si="160"/>
        <v>3.7184000000000002E-2</v>
      </c>
      <c r="BJ85" s="63">
        <f t="shared" si="161"/>
        <v>9.8298350742168899E-3</v>
      </c>
      <c r="BK85" s="63">
        <f t="shared" si="162"/>
        <v>4.7930556983843634E-3</v>
      </c>
      <c r="BL85" s="63">
        <f t="shared" si="163"/>
        <v>3.1249254646033644</v>
      </c>
      <c r="BQ85" s="77"/>
      <c r="BR85" s="78"/>
    </row>
    <row r="86" spans="3:70" x14ac:dyDescent="0.2">
      <c r="C86" s="61">
        <v>74</v>
      </c>
      <c r="D86" s="61">
        <f t="shared" si="103"/>
        <v>25</v>
      </c>
      <c r="E86" s="61">
        <f t="shared" si="104"/>
        <v>25</v>
      </c>
      <c r="F86" s="61">
        <f t="shared" si="105"/>
        <v>25</v>
      </c>
      <c r="G86" s="73">
        <f t="shared" si="106"/>
        <v>16</v>
      </c>
      <c r="H86" s="64">
        <f t="shared" si="107"/>
        <v>1</v>
      </c>
      <c r="I86" s="63">
        <f t="shared" si="144"/>
        <v>7.4</v>
      </c>
      <c r="J86" s="65">
        <f t="shared" si="108"/>
        <v>9.4999999999999998E-3</v>
      </c>
      <c r="K86" s="65">
        <f t="shared" si="109"/>
        <v>9.4999999999999998E-3</v>
      </c>
      <c r="L86" s="65">
        <f t="shared" si="110"/>
        <v>1.0999999999999999E-2</v>
      </c>
      <c r="M86" s="65">
        <f t="shared" si="111"/>
        <v>2.6000000000000003E-3</v>
      </c>
      <c r="N86" s="63">
        <f t="shared" si="112"/>
        <v>0.76068374999999999</v>
      </c>
      <c r="O86" s="64">
        <f t="shared" si="113"/>
        <v>2.8670170537500006</v>
      </c>
      <c r="P86" s="64">
        <f t="shared" si="114"/>
        <v>8.8335085268750007</v>
      </c>
      <c r="Q86" s="64">
        <f t="shared" si="115"/>
        <v>5.9664914731250001</v>
      </c>
      <c r="R86" s="64">
        <f t="shared" si="116"/>
        <v>0</v>
      </c>
      <c r="S86" s="64">
        <f t="shared" si="117"/>
        <v>7.4461387465053175</v>
      </c>
      <c r="T86" s="63">
        <f t="shared" si="145"/>
        <v>0.60989480455428557</v>
      </c>
      <c r="U86" s="63">
        <f t="shared" si="118"/>
        <v>1.6</v>
      </c>
      <c r="V86" s="63">
        <f t="shared" si="146"/>
        <v>2.2098948045542857</v>
      </c>
      <c r="W86" s="64">
        <f t="shared" si="147"/>
        <v>0.82763653387690539</v>
      </c>
      <c r="X86" s="63">
        <f t="shared" si="119"/>
        <v>4.7948756254544457E-3</v>
      </c>
      <c r="Y86" s="63">
        <f t="shared" si="148"/>
        <v>4.7948756254544457E-3</v>
      </c>
      <c r="Z86" s="64">
        <f t="shared" si="120"/>
        <v>3.1770151674823888</v>
      </c>
      <c r="AA86" s="74">
        <f t="shared" si="121"/>
        <v>1.0093425374413151E-2</v>
      </c>
      <c r="AB86" s="75">
        <f t="shared" si="149"/>
        <v>1.0093425374413151E-2</v>
      </c>
      <c r="AC86" s="63">
        <f t="shared" si="122"/>
        <v>6.4943126659469659</v>
      </c>
      <c r="AD86" s="63">
        <f t="shared" si="150"/>
        <v>0.40067292152925227</v>
      </c>
      <c r="AE86" s="63">
        <f t="shared" si="123"/>
        <v>0.42885300660777115</v>
      </c>
      <c r="AF86" s="63">
        <f t="shared" si="124"/>
        <v>9.5006227828443743E-2</v>
      </c>
      <c r="AG86" s="63">
        <f t="shared" si="125"/>
        <v>3.8400000000000001E-3</v>
      </c>
      <c r="AH86" s="63">
        <f t="shared" si="126"/>
        <v>0</v>
      </c>
      <c r="AI86" s="63">
        <f t="shared" si="151"/>
        <v>3.1238095238095238E-2</v>
      </c>
      <c r="AJ86" s="63">
        <f t="shared" si="152"/>
        <v>0.5589373296743102</v>
      </c>
      <c r="AK86" s="63">
        <f t="shared" si="127"/>
        <v>3.6426481066840091</v>
      </c>
      <c r="AL86" s="63">
        <f t="shared" si="128"/>
        <v>0.12605440967672166</v>
      </c>
      <c r="AM86" s="63">
        <f t="shared" si="129"/>
        <v>0.12871533184493902</v>
      </c>
      <c r="AN86" s="63">
        <f t="shared" si="130"/>
        <v>3.4373193178500003E-2</v>
      </c>
      <c r="AO86" s="63">
        <f t="shared" si="131"/>
        <v>190.94308810656753</v>
      </c>
      <c r="AP86" s="63">
        <f t="shared" si="153"/>
        <v>3.4373193178500003E-2</v>
      </c>
      <c r="AQ86" s="61">
        <f t="shared" si="132"/>
        <v>6.5600000000000006E-2</v>
      </c>
      <c r="AR86" s="61">
        <f t="shared" si="133"/>
        <v>7110400000</v>
      </c>
      <c r="AS86" s="61">
        <f t="shared" si="154"/>
        <v>6.5600000000000006E-2</v>
      </c>
      <c r="AT86" s="61">
        <f t="shared" si="155"/>
        <v>3.4361904761904767E-2</v>
      </c>
      <c r="AU86" s="63">
        <f t="shared" si="156"/>
        <v>0.19745042978534377</v>
      </c>
      <c r="AV86" s="63">
        <f t="shared" si="134"/>
        <v>0.14415695380374025</v>
      </c>
      <c r="AW86" s="63">
        <f t="shared" si="135"/>
        <v>1.9840000000000001E-3</v>
      </c>
      <c r="AX86" s="63">
        <f t="shared" si="136"/>
        <v>3.5200000000000002E-2</v>
      </c>
      <c r="AY86" s="63">
        <f t="shared" si="137"/>
        <v>3.7184000000000002E-2</v>
      </c>
      <c r="AZ86" s="63">
        <f t="shared" si="138"/>
        <v>3.1625118188175469</v>
      </c>
      <c r="BA86" s="64">
        <f t="shared" si="139"/>
        <v>88.800000000000011</v>
      </c>
      <c r="BB86" s="76">
        <f t="shared" si="157"/>
        <v>0.96561085863935237</v>
      </c>
      <c r="BC86" s="64">
        <f t="shared" si="158"/>
        <v>96.561085863935233</v>
      </c>
      <c r="BD86" s="63">
        <f t="shared" si="140"/>
        <v>2.2098948045542857</v>
      </c>
      <c r="BE86" s="63">
        <f t="shared" si="159"/>
        <v>0.75638775945965397</v>
      </c>
      <c r="BF86" s="63">
        <f t="shared" si="141"/>
        <v>0.5589373296743102</v>
      </c>
      <c r="BG86" s="63">
        <f t="shared" si="142"/>
        <v>0.19745042978534377</v>
      </c>
      <c r="BH86" s="63">
        <f t="shared" si="143"/>
        <v>0.14415695380374025</v>
      </c>
      <c r="BI86" s="63">
        <f t="shared" si="160"/>
        <v>3.7184000000000002E-2</v>
      </c>
      <c r="BJ86" s="63">
        <f t="shared" si="161"/>
        <v>1.0093425374413151E-2</v>
      </c>
      <c r="BK86" s="63">
        <f t="shared" si="162"/>
        <v>4.7948756254544457E-3</v>
      </c>
      <c r="BL86" s="63">
        <f t="shared" si="163"/>
        <v>3.1625118188175469</v>
      </c>
      <c r="BQ86" s="77"/>
      <c r="BR86" s="78"/>
    </row>
    <row r="87" spans="3:70" x14ac:dyDescent="0.2">
      <c r="C87" s="61">
        <v>75</v>
      </c>
      <c r="D87" s="61">
        <f t="shared" si="103"/>
        <v>25</v>
      </c>
      <c r="E87" s="61">
        <f t="shared" si="104"/>
        <v>25</v>
      </c>
      <c r="F87" s="61">
        <f t="shared" si="105"/>
        <v>25</v>
      </c>
      <c r="G87" s="73">
        <f t="shared" si="106"/>
        <v>16</v>
      </c>
      <c r="H87" s="64">
        <f t="shared" si="107"/>
        <v>1</v>
      </c>
      <c r="I87" s="63">
        <f t="shared" si="144"/>
        <v>7.5</v>
      </c>
      <c r="J87" s="65">
        <f t="shared" si="108"/>
        <v>9.4999999999999998E-3</v>
      </c>
      <c r="K87" s="65">
        <f t="shared" si="109"/>
        <v>9.4999999999999998E-3</v>
      </c>
      <c r="L87" s="65">
        <f t="shared" si="110"/>
        <v>1.0999999999999999E-2</v>
      </c>
      <c r="M87" s="65">
        <f t="shared" si="111"/>
        <v>2.6000000000000003E-3</v>
      </c>
      <c r="N87" s="63">
        <f t="shared" si="112"/>
        <v>0.76082812499999997</v>
      </c>
      <c r="O87" s="64">
        <f t="shared" si="113"/>
        <v>2.8675612031250006</v>
      </c>
      <c r="P87" s="64">
        <f t="shared" si="114"/>
        <v>8.9337806015624999</v>
      </c>
      <c r="Q87" s="64">
        <f t="shared" si="115"/>
        <v>6.0662193984375001</v>
      </c>
      <c r="R87" s="64">
        <f t="shared" si="116"/>
        <v>0</v>
      </c>
      <c r="S87" s="64">
        <f t="shared" si="117"/>
        <v>7.5455445311215925</v>
      </c>
      <c r="T87" s="63">
        <f t="shared" si="145"/>
        <v>0.62628766498252864</v>
      </c>
      <c r="U87" s="63">
        <f t="shared" si="118"/>
        <v>1.6</v>
      </c>
      <c r="V87" s="63">
        <f t="shared" si="146"/>
        <v>2.2262876649825287</v>
      </c>
      <c r="W87" s="64">
        <f t="shared" si="147"/>
        <v>0.82779361627097314</v>
      </c>
      <c r="X87" s="63">
        <f t="shared" si="119"/>
        <v>4.7966958979728264E-3</v>
      </c>
      <c r="Y87" s="63">
        <f t="shared" si="148"/>
        <v>4.7966958979728264E-3</v>
      </c>
      <c r="Z87" s="64">
        <f t="shared" si="120"/>
        <v>3.2187624028304915</v>
      </c>
      <c r="AA87" s="74">
        <f t="shared" si="121"/>
        <v>1.0360431405875118E-2</v>
      </c>
      <c r="AB87" s="75">
        <f t="shared" si="149"/>
        <v>1.0360431405875118E-2</v>
      </c>
      <c r="AC87" s="63">
        <f t="shared" si="122"/>
        <v>6.5816360901808757</v>
      </c>
      <c r="AD87" s="63">
        <f t="shared" si="150"/>
        <v>0.41152036942392833</v>
      </c>
      <c r="AE87" s="63">
        <f t="shared" si="123"/>
        <v>0.44130366261155912</v>
      </c>
      <c r="AF87" s="63">
        <f t="shared" si="124"/>
        <v>9.6211906053288568E-2</v>
      </c>
      <c r="AG87" s="63">
        <f t="shared" si="125"/>
        <v>3.8400000000000001E-3</v>
      </c>
      <c r="AH87" s="63">
        <f t="shared" si="126"/>
        <v>0</v>
      </c>
      <c r="AI87" s="63">
        <f t="shared" si="151"/>
        <v>3.1238095238095238E-2</v>
      </c>
      <c r="AJ87" s="63">
        <f t="shared" si="152"/>
        <v>0.57259366390294297</v>
      </c>
      <c r="AK87" s="63">
        <f t="shared" si="127"/>
        <v>3.6901637697489211</v>
      </c>
      <c r="AL87" s="63">
        <f t="shared" si="128"/>
        <v>0.12936443215189189</v>
      </c>
      <c r="AM87" s="63">
        <f t="shared" si="129"/>
        <v>0.13216848798083841</v>
      </c>
      <c r="AN87" s="63">
        <f t="shared" si="130"/>
        <v>3.4852975518750003E-2</v>
      </c>
      <c r="AO87" s="63">
        <f t="shared" si="131"/>
        <v>193.60827900665629</v>
      </c>
      <c r="AP87" s="63">
        <f t="shared" si="153"/>
        <v>3.4852975518750003E-2</v>
      </c>
      <c r="AQ87" s="61">
        <f t="shared" si="132"/>
        <v>6.5600000000000006E-2</v>
      </c>
      <c r="AR87" s="61">
        <f t="shared" si="133"/>
        <v>7110400000</v>
      </c>
      <c r="AS87" s="61">
        <f t="shared" si="154"/>
        <v>6.5600000000000006E-2</v>
      </c>
      <c r="AT87" s="61">
        <f t="shared" si="155"/>
        <v>3.4361904761904767E-2</v>
      </c>
      <c r="AU87" s="63">
        <f t="shared" si="156"/>
        <v>0.20138336826149317</v>
      </c>
      <c r="AV87" s="63">
        <f t="shared" si="134"/>
        <v>0.14803162990496135</v>
      </c>
      <c r="AW87" s="63">
        <f t="shared" si="135"/>
        <v>1.9840000000000001E-3</v>
      </c>
      <c r="AX87" s="63">
        <f t="shared" si="136"/>
        <v>3.5200000000000002E-2</v>
      </c>
      <c r="AY87" s="63">
        <f t="shared" si="137"/>
        <v>3.7184000000000002E-2</v>
      </c>
      <c r="AZ87" s="63">
        <f t="shared" si="138"/>
        <v>3.2006374543557738</v>
      </c>
      <c r="BA87" s="64">
        <f t="shared" si="139"/>
        <v>90</v>
      </c>
      <c r="BB87" s="76">
        <f t="shared" si="157"/>
        <v>0.9656586312950568</v>
      </c>
      <c r="BC87" s="64">
        <f t="shared" si="158"/>
        <v>96.565863129505686</v>
      </c>
      <c r="BD87" s="63">
        <f t="shared" si="140"/>
        <v>2.2262876649825287</v>
      </c>
      <c r="BE87" s="63">
        <f t="shared" si="159"/>
        <v>0.77397703216443614</v>
      </c>
      <c r="BF87" s="63">
        <f t="shared" si="141"/>
        <v>0.57259366390294297</v>
      </c>
      <c r="BG87" s="63">
        <f t="shared" si="142"/>
        <v>0.20138336826149317</v>
      </c>
      <c r="BH87" s="63">
        <f t="shared" si="143"/>
        <v>0.14803162990496135</v>
      </c>
      <c r="BI87" s="63">
        <f t="shared" si="160"/>
        <v>3.7184000000000002E-2</v>
      </c>
      <c r="BJ87" s="63">
        <f t="shared" si="161"/>
        <v>1.0360431405875118E-2</v>
      </c>
      <c r="BK87" s="63">
        <f t="shared" si="162"/>
        <v>4.7966958979728264E-3</v>
      </c>
      <c r="BL87" s="63">
        <f t="shared" si="163"/>
        <v>3.2006374543557738</v>
      </c>
      <c r="BQ87" s="77"/>
      <c r="BR87" s="78"/>
    </row>
    <row r="88" spans="3:70" x14ac:dyDescent="0.2">
      <c r="C88" s="61">
        <v>76</v>
      </c>
      <c r="D88" s="61">
        <f t="shared" si="103"/>
        <v>25</v>
      </c>
      <c r="E88" s="61">
        <f t="shared" si="104"/>
        <v>25</v>
      </c>
      <c r="F88" s="61">
        <f t="shared" si="105"/>
        <v>25</v>
      </c>
      <c r="G88" s="73">
        <f t="shared" si="106"/>
        <v>16</v>
      </c>
      <c r="H88" s="64">
        <f t="shared" si="107"/>
        <v>1</v>
      </c>
      <c r="I88" s="63">
        <f t="shared" si="144"/>
        <v>7.6</v>
      </c>
      <c r="J88" s="65">
        <f t="shared" si="108"/>
        <v>9.4999999999999998E-3</v>
      </c>
      <c r="K88" s="65">
        <f t="shared" si="109"/>
        <v>9.4999999999999998E-3</v>
      </c>
      <c r="L88" s="65">
        <f t="shared" si="110"/>
        <v>1.0999999999999999E-2</v>
      </c>
      <c r="M88" s="65">
        <f t="shared" si="111"/>
        <v>2.6000000000000003E-3</v>
      </c>
      <c r="N88" s="63">
        <f t="shared" si="112"/>
        <v>0.76097250000000005</v>
      </c>
      <c r="O88" s="64">
        <f t="shared" si="113"/>
        <v>2.8681053525000006</v>
      </c>
      <c r="P88" s="64">
        <f t="shared" si="114"/>
        <v>9.0340526762499991</v>
      </c>
      <c r="Q88" s="64">
        <f t="shared" si="115"/>
        <v>6.1659473237499993</v>
      </c>
      <c r="R88" s="64">
        <f t="shared" si="116"/>
        <v>0</v>
      </c>
      <c r="S88" s="64">
        <f t="shared" si="117"/>
        <v>7.6449658180674636</v>
      </c>
      <c r="T88" s="63">
        <f t="shared" si="145"/>
        <v>0.64290052595361902</v>
      </c>
      <c r="U88" s="63">
        <f t="shared" si="118"/>
        <v>1.6</v>
      </c>
      <c r="V88" s="63">
        <f t="shared" si="146"/>
        <v>2.242900525953619</v>
      </c>
      <c r="W88" s="64">
        <f t="shared" si="147"/>
        <v>0.82795069866504101</v>
      </c>
      <c r="X88" s="63">
        <f t="shared" si="119"/>
        <v>4.7985165159395065E-3</v>
      </c>
      <c r="Y88" s="63">
        <f t="shared" si="148"/>
        <v>4.7985165159395065E-3</v>
      </c>
      <c r="Z88" s="64">
        <f t="shared" si="120"/>
        <v>3.2604981927024426</v>
      </c>
      <c r="AA88" s="74">
        <f t="shared" si="121"/>
        <v>1.0630848464615894E-2</v>
      </c>
      <c r="AB88" s="75">
        <f t="shared" si="149"/>
        <v>1.0630848464615894E-2</v>
      </c>
      <c r="AC88" s="63">
        <f t="shared" si="122"/>
        <v>6.6689894320056986</v>
      </c>
      <c r="AD88" s="63">
        <f t="shared" si="150"/>
        <v>0.422516490419935</v>
      </c>
      <c r="AE88" s="63">
        <f t="shared" si="123"/>
        <v>0.45397354509900645</v>
      </c>
      <c r="AF88" s="63">
        <f t="shared" si="124"/>
        <v>9.7417584278133379E-2</v>
      </c>
      <c r="AG88" s="63">
        <f t="shared" si="125"/>
        <v>3.8400000000000001E-3</v>
      </c>
      <c r="AH88" s="63">
        <f t="shared" si="126"/>
        <v>0</v>
      </c>
      <c r="AI88" s="63">
        <f t="shared" si="151"/>
        <v>3.1238095238095238E-2</v>
      </c>
      <c r="AJ88" s="63">
        <f t="shared" si="152"/>
        <v>0.5864692246152351</v>
      </c>
      <c r="AK88" s="63">
        <f t="shared" si="127"/>
        <v>3.7376573298279019</v>
      </c>
      <c r="AL88" s="63">
        <f t="shared" si="128"/>
        <v>0.1327157819945543</v>
      </c>
      <c r="AM88" s="63">
        <f t="shared" si="129"/>
        <v>0.13566866312033435</v>
      </c>
      <c r="AN88" s="63">
        <f t="shared" si="130"/>
        <v>3.5332757859000002E-2</v>
      </c>
      <c r="AO88" s="63">
        <f t="shared" si="131"/>
        <v>196.27346990674499</v>
      </c>
      <c r="AP88" s="63">
        <f t="shared" si="153"/>
        <v>3.5332757859000002E-2</v>
      </c>
      <c r="AQ88" s="61">
        <f t="shared" si="132"/>
        <v>6.5600000000000006E-2</v>
      </c>
      <c r="AR88" s="61">
        <f t="shared" si="133"/>
        <v>7110400000</v>
      </c>
      <c r="AS88" s="61">
        <f t="shared" si="154"/>
        <v>6.5600000000000006E-2</v>
      </c>
      <c r="AT88" s="61">
        <f t="shared" si="155"/>
        <v>3.4361904761904767E-2</v>
      </c>
      <c r="AU88" s="63">
        <f t="shared" si="156"/>
        <v>0.20536332574123911</v>
      </c>
      <c r="AV88" s="63">
        <f t="shared" si="134"/>
        <v>0.15195830613449179</v>
      </c>
      <c r="AW88" s="63">
        <f t="shared" si="135"/>
        <v>1.9840000000000001E-3</v>
      </c>
      <c r="AX88" s="63">
        <f t="shared" si="136"/>
        <v>3.5200000000000002E-2</v>
      </c>
      <c r="AY88" s="63">
        <f t="shared" si="137"/>
        <v>3.7184000000000002E-2</v>
      </c>
      <c r="AZ88" s="63">
        <f t="shared" si="138"/>
        <v>3.2393047474251402</v>
      </c>
      <c r="BA88" s="64">
        <f t="shared" si="139"/>
        <v>91.199999999999989</v>
      </c>
      <c r="BB88" s="76">
        <f t="shared" si="157"/>
        <v>0.96569961250679948</v>
      </c>
      <c r="BC88" s="64">
        <f t="shared" si="158"/>
        <v>96.569961250679953</v>
      </c>
      <c r="BD88" s="63">
        <f t="shared" si="140"/>
        <v>2.242900525953619</v>
      </c>
      <c r="BE88" s="63">
        <f t="shared" si="159"/>
        <v>0.79183255035647426</v>
      </c>
      <c r="BF88" s="63">
        <f t="shared" si="141"/>
        <v>0.5864692246152351</v>
      </c>
      <c r="BG88" s="63">
        <f t="shared" si="142"/>
        <v>0.20536332574123911</v>
      </c>
      <c r="BH88" s="63">
        <f t="shared" si="143"/>
        <v>0.15195830613449179</v>
      </c>
      <c r="BI88" s="63">
        <f t="shared" si="160"/>
        <v>3.7184000000000002E-2</v>
      </c>
      <c r="BJ88" s="63">
        <f t="shared" si="161"/>
        <v>1.0630848464615894E-2</v>
      </c>
      <c r="BK88" s="63">
        <f t="shared" si="162"/>
        <v>4.7985165159395065E-3</v>
      </c>
      <c r="BL88" s="63">
        <f t="shared" si="163"/>
        <v>3.2393047474251402</v>
      </c>
      <c r="BQ88" s="77"/>
      <c r="BR88" s="78"/>
    </row>
    <row r="89" spans="3:70" x14ac:dyDescent="0.2">
      <c r="C89" s="61">
        <v>77</v>
      </c>
      <c r="D89" s="61">
        <f t="shared" si="103"/>
        <v>25</v>
      </c>
      <c r="E89" s="61">
        <f t="shared" si="104"/>
        <v>25</v>
      </c>
      <c r="F89" s="61">
        <f t="shared" si="105"/>
        <v>25</v>
      </c>
      <c r="G89" s="73">
        <f t="shared" si="106"/>
        <v>16</v>
      </c>
      <c r="H89" s="64">
        <f t="shared" si="107"/>
        <v>1</v>
      </c>
      <c r="I89" s="63">
        <f t="shared" si="144"/>
        <v>7.7</v>
      </c>
      <c r="J89" s="65">
        <f t="shared" si="108"/>
        <v>9.4999999999999998E-3</v>
      </c>
      <c r="K89" s="65">
        <f t="shared" si="109"/>
        <v>9.4999999999999998E-3</v>
      </c>
      <c r="L89" s="65">
        <f t="shared" si="110"/>
        <v>1.0999999999999999E-2</v>
      </c>
      <c r="M89" s="65">
        <f t="shared" si="111"/>
        <v>2.6000000000000003E-3</v>
      </c>
      <c r="N89" s="63">
        <f t="shared" si="112"/>
        <v>0.76111687500000003</v>
      </c>
      <c r="O89" s="64">
        <f t="shared" si="113"/>
        <v>2.8686495018750007</v>
      </c>
      <c r="P89" s="64">
        <f t="shared" si="114"/>
        <v>9.1343247509375001</v>
      </c>
      <c r="Q89" s="64">
        <f t="shared" si="115"/>
        <v>6.2656752490625003</v>
      </c>
      <c r="R89" s="64">
        <f t="shared" si="116"/>
        <v>0</v>
      </c>
      <c r="S89" s="64">
        <f t="shared" si="117"/>
        <v>7.7444020102943165</v>
      </c>
      <c r="T89" s="63">
        <f t="shared" si="145"/>
        <v>0.65973338746755716</v>
      </c>
      <c r="U89" s="63">
        <f t="shared" si="118"/>
        <v>1.6</v>
      </c>
      <c r="V89" s="63">
        <f t="shared" si="146"/>
        <v>2.2597333874675574</v>
      </c>
      <c r="W89" s="64">
        <f t="shared" si="147"/>
        <v>0.82810778105910876</v>
      </c>
      <c r="X89" s="63">
        <f t="shared" si="119"/>
        <v>4.8003374793544858E-3</v>
      </c>
      <c r="Y89" s="63">
        <f t="shared" si="148"/>
        <v>4.8003374793544858E-3</v>
      </c>
      <c r="Z89" s="64">
        <f t="shared" si="120"/>
        <v>3.3022222580628902</v>
      </c>
      <c r="AA89" s="74">
        <f t="shared" si="121"/>
        <v>1.0904671841645973E-2</v>
      </c>
      <c r="AB89" s="75">
        <f t="shared" si="149"/>
        <v>1.0904671841645973E-2</v>
      </c>
      <c r="AC89" s="63">
        <f t="shared" si="122"/>
        <v>6.7563721720681871</v>
      </c>
      <c r="AD89" s="63">
        <f t="shared" si="150"/>
        <v>0.43366136681122519</v>
      </c>
      <c r="AE89" s="63">
        <f t="shared" si="123"/>
        <v>0.466865024018079</v>
      </c>
      <c r="AF89" s="63">
        <f t="shared" si="124"/>
        <v>9.8623262502978246E-2</v>
      </c>
      <c r="AG89" s="63">
        <f t="shared" si="125"/>
        <v>3.8400000000000001E-3</v>
      </c>
      <c r="AH89" s="63">
        <f t="shared" si="126"/>
        <v>0</v>
      </c>
      <c r="AI89" s="63">
        <f t="shared" si="151"/>
        <v>3.1238095238095238E-2</v>
      </c>
      <c r="AJ89" s="63">
        <f t="shared" si="152"/>
        <v>0.60056638175915256</v>
      </c>
      <c r="AK89" s="63">
        <f t="shared" si="127"/>
        <v>3.7851284746430025</v>
      </c>
      <c r="AL89" s="63">
        <f t="shared" si="128"/>
        <v>0.136108376910756</v>
      </c>
      <c r="AM89" s="63">
        <f t="shared" si="129"/>
        <v>0.13921592326100685</v>
      </c>
      <c r="AN89" s="63">
        <f t="shared" si="130"/>
        <v>3.5812540199250009E-2</v>
      </c>
      <c r="AO89" s="63">
        <f t="shared" si="131"/>
        <v>198.93866080683375</v>
      </c>
      <c r="AP89" s="63">
        <f t="shared" si="153"/>
        <v>3.5812540199250009E-2</v>
      </c>
      <c r="AQ89" s="61">
        <f t="shared" si="132"/>
        <v>6.5600000000000006E-2</v>
      </c>
      <c r="AR89" s="61">
        <f t="shared" si="133"/>
        <v>7110400000</v>
      </c>
      <c r="AS89" s="61">
        <f t="shared" si="154"/>
        <v>6.5600000000000006E-2</v>
      </c>
      <c r="AT89" s="61">
        <f t="shared" si="155"/>
        <v>3.4361904761904767E-2</v>
      </c>
      <c r="AU89" s="63">
        <f t="shared" si="156"/>
        <v>0.20939036822216162</v>
      </c>
      <c r="AV89" s="63">
        <f t="shared" si="134"/>
        <v>0.1559369824923317</v>
      </c>
      <c r="AW89" s="63">
        <f t="shared" si="135"/>
        <v>1.9840000000000001E-3</v>
      </c>
      <c r="AX89" s="63">
        <f t="shared" si="136"/>
        <v>3.5200000000000002E-2</v>
      </c>
      <c r="AY89" s="63">
        <f t="shared" si="137"/>
        <v>3.7184000000000002E-2</v>
      </c>
      <c r="AZ89" s="63">
        <f t="shared" si="138"/>
        <v>3.2785161292622034</v>
      </c>
      <c r="BA89" s="64">
        <f t="shared" si="139"/>
        <v>92.4</v>
      </c>
      <c r="BB89" s="76">
        <f t="shared" si="157"/>
        <v>0.96573404080773051</v>
      </c>
      <c r="BC89" s="64">
        <f t="shared" si="158"/>
        <v>96.573404080773045</v>
      </c>
      <c r="BD89" s="63">
        <f t="shared" si="140"/>
        <v>2.2597333874675574</v>
      </c>
      <c r="BE89" s="63">
        <f t="shared" si="159"/>
        <v>0.80995674998131417</v>
      </c>
      <c r="BF89" s="63">
        <f t="shared" si="141"/>
        <v>0.60056638175915256</v>
      </c>
      <c r="BG89" s="63">
        <f t="shared" si="142"/>
        <v>0.20939036822216162</v>
      </c>
      <c r="BH89" s="63">
        <f t="shared" si="143"/>
        <v>0.1559369824923317</v>
      </c>
      <c r="BI89" s="63">
        <f t="shared" si="160"/>
        <v>3.7184000000000002E-2</v>
      </c>
      <c r="BJ89" s="63">
        <f t="shared" si="161"/>
        <v>1.0904671841645973E-2</v>
      </c>
      <c r="BK89" s="63">
        <f t="shared" si="162"/>
        <v>4.8003374793544858E-3</v>
      </c>
      <c r="BL89" s="63">
        <f t="shared" si="163"/>
        <v>3.2785161292622034</v>
      </c>
      <c r="BQ89" s="77"/>
      <c r="BR89" s="78"/>
    </row>
    <row r="90" spans="3:70" x14ac:dyDescent="0.2">
      <c r="C90" s="61">
        <v>78</v>
      </c>
      <c r="D90" s="61">
        <f t="shared" si="103"/>
        <v>25</v>
      </c>
      <c r="E90" s="61">
        <f t="shared" si="104"/>
        <v>25</v>
      </c>
      <c r="F90" s="61">
        <f t="shared" si="105"/>
        <v>25</v>
      </c>
      <c r="G90" s="73">
        <f t="shared" si="106"/>
        <v>16</v>
      </c>
      <c r="H90" s="64">
        <f t="shared" si="107"/>
        <v>1</v>
      </c>
      <c r="I90" s="63">
        <f t="shared" si="144"/>
        <v>7.8</v>
      </c>
      <c r="J90" s="65">
        <f t="shared" si="108"/>
        <v>9.4999999999999998E-3</v>
      </c>
      <c r="K90" s="65">
        <f t="shared" si="109"/>
        <v>9.4999999999999998E-3</v>
      </c>
      <c r="L90" s="65">
        <f t="shared" si="110"/>
        <v>1.0999999999999999E-2</v>
      </c>
      <c r="M90" s="65">
        <f t="shared" si="111"/>
        <v>2.6000000000000003E-3</v>
      </c>
      <c r="N90" s="63">
        <f t="shared" si="112"/>
        <v>0.76126125</v>
      </c>
      <c r="O90" s="64">
        <f t="shared" si="113"/>
        <v>2.8691936512500007</v>
      </c>
      <c r="P90" s="64">
        <f t="shared" si="114"/>
        <v>9.2345968256250011</v>
      </c>
      <c r="Q90" s="64">
        <f t="shared" si="115"/>
        <v>6.3654031743749995</v>
      </c>
      <c r="R90" s="64">
        <f t="shared" si="116"/>
        <v>0</v>
      </c>
      <c r="S90" s="64">
        <f t="shared" si="117"/>
        <v>7.8438525409412883</v>
      </c>
      <c r="T90" s="63">
        <f t="shared" si="145"/>
        <v>0.67678624952434208</v>
      </c>
      <c r="U90" s="63">
        <f t="shared" si="118"/>
        <v>1.6</v>
      </c>
      <c r="V90" s="63">
        <f t="shared" si="146"/>
        <v>2.2767862495243421</v>
      </c>
      <c r="W90" s="64">
        <f t="shared" si="147"/>
        <v>0.82826486345317663</v>
      </c>
      <c r="X90" s="63">
        <f t="shared" si="119"/>
        <v>4.8021587882177653E-3</v>
      </c>
      <c r="Y90" s="63">
        <f t="shared" si="148"/>
        <v>4.8021587882177653E-3</v>
      </c>
      <c r="Z90" s="64">
        <f t="shared" si="120"/>
        <v>3.3439343329337725</v>
      </c>
      <c r="AA90" s="74">
        <f t="shared" si="121"/>
        <v>1.1181896822973235E-2</v>
      </c>
      <c r="AB90" s="75">
        <f t="shared" si="149"/>
        <v>1.1181896822973235E-2</v>
      </c>
      <c r="AC90" s="63">
        <f t="shared" si="122"/>
        <v>6.8437838171565488</v>
      </c>
      <c r="AD90" s="63">
        <f t="shared" si="150"/>
        <v>0.44495508089175168</v>
      </c>
      <c r="AE90" s="63">
        <f t="shared" si="123"/>
        <v>0.47998052361656457</v>
      </c>
      <c r="AF90" s="63">
        <f t="shared" si="124"/>
        <v>9.9828940727823084E-2</v>
      </c>
      <c r="AG90" s="63">
        <f t="shared" si="125"/>
        <v>3.8400000000000001E-3</v>
      </c>
      <c r="AH90" s="63">
        <f t="shared" si="126"/>
        <v>0</v>
      </c>
      <c r="AI90" s="63">
        <f t="shared" si="151"/>
        <v>3.1238095238095238E-2</v>
      </c>
      <c r="AJ90" s="63">
        <f t="shared" si="152"/>
        <v>0.61488755958248298</v>
      </c>
      <c r="AK90" s="63">
        <f t="shared" si="127"/>
        <v>3.8325769069983751</v>
      </c>
      <c r="AL90" s="63">
        <f t="shared" si="128"/>
        <v>0.13954213460654369</v>
      </c>
      <c r="AM90" s="63">
        <f t="shared" si="129"/>
        <v>0.14281033631086595</v>
      </c>
      <c r="AN90" s="63">
        <f t="shared" si="130"/>
        <v>3.6292322539500002E-2</v>
      </c>
      <c r="AO90" s="63">
        <f t="shared" si="131"/>
        <v>201.60385170692251</v>
      </c>
      <c r="AP90" s="63">
        <f t="shared" si="153"/>
        <v>3.6292322539500002E-2</v>
      </c>
      <c r="AQ90" s="61">
        <f t="shared" si="132"/>
        <v>6.5600000000000006E-2</v>
      </c>
      <c r="AR90" s="61">
        <f t="shared" si="133"/>
        <v>7110400000</v>
      </c>
      <c r="AS90" s="61">
        <f t="shared" si="154"/>
        <v>6.5600000000000006E-2</v>
      </c>
      <c r="AT90" s="61">
        <f t="shared" si="155"/>
        <v>3.4361904761904767E-2</v>
      </c>
      <c r="AU90" s="63">
        <f t="shared" si="156"/>
        <v>0.21346456361227073</v>
      </c>
      <c r="AV90" s="63">
        <f t="shared" si="134"/>
        <v>0.15996765897848089</v>
      </c>
      <c r="AW90" s="63">
        <f t="shared" si="135"/>
        <v>1.9840000000000001E-3</v>
      </c>
      <c r="AX90" s="63">
        <f t="shared" si="136"/>
        <v>3.5200000000000002E-2</v>
      </c>
      <c r="AY90" s="63">
        <f t="shared" si="137"/>
        <v>3.7184000000000002E-2</v>
      </c>
      <c r="AZ90" s="63">
        <f t="shared" si="138"/>
        <v>3.3182740873087679</v>
      </c>
      <c r="BA90" s="64">
        <f t="shared" si="139"/>
        <v>93.6</v>
      </c>
      <c r="BB90" s="76">
        <f t="shared" si="157"/>
        <v>0.96576214219085765</v>
      </c>
      <c r="BC90" s="64">
        <f t="shared" si="158"/>
        <v>96.57621421908577</v>
      </c>
      <c r="BD90" s="63">
        <f t="shared" si="140"/>
        <v>2.2767862495243421</v>
      </c>
      <c r="BE90" s="63">
        <f t="shared" si="159"/>
        <v>0.82835212319475371</v>
      </c>
      <c r="BF90" s="63">
        <f t="shared" si="141"/>
        <v>0.61488755958248298</v>
      </c>
      <c r="BG90" s="63">
        <f t="shared" si="142"/>
        <v>0.21346456361227073</v>
      </c>
      <c r="BH90" s="63">
        <f t="shared" si="143"/>
        <v>0.15996765897848089</v>
      </c>
      <c r="BI90" s="63">
        <f t="shared" si="160"/>
        <v>3.7184000000000002E-2</v>
      </c>
      <c r="BJ90" s="63">
        <f t="shared" si="161"/>
        <v>1.1181896822973235E-2</v>
      </c>
      <c r="BK90" s="63">
        <f t="shared" si="162"/>
        <v>4.8021587882177653E-3</v>
      </c>
      <c r="BL90" s="63">
        <f t="shared" si="163"/>
        <v>3.3182740873087679</v>
      </c>
      <c r="BQ90" s="77"/>
      <c r="BR90" s="78"/>
    </row>
    <row r="91" spans="3:70" x14ac:dyDescent="0.2">
      <c r="C91" s="61">
        <v>79</v>
      </c>
      <c r="D91" s="61">
        <f t="shared" si="103"/>
        <v>25</v>
      </c>
      <c r="E91" s="61">
        <f t="shared" si="104"/>
        <v>25</v>
      </c>
      <c r="F91" s="61">
        <f t="shared" si="105"/>
        <v>25</v>
      </c>
      <c r="G91" s="73">
        <f t="shared" si="106"/>
        <v>16</v>
      </c>
      <c r="H91" s="64">
        <f t="shared" si="107"/>
        <v>1</v>
      </c>
      <c r="I91" s="63">
        <f t="shared" si="144"/>
        <v>7.9</v>
      </c>
      <c r="J91" s="65">
        <f t="shared" si="108"/>
        <v>9.4999999999999998E-3</v>
      </c>
      <c r="K91" s="65">
        <f t="shared" si="109"/>
        <v>9.4999999999999998E-3</v>
      </c>
      <c r="L91" s="65">
        <f t="shared" si="110"/>
        <v>1.0999999999999999E-2</v>
      </c>
      <c r="M91" s="65">
        <f t="shared" si="111"/>
        <v>2.6000000000000003E-3</v>
      </c>
      <c r="N91" s="63">
        <f t="shared" si="112"/>
        <v>0.76140562499999997</v>
      </c>
      <c r="O91" s="64">
        <f t="shared" si="113"/>
        <v>2.8697378006250003</v>
      </c>
      <c r="P91" s="64">
        <f t="shared" si="114"/>
        <v>9.3348689003125003</v>
      </c>
      <c r="Q91" s="64">
        <f t="shared" si="115"/>
        <v>6.4651310996875004</v>
      </c>
      <c r="R91" s="64">
        <f t="shared" si="116"/>
        <v>0</v>
      </c>
      <c r="S91" s="64">
        <f t="shared" si="117"/>
        <v>7.9433168714562399</v>
      </c>
      <c r="T91" s="63">
        <f t="shared" si="145"/>
        <v>0.69405911212397475</v>
      </c>
      <c r="U91" s="63">
        <f t="shared" si="118"/>
        <v>1.6</v>
      </c>
      <c r="V91" s="63">
        <f t="shared" si="146"/>
        <v>2.2940591121239748</v>
      </c>
      <c r="W91" s="64">
        <f t="shared" si="147"/>
        <v>0.82842194584724427</v>
      </c>
      <c r="X91" s="63">
        <f t="shared" si="119"/>
        <v>4.8039804425293415E-3</v>
      </c>
      <c r="Y91" s="63">
        <f t="shared" si="148"/>
        <v>4.8039804425293415E-3</v>
      </c>
      <c r="Z91" s="64">
        <f t="shared" si="120"/>
        <v>3.3856341635804301</v>
      </c>
      <c r="AA91" s="74">
        <f t="shared" si="121"/>
        <v>1.1462518689602959E-2</v>
      </c>
      <c r="AB91" s="75">
        <f t="shared" si="149"/>
        <v>1.1462518689602959E-2</v>
      </c>
      <c r="AC91" s="63">
        <f t="shared" si="122"/>
        <v>6.9312238985733652</v>
      </c>
      <c r="AD91" s="63">
        <f t="shared" si="150"/>
        <v>0.45639771495546827</v>
      </c>
      <c r="AE91" s="63">
        <f t="shared" si="123"/>
        <v>0.49332252365040635</v>
      </c>
      <c r="AF91" s="63">
        <f t="shared" si="124"/>
        <v>0.10103461895266791</v>
      </c>
      <c r="AG91" s="63">
        <f t="shared" si="125"/>
        <v>3.8400000000000001E-3</v>
      </c>
      <c r="AH91" s="63">
        <f t="shared" si="126"/>
        <v>0</v>
      </c>
      <c r="AI91" s="63">
        <f t="shared" si="151"/>
        <v>3.1238095238095238E-2</v>
      </c>
      <c r="AJ91" s="63">
        <f t="shared" si="152"/>
        <v>0.6294352378411695</v>
      </c>
      <c r="AK91" s="63">
        <f t="shared" si="127"/>
        <v>3.8800023438403737</v>
      </c>
      <c r="AL91" s="63">
        <f t="shared" si="128"/>
        <v>0.14301697278796455</v>
      </c>
      <c r="AM91" s="63">
        <f t="shared" si="129"/>
        <v>0.14645197209198188</v>
      </c>
      <c r="AN91" s="63">
        <f t="shared" si="130"/>
        <v>3.6772104879750009E-2</v>
      </c>
      <c r="AO91" s="63">
        <f t="shared" si="131"/>
        <v>204.26904260701127</v>
      </c>
      <c r="AP91" s="63">
        <f t="shared" si="153"/>
        <v>3.6772104879750009E-2</v>
      </c>
      <c r="AQ91" s="61">
        <f t="shared" si="132"/>
        <v>6.5600000000000006E-2</v>
      </c>
      <c r="AR91" s="61">
        <f t="shared" si="133"/>
        <v>7110400000</v>
      </c>
      <c r="AS91" s="61">
        <f t="shared" si="154"/>
        <v>6.5600000000000006E-2</v>
      </c>
      <c r="AT91" s="61">
        <f t="shared" si="155"/>
        <v>3.4361904761904767E-2</v>
      </c>
      <c r="AU91" s="63">
        <f t="shared" si="156"/>
        <v>0.21758598173363664</v>
      </c>
      <c r="AV91" s="63">
        <f t="shared" si="134"/>
        <v>0.16405033559293952</v>
      </c>
      <c r="AW91" s="63">
        <f t="shared" si="135"/>
        <v>1.9840000000000001E-3</v>
      </c>
      <c r="AX91" s="63">
        <f t="shared" si="136"/>
        <v>3.5200000000000002E-2</v>
      </c>
      <c r="AY91" s="63">
        <f t="shared" si="137"/>
        <v>3.7184000000000002E-2</v>
      </c>
      <c r="AZ91" s="63">
        <f t="shared" si="138"/>
        <v>3.358581166423853</v>
      </c>
      <c r="BA91" s="64">
        <f t="shared" si="139"/>
        <v>94.800000000000011</v>
      </c>
      <c r="BB91" s="76">
        <f t="shared" si="157"/>
        <v>0.96578413087767123</v>
      </c>
      <c r="BC91" s="64">
        <f t="shared" si="158"/>
        <v>96.578413087767117</v>
      </c>
      <c r="BD91" s="63">
        <f t="shared" si="140"/>
        <v>2.2940591121239748</v>
      </c>
      <c r="BE91" s="63">
        <f t="shared" si="159"/>
        <v>0.84702121957480614</v>
      </c>
      <c r="BF91" s="63">
        <f t="shared" si="141"/>
        <v>0.6294352378411695</v>
      </c>
      <c r="BG91" s="63">
        <f t="shared" si="142"/>
        <v>0.21758598173363664</v>
      </c>
      <c r="BH91" s="63">
        <f t="shared" si="143"/>
        <v>0.16405033559293952</v>
      </c>
      <c r="BI91" s="63">
        <f t="shared" si="160"/>
        <v>3.7184000000000002E-2</v>
      </c>
      <c r="BJ91" s="63">
        <f t="shared" si="161"/>
        <v>1.1462518689602959E-2</v>
      </c>
      <c r="BK91" s="63">
        <f t="shared" si="162"/>
        <v>4.8039804425293415E-3</v>
      </c>
      <c r="BL91" s="63">
        <f t="shared" si="163"/>
        <v>3.358581166423853</v>
      </c>
      <c r="BQ91" s="77"/>
      <c r="BR91" s="78"/>
    </row>
    <row r="92" spans="3:70" s="81" customFormat="1" x14ac:dyDescent="0.2">
      <c r="C92" s="81">
        <v>80</v>
      </c>
      <c r="D92" s="61">
        <f t="shared" si="103"/>
        <v>25</v>
      </c>
      <c r="E92" s="61">
        <f t="shared" si="104"/>
        <v>25</v>
      </c>
      <c r="F92" s="61">
        <f t="shared" si="105"/>
        <v>25</v>
      </c>
      <c r="G92" s="89">
        <f t="shared" si="106"/>
        <v>16</v>
      </c>
      <c r="H92" s="85">
        <f t="shared" si="107"/>
        <v>1</v>
      </c>
      <c r="I92" s="86">
        <f t="shared" si="144"/>
        <v>8</v>
      </c>
      <c r="J92" s="90">
        <f t="shared" si="108"/>
        <v>9.4999999999999998E-3</v>
      </c>
      <c r="K92" s="90">
        <f t="shared" si="109"/>
        <v>9.4999999999999998E-3</v>
      </c>
      <c r="L92" s="90">
        <f t="shared" si="110"/>
        <v>1.0999999999999999E-2</v>
      </c>
      <c r="M92" s="90">
        <f t="shared" si="111"/>
        <v>2.6000000000000003E-3</v>
      </c>
      <c r="N92" s="86">
        <f t="shared" si="112"/>
        <v>0.76154999999999995</v>
      </c>
      <c r="O92" s="85">
        <f t="shared" si="113"/>
        <v>2.8702819500000003</v>
      </c>
      <c r="P92" s="85">
        <f t="shared" si="114"/>
        <v>9.4351409749999995</v>
      </c>
      <c r="Q92" s="85">
        <f t="shared" si="115"/>
        <v>6.5648590249999996</v>
      </c>
      <c r="R92" s="85">
        <f t="shared" si="116"/>
        <v>0</v>
      </c>
      <c r="S92" s="85">
        <f t="shared" si="117"/>
        <v>8.0427944898549608</v>
      </c>
      <c r="T92" s="86">
        <f t="shared" si="145"/>
        <v>0.71155197526645453</v>
      </c>
      <c r="U92" s="86">
        <f t="shared" si="118"/>
        <v>1.6</v>
      </c>
      <c r="V92" s="86">
        <f t="shared" si="146"/>
        <v>2.3115519752664548</v>
      </c>
      <c r="W92" s="85">
        <f t="shared" si="147"/>
        <v>0.82857902824131213</v>
      </c>
      <c r="X92" s="86">
        <f t="shared" si="119"/>
        <v>4.8058024422892196E-3</v>
      </c>
      <c r="Y92" s="86">
        <f t="shared" si="148"/>
        <v>4.8058024422892196E-3</v>
      </c>
      <c r="Z92" s="85">
        <f t="shared" si="120"/>
        <v>3.4273215077575987</v>
      </c>
      <c r="AA92" s="88">
        <f t="shared" si="121"/>
        <v>1.174653271753782E-2</v>
      </c>
      <c r="AB92" s="87">
        <f t="shared" si="149"/>
        <v>1.174653271753782E-2</v>
      </c>
      <c r="AC92" s="86">
        <f t="shared" si="122"/>
        <v>7.0186919706281996</v>
      </c>
      <c r="AD92" s="86">
        <f t="shared" si="150"/>
        <v>0.46798935129632718</v>
      </c>
      <c r="AE92" s="86">
        <f t="shared" si="123"/>
        <v>0.50689356062921187</v>
      </c>
      <c r="AF92" s="86">
        <f t="shared" si="124"/>
        <v>0.10224029717751272</v>
      </c>
      <c r="AG92" s="86">
        <f t="shared" si="125"/>
        <v>3.8400000000000001E-3</v>
      </c>
      <c r="AH92" s="86">
        <f t="shared" si="126"/>
        <v>0</v>
      </c>
      <c r="AI92" s="63">
        <f t="shared" si="151"/>
        <v>3.1238095238095238E-2</v>
      </c>
      <c r="AJ92" s="63">
        <f t="shared" si="152"/>
        <v>0.64421195304481982</v>
      </c>
      <c r="AK92" s="86">
        <f t="shared" si="127"/>
        <v>3.9274045153867911</v>
      </c>
      <c r="AL92" s="86">
        <f t="shared" si="128"/>
        <v>0.14653280916106529</v>
      </c>
      <c r="AM92" s="86">
        <f t="shared" si="129"/>
        <v>0.15014090234430535</v>
      </c>
      <c r="AN92" s="86">
        <f t="shared" si="130"/>
        <v>3.7251887220000002E-2</v>
      </c>
      <c r="AO92" s="86">
        <f t="shared" si="131"/>
        <v>206.93423350709998</v>
      </c>
      <c r="AP92" s="86">
        <f t="shared" si="153"/>
        <v>3.7251887220000002E-2</v>
      </c>
      <c r="AQ92" s="81">
        <f t="shared" si="132"/>
        <v>6.5600000000000006E-2</v>
      </c>
      <c r="AR92" s="81">
        <f t="shared" si="133"/>
        <v>7110400000</v>
      </c>
      <c r="AS92" s="81">
        <f t="shared" si="154"/>
        <v>6.5600000000000006E-2</v>
      </c>
      <c r="AT92" s="61">
        <f t="shared" si="155"/>
        <v>3.4361904761904767E-2</v>
      </c>
      <c r="AU92" s="63">
        <f t="shared" si="156"/>
        <v>0.22175469432621012</v>
      </c>
      <c r="AV92" s="86">
        <f t="shared" si="134"/>
        <v>0.16818501233570746</v>
      </c>
      <c r="AW92" s="86">
        <f t="shared" si="135"/>
        <v>1.9840000000000001E-3</v>
      </c>
      <c r="AX92" s="86">
        <f t="shared" si="136"/>
        <v>3.5200000000000002E-2</v>
      </c>
      <c r="AY92" s="86">
        <f t="shared" si="137"/>
        <v>3.7184000000000002E-2</v>
      </c>
      <c r="AZ92" s="86">
        <f t="shared" si="138"/>
        <v>3.3994399701330189</v>
      </c>
      <c r="BA92" s="85">
        <f t="shared" si="139"/>
        <v>96</v>
      </c>
      <c r="BB92" s="91">
        <f t="shared" si="157"/>
        <v>0.96580021002981042</v>
      </c>
      <c r="BC92" s="85">
        <f t="shared" si="158"/>
        <v>96.580021002981042</v>
      </c>
      <c r="BD92" s="86">
        <f t="shared" si="140"/>
        <v>2.3115519752664548</v>
      </c>
      <c r="BE92" s="86">
        <f t="shared" si="159"/>
        <v>0.86596664737102991</v>
      </c>
      <c r="BF92" s="86">
        <f t="shared" si="141"/>
        <v>0.64421195304481982</v>
      </c>
      <c r="BG92" s="86">
        <f t="shared" si="142"/>
        <v>0.22175469432621012</v>
      </c>
      <c r="BH92" s="86">
        <f t="shared" si="143"/>
        <v>0.16818501233570746</v>
      </c>
      <c r="BI92" s="86">
        <f t="shared" si="160"/>
        <v>3.7184000000000002E-2</v>
      </c>
      <c r="BJ92" s="86">
        <f t="shared" si="161"/>
        <v>1.174653271753782E-2</v>
      </c>
      <c r="BK92" s="86">
        <f t="shared" si="162"/>
        <v>4.8058024422892196E-3</v>
      </c>
      <c r="BL92" s="86">
        <f t="shared" si="163"/>
        <v>3.3994399701330189</v>
      </c>
      <c r="BQ92" s="92"/>
      <c r="BR92" s="93"/>
    </row>
    <row r="93" spans="3:70" x14ac:dyDescent="0.2">
      <c r="C93" s="61">
        <v>81</v>
      </c>
      <c r="D93" s="61">
        <f t="shared" si="103"/>
        <v>25</v>
      </c>
      <c r="E93" s="61">
        <f t="shared" si="104"/>
        <v>25</v>
      </c>
      <c r="F93" s="61">
        <f t="shared" si="105"/>
        <v>25</v>
      </c>
      <c r="G93" s="73">
        <f t="shared" si="106"/>
        <v>16</v>
      </c>
      <c r="H93" s="64">
        <f t="shared" si="107"/>
        <v>1</v>
      </c>
      <c r="I93" s="63">
        <f t="shared" si="144"/>
        <v>8.1</v>
      </c>
      <c r="J93" s="65">
        <f t="shared" si="108"/>
        <v>9.4999999999999998E-3</v>
      </c>
      <c r="K93" s="65">
        <f t="shared" si="109"/>
        <v>9.4999999999999998E-3</v>
      </c>
      <c r="L93" s="65">
        <f t="shared" si="110"/>
        <v>1.0999999999999999E-2</v>
      </c>
      <c r="M93" s="65">
        <f t="shared" si="111"/>
        <v>2.6000000000000003E-3</v>
      </c>
      <c r="N93" s="63">
        <f t="shared" si="112"/>
        <v>0.76169437500000003</v>
      </c>
      <c r="O93" s="64">
        <f t="shared" si="113"/>
        <v>2.8708260993750008</v>
      </c>
      <c r="P93" s="64">
        <f t="shared" si="114"/>
        <v>9.5354130496875005</v>
      </c>
      <c r="Q93" s="64">
        <f t="shared" si="115"/>
        <v>6.6645869503124988</v>
      </c>
      <c r="R93" s="64">
        <f t="shared" si="116"/>
        <v>0</v>
      </c>
      <c r="S93" s="64">
        <f t="shared" si="117"/>
        <v>8.1422849091069676</v>
      </c>
      <c r="T93" s="63">
        <f t="shared" si="145"/>
        <v>0.72926483895178162</v>
      </c>
      <c r="U93" s="63">
        <f t="shared" si="118"/>
        <v>1.6</v>
      </c>
      <c r="V93" s="63">
        <f t="shared" si="146"/>
        <v>2.3292648389517816</v>
      </c>
      <c r="W93" s="64">
        <f t="shared" si="147"/>
        <v>0.82873611063538011</v>
      </c>
      <c r="X93" s="63">
        <f t="shared" si="119"/>
        <v>4.8076247874973988E-3</v>
      </c>
      <c r="Y93" s="63">
        <f t="shared" si="148"/>
        <v>4.8076247874973988E-3</v>
      </c>
      <c r="Z93" s="64">
        <f t="shared" si="120"/>
        <v>3.4689961340102227</v>
      </c>
      <c r="AA93" s="74">
        <f t="shared" si="121"/>
        <v>1.2033934177777872E-2</v>
      </c>
      <c r="AB93" s="75">
        <f t="shared" si="149"/>
        <v>1.2033934177777872E-2</v>
      </c>
      <c r="AC93" s="63">
        <f t="shared" si="122"/>
        <v>7.1061876092398455</v>
      </c>
      <c r="AD93" s="63">
        <f t="shared" si="150"/>
        <v>0.47973007220828212</v>
      </c>
      <c r="AE93" s="63">
        <f t="shared" si="123"/>
        <v>0.52069622910019187</v>
      </c>
      <c r="AF93" s="63">
        <f t="shared" si="124"/>
        <v>0.10344597540235757</v>
      </c>
      <c r="AG93" s="63">
        <f t="shared" si="125"/>
        <v>3.8400000000000001E-3</v>
      </c>
      <c r="AH93" s="63">
        <f t="shared" si="126"/>
        <v>0</v>
      </c>
      <c r="AI93" s="63">
        <f t="shared" si="151"/>
        <v>3.1238095238095238E-2</v>
      </c>
      <c r="AJ93" s="63">
        <f t="shared" si="152"/>
        <v>0.65922029974064467</v>
      </c>
      <c r="AK93" s="63">
        <f t="shared" si="127"/>
        <v>3.974783164319426</v>
      </c>
      <c r="AL93" s="63">
        <f t="shared" si="128"/>
        <v>0.15008956143189292</v>
      </c>
      <c r="AM93" s="63">
        <f t="shared" si="129"/>
        <v>0.15387720072968211</v>
      </c>
      <c r="AN93" s="63">
        <f t="shared" si="130"/>
        <v>3.7731669560250002E-2</v>
      </c>
      <c r="AO93" s="63">
        <f t="shared" si="131"/>
        <v>209.59942440718874</v>
      </c>
      <c r="AP93" s="63">
        <f t="shared" si="153"/>
        <v>3.7731669560250002E-2</v>
      </c>
      <c r="AQ93" s="61">
        <f t="shared" si="132"/>
        <v>6.5600000000000006E-2</v>
      </c>
      <c r="AR93" s="61">
        <f t="shared" si="133"/>
        <v>7110400000</v>
      </c>
      <c r="AS93" s="61">
        <f t="shared" si="154"/>
        <v>6.5600000000000006E-2</v>
      </c>
      <c r="AT93" s="61">
        <f t="shared" si="155"/>
        <v>3.4361904761904767E-2</v>
      </c>
      <c r="AU93" s="63">
        <f t="shared" si="156"/>
        <v>0.22597077505183688</v>
      </c>
      <c r="AV93" s="63">
        <f t="shared" si="134"/>
        <v>0.17237168920678478</v>
      </c>
      <c r="AW93" s="63">
        <f t="shared" si="135"/>
        <v>1.9840000000000001E-3</v>
      </c>
      <c r="AX93" s="63">
        <f t="shared" si="136"/>
        <v>3.5200000000000002E-2</v>
      </c>
      <c r="AY93" s="63">
        <f t="shared" si="137"/>
        <v>3.7184000000000002E-2</v>
      </c>
      <c r="AZ93" s="63">
        <f t="shared" si="138"/>
        <v>3.4408531619163227</v>
      </c>
      <c r="BA93" s="64">
        <f t="shared" si="139"/>
        <v>97.199999999999989</v>
      </c>
      <c r="BB93" s="76">
        <f t="shared" si="157"/>
        <v>0.96581057240859736</v>
      </c>
      <c r="BC93" s="64">
        <f t="shared" si="158"/>
        <v>96.581057240859735</v>
      </c>
      <c r="BD93" s="63">
        <f t="shared" si="140"/>
        <v>2.3292648389517816</v>
      </c>
      <c r="BE93" s="63">
        <f t="shared" si="159"/>
        <v>0.8851910747924816</v>
      </c>
      <c r="BF93" s="63">
        <f t="shared" si="141"/>
        <v>0.65922029974064467</v>
      </c>
      <c r="BG93" s="63">
        <f t="shared" si="142"/>
        <v>0.22597077505183688</v>
      </c>
      <c r="BH93" s="63">
        <f t="shared" si="143"/>
        <v>0.17237168920678478</v>
      </c>
      <c r="BI93" s="63">
        <f t="shared" si="160"/>
        <v>3.7184000000000002E-2</v>
      </c>
      <c r="BJ93" s="63">
        <f t="shared" si="161"/>
        <v>1.2033934177777872E-2</v>
      </c>
      <c r="BK93" s="63">
        <f t="shared" si="162"/>
        <v>4.8076247874973988E-3</v>
      </c>
      <c r="BL93" s="63">
        <f t="shared" si="163"/>
        <v>3.4408531619163227</v>
      </c>
      <c r="BQ93" s="77"/>
      <c r="BR93" s="78"/>
    </row>
    <row r="94" spans="3:70" x14ac:dyDescent="0.2">
      <c r="C94" s="61">
        <v>82</v>
      </c>
      <c r="D94" s="61">
        <f t="shared" si="103"/>
        <v>25</v>
      </c>
      <c r="E94" s="61">
        <f t="shared" si="104"/>
        <v>25</v>
      </c>
      <c r="F94" s="61">
        <f t="shared" si="105"/>
        <v>25</v>
      </c>
      <c r="G94" s="73">
        <f t="shared" si="106"/>
        <v>16</v>
      </c>
      <c r="H94" s="64">
        <f t="shared" si="107"/>
        <v>1</v>
      </c>
      <c r="I94" s="63">
        <f t="shared" si="144"/>
        <v>8.1999999999999993</v>
      </c>
      <c r="J94" s="65">
        <f t="shared" si="108"/>
        <v>9.4999999999999998E-3</v>
      </c>
      <c r="K94" s="65">
        <f t="shared" si="109"/>
        <v>9.4999999999999998E-3</v>
      </c>
      <c r="L94" s="65">
        <f t="shared" si="110"/>
        <v>1.0999999999999999E-2</v>
      </c>
      <c r="M94" s="65">
        <f t="shared" si="111"/>
        <v>2.6000000000000003E-3</v>
      </c>
      <c r="N94" s="63">
        <f t="shared" si="112"/>
        <v>0.76183875000000001</v>
      </c>
      <c r="O94" s="64">
        <f t="shared" si="113"/>
        <v>2.8713702487500004</v>
      </c>
      <c r="P94" s="64">
        <f t="shared" si="114"/>
        <v>9.6356851243749997</v>
      </c>
      <c r="Q94" s="64">
        <f t="shared" si="115"/>
        <v>6.7643148756249989</v>
      </c>
      <c r="R94" s="64">
        <f t="shared" si="116"/>
        <v>0</v>
      </c>
      <c r="S94" s="64">
        <f t="shared" si="117"/>
        <v>8.2417876656372648</v>
      </c>
      <c r="T94" s="63">
        <f t="shared" si="145"/>
        <v>0.74719770317995604</v>
      </c>
      <c r="U94" s="63">
        <f t="shared" si="118"/>
        <v>1.6</v>
      </c>
      <c r="V94" s="63">
        <f t="shared" si="146"/>
        <v>2.347197703179956</v>
      </c>
      <c r="W94" s="64">
        <f t="shared" si="147"/>
        <v>0.82889319302944775</v>
      </c>
      <c r="X94" s="63">
        <f t="shared" si="119"/>
        <v>4.8094474781538729E-3</v>
      </c>
      <c r="Y94" s="63">
        <f t="shared" si="148"/>
        <v>4.8094474781538729E-3</v>
      </c>
      <c r="Z94" s="64">
        <f t="shared" si="120"/>
        <v>3.5106578210245147</v>
      </c>
      <c r="AA94" s="74">
        <f t="shared" si="121"/>
        <v>1.2324718336320593E-2</v>
      </c>
      <c r="AB94" s="75">
        <f t="shared" si="149"/>
        <v>1.2324718336320593E-2</v>
      </c>
      <c r="AC94" s="63">
        <f t="shared" si="122"/>
        <v>7.1937104106389596</v>
      </c>
      <c r="AD94" s="63">
        <f t="shared" si="150"/>
        <v>0.49161995998528579</v>
      </c>
      <c r="AE94" s="63">
        <f t="shared" si="123"/>
        <v>0.53473318297181249</v>
      </c>
      <c r="AF94" s="63">
        <f t="shared" si="124"/>
        <v>0.10465165362720238</v>
      </c>
      <c r="AG94" s="63">
        <f t="shared" si="125"/>
        <v>3.8400000000000001E-3</v>
      </c>
      <c r="AH94" s="63">
        <f t="shared" si="126"/>
        <v>0</v>
      </c>
      <c r="AI94" s="63">
        <f t="shared" si="151"/>
        <v>3.1238095238095238E-2</v>
      </c>
      <c r="AJ94" s="63">
        <f t="shared" si="152"/>
        <v>0.67446293183711015</v>
      </c>
      <c r="AK94" s="63">
        <f t="shared" si="127"/>
        <v>4.0221380450346569</v>
      </c>
      <c r="AL94" s="63">
        <f t="shared" si="128"/>
        <v>0.15368714730649452</v>
      </c>
      <c r="AM94" s="63">
        <f t="shared" si="129"/>
        <v>0.15766094283605922</v>
      </c>
      <c r="AN94" s="63">
        <f t="shared" si="130"/>
        <v>3.8211451900500001E-2</v>
      </c>
      <c r="AO94" s="63">
        <f t="shared" si="131"/>
        <v>212.2646153072775</v>
      </c>
      <c r="AP94" s="63">
        <f t="shared" si="153"/>
        <v>3.8211451900500001E-2</v>
      </c>
      <c r="AQ94" s="61">
        <f t="shared" si="132"/>
        <v>6.5600000000000006E-2</v>
      </c>
      <c r="AR94" s="61">
        <f t="shared" si="133"/>
        <v>7110400000</v>
      </c>
      <c r="AS94" s="61">
        <f t="shared" si="154"/>
        <v>6.5600000000000006E-2</v>
      </c>
      <c r="AT94" s="61">
        <f t="shared" si="155"/>
        <v>3.4361904761904767E-2</v>
      </c>
      <c r="AU94" s="63">
        <f t="shared" si="156"/>
        <v>0.23023429949846397</v>
      </c>
      <c r="AV94" s="63">
        <f t="shared" si="134"/>
        <v>0.17661036620617146</v>
      </c>
      <c r="AW94" s="63">
        <f t="shared" si="135"/>
        <v>1.9840000000000001E-3</v>
      </c>
      <c r="AX94" s="63">
        <f t="shared" si="136"/>
        <v>3.5200000000000002E-2</v>
      </c>
      <c r="AY94" s="63">
        <f t="shared" si="137"/>
        <v>3.7184000000000002E-2</v>
      </c>
      <c r="AZ94" s="63">
        <f t="shared" si="138"/>
        <v>3.4828234665361761</v>
      </c>
      <c r="BA94" s="64">
        <f t="shared" si="139"/>
        <v>98.399999999999991</v>
      </c>
      <c r="BB94" s="76">
        <f t="shared" si="157"/>
        <v>0.96581540098680008</v>
      </c>
      <c r="BC94" s="64">
        <f t="shared" si="158"/>
        <v>96.581540098680009</v>
      </c>
      <c r="BD94" s="63">
        <f t="shared" si="140"/>
        <v>2.347197703179956</v>
      </c>
      <c r="BE94" s="63">
        <f t="shared" si="159"/>
        <v>0.90469723133557411</v>
      </c>
      <c r="BF94" s="63">
        <f t="shared" si="141"/>
        <v>0.67446293183711015</v>
      </c>
      <c r="BG94" s="63">
        <f t="shared" si="142"/>
        <v>0.23023429949846397</v>
      </c>
      <c r="BH94" s="63">
        <f t="shared" si="143"/>
        <v>0.17661036620617146</v>
      </c>
      <c r="BI94" s="63">
        <f t="shared" si="160"/>
        <v>3.7184000000000002E-2</v>
      </c>
      <c r="BJ94" s="63">
        <f t="shared" si="161"/>
        <v>1.2324718336320593E-2</v>
      </c>
      <c r="BK94" s="63">
        <f t="shared" si="162"/>
        <v>4.8094474781538729E-3</v>
      </c>
      <c r="BL94" s="63">
        <f t="shared" si="163"/>
        <v>3.4828234665361761</v>
      </c>
      <c r="BQ94" s="77"/>
      <c r="BR94" s="78"/>
    </row>
    <row r="95" spans="3:70" x14ac:dyDescent="0.2">
      <c r="C95" s="61">
        <v>83</v>
      </c>
      <c r="D95" s="61">
        <f t="shared" si="103"/>
        <v>25</v>
      </c>
      <c r="E95" s="61">
        <f t="shared" si="104"/>
        <v>25</v>
      </c>
      <c r="F95" s="61">
        <f t="shared" si="105"/>
        <v>25</v>
      </c>
      <c r="G95" s="73">
        <f t="shared" si="106"/>
        <v>16</v>
      </c>
      <c r="H95" s="64">
        <f t="shared" si="107"/>
        <v>1</v>
      </c>
      <c r="I95" s="63">
        <f t="shared" si="144"/>
        <v>8.3000000000000007</v>
      </c>
      <c r="J95" s="65">
        <f t="shared" si="108"/>
        <v>9.4999999999999998E-3</v>
      </c>
      <c r="K95" s="65">
        <f t="shared" si="109"/>
        <v>9.4999999999999998E-3</v>
      </c>
      <c r="L95" s="65">
        <f t="shared" si="110"/>
        <v>1.0999999999999999E-2</v>
      </c>
      <c r="M95" s="65">
        <f t="shared" si="111"/>
        <v>2.6000000000000003E-3</v>
      </c>
      <c r="N95" s="63">
        <f t="shared" si="112"/>
        <v>0.76198312499999998</v>
      </c>
      <c r="O95" s="64">
        <f t="shared" si="113"/>
        <v>2.8719143981250004</v>
      </c>
      <c r="P95" s="64">
        <f t="shared" si="114"/>
        <v>9.7359571990625007</v>
      </c>
      <c r="Q95" s="64">
        <f t="shared" si="115"/>
        <v>6.8640428009375007</v>
      </c>
      <c r="R95" s="64">
        <f t="shared" si="116"/>
        <v>0</v>
      </c>
      <c r="S95" s="64">
        <f t="shared" si="117"/>
        <v>8.341302317934522</v>
      </c>
      <c r="T95" s="63">
        <f t="shared" si="145"/>
        <v>0.765350567950978</v>
      </c>
      <c r="U95" s="63">
        <f t="shared" si="118"/>
        <v>1.6</v>
      </c>
      <c r="V95" s="63">
        <f t="shared" si="146"/>
        <v>2.3653505679509781</v>
      </c>
      <c r="W95" s="64">
        <f t="shared" si="147"/>
        <v>0.82905027542351561</v>
      </c>
      <c r="X95" s="63">
        <f t="shared" si="119"/>
        <v>4.8112705142586499E-3</v>
      </c>
      <c r="Y95" s="63">
        <f t="shared" si="148"/>
        <v>4.8112705142586499E-3</v>
      </c>
      <c r="Z95" s="64">
        <f t="shared" si="120"/>
        <v>3.5523063570250852</v>
      </c>
      <c r="AA95" s="74">
        <f t="shared" si="121"/>
        <v>1.2618880454160833E-2</v>
      </c>
      <c r="AB95" s="75">
        <f t="shared" si="149"/>
        <v>1.2618880454160833E-2</v>
      </c>
      <c r="AC95" s="63">
        <f t="shared" si="122"/>
        <v>7.2812599901628614</v>
      </c>
      <c r="AD95" s="63">
        <f t="shared" si="150"/>
        <v>0.50365909692129152</v>
      </c>
      <c r="AE95" s="63">
        <f t="shared" si="123"/>
        <v>0.54900713687851832</v>
      </c>
      <c r="AF95" s="63">
        <f t="shared" si="124"/>
        <v>0.10585733185204724</v>
      </c>
      <c r="AG95" s="63">
        <f t="shared" si="125"/>
        <v>3.8400000000000001E-3</v>
      </c>
      <c r="AH95" s="63">
        <f t="shared" si="126"/>
        <v>0</v>
      </c>
      <c r="AI95" s="63">
        <f t="shared" si="151"/>
        <v>3.1238095238095238E-2</v>
      </c>
      <c r="AJ95" s="63">
        <f t="shared" si="152"/>
        <v>0.68994256396866083</v>
      </c>
      <c r="AK95" s="63">
        <f t="shared" si="127"/>
        <v>4.0694689229472392</v>
      </c>
      <c r="AL95" s="63">
        <f t="shared" si="128"/>
        <v>0.15732548449091693</v>
      </c>
      <c r="AM95" s="63">
        <f t="shared" si="129"/>
        <v>0.16149220618188476</v>
      </c>
      <c r="AN95" s="63">
        <f t="shared" si="130"/>
        <v>3.8691234240750008E-2</v>
      </c>
      <c r="AO95" s="63">
        <f t="shared" si="131"/>
        <v>214.92980620736628</v>
      </c>
      <c r="AP95" s="63">
        <f t="shared" si="153"/>
        <v>3.8691234240750008E-2</v>
      </c>
      <c r="AQ95" s="61">
        <f t="shared" si="132"/>
        <v>6.5600000000000006E-2</v>
      </c>
      <c r="AR95" s="61">
        <f t="shared" si="133"/>
        <v>7110400000</v>
      </c>
      <c r="AS95" s="61">
        <f t="shared" si="154"/>
        <v>6.5600000000000006E-2</v>
      </c>
      <c r="AT95" s="61">
        <f t="shared" si="155"/>
        <v>3.4361904761904767E-2</v>
      </c>
      <c r="AU95" s="63">
        <f t="shared" si="156"/>
        <v>0.23454534518453951</v>
      </c>
      <c r="AV95" s="63">
        <f t="shared" si="134"/>
        <v>0.18090104333386758</v>
      </c>
      <c r="AW95" s="63">
        <f t="shared" si="135"/>
        <v>1.9840000000000001E-3</v>
      </c>
      <c r="AX95" s="63">
        <f t="shared" si="136"/>
        <v>3.5200000000000002E-2</v>
      </c>
      <c r="AY95" s="63">
        <f t="shared" si="137"/>
        <v>3.7184000000000002E-2</v>
      </c>
      <c r="AZ95" s="63">
        <f t="shared" si="138"/>
        <v>3.5253536714064655</v>
      </c>
      <c r="BA95" s="64">
        <f t="shared" si="139"/>
        <v>99.600000000000009</v>
      </c>
      <c r="BB95" s="76">
        <f t="shared" si="157"/>
        <v>0.96581486951657425</v>
      </c>
      <c r="BC95" s="64">
        <f t="shared" si="158"/>
        <v>96.581486951657425</v>
      </c>
      <c r="BD95" s="63">
        <f t="shared" si="140"/>
        <v>2.3653505679509781</v>
      </c>
      <c r="BE95" s="63">
        <f t="shared" si="159"/>
        <v>0.92448790915320034</v>
      </c>
      <c r="BF95" s="63">
        <f t="shared" si="141"/>
        <v>0.68994256396866083</v>
      </c>
      <c r="BG95" s="63">
        <f t="shared" si="142"/>
        <v>0.23454534518453951</v>
      </c>
      <c r="BH95" s="63">
        <f t="shared" si="143"/>
        <v>0.18090104333386758</v>
      </c>
      <c r="BI95" s="63">
        <f t="shared" si="160"/>
        <v>3.7184000000000002E-2</v>
      </c>
      <c r="BJ95" s="63">
        <f t="shared" si="161"/>
        <v>1.2618880454160833E-2</v>
      </c>
      <c r="BK95" s="63">
        <f t="shared" si="162"/>
        <v>4.8112705142586499E-3</v>
      </c>
      <c r="BL95" s="63">
        <f t="shared" si="163"/>
        <v>3.5253536714064655</v>
      </c>
      <c r="BQ95" s="77"/>
      <c r="BR95" s="78"/>
    </row>
    <row r="96" spans="3:70" x14ac:dyDescent="0.2">
      <c r="C96" s="61">
        <v>84</v>
      </c>
      <c r="D96" s="61">
        <f t="shared" si="103"/>
        <v>25</v>
      </c>
      <c r="E96" s="61">
        <f t="shared" si="104"/>
        <v>25</v>
      </c>
      <c r="F96" s="61">
        <f t="shared" si="105"/>
        <v>25</v>
      </c>
      <c r="G96" s="73">
        <f t="shared" si="106"/>
        <v>16</v>
      </c>
      <c r="H96" s="64">
        <f t="shared" si="107"/>
        <v>1</v>
      </c>
      <c r="I96" s="63">
        <f t="shared" si="144"/>
        <v>8.4</v>
      </c>
      <c r="J96" s="65">
        <f t="shared" si="108"/>
        <v>9.4999999999999998E-3</v>
      </c>
      <c r="K96" s="65">
        <f t="shared" si="109"/>
        <v>9.4999999999999998E-3</v>
      </c>
      <c r="L96" s="65">
        <f t="shared" si="110"/>
        <v>1.0999999999999999E-2</v>
      </c>
      <c r="M96" s="65">
        <f t="shared" si="111"/>
        <v>2.6000000000000003E-3</v>
      </c>
      <c r="N96" s="63">
        <f t="shared" si="112"/>
        <v>0.76212749999999996</v>
      </c>
      <c r="O96" s="64">
        <f t="shared" si="113"/>
        <v>2.8724585475000004</v>
      </c>
      <c r="P96" s="64">
        <f t="shared" si="114"/>
        <v>9.8362292737499999</v>
      </c>
      <c r="Q96" s="64">
        <f t="shared" si="115"/>
        <v>6.9637707262499999</v>
      </c>
      <c r="R96" s="64">
        <f t="shared" si="116"/>
        <v>0</v>
      </c>
      <c r="S96" s="64">
        <f t="shared" si="117"/>
        <v>8.4408284452569475</v>
      </c>
      <c r="T96" s="63">
        <f t="shared" si="145"/>
        <v>0.78372343326484695</v>
      </c>
      <c r="U96" s="63">
        <f t="shared" si="118"/>
        <v>1.6</v>
      </c>
      <c r="V96" s="63">
        <f t="shared" si="146"/>
        <v>2.3837234332648469</v>
      </c>
      <c r="W96" s="64">
        <f t="shared" si="147"/>
        <v>0.82920735781758337</v>
      </c>
      <c r="X96" s="63">
        <f t="shared" si="119"/>
        <v>4.8130938958117243E-3</v>
      </c>
      <c r="Y96" s="63">
        <f t="shared" si="148"/>
        <v>4.8130938958117243E-3</v>
      </c>
      <c r="Z96" s="64">
        <f t="shared" si="120"/>
        <v>3.5939415392144078</v>
      </c>
      <c r="AA96" s="74">
        <f t="shared" si="121"/>
        <v>1.2916415787290827E-2</v>
      </c>
      <c r="AB96" s="75">
        <f t="shared" si="149"/>
        <v>1.2916415787290827E-2</v>
      </c>
      <c r="AC96" s="63">
        <f t="shared" si="122"/>
        <v>7.368835981134918</v>
      </c>
      <c r="AD96" s="63">
        <f t="shared" si="150"/>
        <v>0.51584756531025178</v>
      </c>
      <c r="AE96" s="63">
        <f t="shared" si="123"/>
        <v>0.56352086758791853</v>
      </c>
      <c r="AF96" s="63">
        <f t="shared" si="124"/>
        <v>0.10706301007689206</v>
      </c>
      <c r="AG96" s="63">
        <f t="shared" si="125"/>
        <v>3.8400000000000001E-3</v>
      </c>
      <c r="AH96" s="63">
        <f t="shared" si="126"/>
        <v>0</v>
      </c>
      <c r="AI96" s="63">
        <f t="shared" si="151"/>
        <v>3.1238095238095238E-2</v>
      </c>
      <c r="AJ96" s="63">
        <f t="shared" si="152"/>
        <v>0.70566197290290589</v>
      </c>
      <c r="AK96" s="63">
        <f t="shared" si="127"/>
        <v>4.1167755738429825</v>
      </c>
      <c r="AL96" s="63">
        <f t="shared" si="128"/>
        <v>0.16100449069120709</v>
      </c>
      <c r="AM96" s="63">
        <f t="shared" si="129"/>
        <v>0.16537107022070191</v>
      </c>
      <c r="AN96" s="63">
        <f t="shared" si="130"/>
        <v>3.9171016581000008E-2</v>
      </c>
      <c r="AO96" s="63">
        <f t="shared" si="131"/>
        <v>217.59499710745501</v>
      </c>
      <c r="AP96" s="63">
        <f t="shared" si="153"/>
        <v>3.9171016581000008E-2</v>
      </c>
      <c r="AQ96" s="61">
        <f t="shared" si="132"/>
        <v>6.5600000000000006E-2</v>
      </c>
      <c r="AR96" s="61">
        <f t="shared" si="133"/>
        <v>7110400000</v>
      </c>
      <c r="AS96" s="61">
        <f t="shared" si="154"/>
        <v>6.5600000000000006E-2</v>
      </c>
      <c r="AT96" s="61">
        <f t="shared" si="155"/>
        <v>3.4361904761904767E-2</v>
      </c>
      <c r="AU96" s="63">
        <f t="shared" si="156"/>
        <v>0.23890399156360667</v>
      </c>
      <c r="AV96" s="63">
        <f t="shared" si="134"/>
        <v>0.18524372058987296</v>
      </c>
      <c r="AW96" s="63">
        <f t="shared" si="135"/>
        <v>1.9840000000000001E-3</v>
      </c>
      <c r="AX96" s="63">
        <f t="shared" si="136"/>
        <v>3.5200000000000002E-2</v>
      </c>
      <c r="AY96" s="63">
        <f t="shared" si="137"/>
        <v>3.7184000000000002E-2</v>
      </c>
      <c r="AZ96" s="63">
        <f t="shared" si="138"/>
        <v>3.568446628004335</v>
      </c>
      <c r="BA96" s="64">
        <f t="shared" si="139"/>
        <v>100.80000000000001</v>
      </c>
      <c r="BB96" s="76">
        <f t="shared" si="157"/>
        <v>0.96580914305716181</v>
      </c>
      <c r="BC96" s="64">
        <f t="shared" si="158"/>
        <v>96.580914305716178</v>
      </c>
      <c r="BD96" s="63">
        <f t="shared" si="140"/>
        <v>2.3837234332648469</v>
      </c>
      <c r="BE96" s="63">
        <f t="shared" si="159"/>
        <v>0.94456596446651253</v>
      </c>
      <c r="BF96" s="63">
        <f t="shared" si="141"/>
        <v>0.70566197290290589</v>
      </c>
      <c r="BG96" s="63">
        <f t="shared" si="142"/>
        <v>0.23890399156360667</v>
      </c>
      <c r="BH96" s="63">
        <f t="shared" si="143"/>
        <v>0.18524372058987296</v>
      </c>
      <c r="BI96" s="63">
        <f t="shared" si="160"/>
        <v>3.7184000000000002E-2</v>
      </c>
      <c r="BJ96" s="63">
        <f t="shared" si="161"/>
        <v>1.2916415787290827E-2</v>
      </c>
      <c r="BK96" s="63">
        <f t="shared" si="162"/>
        <v>4.8130938958117243E-3</v>
      </c>
      <c r="BL96" s="63">
        <f t="shared" si="163"/>
        <v>3.568446628004335</v>
      </c>
      <c r="BQ96" s="77"/>
      <c r="BR96" s="78"/>
    </row>
    <row r="97" spans="3:70" x14ac:dyDescent="0.2">
      <c r="C97" s="61">
        <v>85</v>
      </c>
      <c r="D97" s="61">
        <f t="shared" si="103"/>
        <v>25</v>
      </c>
      <c r="E97" s="61">
        <f t="shared" si="104"/>
        <v>25</v>
      </c>
      <c r="F97" s="61">
        <f t="shared" si="105"/>
        <v>25</v>
      </c>
      <c r="G97" s="73">
        <f t="shared" si="106"/>
        <v>16</v>
      </c>
      <c r="H97" s="64">
        <f t="shared" si="107"/>
        <v>1</v>
      </c>
      <c r="I97" s="63">
        <f t="shared" si="144"/>
        <v>8.5</v>
      </c>
      <c r="J97" s="65">
        <f t="shared" si="108"/>
        <v>9.4999999999999998E-3</v>
      </c>
      <c r="K97" s="65">
        <f t="shared" si="109"/>
        <v>9.4999999999999998E-3</v>
      </c>
      <c r="L97" s="65">
        <f t="shared" si="110"/>
        <v>1.0999999999999999E-2</v>
      </c>
      <c r="M97" s="65">
        <f t="shared" si="111"/>
        <v>2.6000000000000003E-3</v>
      </c>
      <c r="N97" s="63">
        <f t="shared" si="112"/>
        <v>0.76227187500000004</v>
      </c>
      <c r="O97" s="64">
        <f t="shared" si="113"/>
        <v>2.8730026968750009</v>
      </c>
      <c r="P97" s="64">
        <f t="shared" si="114"/>
        <v>9.9365013484375009</v>
      </c>
      <c r="Q97" s="64">
        <f t="shared" si="115"/>
        <v>7.0634986515624991</v>
      </c>
      <c r="R97" s="64">
        <f t="shared" si="116"/>
        <v>0</v>
      </c>
      <c r="S97" s="64">
        <f t="shared" si="117"/>
        <v>8.5403656464280022</v>
      </c>
      <c r="T97" s="63">
        <f t="shared" si="145"/>
        <v>0.80231629912156333</v>
      </c>
      <c r="U97" s="63">
        <f t="shared" si="118"/>
        <v>1.6</v>
      </c>
      <c r="V97" s="63">
        <f t="shared" si="146"/>
        <v>2.4023162991215634</v>
      </c>
      <c r="W97" s="64">
        <f t="shared" si="147"/>
        <v>0.82936444021165134</v>
      </c>
      <c r="X97" s="63">
        <f t="shared" si="119"/>
        <v>4.8149176228131007E-3</v>
      </c>
      <c r="Y97" s="63">
        <f t="shared" si="148"/>
        <v>4.8149176228131007E-3</v>
      </c>
      <c r="Z97" s="64">
        <f t="shared" si="120"/>
        <v>3.6355631732511857</v>
      </c>
      <c r="AA97" s="74">
        <f t="shared" si="121"/>
        <v>1.3217319586700232E-2</v>
      </c>
      <c r="AB97" s="75">
        <f t="shared" si="149"/>
        <v>1.3217319586700232E-2</v>
      </c>
      <c r="AC97" s="63">
        <f t="shared" si="122"/>
        <v>7.4564380338217244</v>
      </c>
      <c r="AD97" s="63">
        <f t="shared" si="150"/>
        <v>0.52818544744612028</v>
      </c>
      <c r="AE97" s="63">
        <f t="shared" si="123"/>
        <v>0.57827721545190336</v>
      </c>
      <c r="AF97" s="63">
        <f t="shared" si="124"/>
        <v>0.1082686883017369</v>
      </c>
      <c r="AG97" s="63">
        <f t="shared" si="125"/>
        <v>3.8400000000000001E-3</v>
      </c>
      <c r="AH97" s="63">
        <f t="shared" si="126"/>
        <v>0</v>
      </c>
      <c r="AI97" s="63">
        <f t="shared" si="151"/>
        <v>3.1238095238095238E-2</v>
      </c>
      <c r="AJ97" s="63">
        <f t="shared" si="152"/>
        <v>0.72162399899173557</v>
      </c>
      <c r="AK97" s="63">
        <f t="shared" si="127"/>
        <v>4.1640577832763555</v>
      </c>
      <c r="AL97" s="63">
        <f t="shared" si="128"/>
        <v>0.16472408361341176</v>
      </c>
      <c r="AM97" s="63">
        <f t="shared" si="129"/>
        <v>0.16929761634593696</v>
      </c>
      <c r="AN97" s="63">
        <f t="shared" si="130"/>
        <v>3.9650798921250008E-2</v>
      </c>
      <c r="AO97" s="63">
        <f t="shared" si="131"/>
        <v>220.26018800754377</v>
      </c>
      <c r="AP97" s="63">
        <f t="shared" si="153"/>
        <v>3.9650798921250008E-2</v>
      </c>
      <c r="AQ97" s="61">
        <f t="shared" si="132"/>
        <v>6.5600000000000006E-2</v>
      </c>
      <c r="AR97" s="61">
        <f t="shared" si="133"/>
        <v>7110400000</v>
      </c>
      <c r="AS97" s="61">
        <f t="shared" si="154"/>
        <v>6.5600000000000006E-2</v>
      </c>
      <c r="AT97" s="61">
        <f t="shared" si="155"/>
        <v>3.4361904761904767E-2</v>
      </c>
      <c r="AU97" s="63">
        <f t="shared" si="156"/>
        <v>0.24331032002909173</v>
      </c>
      <c r="AV97" s="63">
        <f t="shared" si="134"/>
        <v>0.18963839797418774</v>
      </c>
      <c r="AW97" s="63">
        <f t="shared" si="135"/>
        <v>1.9840000000000001E-3</v>
      </c>
      <c r="AX97" s="63">
        <f t="shared" si="136"/>
        <v>3.5200000000000002E-2</v>
      </c>
      <c r="AY97" s="63">
        <f t="shared" si="137"/>
        <v>3.7184000000000002E-2</v>
      </c>
      <c r="AZ97" s="63">
        <f t="shared" si="138"/>
        <v>3.6121052533260918</v>
      </c>
      <c r="BA97" s="64">
        <f t="shared" si="139"/>
        <v>102</v>
      </c>
      <c r="BB97" s="76">
        <f t="shared" si="157"/>
        <v>0.96579837846559413</v>
      </c>
      <c r="BC97" s="64">
        <f t="shared" si="158"/>
        <v>96.579837846559414</v>
      </c>
      <c r="BD97" s="63">
        <f t="shared" si="140"/>
        <v>2.4023162991215634</v>
      </c>
      <c r="BE97" s="63">
        <f t="shared" si="159"/>
        <v>0.96493431902082727</v>
      </c>
      <c r="BF97" s="63">
        <f t="shared" si="141"/>
        <v>0.72162399899173557</v>
      </c>
      <c r="BG97" s="63">
        <f t="shared" si="142"/>
        <v>0.24331032002909173</v>
      </c>
      <c r="BH97" s="63">
        <f t="shared" si="143"/>
        <v>0.18963839797418774</v>
      </c>
      <c r="BI97" s="63">
        <f t="shared" si="160"/>
        <v>3.7184000000000002E-2</v>
      </c>
      <c r="BJ97" s="63">
        <f t="shared" si="161"/>
        <v>1.3217319586700232E-2</v>
      </c>
      <c r="BK97" s="63">
        <f t="shared" si="162"/>
        <v>4.8149176228131007E-3</v>
      </c>
      <c r="BL97" s="63">
        <f t="shared" si="163"/>
        <v>3.6121052533260918</v>
      </c>
      <c r="BQ97" s="77"/>
      <c r="BR97" s="78"/>
    </row>
    <row r="98" spans="3:70" x14ac:dyDescent="0.2">
      <c r="C98" s="61">
        <v>86</v>
      </c>
      <c r="D98" s="61">
        <f t="shared" si="103"/>
        <v>25</v>
      </c>
      <c r="E98" s="61">
        <f t="shared" si="104"/>
        <v>25</v>
      </c>
      <c r="F98" s="61">
        <f t="shared" si="105"/>
        <v>25</v>
      </c>
      <c r="G98" s="73">
        <f t="shared" si="106"/>
        <v>16</v>
      </c>
      <c r="H98" s="64">
        <f t="shared" si="107"/>
        <v>1</v>
      </c>
      <c r="I98" s="63">
        <f t="shared" si="144"/>
        <v>8.6</v>
      </c>
      <c r="J98" s="65">
        <f t="shared" si="108"/>
        <v>9.4999999999999998E-3</v>
      </c>
      <c r="K98" s="65">
        <f t="shared" si="109"/>
        <v>9.4999999999999998E-3</v>
      </c>
      <c r="L98" s="65">
        <f t="shared" si="110"/>
        <v>1.0999999999999999E-2</v>
      </c>
      <c r="M98" s="65">
        <f t="shared" si="111"/>
        <v>2.6000000000000003E-3</v>
      </c>
      <c r="N98" s="63">
        <f t="shared" si="112"/>
        <v>0.76241625000000002</v>
      </c>
      <c r="O98" s="64">
        <f t="shared" si="113"/>
        <v>2.8735468462500005</v>
      </c>
      <c r="P98" s="64">
        <f t="shared" si="114"/>
        <v>10.036773423125</v>
      </c>
      <c r="Q98" s="64">
        <f t="shared" si="115"/>
        <v>7.1632265768749992</v>
      </c>
      <c r="R98" s="64">
        <f t="shared" si="116"/>
        <v>0</v>
      </c>
      <c r="S98" s="64">
        <f t="shared" si="117"/>
        <v>8.6399135387147314</v>
      </c>
      <c r="T98" s="63">
        <f t="shared" si="145"/>
        <v>0.82112916552112714</v>
      </c>
      <c r="U98" s="63">
        <f t="shared" si="118"/>
        <v>1.6</v>
      </c>
      <c r="V98" s="63">
        <f t="shared" si="146"/>
        <v>2.4211291655211271</v>
      </c>
      <c r="W98" s="64">
        <f t="shared" si="147"/>
        <v>0.82952152260571899</v>
      </c>
      <c r="X98" s="63">
        <f t="shared" si="119"/>
        <v>4.816741695262773E-3</v>
      </c>
      <c r="Y98" s="63">
        <f t="shared" si="148"/>
        <v>4.816741695262773E-3</v>
      </c>
      <c r="Z98" s="64">
        <f t="shared" si="120"/>
        <v>3.6771710727645073</v>
      </c>
      <c r="AA98" s="74">
        <f t="shared" si="121"/>
        <v>1.3521587098376078E-2</v>
      </c>
      <c r="AB98" s="75">
        <f t="shared" si="149"/>
        <v>1.3521587098376078E-2</v>
      </c>
      <c r="AC98" s="63">
        <f t="shared" si="122"/>
        <v>7.5440658144618258</v>
      </c>
      <c r="AD98" s="63">
        <f t="shared" si="150"/>
        <v>0.54067282562284991</v>
      </c>
      <c r="AE98" s="63">
        <f t="shared" si="123"/>
        <v>0.59327908590319867</v>
      </c>
      <c r="AF98" s="63">
        <f t="shared" si="124"/>
        <v>0.10947436652658173</v>
      </c>
      <c r="AG98" s="63">
        <f t="shared" si="125"/>
        <v>3.8400000000000001E-3</v>
      </c>
      <c r="AH98" s="63">
        <f t="shared" si="126"/>
        <v>0</v>
      </c>
      <c r="AI98" s="63">
        <f t="shared" si="151"/>
        <v>3.1238095238095238E-2</v>
      </c>
      <c r="AJ98" s="63">
        <f t="shared" si="152"/>
        <v>0.73783154766787562</v>
      </c>
      <c r="AK98" s="63">
        <f t="shared" si="127"/>
        <v>4.2113153460094335</v>
      </c>
      <c r="AL98" s="63">
        <f t="shared" si="128"/>
        <v>0.16848418096357826</v>
      </c>
      <c r="AM98" s="63">
        <f t="shared" si="129"/>
        <v>0.17327192789588322</v>
      </c>
      <c r="AN98" s="63">
        <f t="shared" si="130"/>
        <v>4.0130581261500001E-2</v>
      </c>
      <c r="AO98" s="63">
        <f t="shared" si="131"/>
        <v>222.92537890763251</v>
      </c>
      <c r="AP98" s="63">
        <f t="shared" si="153"/>
        <v>4.0130581261500001E-2</v>
      </c>
      <c r="AQ98" s="61">
        <f t="shared" si="132"/>
        <v>6.5600000000000006E-2</v>
      </c>
      <c r="AR98" s="61">
        <f t="shared" si="133"/>
        <v>7110400000</v>
      </c>
      <c r="AS98" s="61">
        <f t="shared" si="154"/>
        <v>6.5600000000000006E-2</v>
      </c>
      <c r="AT98" s="61">
        <f t="shared" si="155"/>
        <v>3.4361904761904767E-2</v>
      </c>
      <c r="AU98" s="63">
        <f t="shared" si="156"/>
        <v>0.247764413919288</v>
      </c>
      <c r="AV98" s="63">
        <f t="shared" si="134"/>
        <v>0.19408507548681192</v>
      </c>
      <c r="AW98" s="63">
        <f t="shared" si="135"/>
        <v>1.9840000000000001E-3</v>
      </c>
      <c r="AX98" s="63">
        <f t="shared" si="136"/>
        <v>3.5200000000000002E-2</v>
      </c>
      <c r="AY98" s="63">
        <f t="shared" si="137"/>
        <v>3.7184000000000002E-2</v>
      </c>
      <c r="AZ98" s="63">
        <f t="shared" si="138"/>
        <v>3.6563325313887414</v>
      </c>
      <c r="BA98" s="64">
        <f t="shared" si="139"/>
        <v>103.19999999999999</v>
      </c>
      <c r="BB98" s="76">
        <f t="shared" si="157"/>
        <v>0.96578272485334737</v>
      </c>
      <c r="BC98" s="64">
        <f t="shared" si="158"/>
        <v>96.578272485334736</v>
      </c>
      <c r="BD98" s="63">
        <f t="shared" si="140"/>
        <v>2.4211291655211271</v>
      </c>
      <c r="BE98" s="63">
        <f t="shared" si="159"/>
        <v>0.98559596158716367</v>
      </c>
      <c r="BF98" s="63">
        <f t="shared" si="141"/>
        <v>0.73783154766787562</v>
      </c>
      <c r="BG98" s="63">
        <f t="shared" si="142"/>
        <v>0.247764413919288</v>
      </c>
      <c r="BH98" s="63">
        <f t="shared" si="143"/>
        <v>0.19408507548681192</v>
      </c>
      <c r="BI98" s="63">
        <f t="shared" si="160"/>
        <v>3.7184000000000002E-2</v>
      </c>
      <c r="BJ98" s="63">
        <f t="shared" si="161"/>
        <v>1.3521587098376078E-2</v>
      </c>
      <c r="BK98" s="63">
        <f t="shared" si="162"/>
        <v>4.816741695262773E-3</v>
      </c>
      <c r="BL98" s="63">
        <f t="shared" si="163"/>
        <v>3.6563325313887409</v>
      </c>
      <c r="BQ98" s="77"/>
      <c r="BR98" s="78"/>
    </row>
    <row r="99" spans="3:70" x14ac:dyDescent="0.2">
      <c r="C99" s="61">
        <v>87</v>
      </c>
      <c r="D99" s="61">
        <f t="shared" si="103"/>
        <v>25</v>
      </c>
      <c r="E99" s="61">
        <f t="shared" si="104"/>
        <v>25</v>
      </c>
      <c r="F99" s="61">
        <f t="shared" si="105"/>
        <v>25</v>
      </c>
      <c r="G99" s="73">
        <f t="shared" si="106"/>
        <v>16</v>
      </c>
      <c r="H99" s="64">
        <f t="shared" si="107"/>
        <v>1</v>
      </c>
      <c r="I99" s="63">
        <f t="shared" si="144"/>
        <v>8.6999999999999993</v>
      </c>
      <c r="J99" s="65">
        <f t="shared" si="108"/>
        <v>9.4999999999999998E-3</v>
      </c>
      <c r="K99" s="65">
        <f t="shared" si="109"/>
        <v>9.4999999999999998E-3</v>
      </c>
      <c r="L99" s="65">
        <f t="shared" si="110"/>
        <v>1.0999999999999999E-2</v>
      </c>
      <c r="M99" s="65">
        <f t="shared" si="111"/>
        <v>2.6000000000000003E-3</v>
      </c>
      <c r="N99" s="63">
        <f t="shared" si="112"/>
        <v>0.76256062499999999</v>
      </c>
      <c r="O99" s="64">
        <f t="shared" si="113"/>
        <v>2.8740909956250005</v>
      </c>
      <c r="P99" s="64">
        <f t="shared" si="114"/>
        <v>10.137045497812499</v>
      </c>
      <c r="Q99" s="64">
        <f t="shared" si="115"/>
        <v>7.2629545021874993</v>
      </c>
      <c r="R99" s="64">
        <f t="shared" si="116"/>
        <v>0</v>
      </c>
      <c r="S99" s="64">
        <f t="shared" si="117"/>
        <v>8.7394717567822351</v>
      </c>
      <c r="T99" s="63">
        <f t="shared" si="145"/>
        <v>0.84016203246353804</v>
      </c>
      <c r="U99" s="63">
        <f t="shared" si="118"/>
        <v>1.6</v>
      </c>
      <c r="V99" s="63">
        <f t="shared" si="146"/>
        <v>2.440162032463538</v>
      </c>
      <c r="W99" s="64">
        <f t="shared" si="147"/>
        <v>0.82967860499978685</v>
      </c>
      <c r="X99" s="63">
        <f t="shared" si="119"/>
        <v>4.8185661131607462E-3</v>
      </c>
      <c r="Y99" s="63">
        <f t="shared" si="148"/>
        <v>4.8185661131607462E-3</v>
      </c>
      <c r="Z99" s="64">
        <f t="shared" si="120"/>
        <v>3.7187650589009773</v>
      </c>
      <c r="AA99" s="74">
        <f t="shared" si="121"/>
        <v>1.382921356330279E-2</v>
      </c>
      <c r="AB99" s="75">
        <f t="shared" si="149"/>
        <v>1.382921356330279E-2</v>
      </c>
      <c r="AC99" s="63">
        <f t="shared" si="122"/>
        <v>7.6317190043603595</v>
      </c>
      <c r="AD99" s="63">
        <f t="shared" si="150"/>
        <v>0.55330978213439319</v>
      </c>
      <c r="AE99" s="63">
        <f t="shared" si="123"/>
        <v>0.60852945099894573</v>
      </c>
      <c r="AF99" s="63">
        <f t="shared" si="124"/>
        <v>0.11068004475142655</v>
      </c>
      <c r="AG99" s="63">
        <f t="shared" si="125"/>
        <v>3.8400000000000001E-3</v>
      </c>
      <c r="AH99" s="63">
        <f t="shared" si="126"/>
        <v>0</v>
      </c>
      <c r="AI99" s="63">
        <f t="shared" si="151"/>
        <v>3.1238095238095238E-2</v>
      </c>
      <c r="AJ99" s="63">
        <f t="shared" si="152"/>
        <v>0.75428759098846754</v>
      </c>
      <c r="AK99" s="63">
        <f t="shared" si="127"/>
        <v>4.2585480654889043</v>
      </c>
      <c r="AL99" s="63">
        <f t="shared" si="128"/>
        <v>0.17228470044775324</v>
      </c>
      <c r="AM99" s="63">
        <f t="shared" si="129"/>
        <v>0.17729409015887865</v>
      </c>
      <c r="AN99" s="63">
        <f t="shared" si="130"/>
        <v>4.0610363601750007E-2</v>
      </c>
      <c r="AO99" s="63">
        <f t="shared" si="131"/>
        <v>225.59056980772129</v>
      </c>
      <c r="AP99" s="63">
        <f t="shared" si="153"/>
        <v>4.0610363601750007E-2</v>
      </c>
      <c r="AQ99" s="61">
        <f t="shared" si="132"/>
        <v>6.5600000000000006E-2</v>
      </c>
      <c r="AR99" s="61">
        <f t="shared" si="133"/>
        <v>7110400000</v>
      </c>
      <c r="AS99" s="61">
        <f t="shared" si="154"/>
        <v>6.5600000000000006E-2</v>
      </c>
      <c r="AT99" s="61">
        <f t="shared" si="155"/>
        <v>3.4361904761904767E-2</v>
      </c>
      <c r="AU99" s="63">
        <f t="shared" si="156"/>
        <v>0.25226635852253343</v>
      </c>
      <c r="AV99" s="63">
        <f t="shared" si="134"/>
        <v>0.1985837531277454</v>
      </c>
      <c r="AW99" s="63">
        <f t="shared" si="135"/>
        <v>1.9840000000000001E-3</v>
      </c>
      <c r="AX99" s="63">
        <f t="shared" si="136"/>
        <v>3.5200000000000002E-2</v>
      </c>
      <c r="AY99" s="63">
        <f t="shared" si="137"/>
        <v>3.7184000000000002E-2</v>
      </c>
      <c r="AZ99" s="63">
        <f t="shared" si="138"/>
        <v>3.7011315147787478</v>
      </c>
      <c r="BA99" s="64">
        <f t="shared" si="139"/>
        <v>104.39999999999999</v>
      </c>
      <c r="BB99" s="76">
        <f t="shared" si="157"/>
        <v>0.96576232401163387</v>
      </c>
      <c r="BC99" s="64">
        <f t="shared" si="158"/>
        <v>96.576232401163381</v>
      </c>
      <c r="BD99" s="63">
        <f t="shared" si="140"/>
        <v>2.440162032463538</v>
      </c>
      <c r="BE99" s="63">
        <f t="shared" si="159"/>
        <v>1.006553949511001</v>
      </c>
      <c r="BF99" s="63">
        <f t="shared" si="141"/>
        <v>0.75428759098846754</v>
      </c>
      <c r="BG99" s="63">
        <f t="shared" si="142"/>
        <v>0.25226635852253343</v>
      </c>
      <c r="BH99" s="63">
        <f t="shared" si="143"/>
        <v>0.1985837531277454</v>
      </c>
      <c r="BI99" s="63">
        <f t="shared" si="160"/>
        <v>3.7184000000000002E-2</v>
      </c>
      <c r="BJ99" s="63">
        <f t="shared" si="161"/>
        <v>1.382921356330279E-2</v>
      </c>
      <c r="BK99" s="63">
        <f t="shared" si="162"/>
        <v>4.8185661131607462E-3</v>
      </c>
      <c r="BL99" s="63">
        <f t="shared" si="163"/>
        <v>3.7011315147787478</v>
      </c>
      <c r="BQ99" s="77"/>
      <c r="BR99" s="78"/>
    </row>
    <row r="100" spans="3:70" x14ac:dyDescent="0.2">
      <c r="C100" s="61">
        <v>88</v>
      </c>
      <c r="D100" s="61">
        <f t="shared" si="103"/>
        <v>25</v>
      </c>
      <c r="E100" s="61">
        <f t="shared" si="104"/>
        <v>25</v>
      </c>
      <c r="F100" s="61">
        <f t="shared" si="105"/>
        <v>25</v>
      </c>
      <c r="G100" s="73">
        <f t="shared" si="106"/>
        <v>16</v>
      </c>
      <c r="H100" s="64">
        <f t="shared" si="107"/>
        <v>1</v>
      </c>
      <c r="I100" s="63">
        <f t="shared" si="144"/>
        <v>8.8000000000000007</v>
      </c>
      <c r="J100" s="65">
        <f t="shared" si="108"/>
        <v>9.4999999999999998E-3</v>
      </c>
      <c r="K100" s="65">
        <f t="shared" si="109"/>
        <v>9.4999999999999998E-3</v>
      </c>
      <c r="L100" s="65">
        <f t="shared" si="110"/>
        <v>1.0999999999999999E-2</v>
      </c>
      <c r="M100" s="65">
        <f t="shared" si="111"/>
        <v>2.6000000000000003E-3</v>
      </c>
      <c r="N100" s="63">
        <f t="shared" si="112"/>
        <v>0.76270499999999997</v>
      </c>
      <c r="O100" s="64">
        <f t="shared" si="113"/>
        <v>2.8746351450000005</v>
      </c>
      <c r="P100" s="64">
        <f t="shared" si="114"/>
        <v>10.2373175725</v>
      </c>
      <c r="Q100" s="64">
        <f t="shared" si="115"/>
        <v>7.3626824275000002</v>
      </c>
      <c r="R100" s="64">
        <f t="shared" si="116"/>
        <v>0</v>
      </c>
      <c r="S100" s="64">
        <f t="shared" si="117"/>
        <v>8.8390399517183109</v>
      </c>
      <c r="T100" s="63">
        <f t="shared" si="145"/>
        <v>0.85941489994879672</v>
      </c>
      <c r="U100" s="63">
        <f t="shared" si="118"/>
        <v>1.6</v>
      </c>
      <c r="V100" s="63">
        <f t="shared" si="146"/>
        <v>2.459414899948797</v>
      </c>
      <c r="W100" s="64">
        <f t="shared" si="147"/>
        <v>0.8298356873938546</v>
      </c>
      <c r="X100" s="63">
        <f t="shared" si="119"/>
        <v>4.8203908765070179E-3</v>
      </c>
      <c r="Y100" s="63">
        <f t="shared" si="148"/>
        <v>4.8203908765070179E-3</v>
      </c>
      <c r="Z100" s="64">
        <f t="shared" si="120"/>
        <v>3.7603449599022438</v>
      </c>
      <c r="AA100" s="74">
        <f t="shared" si="121"/>
        <v>1.4140194217462208E-2</v>
      </c>
      <c r="AB100" s="75">
        <f t="shared" si="149"/>
        <v>1.4140194217462208E-2</v>
      </c>
      <c r="AC100" s="63">
        <f t="shared" si="122"/>
        <v>7.7193972990444788</v>
      </c>
      <c r="AD100" s="63">
        <f t="shared" si="150"/>
        <v>0.56609639927470434</v>
      </c>
      <c r="AE100" s="63">
        <f t="shared" si="123"/>
        <v>0.62403135101294982</v>
      </c>
      <c r="AF100" s="63">
        <f t="shared" si="124"/>
        <v>0.11188572297627139</v>
      </c>
      <c r="AG100" s="63">
        <f t="shared" si="125"/>
        <v>3.8400000000000001E-3</v>
      </c>
      <c r="AH100" s="63">
        <f t="shared" si="126"/>
        <v>0</v>
      </c>
      <c r="AI100" s="63">
        <f t="shared" si="151"/>
        <v>3.1238095238095238E-2</v>
      </c>
      <c r="AJ100" s="63">
        <f t="shared" si="152"/>
        <v>0.77099516922731648</v>
      </c>
      <c r="AK100" s="63">
        <f t="shared" si="127"/>
        <v>4.3057557533582012</v>
      </c>
      <c r="AL100" s="63">
        <f t="shared" si="128"/>
        <v>0.17612555977198388</v>
      </c>
      <c r="AM100" s="63">
        <f t="shared" si="129"/>
        <v>0.18136419037868212</v>
      </c>
      <c r="AN100" s="63">
        <f t="shared" si="130"/>
        <v>4.1090145942000007E-2</v>
      </c>
      <c r="AO100" s="63">
        <f t="shared" si="131"/>
        <v>228.25576070781</v>
      </c>
      <c r="AP100" s="63">
        <f t="shared" si="153"/>
        <v>4.1090145942000007E-2</v>
      </c>
      <c r="AQ100" s="61">
        <f t="shared" si="132"/>
        <v>6.5600000000000006E-2</v>
      </c>
      <c r="AR100" s="61">
        <f t="shared" si="133"/>
        <v>7110400000</v>
      </c>
      <c r="AS100" s="61">
        <f t="shared" si="154"/>
        <v>6.5600000000000006E-2</v>
      </c>
      <c r="AT100" s="61">
        <f t="shared" si="155"/>
        <v>3.4361904761904767E-2</v>
      </c>
      <c r="AU100" s="63">
        <f t="shared" si="156"/>
        <v>0.25681624108258688</v>
      </c>
      <c r="AV100" s="63">
        <f t="shared" si="134"/>
        <v>0.20313443089698835</v>
      </c>
      <c r="AW100" s="63">
        <f t="shared" si="135"/>
        <v>1.9840000000000001E-3</v>
      </c>
      <c r="AX100" s="63">
        <f t="shared" si="136"/>
        <v>3.5200000000000002E-2</v>
      </c>
      <c r="AY100" s="63">
        <f t="shared" si="137"/>
        <v>3.7184000000000002E-2</v>
      </c>
      <c r="AZ100" s="63">
        <f t="shared" si="138"/>
        <v>3.7465053262496584</v>
      </c>
      <c r="BA100" s="64">
        <f t="shared" si="139"/>
        <v>105.60000000000001</v>
      </c>
      <c r="BB100" s="76">
        <f t="shared" si="157"/>
        <v>0.96573731080777137</v>
      </c>
      <c r="BC100" s="64">
        <f t="shared" si="158"/>
        <v>96.573731080777137</v>
      </c>
      <c r="BD100" s="63">
        <f t="shared" si="140"/>
        <v>2.459414899948797</v>
      </c>
      <c r="BE100" s="63">
        <f t="shared" si="159"/>
        <v>1.0278114103099034</v>
      </c>
      <c r="BF100" s="63">
        <f t="shared" si="141"/>
        <v>0.77099516922731648</v>
      </c>
      <c r="BG100" s="63">
        <f t="shared" si="142"/>
        <v>0.25681624108258688</v>
      </c>
      <c r="BH100" s="63">
        <f t="shared" si="143"/>
        <v>0.20313443089698835</v>
      </c>
      <c r="BI100" s="63">
        <f t="shared" si="160"/>
        <v>3.7184000000000002E-2</v>
      </c>
      <c r="BJ100" s="63">
        <f t="shared" si="161"/>
        <v>1.4140194217462208E-2</v>
      </c>
      <c r="BK100" s="63">
        <f t="shared" si="162"/>
        <v>4.8203908765070179E-3</v>
      </c>
      <c r="BL100" s="63">
        <f t="shared" si="163"/>
        <v>3.7465053262496584</v>
      </c>
      <c r="BQ100" s="77"/>
      <c r="BR100" s="78"/>
    </row>
    <row r="101" spans="3:70" x14ac:dyDescent="0.2">
      <c r="C101" s="61">
        <v>89</v>
      </c>
      <c r="D101" s="61">
        <f t="shared" si="103"/>
        <v>25</v>
      </c>
      <c r="E101" s="61">
        <f t="shared" si="104"/>
        <v>25</v>
      </c>
      <c r="F101" s="61">
        <f t="shared" si="105"/>
        <v>25</v>
      </c>
      <c r="G101" s="73">
        <f t="shared" si="106"/>
        <v>16</v>
      </c>
      <c r="H101" s="64">
        <f t="shared" si="107"/>
        <v>1</v>
      </c>
      <c r="I101" s="63">
        <f t="shared" si="144"/>
        <v>8.9</v>
      </c>
      <c r="J101" s="65">
        <f t="shared" si="108"/>
        <v>9.4999999999999998E-3</v>
      </c>
      <c r="K101" s="65">
        <f t="shared" si="109"/>
        <v>9.4999999999999998E-3</v>
      </c>
      <c r="L101" s="65">
        <f t="shared" si="110"/>
        <v>1.0999999999999999E-2</v>
      </c>
      <c r="M101" s="65">
        <f t="shared" si="111"/>
        <v>2.6000000000000003E-3</v>
      </c>
      <c r="N101" s="63">
        <f t="shared" si="112"/>
        <v>0.76284937500000005</v>
      </c>
      <c r="O101" s="64">
        <f t="shared" si="113"/>
        <v>2.8751792943750005</v>
      </c>
      <c r="P101" s="64">
        <f t="shared" si="114"/>
        <v>10.337589647187501</v>
      </c>
      <c r="Q101" s="64">
        <f t="shared" si="115"/>
        <v>7.4624103528125003</v>
      </c>
      <c r="R101" s="64">
        <f t="shared" si="116"/>
        <v>0</v>
      </c>
      <c r="S101" s="64">
        <f t="shared" si="117"/>
        <v>8.938617790122823</v>
      </c>
      <c r="T101" s="63">
        <f t="shared" si="145"/>
        <v>0.87888776797690238</v>
      </c>
      <c r="U101" s="63">
        <f t="shared" si="118"/>
        <v>1.6</v>
      </c>
      <c r="V101" s="63">
        <f t="shared" si="146"/>
        <v>2.4788877679769024</v>
      </c>
      <c r="W101" s="64">
        <f t="shared" si="147"/>
        <v>0.82999276978792247</v>
      </c>
      <c r="X101" s="63">
        <f t="shared" si="119"/>
        <v>4.8222159853015907E-3</v>
      </c>
      <c r="Y101" s="63">
        <f t="shared" si="148"/>
        <v>4.8222159853015907E-3</v>
      </c>
      <c r="Z101" s="64">
        <f t="shared" si="120"/>
        <v>3.8019106107105576</v>
      </c>
      <c r="AA101" s="74">
        <f t="shared" si="121"/>
        <v>1.4454524291833526E-2</v>
      </c>
      <c r="AB101" s="75">
        <f t="shared" si="149"/>
        <v>1.4454524291833526E-2</v>
      </c>
      <c r="AC101" s="63">
        <f t="shared" si="122"/>
        <v>7.8071004074747998</v>
      </c>
      <c r="AD101" s="63">
        <f t="shared" si="150"/>
        <v>0.57903275933773524</v>
      </c>
      <c r="AE101" s="63">
        <f t="shared" si="123"/>
        <v>0.6397878960783</v>
      </c>
      <c r="AF101" s="63">
        <f t="shared" si="124"/>
        <v>0.11309140120111624</v>
      </c>
      <c r="AG101" s="63">
        <f t="shared" si="125"/>
        <v>3.8400000000000001E-3</v>
      </c>
      <c r="AH101" s="63">
        <f t="shared" si="126"/>
        <v>0</v>
      </c>
      <c r="AI101" s="63">
        <f t="shared" si="151"/>
        <v>3.1238095238095238E-2</v>
      </c>
      <c r="AJ101" s="63">
        <f t="shared" si="152"/>
        <v>0.78795739251751151</v>
      </c>
      <c r="AK101" s="63">
        <f t="shared" si="127"/>
        <v>4.352938229001996</v>
      </c>
      <c r="AL101" s="63">
        <f t="shared" si="128"/>
        <v>0.18000667664231682</v>
      </c>
      <c r="AM101" s="63">
        <f t="shared" si="129"/>
        <v>0.18548231776004437</v>
      </c>
      <c r="AN101" s="63">
        <f t="shared" si="130"/>
        <v>4.1569928282250007E-2</v>
      </c>
      <c r="AO101" s="63">
        <f t="shared" si="131"/>
        <v>230.92095160789876</v>
      </c>
      <c r="AP101" s="63">
        <f t="shared" si="153"/>
        <v>4.1569928282250007E-2</v>
      </c>
      <c r="AQ101" s="61">
        <f t="shared" si="132"/>
        <v>6.5600000000000006E-2</v>
      </c>
      <c r="AR101" s="61">
        <f t="shared" si="133"/>
        <v>7110400000</v>
      </c>
      <c r="AS101" s="61">
        <f t="shared" si="154"/>
        <v>6.5600000000000006E-2</v>
      </c>
      <c r="AT101" s="61">
        <f t="shared" si="155"/>
        <v>3.4361904761904767E-2</v>
      </c>
      <c r="AU101" s="63">
        <f t="shared" si="156"/>
        <v>0.26141415080419916</v>
      </c>
      <c r="AV101" s="63">
        <f t="shared" si="134"/>
        <v>0.2077371087945406</v>
      </c>
      <c r="AW101" s="63">
        <f t="shared" si="135"/>
        <v>1.9840000000000001E-3</v>
      </c>
      <c r="AX101" s="63">
        <f t="shared" si="136"/>
        <v>3.5200000000000002E-2</v>
      </c>
      <c r="AY101" s="63">
        <f t="shared" si="137"/>
        <v>3.7184000000000002E-2</v>
      </c>
      <c r="AZ101" s="63">
        <f t="shared" si="138"/>
        <v>3.7924571603702888</v>
      </c>
      <c r="BA101" s="64">
        <f t="shared" si="139"/>
        <v>106.80000000000001</v>
      </c>
      <c r="BB101" s="76">
        <f t="shared" si="157"/>
        <v>0.96570781355485358</v>
      </c>
      <c r="BC101" s="64">
        <f t="shared" si="158"/>
        <v>96.570781355485352</v>
      </c>
      <c r="BD101" s="63">
        <f t="shared" si="140"/>
        <v>2.4788877679769024</v>
      </c>
      <c r="BE101" s="63">
        <f t="shared" si="159"/>
        <v>1.0493715433217106</v>
      </c>
      <c r="BF101" s="63">
        <f t="shared" si="141"/>
        <v>0.78795739251751151</v>
      </c>
      <c r="BG101" s="63">
        <f t="shared" si="142"/>
        <v>0.26141415080419916</v>
      </c>
      <c r="BH101" s="63">
        <f t="shared" si="143"/>
        <v>0.2077371087945406</v>
      </c>
      <c r="BI101" s="63">
        <f t="shared" si="160"/>
        <v>3.7184000000000002E-2</v>
      </c>
      <c r="BJ101" s="63">
        <f t="shared" si="161"/>
        <v>1.4454524291833526E-2</v>
      </c>
      <c r="BK101" s="63">
        <f t="shared" si="162"/>
        <v>4.8222159853015907E-3</v>
      </c>
      <c r="BL101" s="63">
        <f t="shared" si="163"/>
        <v>3.7924571603702888</v>
      </c>
      <c r="BQ101" s="77"/>
      <c r="BR101" s="78"/>
    </row>
    <row r="102" spans="3:70" x14ac:dyDescent="0.2">
      <c r="C102" s="61">
        <v>90</v>
      </c>
      <c r="D102" s="61">
        <f t="shared" si="103"/>
        <v>25</v>
      </c>
      <c r="E102" s="61">
        <f t="shared" si="104"/>
        <v>25</v>
      </c>
      <c r="F102" s="61">
        <f t="shared" si="105"/>
        <v>25</v>
      </c>
      <c r="G102" s="73">
        <f t="shared" si="106"/>
        <v>16</v>
      </c>
      <c r="H102" s="64">
        <f t="shared" si="107"/>
        <v>1</v>
      </c>
      <c r="I102" s="63">
        <f t="shared" si="144"/>
        <v>9</v>
      </c>
      <c r="J102" s="65">
        <f t="shared" si="108"/>
        <v>9.4999999999999998E-3</v>
      </c>
      <c r="K102" s="65">
        <f t="shared" si="109"/>
        <v>9.4999999999999998E-3</v>
      </c>
      <c r="L102" s="65">
        <f t="shared" si="110"/>
        <v>1.0999999999999999E-2</v>
      </c>
      <c r="M102" s="65">
        <f t="shared" si="111"/>
        <v>2.6000000000000003E-3</v>
      </c>
      <c r="N102" s="63">
        <f t="shared" si="112"/>
        <v>0.76299375000000003</v>
      </c>
      <c r="O102" s="64">
        <f t="shared" si="113"/>
        <v>2.8757234437500006</v>
      </c>
      <c r="P102" s="64">
        <f t="shared" si="114"/>
        <v>10.437861721875</v>
      </c>
      <c r="Q102" s="64">
        <f t="shared" si="115"/>
        <v>7.5621382781249995</v>
      </c>
      <c r="R102" s="64">
        <f t="shared" si="116"/>
        <v>0</v>
      </c>
      <c r="S102" s="64">
        <f t="shared" si="117"/>
        <v>9.038204953256912</v>
      </c>
      <c r="T102" s="63">
        <f t="shared" si="145"/>
        <v>0.89858063654785547</v>
      </c>
      <c r="U102" s="63">
        <f t="shared" si="118"/>
        <v>1.6</v>
      </c>
      <c r="V102" s="63">
        <f t="shared" si="146"/>
        <v>2.4985806365478558</v>
      </c>
      <c r="W102" s="64">
        <f t="shared" si="147"/>
        <v>0.83014985218199022</v>
      </c>
      <c r="X102" s="63">
        <f t="shared" si="119"/>
        <v>4.8240414395444619E-3</v>
      </c>
      <c r="Y102" s="63">
        <f t="shared" si="148"/>
        <v>4.8240414395444619E-3</v>
      </c>
      <c r="Z102" s="64">
        <f t="shared" si="120"/>
        <v>3.8434618526002535</v>
      </c>
      <c r="AA102" s="74">
        <f t="shared" si="121"/>
        <v>1.4772199012393373E-2</v>
      </c>
      <c r="AB102" s="75">
        <f t="shared" si="149"/>
        <v>1.4772199012393373E-2</v>
      </c>
      <c r="AC102" s="63">
        <f t="shared" si="122"/>
        <v>7.8948280513086848</v>
      </c>
      <c r="AD102" s="63">
        <f t="shared" si="150"/>
        <v>0.59211894461743952</v>
      </c>
      <c r="AE102" s="63">
        <f t="shared" si="123"/>
        <v>0.65580226788216134</v>
      </c>
      <c r="AF102" s="63">
        <f t="shared" si="124"/>
        <v>0.11429707942596107</v>
      </c>
      <c r="AG102" s="63">
        <f t="shared" si="125"/>
        <v>3.8400000000000001E-3</v>
      </c>
      <c r="AH102" s="63">
        <f t="shared" si="126"/>
        <v>0</v>
      </c>
      <c r="AI102" s="63">
        <f t="shared" si="151"/>
        <v>3.1238095238095238E-2</v>
      </c>
      <c r="AJ102" s="63">
        <f t="shared" si="152"/>
        <v>0.8051774425462177</v>
      </c>
      <c r="AK102" s="63">
        <f t="shared" si="127"/>
        <v>4.4000953191206316</v>
      </c>
      <c r="AL102" s="63">
        <f t="shared" si="128"/>
        <v>0.18392796876479928</v>
      </c>
      <c r="AM102" s="63">
        <f t="shared" si="129"/>
        <v>0.18964856347447906</v>
      </c>
      <c r="AN102" s="63">
        <f t="shared" si="130"/>
        <v>4.2049710622500007E-2</v>
      </c>
      <c r="AO102" s="63">
        <f t="shared" si="131"/>
        <v>233.58614250798752</v>
      </c>
      <c r="AP102" s="63">
        <f t="shared" si="153"/>
        <v>4.2049710622500007E-2</v>
      </c>
      <c r="AQ102" s="61">
        <f t="shared" si="132"/>
        <v>6.5600000000000006E-2</v>
      </c>
      <c r="AR102" s="61">
        <f t="shared" si="133"/>
        <v>7110400000</v>
      </c>
      <c r="AS102" s="61">
        <f t="shared" si="154"/>
        <v>6.5600000000000006E-2</v>
      </c>
      <c r="AT102" s="61">
        <f t="shared" si="155"/>
        <v>3.4361904761904767E-2</v>
      </c>
      <c r="AU102" s="63">
        <f t="shared" si="156"/>
        <v>0.26606017885888383</v>
      </c>
      <c r="AV102" s="63">
        <f t="shared" si="134"/>
        <v>0.21239178682040225</v>
      </c>
      <c r="AW102" s="63">
        <f t="shared" si="135"/>
        <v>1.9840000000000001E-3</v>
      </c>
      <c r="AX102" s="63">
        <f t="shared" si="136"/>
        <v>3.5200000000000002E-2</v>
      </c>
      <c r="AY102" s="63">
        <f t="shared" si="137"/>
        <v>3.7184000000000002E-2</v>
      </c>
      <c r="AZ102" s="63">
        <f t="shared" si="138"/>
        <v>3.8389902852252971</v>
      </c>
      <c r="BA102" s="64">
        <f t="shared" si="139"/>
        <v>108</v>
      </c>
      <c r="BB102" s="76">
        <f t="shared" si="157"/>
        <v>0.96567395435675307</v>
      </c>
      <c r="BC102" s="64">
        <f t="shared" si="158"/>
        <v>96.567395435675309</v>
      </c>
      <c r="BD102" s="63">
        <f t="shared" si="140"/>
        <v>2.4985806365478558</v>
      </c>
      <c r="BE102" s="63">
        <f t="shared" si="159"/>
        <v>1.0712376214051016</v>
      </c>
      <c r="BF102" s="63">
        <f t="shared" si="141"/>
        <v>0.8051774425462177</v>
      </c>
      <c r="BG102" s="63">
        <f t="shared" si="142"/>
        <v>0.26606017885888383</v>
      </c>
      <c r="BH102" s="63">
        <f t="shared" si="143"/>
        <v>0.21239178682040225</v>
      </c>
      <c r="BI102" s="63">
        <f t="shared" si="160"/>
        <v>3.7184000000000002E-2</v>
      </c>
      <c r="BJ102" s="63">
        <f t="shared" si="161"/>
        <v>1.4772199012393373E-2</v>
      </c>
      <c r="BK102" s="63">
        <f t="shared" si="162"/>
        <v>4.8240414395444619E-3</v>
      </c>
      <c r="BL102" s="63">
        <f t="shared" si="163"/>
        <v>3.8389902852252975</v>
      </c>
      <c r="BQ102" s="77"/>
      <c r="BR102" s="78"/>
    </row>
    <row r="103" spans="3:70" x14ac:dyDescent="0.2">
      <c r="C103" s="61">
        <v>91</v>
      </c>
      <c r="D103" s="61">
        <f t="shared" si="103"/>
        <v>25</v>
      </c>
      <c r="E103" s="61">
        <f t="shared" si="104"/>
        <v>25</v>
      </c>
      <c r="F103" s="61">
        <f t="shared" si="105"/>
        <v>25</v>
      </c>
      <c r="G103" s="73">
        <f t="shared" si="106"/>
        <v>16</v>
      </c>
      <c r="H103" s="64">
        <f t="shared" si="107"/>
        <v>1</v>
      </c>
      <c r="I103" s="63">
        <f t="shared" si="144"/>
        <v>9.1</v>
      </c>
      <c r="J103" s="65">
        <f t="shared" si="108"/>
        <v>9.4999999999999998E-3</v>
      </c>
      <c r="K103" s="65">
        <f t="shared" si="109"/>
        <v>9.4999999999999998E-3</v>
      </c>
      <c r="L103" s="65">
        <f t="shared" si="110"/>
        <v>1.0999999999999999E-2</v>
      </c>
      <c r="M103" s="65">
        <f t="shared" si="111"/>
        <v>2.6000000000000003E-3</v>
      </c>
      <c r="N103" s="63">
        <f t="shared" si="112"/>
        <v>0.763138125</v>
      </c>
      <c r="O103" s="64">
        <f t="shared" si="113"/>
        <v>2.8762675931250006</v>
      </c>
      <c r="P103" s="64">
        <f t="shared" si="114"/>
        <v>10.5381337965625</v>
      </c>
      <c r="Q103" s="64">
        <f t="shared" si="115"/>
        <v>7.6618662034374996</v>
      </c>
      <c r="R103" s="64">
        <f t="shared" si="116"/>
        <v>0</v>
      </c>
      <c r="S103" s="64">
        <f t="shared" si="117"/>
        <v>9.1378011362474449</v>
      </c>
      <c r="T103" s="63">
        <f t="shared" si="145"/>
        <v>0.918493505661656</v>
      </c>
      <c r="U103" s="63">
        <f t="shared" si="118"/>
        <v>1.6</v>
      </c>
      <c r="V103" s="63">
        <f t="shared" si="146"/>
        <v>2.518493505661656</v>
      </c>
      <c r="W103" s="64">
        <f t="shared" si="147"/>
        <v>0.83030693457605809</v>
      </c>
      <c r="X103" s="63">
        <f t="shared" si="119"/>
        <v>4.8258672392356332E-3</v>
      </c>
      <c r="Y103" s="63">
        <f t="shared" si="148"/>
        <v>4.8258672392356332E-3</v>
      </c>
      <c r="Z103" s="64">
        <f t="shared" si="120"/>
        <v>3.8849985328331531</v>
      </c>
      <c r="AA103" s="74">
        <f t="shared" si="121"/>
        <v>1.5093213600115753E-2</v>
      </c>
      <c r="AB103" s="75">
        <f t="shared" si="149"/>
        <v>1.5093213600115753E-2</v>
      </c>
      <c r="AC103" s="63">
        <f t="shared" si="122"/>
        <v>7.9825799642113493</v>
      </c>
      <c r="AD103" s="63">
        <f t="shared" si="150"/>
        <v>0.60535503740777041</v>
      </c>
      <c r="AE103" s="63">
        <f t="shared" si="123"/>
        <v>0.672077721414578</v>
      </c>
      <c r="AF103" s="63">
        <f t="shared" si="124"/>
        <v>0.11550275765080588</v>
      </c>
      <c r="AG103" s="63">
        <f t="shared" si="125"/>
        <v>3.8400000000000001E-3</v>
      </c>
      <c r="AH103" s="63">
        <f t="shared" si="126"/>
        <v>0</v>
      </c>
      <c r="AI103" s="63">
        <f t="shared" si="151"/>
        <v>3.1238095238095238E-2</v>
      </c>
      <c r="AJ103" s="63">
        <f t="shared" si="152"/>
        <v>0.82265857430347911</v>
      </c>
      <c r="AK103" s="63">
        <f t="shared" si="127"/>
        <v>4.4472268573321774</v>
      </c>
      <c r="AL103" s="63">
        <f t="shared" si="128"/>
        <v>0.18788935384547803</v>
      </c>
      <c r="AM103" s="63">
        <f t="shared" si="129"/>
        <v>0.19386302066622974</v>
      </c>
      <c r="AN103" s="63">
        <f t="shared" si="130"/>
        <v>4.2529492962750007E-2</v>
      </c>
      <c r="AO103" s="63">
        <f t="shared" si="131"/>
        <v>236.25133340807628</v>
      </c>
      <c r="AP103" s="63">
        <f t="shared" si="153"/>
        <v>4.2529492962750007E-2</v>
      </c>
      <c r="AQ103" s="61">
        <f t="shared" si="132"/>
        <v>6.5600000000000006E-2</v>
      </c>
      <c r="AR103" s="61">
        <f t="shared" si="133"/>
        <v>7110400000</v>
      </c>
      <c r="AS103" s="61">
        <f t="shared" si="154"/>
        <v>6.5600000000000006E-2</v>
      </c>
      <c r="AT103" s="61">
        <f t="shared" si="155"/>
        <v>3.4361904761904767E-2</v>
      </c>
      <c r="AU103" s="63">
        <f t="shared" si="156"/>
        <v>0.27075441839088449</v>
      </c>
      <c r="AV103" s="63">
        <f t="shared" si="134"/>
        <v>0.21709846497457327</v>
      </c>
      <c r="AW103" s="63">
        <f t="shared" si="135"/>
        <v>1.9840000000000001E-3</v>
      </c>
      <c r="AX103" s="63">
        <f t="shared" si="136"/>
        <v>3.5200000000000002E-2</v>
      </c>
      <c r="AY103" s="63">
        <f t="shared" si="137"/>
        <v>3.7184000000000002E-2</v>
      </c>
      <c r="AZ103" s="63">
        <f t="shared" si="138"/>
        <v>3.8861080441699438</v>
      </c>
      <c r="BA103" s="64">
        <f t="shared" si="139"/>
        <v>109.19999999999999</v>
      </c>
      <c r="BB103" s="76">
        <f t="shared" si="157"/>
        <v>0.96563584943031122</v>
      </c>
      <c r="BC103" s="64">
        <f t="shared" si="158"/>
        <v>96.563584943031117</v>
      </c>
      <c r="BD103" s="63">
        <f t="shared" si="140"/>
        <v>2.518493505661656</v>
      </c>
      <c r="BE103" s="63">
        <f t="shared" si="159"/>
        <v>1.0934129926943637</v>
      </c>
      <c r="BF103" s="63">
        <f t="shared" si="141"/>
        <v>0.82265857430347911</v>
      </c>
      <c r="BG103" s="63">
        <f t="shared" si="142"/>
        <v>0.27075441839088449</v>
      </c>
      <c r="BH103" s="63">
        <f t="shared" si="143"/>
        <v>0.21709846497457327</v>
      </c>
      <c r="BI103" s="63">
        <f t="shared" si="160"/>
        <v>3.7184000000000002E-2</v>
      </c>
      <c r="BJ103" s="63">
        <f t="shared" si="161"/>
        <v>1.5093213600115753E-2</v>
      </c>
      <c r="BK103" s="63">
        <f t="shared" si="162"/>
        <v>4.8258672392356332E-3</v>
      </c>
      <c r="BL103" s="63">
        <f t="shared" si="163"/>
        <v>3.8861080441699438</v>
      </c>
      <c r="BQ103" s="77"/>
      <c r="BR103" s="78"/>
    </row>
    <row r="104" spans="3:70" x14ac:dyDescent="0.2">
      <c r="C104" s="61">
        <v>92</v>
      </c>
      <c r="D104" s="61">
        <f t="shared" si="103"/>
        <v>25</v>
      </c>
      <c r="E104" s="61">
        <f t="shared" si="104"/>
        <v>25</v>
      </c>
      <c r="F104" s="61">
        <f t="shared" si="105"/>
        <v>25</v>
      </c>
      <c r="G104" s="73">
        <f t="shared" si="106"/>
        <v>16</v>
      </c>
      <c r="H104" s="64">
        <f t="shared" si="107"/>
        <v>1</v>
      </c>
      <c r="I104" s="63">
        <f t="shared" si="144"/>
        <v>9.1999999999999993</v>
      </c>
      <c r="J104" s="65">
        <f t="shared" si="108"/>
        <v>9.4999999999999998E-3</v>
      </c>
      <c r="K104" s="65">
        <f t="shared" si="109"/>
        <v>9.4999999999999998E-3</v>
      </c>
      <c r="L104" s="65">
        <f t="shared" si="110"/>
        <v>1.0999999999999999E-2</v>
      </c>
      <c r="M104" s="65">
        <f t="shared" si="111"/>
        <v>2.6000000000000003E-3</v>
      </c>
      <c r="N104" s="63">
        <f t="shared" si="112"/>
        <v>0.76328249999999997</v>
      </c>
      <c r="O104" s="64">
        <f t="shared" si="113"/>
        <v>2.8768117425000006</v>
      </c>
      <c r="P104" s="64">
        <f t="shared" si="114"/>
        <v>10.638405871249999</v>
      </c>
      <c r="Q104" s="64">
        <f t="shared" si="115"/>
        <v>7.7615941287499988</v>
      </c>
      <c r="R104" s="64">
        <f t="shared" si="116"/>
        <v>0</v>
      </c>
      <c r="S104" s="64">
        <f t="shared" si="117"/>
        <v>9.2374060473426276</v>
      </c>
      <c r="T104" s="63">
        <f t="shared" si="145"/>
        <v>0.93862637531830351</v>
      </c>
      <c r="U104" s="63">
        <f t="shared" si="118"/>
        <v>1.6</v>
      </c>
      <c r="V104" s="63">
        <f t="shared" si="146"/>
        <v>2.5386263753183034</v>
      </c>
      <c r="W104" s="64">
        <f t="shared" si="147"/>
        <v>0.83046401697012595</v>
      </c>
      <c r="X104" s="63">
        <f t="shared" si="119"/>
        <v>4.8276933843751039E-3</v>
      </c>
      <c r="Y104" s="63">
        <f t="shared" si="148"/>
        <v>4.8276933843751039E-3</v>
      </c>
      <c r="Z104" s="64">
        <f t="shared" si="120"/>
        <v>3.9265205043361298</v>
      </c>
      <c r="AA104" s="74">
        <f t="shared" si="121"/>
        <v>1.5417563270972056E-2</v>
      </c>
      <c r="AB104" s="75">
        <f t="shared" si="149"/>
        <v>1.5417563270972056E-2</v>
      </c>
      <c r="AC104" s="63">
        <f t="shared" si="122"/>
        <v>8.0703558912112712</v>
      </c>
      <c r="AD104" s="63">
        <f t="shared" si="150"/>
        <v>0.61874112000268044</v>
      </c>
      <c r="AE104" s="63">
        <f t="shared" si="123"/>
        <v>0.68861758677323304</v>
      </c>
      <c r="AF104" s="63">
        <f t="shared" si="124"/>
        <v>0.1167084358756507</v>
      </c>
      <c r="AG104" s="63">
        <f t="shared" si="125"/>
        <v>3.8400000000000001E-3</v>
      </c>
      <c r="AH104" s="63">
        <f t="shared" si="126"/>
        <v>0</v>
      </c>
      <c r="AI104" s="63">
        <f t="shared" si="151"/>
        <v>3.1238095238095238E-2</v>
      </c>
      <c r="AJ104" s="63">
        <f t="shared" si="152"/>
        <v>0.840404117886979</v>
      </c>
      <c r="AK104" s="63">
        <f t="shared" si="127"/>
        <v>4.4943326838000868</v>
      </c>
      <c r="AL104" s="63">
        <f t="shared" si="128"/>
        <v>0.19189074959040006</v>
      </c>
      <c r="AM104" s="63">
        <f t="shared" si="129"/>
        <v>0.19812578445843823</v>
      </c>
      <c r="AN104" s="63">
        <f t="shared" si="130"/>
        <v>4.3009275303E-2</v>
      </c>
      <c r="AO104" s="63">
        <f t="shared" si="131"/>
        <v>238.91652430816498</v>
      </c>
      <c r="AP104" s="63">
        <f t="shared" si="153"/>
        <v>4.3009275303E-2</v>
      </c>
      <c r="AQ104" s="61">
        <f t="shared" si="132"/>
        <v>6.5600000000000006E-2</v>
      </c>
      <c r="AR104" s="61">
        <f t="shared" si="133"/>
        <v>7110400000</v>
      </c>
      <c r="AS104" s="61">
        <f t="shared" si="154"/>
        <v>6.5600000000000006E-2</v>
      </c>
      <c r="AT104" s="61">
        <f t="shared" si="155"/>
        <v>3.4361904761904767E-2</v>
      </c>
      <c r="AU104" s="63">
        <f t="shared" si="156"/>
        <v>0.27549696452334299</v>
      </c>
      <c r="AV104" s="63">
        <f t="shared" si="134"/>
        <v>0.22185714325705361</v>
      </c>
      <c r="AW104" s="63">
        <f t="shared" si="135"/>
        <v>1.9840000000000001E-3</v>
      </c>
      <c r="AX104" s="63">
        <f t="shared" si="136"/>
        <v>3.5200000000000002E-2</v>
      </c>
      <c r="AY104" s="63">
        <f t="shared" si="137"/>
        <v>3.7184000000000002E-2</v>
      </c>
      <c r="AZ104" s="63">
        <f t="shared" si="138"/>
        <v>3.9338138576410255</v>
      </c>
      <c r="BA104" s="64">
        <f t="shared" si="139"/>
        <v>110.39999999999999</v>
      </c>
      <c r="BB104" s="76">
        <f t="shared" si="157"/>
        <v>0.96559360940640815</v>
      </c>
      <c r="BC104" s="64">
        <f t="shared" si="158"/>
        <v>96.559360940640815</v>
      </c>
      <c r="BD104" s="63">
        <f t="shared" si="140"/>
        <v>2.5386263753183034</v>
      </c>
      <c r="BE104" s="63">
        <f t="shared" si="159"/>
        <v>1.1159010824103219</v>
      </c>
      <c r="BF104" s="63">
        <f t="shared" si="141"/>
        <v>0.840404117886979</v>
      </c>
      <c r="BG104" s="63">
        <f t="shared" si="142"/>
        <v>0.27549696452334299</v>
      </c>
      <c r="BH104" s="63">
        <f t="shared" si="143"/>
        <v>0.22185714325705361</v>
      </c>
      <c r="BI104" s="63">
        <f t="shared" si="160"/>
        <v>3.7184000000000002E-2</v>
      </c>
      <c r="BJ104" s="63">
        <f t="shared" si="161"/>
        <v>1.5417563270972056E-2</v>
      </c>
      <c r="BK104" s="63">
        <f t="shared" si="162"/>
        <v>4.8276933843751039E-3</v>
      </c>
      <c r="BL104" s="63">
        <f t="shared" si="163"/>
        <v>3.9338138576410255</v>
      </c>
      <c r="BQ104" s="77"/>
      <c r="BR104" s="78"/>
    </row>
    <row r="105" spans="3:70" x14ac:dyDescent="0.2">
      <c r="C105" s="61">
        <v>93</v>
      </c>
      <c r="D105" s="61">
        <f t="shared" si="103"/>
        <v>25</v>
      </c>
      <c r="E105" s="61">
        <f t="shared" si="104"/>
        <v>25</v>
      </c>
      <c r="F105" s="61">
        <f t="shared" si="105"/>
        <v>25</v>
      </c>
      <c r="G105" s="73">
        <f t="shared" si="106"/>
        <v>16</v>
      </c>
      <c r="H105" s="64">
        <f t="shared" si="107"/>
        <v>1</v>
      </c>
      <c r="I105" s="63">
        <f t="shared" si="144"/>
        <v>9.3000000000000007</v>
      </c>
      <c r="J105" s="65">
        <f t="shared" si="108"/>
        <v>9.4999999999999998E-3</v>
      </c>
      <c r="K105" s="65">
        <f t="shared" si="109"/>
        <v>9.4999999999999998E-3</v>
      </c>
      <c r="L105" s="65">
        <f t="shared" si="110"/>
        <v>1.0999999999999999E-2</v>
      </c>
      <c r="M105" s="65">
        <f t="shared" si="111"/>
        <v>2.6000000000000003E-3</v>
      </c>
      <c r="N105" s="63">
        <f t="shared" si="112"/>
        <v>0.76342687499999995</v>
      </c>
      <c r="O105" s="64">
        <f t="shared" si="113"/>
        <v>2.8773558918750002</v>
      </c>
      <c r="P105" s="64">
        <f t="shared" si="114"/>
        <v>10.7386779459375</v>
      </c>
      <c r="Q105" s="64">
        <f t="shared" si="115"/>
        <v>7.8613220540625006</v>
      </c>
      <c r="R105" s="64">
        <f t="shared" si="116"/>
        <v>0</v>
      </c>
      <c r="S105" s="64">
        <f t="shared" si="117"/>
        <v>9.3370194072149708</v>
      </c>
      <c r="T105" s="63">
        <f t="shared" si="145"/>
        <v>0.95897924551779901</v>
      </c>
      <c r="U105" s="63">
        <f t="shared" si="118"/>
        <v>1.6</v>
      </c>
      <c r="V105" s="63">
        <f t="shared" si="146"/>
        <v>2.5589792455177989</v>
      </c>
      <c r="W105" s="64">
        <f t="shared" si="147"/>
        <v>0.83062109936419359</v>
      </c>
      <c r="X105" s="63">
        <f t="shared" si="119"/>
        <v>4.8295198749628713E-3</v>
      </c>
      <c r="Y105" s="63">
        <f t="shared" si="148"/>
        <v>4.8295198749628713E-3</v>
      </c>
      <c r="Z105" s="64">
        <f t="shared" si="120"/>
        <v>3.9680276253991837</v>
      </c>
      <c r="AA105" s="74">
        <f t="shared" si="121"/>
        <v>1.5745243235931086E-2</v>
      </c>
      <c r="AB105" s="75">
        <f t="shared" si="149"/>
        <v>1.5745243235931086E-2</v>
      </c>
      <c r="AC105" s="63">
        <f t="shared" si="122"/>
        <v>8.1581555880966086</v>
      </c>
      <c r="AD105" s="63">
        <f t="shared" si="150"/>
        <v>0.63227727469612316</v>
      </c>
      <c r="AE105" s="63">
        <f t="shared" si="123"/>
        <v>0.70542527102618124</v>
      </c>
      <c r="AF105" s="63">
        <f t="shared" si="124"/>
        <v>0.11791411410049557</v>
      </c>
      <c r="AG105" s="63">
        <f t="shared" si="125"/>
        <v>3.8400000000000001E-3</v>
      </c>
      <c r="AH105" s="63">
        <f t="shared" si="126"/>
        <v>0</v>
      </c>
      <c r="AI105" s="63">
        <f t="shared" si="151"/>
        <v>3.1238095238095238E-2</v>
      </c>
      <c r="AJ105" s="63">
        <f t="shared" si="152"/>
        <v>0.85841748036477206</v>
      </c>
      <c r="AK105" s="63">
        <f t="shared" si="127"/>
        <v>4.5414126448845291</v>
      </c>
      <c r="AL105" s="63">
        <f t="shared" si="128"/>
        <v>0.19593207370561239</v>
      </c>
      <c r="AM105" s="63">
        <f t="shared" si="129"/>
        <v>0.20243695195951197</v>
      </c>
      <c r="AN105" s="63">
        <f t="shared" si="130"/>
        <v>4.3489057643250006E-2</v>
      </c>
      <c r="AO105" s="63">
        <f t="shared" si="131"/>
        <v>241.58171520825377</v>
      </c>
      <c r="AP105" s="63">
        <f t="shared" si="153"/>
        <v>4.3489057643250006E-2</v>
      </c>
      <c r="AQ105" s="61">
        <f t="shared" si="132"/>
        <v>6.5600000000000006E-2</v>
      </c>
      <c r="AR105" s="61">
        <f t="shared" si="133"/>
        <v>7110400000</v>
      </c>
      <c r="AS105" s="61">
        <f t="shared" si="154"/>
        <v>6.5600000000000006E-2</v>
      </c>
      <c r="AT105" s="61">
        <f t="shared" si="155"/>
        <v>3.4361904761904767E-2</v>
      </c>
      <c r="AU105" s="63">
        <f t="shared" si="156"/>
        <v>0.28028791436466677</v>
      </c>
      <c r="AV105" s="63">
        <f t="shared" si="134"/>
        <v>0.22666782166784344</v>
      </c>
      <c r="AW105" s="63">
        <f t="shared" si="135"/>
        <v>1.9840000000000001E-3</v>
      </c>
      <c r="AX105" s="63">
        <f t="shared" si="136"/>
        <v>3.5200000000000002E-2</v>
      </c>
      <c r="AY105" s="63">
        <f t="shared" si="137"/>
        <v>3.7184000000000002E-2</v>
      </c>
      <c r="AZ105" s="63">
        <f t="shared" si="138"/>
        <v>3.9821112250259754</v>
      </c>
      <c r="BA105" s="64">
        <f t="shared" si="139"/>
        <v>111.60000000000001</v>
      </c>
      <c r="BB105" s="76">
        <f t="shared" si="157"/>
        <v>0.96554733961146266</v>
      </c>
      <c r="BC105" s="64">
        <f t="shared" si="158"/>
        <v>96.554733961146269</v>
      </c>
      <c r="BD105" s="63">
        <f t="shared" si="140"/>
        <v>2.5589792455177989</v>
      </c>
      <c r="BE105" s="63">
        <f t="shared" si="159"/>
        <v>1.1387053947294388</v>
      </c>
      <c r="BF105" s="63">
        <f t="shared" si="141"/>
        <v>0.85841748036477206</v>
      </c>
      <c r="BG105" s="63">
        <f t="shared" si="142"/>
        <v>0.28028791436466677</v>
      </c>
      <c r="BH105" s="63">
        <f t="shared" si="143"/>
        <v>0.22666782166784344</v>
      </c>
      <c r="BI105" s="63">
        <f t="shared" si="160"/>
        <v>3.7184000000000002E-2</v>
      </c>
      <c r="BJ105" s="63">
        <f t="shared" si="161"/>
        <v>1.5745243235931086E-2</v>
      </c>
      <c r="BK105" s="63">
        <f t="shared" si="162"/>
        <v>4.8295198749628713E-3</v>
      </c>
      <c r="BL105" s="63">
        <f t="shared" si="163"/>
        <v>3.9821112250259754</v>
      </c>
      <c r="BQ105" s="77"/>
      <c r="BR105" s="78"/>
    </row>
    <row r="106" spans="3:70" x14ac:dyDescent="0.2">
      <c r="C106" s="61">
        <v>94</v>
      </c>
      <c r="D106" s="61">
        <f t="shared" si="103"/>
        <v>25</v>
      </c>
      <c r="E106" s="61">
        <f t="shared" si="104"/>
        <v>25</v>
      </c>
      <c r="F106" s="61">
        <f t="shared" si="105"/>
        <v>25</v>
      </c>
      <c r="G106" s="73">
        <f t="shared" si="106"/>
        <v>16</v>
      </c>
      <c r="H106" s="64">
        <f t="shared" si="107"/>
        <v>1</v>
      </c>
      <c r="I106" s="63">
        <f t="shared" si="144"/>
        <v>9.4</v>
      </c>
      <c r="J106" s="65">
        <f t="shared" si="108"/>
        <v>9.4999999999999998E-3</v>
      </c>
      <c r="K106" s="65">
        <f t="shared" si="109"/>
        <v>9.4999999999999998E-3</v>
      </c>
      <c r="L106" s="65">
        <f t="shared" si="110"/>
        <v>1.0999999999999999E-2</v>
      </c>
      <c r="M106" s="65">
        <f t="shared" si="111"/>
        <v>2.6000000000000003E-3</v>
      </c>
      <c r="N106" s="63">
        <f t="shared" si="112"/>
        <v>0.76357125000000003</v>
      </c>
      <c r="O106" s="64">
        <f t="shared" si="113"/>
        <v>2.8779000412500007</v>
      </c>
      <c r="P106" s="64">
        <f t="shared" si="114"/>
        <v>10.838950020625001</v>
      </c>
      <c r="Q106" s="64">
        <f t="shared" si="115"/>
        <v>7.9610499793749998</v>
      </c>
      <c r="R106" s="64">
        <f t="shared" si="116"/>
        <v>0</v>
      </c>
      <c r="S106" s="64">
        <f t="shared" si="117"/>
        <v>9.4366409483081206</v>
      </c>
      <c r="T106" s="63">
        <f t="shared" si="145"/>
        <v>0.97955211626014149</v>
      </c>
      <c r="U106" s="63">
        <f t="shared" si="118"/>
        <v>1.6</v>
      </c>
      <c r="V106" s="63">
        <f t="shared" si="146"/>
        <v>2.5795521162601416</v>
      </c>
      <c r="W106" s="64">
        <f t="shared" si="147"/>
        <v>0.83077818175826157</v>
      </c>
      <c r="X106" s="63">
        <f t="shared" si="119"/>
        <v>4.8313467109989414E-3</v>
      </c>
      <c r="Y106" s="63">
        <f t="shared" si="148"/>
        <v>4.8313467109989414E-3</v>
      </c>
      <c r="Z106" s="64">
        <f t="shared" si="120"/>
        <v>4.0095197593925151</v>
      </c>
      <c r="AA106" s="74">
        <f t="shared" si="121"/>
        <v>1.6076248700959014E-2</v>
      </c>
      <c r="AB106" s="75">
        <f t="shared" si="149"/>
        <v>1.6076248700959014E-2</v>
      </c>
      <c r="AC106" s="63">
        <f t="shared" si="122"/>
        <v>8.245978820849599</v>
      </c>
      <c r="AD106" s="63">
        <f t="shared" si="150"/>
        <v>0.64596358378205132</v>
      </c>
      <c r="AE106" s="63">
        <f t="shared" si="123"/>
        <v>0.72250426013464919</v>
      </c>
      <c r="AF106" s="63">
        <f t="shared" si="124"/>
        <v>0.1191197923253404</v>
      </c>
      <c r="AG106" s="63">
        <f t="shared" si="125"/>
        <v>3.8400000000000001E-3</v>
      </c>
      <c r="AH106" s="63">
        <f t="shared" si="126"/>
        <v>0</v>
      </c>
      <c r="AI106" s="63">
        <f t="shared" si="151"/>
        <v>3.1238095238095238E-2</v>
      </c>
      <c r="AJ106" s="63">
        <f t="shared" si="152"/>
        <v>0.87670214769808485</v>
      </c>
      <c r="AK106" s="63">
        <f t="shared" si="127"/>
        <v>4.5884665928156698</v>
      </c>
      <c r="AL106" s="63">
        <f t="shared" si="128"/>
        <v>0.20001324389716171</v>
      </c>
      <c r="AM106" s="63">
        <f t="shared" si="129"/>
        <v>0.2067966222696922</v>
      </c>
      <c r="AN106" s="63">
        <f t="shared" si="130"/>
        <v>4.3968839983500013E-2</v>
      </c>
      <c r="AO106" s="63">
        <f t="shared" si="131"/>
        <v>244.24690610834253</v>
      </c>
      <c r="AP106" s="63">
        <f t="shared" si="153"/>
        <v>4.3968839983500013E-2</v>
      </c>
      <c r="AQ106" s="61">
        <f t="shared" si="132"/>
        <v>6.5600000000000006E-2</v>
      </c>
      <c r="AR106" s="61">
        <f t="shared" si="133"/>
        <v>7110400000</v>
      </c>
      <c r="AS106" s="61">
        <f t="shared" si="154"/>
        <v>6.5600000000000006E-2</v>
      </c>
      <c r="AT106" s="61">
        <f t="shared" si="155"/>
        <v>3.4361904761904767E-2</v>
      </c>
      <c r="AU106" s="63">
        <f t="shared" si="156"/>
        <v>0.28512736701509694</v>
      </c>
      <c r="AV106" s="63">
        <f t="shared" si="134"/>
        <v>0.23153050020694257</v>
      </c>
      <c r="AW106" s="63">
        <f t="shared" si="135"/>
        <v>1.9840000000000001E-3</v>
      </c>
      <c r="AX106" s="63">
        <f t="shared" si="136"/>
        <v>3.5200000000000002E-2</v>
      </c>
      <c r="AY106" s="63">
        <f t="shared" si="137"/>
        <v>3.7184000000000002E-2</v>
      </c>
      <c r="AZ106" s="63">
        <f t="shared" si="138"/>
        <v>4.0310037265922238</v>
      </c>
      <c r="BA106" s="64">
        <f t="shared" si="139"/>
        <v>112.80000000000001</v>
      </c>
      <c r="BB106" s="76">
        <f t="shared" si="157"/>
        <v>0.96549714033078438</v>
      </c>
      <c r="BC106" s="64">
        <f t="shared" si="158"/>
        <v>96.54971403307843</v>
      </c>
      <c r="BD106" s="63">
        <f t="shared" si="140"/>
        <v>2.5795521162601416</v>
      </c>
      <c r="BE106" s="63">
        <f t="shared" si="159"/>
        <v>1.1618295147131819</v>
      </c>
      <c r="BF106" s="63">
        <f t="shared" si="141"/>
        <v>0.87670214769808485</v>
      </c>
      <c r="BG106" s="63">
        <f t="shared" si="142"/>
        <v>0.28512736701509694</v>
      </c>
      <c r="BH106" s="63">
        <f t="shared" si="143"/>
        <v>0.23153050020694257</v>
      </c>
      <c r="BI106" s="63">
        <f t="shared" si="160"/>
        <v>3.7184000000000002E-2</v>
      </c>
      <c r="BJ106" s="63">
        <f t="shared" si="161"/>
        <v>1.6076248700959014E-2</v>
      </c>
      <c r="BK106" s="63">
        <f t="shared" si="162"/>
        <v>4.8313467109989414E-3</v>
      </c>
      <c r="BL106" s="63">
        <f t="shared" si="163"/>
        <v>4.0310037265922247</v>
      </c>
      <c r="BQ106" s="77"/>
      <c r="BR106" s="78"/>
    </row>
    <row r="107" spans="3:70" x14ac:dyDescent="0.2">
      <c r="C107" s="61">
        <v>95</v>
      </c>
      <c r="D107" s="61">
        <f t="shared" si="103"/>
        <v>25</v>
      </c>
      <c r="E107" s="61">
        <f t="shared" si="104"/>
        <v>25</v>
      </c>
      <c r="F107" s="61">
        <f t="shared" si="105"/>
        <v>25</v>
      </c>
      <c r="G107" s="73">
        <f t="shared" si="106"/>
        <v>16</v>
      </c>
      <c r="H107" s="64">
        <f t="shared" si="107"/>
        <v>1</v>
      </c>
      <c r="I107" s="63">
        <f t="shared" si="144"/>
        <v>9.5</v>
      </c>
      <c r="J107" s="65">
        <f t="shared" si="108"/>
        <v>9.4999999999999998E-3</v>
      </c>
      <c r="K107" s="65">
        <f t="shared" si="109"/>
        <v>9.4999999999999998E-3</v>
      </c>
      <c r="L107" s="65">
        <f t="shared" si="110"/>
        <v>1.0999999999999999E-2</v>
      </c>
      <c r="M107" s="65">
        <f t="shared" si="111"/>
        <v>2.6000000000000003E-3</v>
      </c>
      <c r="N107" s="63">
        <f t="shared" si="112"/>
        <v>0.76371562500000001</v>
      </c>
      <c r="O107" s="64">
        <f t="shared" si="113"/>
        <v>2.8784441906250007</v>
      </c>
      <c r="P107" s="64">
        <f t="shared" si="114"/>
        <v>10.9392220953125</v>
      </c>
      <c r="Q107" s="64">
        <f t="shared" si="115"/>
        <v>8.0607779046874999</v>
      </c>
      <c r="R107" s="64">
        <f t="shared" si="116"/>
        <v>0</v>
      </c>
      <c r="S107" s="64">
        <f t="shared" si="117"/>
        <v>9.5362704142244148</v>
      </c>
      <c r="T107" s="63">
        <f t="shared" si="145"/>
        <v>1.0003449875453307</v>
      </c>
      <c r="U107" s="63">
        <f t="shared" si="118"/>
        <v>1.6</v>
      </c>
      <c r="V107" s="63">
        <f t="shared" si="146"/>
        <v>2.6003449875453306</v>
      </c>
      <c r="W107" s="64">
        <f t="shared" si="147"/>
        <v>0.83093526415232932</v>
      </c>
      <c r="X107" s="63">
        <f t="shared" si="119"/>
        <v>4.8331738924833091E-3</v>
      </c>
      <c r="Y107" s="63">
        <f t="shared" si="148"/>
        <v>4.8331738924833091E-3</v>
      </c>
      <c r="Z107" s="64">
        <f t="shared" si="120"/>
        <v>4.0509967745012379</v>
      </c>
      <c r="AA107" s="74">
        <f t="shared" si="121"/>
        <v>1.6410574867019436E-2</v>
      </c>
      <c r="AB107" s="75">
        <f t="shared" si="149"/>
        <v>1.6410574867019436E-2</v>
      </c>
      <c r="AC107" s="63">
        <f t="shared" si="122"/>
        <v>8.3338253651162209</v>
      </c>
      <c r="AD107" s="63">
        <f t="shared" si="150"/>
        <v>0.6598001295544178</v>
      </c>
      <c r="AE107" s="63">
        <f t="shared" si="123"/>
        <v>0.73985812093810066</v>
      </c>
      <c r="AF107" s="63">
        <f t="shared" si="124"/>
        <v>0.12032547055018522</v>
      </c>
      <c r="AG107" s="63">
        <f t="shared" si="125"/>
        <v>3.8400000000000001E-3</v>
      </c>
      <c r="AH107" s="63">
        <f t="shared" si="126"/>
        <v>0</v>
      </c>
      <c r="AI107" s="63">
        <f t="shared" si="151"/>
        <v>3.1238095238095238E-2</v>
      </c>
      <c r="AJ107" s="63">
        <f t="shared" si="152"/>
        <v>0.89526168672638118</v>
      </c>
      <c r="AK107" s="63">
        <f t="shared" si="127"/>
        <v>4.6354943853873225</v>
      </c>
      <c r="AL107" s="63">
        <f t="shared" si="128"/>
        <v>0.20413417787109522</v>
      </c>
      <c r="AM107" s="63">
        <f t="shared" si="129"/>
        <v>0.21120489648782553</v>
      </c>
      <c r="AN107" s="63">
        <f t="shared" si="130"/>
        <v>4.4448622323750006E-2</v>
      </c>
      <c r="AO107" s="63">
        <f t="shared" si="131"/>
        <v>246.91209700843126</v>
      </c>
      <c r="AP107" s="63">
        <f t="shared" si="153"/>
        <v>4.4448622323750006E-2</v>
      </c>
      <c r="AQ107" s="61">
        <f t="shared" si="132"/>
        <v>6.5600000000000006E-2</v>
      </c>
      <c r="AR107" s="61">
        <f t="shared" si="133"/>
        <v>7110400000</v>
      </c>
      <c r="AS107" s="61">
        <f t="shared" si="154"/>
        <v>6.5600000000000006E-2</v>
      </c>
      <c r="AT107" s="61">
        <f t="shared" si="155"/>
        <v>3.4361904761904767E-2</v>
      </c>
      <c r="AU107" s="63">
        <f t="shared" si="156"/>
        <v>0.29001542357348031</v>
      </c>
      <c r="AV107" s="63">
        <f t="shared" si="134"/>
        <v>0.23644517887435096</v>
      </c>
      <c r="AW107" s="63">
        <f t="shared" si="135"/>
        <v>1.9840000000000001E-3</v>
      </c>
      <c r="AX107" s="63">
        <f t="shared" si="136"/>
        <v>3.5200000000000002E-2</v>
      </c>
      <c r="AY107" s="63">
        <f t="shared" si="137"/>
        <v>3.7184000000000002E-2</v>
      </c>
      <c r="AZ107" s="63">
        <f t="shared" si="138"/>
        <v>4.0804950254790455</v>
      </c>
      <c r="BA107" s="64">
        <f t="shared" si="139"/>
        <v>114</v>
      </c>
      <c r="BB107" s="76">
        <f t="shared" si="157"/>
        <v>0.96544310705507652</v>
      </c>
      <c r="BC107" s="64">
        <f t="shared" si="158"/>
        <v>96.544310705507655</v>
      </c>
      <c r="BD107" s="63">
        <f t="shared" si="140"/>
        <v>2.6003449875453306</v>
      </c>
      <c r="BE107" s="63">
        <f t="shared" si="159"/>
        <v>1.1852771102998614</v>
      </c>
      <c r="BF107" s="63">
        <f t="shared" si="141"/>
        <v>0.89526168672638118</v>
      </c>
      <c r="BG107" s="63">
        <f t="shared" si="142"/>
        <v>0.29001542357348031</v>
      </c>
      <c r="BH107" s="63">
        <f t="shared" si="143"/>
        <v>0.23644517887435096</v>
      </c>
      <c r="BI107" s="63">
        <f t="shared" si="160"/>
        <v>3.7184000000000002E-2</v>
      </c>
      <c r="BJ107" s="63">
        <f t="shared" si="161"/>
        <v>1.6410574867019436E-2</v>
      </c>
      <c r="BK107" s="63">
        <f t="shared" si="162"/>
        <v>4.8331738924833091E-3</v>
      </c>
      <c r="BL107" s="63">
        <f t="shared" si="163"/>
        <v>4.0804950254790455</v>
      </c>
      <c r="BQ107" s="77"/>
      <c r="BR107" s="78"/>
    </row>
    <row r="108" spans="3:70" x14ac:dyDescent="0.2">
      <c r="C108" s="61">
        <v>96</v>
      </c>
      <c r="D108" s="61">
        <f t="shared" si="103"/>
        <v>25</v>
      </c>
      <c r="E108" s="61">
        <f t="shared" si="104"/>
        <v>25</v>
      </c>
      <c r="F108" s="61">
        <f t="shared" si="105"/>
        <v>25</v>
      </c>
      <c r="G108" s="73">
        <f t="shared" si="106"/>
        <v>16</v>
      </c>
      <c r="H108" s="64">
        <f t="shared" si="107"/>
        <v>1</v>
      </c>
      <c r="I108" s="63">
        <f t="shared" si="144"/>
        <v>9.6</v>
      </c>
      <c r="J108" s="65">
        <f t="shared" si="108"/>
        <v>9.4999999999999998E-3</v>
      </c>
      <c r="K108" s="65">
        <f t="shared" si="109"/>
        <v>9.4999999999999998E-3</v>
      </c>
      <c r="L108" s="65">
        <f t="shared" si="110"/>
        <v>1.0999999999999999E-2</v>
      </c>
      <c r="M108" s="65">
        <f t="shared" si="111"/>
        <v>2.6000000000000003E-3</v>
      </c>
      <c r="N108" s="63">
        <f>(V.load+I108*(K108+L108+M108))/(V.supply_typ+I108*(K108-J108))</f>
        <v>0.76385999999999998</v>
      </c>
      <c r="O108" s="64">
        <f>(V.supply_typ-I.load*(J108+L108+M108)-V.load)*N108/(f.sw*L.out)</f>
        <v>2.8789883400000007</v>
      </c>
      <c r="P108" s="64">
        <f>I108+O108/2</f>
        <v>11.039494169999999</v>
      </c>
      <c r="Q108" s="64">
        <f t="shared" si="115"/>
        <v>8.16050583</v>
      </c>
      <c r="R108" s="64">
        <f>IF(MIN(V.supply_typ, -Q108/(C.oss_hs+C.oss_ls)*0.00000002)&lt;0, 0, MIN(V.supply_typ, -Q108/(C.oss_hs+C.oss_ls)*0.00000002))</f>
        <v>0</v>
      </c>
      <c r="S108" s="64">
        <f t="shared" si="117"/>
        <v>9.6359075591502013</v>
      </c>
      <c r="T108" s="63">
        <f t="shared" si="145"/>
        <v>1.0213578593733679</v>
      </c>
      <c r="U108" s="63">
        <f t="shared" si="118"/>
        <v>1.6</v>
      </c>
      <c r="V108" s="63">
        <f t="shared" si="146"/>
        <v>2.6213578593733677</v>
      </c>
      <c r="W108" s="64">
        <f t="shared" si="147"/>
        <v>0.83109234654639719</v>
      </c>
      <c r="X108" s="63">
        <f>R.esrb*W108^2</f>
        <v>4.8350014194159779E-3</v>
      </c>
      <c r="Y108" s="63">
        <f t="shared" si="148"/>
        <v>4.8350014194159779E-3</v>
      </c>
      <c r="Z108" s="64">
        <f t="shared" si="120"/>
        <v>4.0924585434764422</v>
      </c>
      <c r="AA108" s="74">
        <f>R.esr_cin*Z108^2</f>
        <v>1.6748216930073324E-2</v>
      </c>
      <c r="AB108" s="75">
        <f t="shared" si="149"/>
        <v>1.6748216930073324E-2</v>
      </c>
      <c r="AC108" s="63">
        <f t="shared" si="122"/>
        <v>8.4216950057085551</v>
      </c>
      <c r="AD108" s="63">
        <f t="shared" si="150"/>
        <v>0.67378699430717592</v>
      </c>
      <c r="AE108" s="63">
        <f>AD108*(1+TC_rdson_hs*(T.amb-25))/(1-AD108*TC_rdson_hs*theta.ja_hs)</f>
        <v>0.75749050320384792</v>
      </c>
      <c r="AF108" s="63">
        <f t="shared" si="124"/>
        <v>0.12153114877503005</v>
      </c>
      <c r="AG108" s="63">
        <f t="shared" si="125"/>
        <v>3.8400000000000001E-3</v>
      </c>
      <c r="AH108" s="63">
        <f t="shared" si="126"/>
        <v>0</v>
      </c>
      <c r="AI108" s="63">
        <f t="shared" si="151"/>
        <v>3.1238095238095238E-2</v>
      </c>
      <c r="AJ108" s="63">
        <f t="shared" si="152"/>
        <v>0.91409974721697329</v>
      </c>
      <c r="AK108" s="63">
        <f t="shared" si="127"/>
        <v>4.6824958856694749</v>
      </c>
      <c r="AL108" s="63">
        <f>K108*AK108^2</f>
        <v>0.20829479333345982</v>
      </c>
      <c r="AM108" s="63">
        <f>AL108*(1+TC_rdson_ls*(T.amb-25))/(1-AL108*TC_rdson_ls*theta.ja_ls)</f>
        <v>0.21566187771833628</v>
      </c>
      <c r="AN108" s="63">
        <f t="shared" si="130"/>
        <v>4.4928404663999999E-2</v>
      </c>
      <c r="AO108" s="63">
        <f t="shared" si="131"/>
        <v>249.57728790852002</v>
      </c>
      <c r="AP108" s="63">
        <f t="shared" si="153"/>
        <v>4.4928404663999999E-2</v>
      </c>
      <c r="AQ108" s="61">
        <f t="shared" si="132"/>
        <v>6.5600000000000006E-2</v>
      </c>
      <c r="AR108" s="61">
        <f t="shared" si="133"/>
        <v>7110400000</v>
      </c>
      <c r="AS108" s="61">
        <f t="shared" si="154"/>
        <v>6.5600000000000006E-2</v>
      </c>
      <c r="AT108" s="61">
        <f t="shared" si="155"/>
        <v>3.4361904761904767E-2</v>
      </c>
      <c r="AU108" s="63">
        <f t="shared" si="156"/>
        <v>0.29495218714424104</v>
      </c>
      <c r="AV108" s="63">
        <f t="shared" si="134"/>
        <v>0.24141185767006881</v>
      </c>
      <c r="AW108" s="63">
        <f t="shared" si="135"/>
        <v>1.9840000000000001E-3</v>
      </c>
      <c r="AX108" s="63">
        <f t="shared" si="136"/>
        <v>3.5200000000000002E-2</v>
      </c>
      <c r="AY108" s="63">
        <f>SUM(AW108:AX108)</f>
        <v>3.7184000000000002E-2</v>
      </c>
      <c r="AZ108" s="63">
        <f>V108+Y108+AB108+AJ108+AU108+AV108+AY108</f>
        <v>4.1305888697541402</v>
      </c>
      <c r="BA108" s="64">
        <f t="shared" si="139"/>
        <v>115.19999999999999</v>
      </c>
      <c r="BB108" s="76">
        <f t="shared" si="157"/>
        <v>0.96538533071128518</v>
      </c>
      <c r="BC108" s="64">
        <f t="shared" si="158"/>
        <v>96.538533071128512</v>
      </c>
      <c r="BD108" s="63">
        <f t="shared" si="140"/>
        <v>2.6213578593733677</v>
      </c>
      <c r="BE108" s="63">
        <f t="shared" si="159"/>
        <v>1.2090519343612143</v>
      </c>
      <c r="BF108" s="63">
        <f t="shared" si="141"/>
        <v>0.91409974721697329</v>
      </c>
      <c r="BG108" s="63">
        <f t="shared" si="142"/>
        <v>0.29495218714424104</v>
      </c>
      <c r="BH108" s="63">
        <f t="shared" si="143"/>
        <v>0.24141185767006881</v>
      </c>
      <c r="BI108" s="63">
        <f t="shared" si="160"/>
        <v>3.7184000000000002E-2</v>
      </c>
      <c r="BJ108" s="63">
        <f t="shared" si="161"/>
        <v>1.6748216930073324E-2</v>
      </c>
      <c r="BK108" s="63">
        <f t="shared" si="162"/>
        <v>4.8350014194159779E-3</v>
      </c>
      <c r="BL108" s="63">
        <f t="shared" si="163"/>
        <v>4.1305888697541402</v>
      </c>
      <c r="BQ108" s="77"/>
      <c r="BR108" s="78"/>
    </row>
    <row r="109" spans="3:70" x14ac:dyDescent="0.2">
      <c r="C109" s="61">
        <v>97</v>
      </c>
      <c r="D109" s="61">
        <f t="shared" si="103"/>
        <v>25</v>
      </c>
      <c r="E109" s="61">
        <f t="shared" si="104"/>
        <v>25</v>
      </c>
      <c r="F109" s="61">
        <f t="shared" si="105"/>
        <v>25</v>
      </c>
      <c r="G109" s="73">
        <f t="shared" si="106"/>
        <v>16</v>
      </c>
      <c r="H109" s="64">
        <f t="shared" si="107"/>
        <v>1</v>
      </c>
      <c r="I109" s="63">
        <f t="shared" si="144"/>
        <v>9.6999999999999993</v>
      </c>
      <c r="J109" s="65">
        <f t="shared" si="108"/>
        <v>9.4999999999999998E-3</v>
      </c>
      <c r="K109" s="65">
        <f t="shared" si="109"/>
        <v>9.4999999999999998E-3</v>
      </c>
      <c r="L109" s="65">
        <f t="shared" si="110"/>
        <v>1.0999999999999999E-2</v>
      </c>
      <c r="M109" s="65">
        <f t="shared" si="111"/>
        <v>2.6000000000000003E-3</v>
      </c>
      <c r="N109" s="63">
        <f>(V.load+I109*(K109+L109+M109))/(V.supply_typ+I109*(K109-J109))</f>
        <v>0.76400437499999996</v>
      </c>
      <c r="O109" s="64">
        <f>(V.supply_typ-I.load*(J109+L109+M109)-V.load)*N109/(f.sw*L.out)</f>
        <v>2.8795324893750003</v>
      </c>
      <c r="P109" s="64">
        <f>I109+O109/2</f>
        <v>11.1397662446875</v>
      </c>
      <c r="Q109" s="64">
        <f t="shared" si="115"/>
        <v>8.2602337553124983</v>
      </c>
      <c r="R109" s="64">
        <f>IF(MIN(V.supply_typ, -Q109/(C.oss_hs+C.oss_ls)*0.00000002)&lt;0, 0, MIN(V.supply_typ, -Q109/(C.oss_hs+C.oss_ls)*0.00000002))</f>
        <v>0</v>
      </c>
      <c r="S109" s="64">
        <f t="shared" si="117"/>
        <v>9.7355521473162394</v>
      </c>
      <c r="T109" s="63">
        <f t="shared" si="145"/>
        <v>1.0425907317442522</v>
      </c>
      <c r="U109" s="63">
        <f t="shared" si="118"/>
        <v>1.6</v>
      </c>
      <c r="V109" s="63">
        <f t="shared" si="146"/>
        <v>2.6425907317442521</v>
      </c>
      <c r="W109" s="64">
        <f t="shared" si="147"/>
        <v>0.83124942894046483</v>
      </c>
      <c r="X109" s="63">
        <f>R.esrb*W109^2</f>
        <v>4.8368292917969425E-3</v>
      </c>
      <c r="Y109" s="63">
        <f t="shared" si="148"/>
        <v>4.8368292917969425E-3</v>
      </c>
      <c r="Z109" s="64">
        <f t="shared" si="120"/>
        <v>4.1339049434014621</v>
      </c>
      <c r="AA109" s="74">
        <f>R.esr_cin*Z109^2</f>
        <v>1.7089170081079047E-2</v>
      </c>
      <c r="AB109" s="75">
        <f t="shared" si="149"/>
        <v>1.7089170081079047E-2</v>
      </c>
      <c r="AC109" s="63">
        <f t="shared" si="122"/>
        <v>8.5095875361375342</v>
      </c>
      <c r="AD109" s="63">
        <f t="shared" si="150"/>
        <v>0.687924260334279</v>
      </c>
      <c r="AE109" s="63">
        <f>AD109*(1+TC_rdson_hs*(T.amb-25))/(1-AD109*TC_rdson_hs*theta.ja_hs)</f>
        <v>0.77540514174358932</v>
      </c>
      <c r="AF109" s="63">
        <f t="shared" si="124"/>
        <v>0.1227368269998749</v>
      </c>
      <c r="AG109" s="63">
        <f t="shared" si="125"/>
        <v>3.8400000000000001E-3</v>
      </c>
      <c r="AH109" s="63">
        <f t="shared" si="126"/>
        <v>0</v>
      </c>
      <c r="AI109" s="63">
        <f t="shared" si="151"/>
        <v>3.1238095238095238E-2</v>
      </c>
      <c r="AJ109" s="63">
        <f t="shared" si="152"/>
        <v>0.93322006398155954</v>
      </c>
      <c r="AK109" s="63">
        <f t="shared" si="127"/>
        <v>4.7294709617383806</v>
      </c>
      <c r="AL109" s="63">
        <f>K109*AK109^2</f>
        <v>0.21249500799030233</v>
      </c>
      <c r="AM109" s="63">
        <f>AL109*(1+TC_rdson_ls*(T.amb-25))/(1-AL109*TC_rdson_ls*theta.ja_ls)</f>
        <v>0.22016767107840426</v>
      </c>
      <c r="AN109" s="63">
        <f t="shared" si="130"/>
        <v>4.5408187004249999E-2</v>
      </c>
      <c r="AO109" s="63">
        <f t="shared" si="131"/>
        <v>252.24247880860872</v>
      </c>
      <c r="AP109" s="63">
        <f t="shared" si="153"/>
        <v>4.5408187004249999E-2</v>
      </c>
      <c r="AQ109" s="61">
        <f t="shared" si="132"/>
        <v>6.5600000000000006E-2</v>
      </c>
      <c r="AR109" s="61">
        <f t="shared" si="133"/>
        <v>7110400000</v>
      </c>
      <c r="AS109" s="61">
        <f t="shared" si="154"/>
        <v>6.5600000000000006E-2</v>
      </c>
      <c r="AT109" s="61">
        <f t="shared" si="155"/>
        <v>3.4361904761904767E-2</v>
      </c>
      <c r="AU109" s="63">
        <f t="shared" si="156"/>
        <v>0.29993776284455903</v>
      </c>
      <c r="AV109" s="63">
        <f t="shared" si="134"/>
        <v>0.246430536594096</v>
      </c>
      <c r="AW109" s="63">
        <f t="shared" si="135"/>
        <v>1.9840000000000001E-3</v>
      </c>
      <c r="AX109" s="63">
        <f t="shared" si="136"/>
        <v>3.5200000000000002E-2</v>
      </c>
      <c r="AY109" s="63">
        <f>SUM(AW109:AX109)</f>
        <v>3.7184000000000002E-2</v>
      </c>
      <c r="AZ109" s="63">
        <f>V109+Y109+AB109+AJ109+AU109+AV109+AY109</f>
        <v>4.1812890945373429</v>
      </c>
      <c r="BA109" s="64">
        <f t="shared" si="139"/>
        <v>116.39999999999999</v>
      </c>
      <c r="BB109" s="76">
        <f t="shared" si="157"/>
        <v>0.96532389787888928</v>
      </c>
      <c r="BC109" s="64">
        <f t="shared" si="158"/>
        <v>96.532389787888931</v>
      </c>
      <c r="BD109" s="63">
        <f t="shared" si="140"/>
        <v>2.6425907317442521</v>
      </c>
      <c r="BE109" s="63">
        <f t="shared" si="159"/>
        <v>1.2331578268261185</v>
      </c>
      <c r="BF109" s="63">
        <f t="shared" si="141"/>
        <v>0.93322006398155954</v>
      </c>
      <c r="BG109" s="63">
        <f t="shared" si="142"/>
        <v>0.29993776284455903</v>
      </c>
      <c r="BH109" s="63">
        <f t="shared" si="143"/>
        <v>0.246430536594096</v>
      </c>
      <c r="BI109" s="63">
        <f t="shared" si="160"/>
        <v>3.7184000000000002E-2</v>
      </c>
      <c r="BJ109" s="63">
        <f t="shared" si="161"/>
        <v>1.7089170081079047E-2</v>
      </c>
      <c r="BK109" s="63">
        <f t="shared" si="162"/>
        <v>4.8368292917969425E-3</v>
      </c>
      <c r="BL109" s="63">
        <f t="shared" si="163"/>
        <v>4.1812890945373429</v>
      </c>
      <c r="BQ109" s="77"/>
      <c r="BR109" s="78"/>
    </row>
    <row r="110" spans="3:70" x14ac:dyDescent="0.2">
      <c r="C110" s="61">
        <v>98</v>
      </c>
      <c r="D110" s="61">
        <f t="shared" si="103"/>
        <v>25</v>
      </c>
      <c r="E110" s="61">
        <f t="shared" si="104"/>
        <v>25</v>
      </c>
      <c r="F110" s="61">
        <f t="shared" si="105"/>
        <v>25</v>
      </c>
      <c r="G110" s="73">
        <f t="shared" si="106"/>
        <v>16</v>
      </c>
      <c r="H110" s="64">
        <f t="shared" si="107"/>
        <v>1</v>
      </c>
      <c r="I110" s="63">
        <f t="shared" si="144"/>
        <v>9.8000000000000007</v>
      </c>
      <c r="J110" s="65">
        <f t="shared" si="108"/>
        <v>9.4999999999999998E-3</v>
      </c>
      <c r="K110" s="65">
        <f t="shared" si="109"/>
        <v>9.4999999999999998E-3</v>
      </c>
      <c r="L110" s="65">
        <f t="shared" si="110"/>
        <v>1.0999999999999999E-2</v>
      </c>
      <c r="M110" s="65">
        <f t="shared" si="111"/>
        <v>2.6000000000000003E-3</v>
      </c>
      <c r="N110" s="63">
        <f>(V.load+I110*(K110+L110+M110))/(V.supply_typ+I110*(K110-J110))</f>
        <v>0.76414875000000004</v>
      </c>
      <c r="O110" s="64">
        <f>(V.supply_typ-I.load*(J110+L110+M110)-V.load)*N110/(f.sw*L.out)</f>
        <v>2.8800766387500008</v>
      </c>
      <c r="P110" s="64">
        <f>I110+O110/2</f>
        <v>11.240038319375001</v>
      </c>
      <c r="Q110" s="64">
        <f t="shared" si="115"/>
        <v>8.3599616806250001</v>
      </c>
      <c r="R110" s="64">
        <f>IF(MIN(V.supply_typ, -Q110/(C.oss_hs+C.oss_ls)*0.00000002)&lt;0, 0, MIN(V.supply_typ, -Q110/(C.oss_hs+C.oss_ls)*0.00000002))</f>
        <v>0</v>
      </c>
      <c r="S110" s="64">
        <f t="shared" si="117"/>
        <v>9.8352039524907404</v>
      </c>
      <c r="T110" s="63">
        <f t="shared" si="145"/>
        <v>1.0640436046579842</v>
      </c>
      <c r="U110" s="63">
        <f t="shared" si="118"/>
        <v>1.6</v>
      </c>
      <c r="V110" s="63">
        <f t="shared" si="146"/>
        <v>2.6640436046579845</v>
      </c>
      <c r="W110" s="64">
        <f t="shared" si="147"/>
        <v>0.83140651133453281</v>
      </c>
      <c r="X110" s="63">
        <f>R.esrb*W110^2</f>
        <v>4.8386575096262098E-3</v>
      </c>
      <c r="Y110" s="63">
        <f t="shared" si="148"/>
        <v>4.8386575096262098E-3</v>
      </c>
      <c r="Z110" s="64">
        <f t="shared" si="120"/>
        <v>4.1753358554722713</v>
      </c>
      <c r="AA110" s="74">
        <f>R.esr_cin*Z110^2</f>
        <v>1.7433429505992366E-2</v>
      </c>
      <c r="AB110" s="75">
        <f t="shared" si="149"/>
        <v>1.7433429505992366E-2</v>
      </c>
      <c r="AC110" s="63">
        <f t="shared" si="122"/>
        <v>8.5975027581739365</v>
      </c>
      <c r="AD110" s="63">
        <f t="shared" si="150"/>
        <v>0.70221200992968025</v>
      </c>
      <c r="AE110" s="63">
        <f>AD110*(1+TC_rdson_hs*(T.amb-25))/(1-AD110*TC_rdson_hs*theta.ja_hs)</f>
        <v>0.79360585859936061</v>
      </c>
      <c r="AF110" s="63">
        <f t="shared" si="124"/>
        <v>0.12394250522471972</v>
      </c>
      <c r="AG110" s="63">
        <f t="shared" si="125"/>
        <v>3.8400000000000001E-3</v>
      </c>
      <c r="AH110" s="63">
        <f t="shared" si="126"/>
        <v>0</v>
      </c>
      <c r="AI110" s="63">
        <f t="shared" si="151"/>
        <v>3.1238095238095238E-2</v>
      </c>
      <c r="AJ110" s="63">
        <f t="shared" si="152"/>
        <v>0.95262645906217558</v>
      </c>
      <c r="AK110" s="63">
        <f t="shared" si="127"/>
        <v>4.7764194864229665</v>
      </c>
      <c r="AL110" s="63">
        <f>K110*AK110^2</f>
        <v>0.21673473954766984</v>
      </c>
      <c r="AM110" s="63">
        <f>AL110*(1+TC_rdson_ls*(T.amb-25))/(1-AL110*TC_rdson_ls*theta.ja_ls)</f>
        <v>0.22472238370534706</v>
      </c>
      <c r="AN110" s="63">
        <f t="shared" si="130"/>
        <v>4.5887969344500013E-2</v>
      </c>
      <c r="AO110" s="63">
        <f t="shared" si="131"/>
        <v>254.90766970869754</v>
      </c>
      <c r="AP110" s="63">
        <f t="shared" si="153"/>
        <v>4.5887969344500013E-2</v>
      </c>
      <c r="AQ110" s="61">
        <f t="shared" si="132"/>
        <v>6.5600000000000006E-2</v>
      </c>
      <c r="AR110" s="61">
        <f t="shared" si="133"/>
        <v>7110400000</v>
      </c>
      <c r="AS110" s="61">
        <f t="shared" si="154"/>
        <v>6.5600000000000006E-2</v>
      </c>
      <c r="AT110" s="61">
        <f t="shared" si="155"/>
        <v>3.4361904761904767E-2</v>
      </c>
      <c r="AU110" s="63">
        <f t="shared" si="156"/>
        <v>0.3049722578117518</v>
      </c>
      <c r="AV110" s="63">
        <f t="shared" si="134"/>
        <v>0.25150121564643269</v>
      </c>
      <c r="AW110" s="63">
        <f t="shared" si="135"/>
        <v>1.9840000000000001E-3</v>
      </c>
      <c r="AX110" s="63">
        <f t="shared" si="136"/>
        <v>3.5200000000000002E-2</v>
      </c>
      <c r="AY110" s="63">
        <f>SUM(AW110:AX110)</f>
        <v>3.7184000000000002E-2</v>
      </c>
      <c r="AZ110" s="63">
        <f>V110+Y110+AB110+AJ110+AU110+AV110+AY110</f>
        <v>4.2325996241939627</v>
      </c>
      <c r="BA110" s="64">
        <f t="shared" si="139"/>
        <v>117.60000000000001</v>
      </c>
      <c r="BB110" s="76">
        <f t="shared" si="157"/>
        <v>0.96525889099264162</v>
      </c>
      <c r="BC110" s="64">
        <f t="shared" si="158"/>
        <v>96.525889099264162</v>
      </c>
      <c r="BD110" s="63">
        <f t="shared" si="140"/>
        <v>2.6640436046579845</v>
      </c>
      <c r="BE110" s="63">
        <f t="shared" si="159"/>
        <v>1.2575987168739273</v>
      </c>
      <c r="BF110" s="63">
        <f t="shared" si="141"/>
        <v>0.95262645906217558</v>
      </c>
      <c r="BG110" s="63">
        <f t="shared" si="142"/>
        <v>0.3049722578117518</v>
      </c>
      <c r="BH110" s="63">
        <f t="shared" si="143"/>
        <v>0.25150121564643269</v>
      </c>
      <c r="BI110" s="63">
        <f t="shared" si="160"/>
        <v>3.7184000000000002E-2</v>
      </c>
      <c r="BJ110" s="63">
        <f t="shared" si="161"/>
        <v>1.7433429505992366E-2</v>
      </c>
      <c r="BK110" s="63">
        <f t="shared" si="162"/>
        <v>4.8386575096262098E-3</v>
      </c>
      <c r="BL110" s="63">
        <f t="shared" si="163"/>
        <v>4.2325996241939627</v>
      </c>
      <c r="BQ110" s="77"/>
      <c r="BR110" s="78"/>
    </row>
    <row r="111" spans="3:70" x14ac:dyDescent="0.2">
      <c r="C111" s="61">
        <v>99</v>
      </c>
      <c r="D111" s="61">
        <f t="shared" si="103"/>
        <v>25</v>
      </c>
      <c r="E111" s="61">
        <f t="shared" si="104"/>
        <v>25</v>
      </c>
      <c r="F111" s="61">
        <f t="shared" si="105"/>
        <v>25</v>
      </c>
      <c r="G111" s="73">
        <f t="shared" si="106"/>
        <v>16</v>
      </c>
      <c r="H111" s="64">
        <f t="shared" si="107"/>
        <v>1</v>
      </c>
      <c r="I111" s="63">
        <f t="shared" si="144"/>
        <v>9.9</v>
      </c>
      <c r="J111" s="65">
        <f t="shared" si="108"/>
        <v>9.4999999999999998E-3</v>
      </c>
      <c r="K111" s="65">
        <f t="shared" si="109"/>
        <v>9.4999999999999998E-3</v>
      </c>
      <c r="L111" s="65">
        <f t="shared" si="110"/>
        <v>1.0999999999999999E-2</v>
      </c>
      <c r="M111" s="65">
        <f t="shared" si="111"/>
        <v>2.6000000000000003E-3</v>
      </c>
      <c r="N111" s="63">
        <f>(V.load+I111*(K111+L111+M111))/(V.supply_typ+I111*(K111-J111))</f>
        <v>0.76429312500000002</v>
      </c>
      <c r="O111" s="64">
        <f>(V.supply_typ-I.load*(J111+L111+M111)-V.load)*N111/(f.sw*L.out)</f>
        <v>2.8806207881250008</v>
      </c>
      <c r="P111" s="64">
        <f>I111+O111/2</f>
        <v>11.340310394062501</v>
      </c>
      <c r="Q111" s="64">
        <f t="shared" si="115"/>
        <v>8.4596896059375002</v>
      </c>
      <c r="R111" s="64">
        <f>IF(MIN(V.supply_typ, -Q111/(C.oss_hs+C.oss_ls)*0.00000002)&lt;0, 0, MIN(V.supply_typ, -Q111/(C.oss_hs+C.oss_ls)*0.00000002))</f>
        <v>0</v>
      </c>
      <c r="S111" s="64">
        <f t="shared" si="117"/>
        <v>9.9348627575027333</v>
      </c>
      <c r="T111" s="63">
        <f t="shared" si="145"/>
        <v>1.0857164781145627</v>
      </c>
      <c r="U111" s="63">
        <f t="shared" si="118"/>
        <v>1.6</v>
      </c>
      <c r="V111" s="63">
        <f t="shared" si="146"/>
        <v>2.6857164781145628</v>
      </c>
      <c r="W111" s="64">
        <f t="shared" si="147"/>
        <v>0.83156359372860056</v>
      </c>
      <c r="X111" s="63">
        <f>R.esrb*W111^2</f>
        <v>4.8404860729037756E-3</v>
      </c>
      <c r="Y111" s="63">
        <f t="shared" si="148"/>
        <v>4.8404860729037756E-3</v>
      </c>
      <c r="Z111" s="64">
        <f t="shared" si="120"/>
        <v>4.2167511647910203</v>
      </c>
      <c r="AA111" s="74">
        <f>R.esr_cin*Z111^2</f>
        <v>1.7780990385766426E-2</v>
      </c>
      <c r="AB111" s="75">
        <f t="shared" si="149"/>
        <v>1.7780990385766426E-2</v>
      </c>
      <c r="AC111" s="63">
        <f t="shared" si="122"/>
        <v>8.6854404814356556</v>
      </c>
      <c r="AD111" s="63">
        <f t="shared" si="150"/>
        <v>0.71665032538733164</v>
      </c>
      <c r="AE111" s="63">
        <f>AD111*(1+TC_rdson_hs*(T.amb-25))/(1-AD111*TC_rdson_hs*theta.ja_hs)</f>
        <v>0.81209656530148799</v>
      </c>
      <c r="AF111" s="63">
        <f t="shared" si="124"/>
        <v>0.12514818344956455</v>
      </c>
      <c r="AG111" s="63">
        <f t="shared" si="125"/>
        <v>3.8400000000000001E-3</v>
      </c>
      <c r="AH111" s="63">
        <f t="shared" si="126"/>
        <v>0</v>
      </c>
      <c r="AI111" s="63">
        <f t="shared" si="151"/>
        <v>3.1238095238095238E-2</v>
      </c>
      <c r="AJ111" s="63">
        <f t="shared" si="152"/>
        <v>0.97232284398914781</v>
      </c>
      <c r="AK111" s="63">
        <f t="shared" si="127"/>
        <v>4.8233413370664104</v>
      </c>
      <c r="AL111" s="63">
        <f>K111*AK111^2</f>
        <v>0.22101390571160909</v>
      </c>
      <c r="AM111" s="63">
        <f>AL111*(1+TC_rdson_ls*(T.amb-25))/(1-AL111*TC_rdson_ls*theta.ja_ls)</f>
        <v>0.22932612476420772</v>
      </c>
      <c r="AN111" s="63">
        <f t="shared" si="130"/>
        <v>4.6367751684750005E-2</v>
      </c>
      <c r="AO111" s="63">
        <f t="shared" si="131"/>
        <v>257.5728606087863</v>
      </c>
      <c r="AP111" s="63">
        <f t="shared" si="153"/>
        <v>4.6367751684750005E-2</v>
      </c>
      <c r="AQ111" s="61">
        <f t="shared" si="132"/>
        <v>6.5600000000000006E-2</v>
      </c>
      <c r="AR111" s="61">
        <f t="shared" si="133"/>
        <v>7110400000</v>
      </c>
      <c r="AS111" s="61">
        <f t="shared" si="154"/>
        <v>6.5600000000000006E-2</v>
      </c>
      <c r="AT111" s="61">
        <f t="shared" si="155"/>
        <v>3.4361904761904767E-2</v>
      </c>
      <c r="AU111" s="63">
        <f t="shared" si="156"/>
        <v>0.31005578121086247</v>
      </c>
      <c r="AV111" s="63">
        <f t="shared" si="134"/>
        <v>0.25662389482707854</v>
      </c>
      <c r="AW111" s="63">
        <f t="shared" si="135"/>
        <v>1.9840000000000001E-3</v>
      </c>
      <c r="AX111" s="63">
        <f t="shared" si="136"/>
        <v>3.5200000000000002E-2</v>
      </c>
      <c r="AY111" s="63">
        <f>SUM(AW111:AX111)</f>
        <v>3.7184000000000002E-2</v>
      </c>
      <c r="AZ111" s="63">
        <f>V111+Y111+AB111+AJ111+AU111+AV111+AY111</f>
        <v>4.2845244746003219</v>
      </c>
      <c r="BA111" s="64">
        <f t="shared" si="139"/>
        <v>118.80000000000001</v>
      </c>
      <c r="BB111" s="76">
        <f t="shared" si="157"/>
        <v>0.96519038853268291</v>
      </c>
      <c r="BC111" s="64">
        <f t="shared" si="158"/>
        <v>96.519038853268285</v>
      </c>
      <c r="BD111" s="63">
        <f t="shared" si="140"/>
        <v>2.6857164781145628</v>
      </c>
      <c r="BE111" s="63">
        <f t="shared" si="159"/>
        <v>1.2823786252000102</v>
      </c>
      <c r="BF111" s="63">
        <f t="shared" si="141"/>
        <v>0.97232284398914781</v>
      </c>
      <c r="BG111" s="63">
        <f t="shared" si="142"/>
        <v>0.31005578121086247</v>
      </c>
      <c r="BH111" s="63">
        <f t="shared" si="143"/>
        <v>0.25662389482707854</v>
      </c>
      <c r="BI111" s="63">
        <f t="shared" si="160"/>
        <v>3.7184000000000002E-2</v>
      </c>
      <c r="BJ111" s="63">
        <f t="shared" si="161"/>
        <v>1.7780990385766426E-2</v>
      </c>
      <c r="BK111" s="63">
        <f t="shared" si="162"/>
        <v>4.8404860729037756E-3</v>
      </c>
      <c r="BL111" s="63">
        <f t="shared" si="163"/>
        <v>4.284524474600321</v>
      </c>
      <c r="BQ111" s="77"/>
      <c r="BR111" s="78"/>
    </row>
    <row r="112" spans="3:70" s="81" customFormat="1" ht="15.75" x14ac:dyDescent="0.25">
      <c r="C112" s="81">
        <v>100</v>
      </c>
      <c r="D112" s="61">
        <f t="shared" si="103"/>
        <v>25</v>
      </c>
      <c r="E112" s="61">
        <f t="shared" si="104"/>
        <v>25</v>
      </c>
      <c r="F112" s="61">
        <f t="shared" si="105"/>
        <v>25</v>
      </c>
      <c r="G112" s="89">
        <f t="shared" si="106"/>
        <v>16</v>
      </c>
      <c r="H112" s="85">
        <f t="shared" si="107"/>
        <v>1</v>
      </c>
      <c r="I112" s="86">
        <f t="shared" si="144"/>
        <v>10</v>
      </c>
      <c r="J112" s="90">
        <f t="shared" si="108"/>
        <v>9.4999999999999998E-3</v>
      </c>
      <c r="K112" s="90">
        <f t="shared" si="109"/>
        <v>9.4999999999999998E-3</v>
      </c>
      <c r="L112" s="90">
        <f t="shared" si="110"/>
        <v>1.0999999999999999E-2</v>
      </c>
      <c r="M112" s="90">
        <f t="shared" si="111"/>
        <v>2.6000000000000003E-3</v>
      </c>
      <c r="N112" s="86">
        <f>(V.load+I112*(K112+L112+M112))/(V.supply_typ+I112*(K112-J112))</f>
        <v>0.76443749999999999</v>
      </c>
      <c r="O112" s="85">
        <f>(V.supply_typ-I.load*(J112+L112+M112)-V.load)*N112/(f.sw*L.out)</f>
        <v>2.8811649375000004</v>
      </c>
      <c r="P112" s="85">
        <f>I112+O112/2</f>
        <v>11.44058246875</v>
      </c>
      <c r="Q112" s="85">
        <f t="shared" si="115"/>
        <v>8.5594175312500003</v>
      </c>
      <c r="R112" s="85">
        <f>IF(MIN(V.supply_typ, -Q112/(C.oss_hs+C.oss_ls)*0.00000002)&lt;0, 0, MIN(V.supply_typ, -Q112/(C.oss_hs+C.oss_ls)*0.00000002))</f>
        <v>0</v>
      </c>
      <c r="S112" s="85">
        <f t="shared" si="117"/>
        <v>10.034528353793712</v>
      </c>
      <c r="T112" s="86">
        <f t="shared" si="145"/>
        <v>1.1076093521139894</v>
      </c>
      <c r="U112" s="86">
        <f t="shared" si="118"/>
        <v>1.6</v>
      </c>
      <c r="V112" s="94">
        <f t="shared" si="146"/>
        <v>2.7076093521139892</v>
      </c>
      <c r="W112" s="85">
        <f t="shared" si="147"/>
        <v>0.83172067612266831</v>
      </c>
      <c r="X112" s="86">
        <f>R.esrb*W112^2</f>
        <v>4.8423149816296399E-3</v>
      </c>
      <c r="Y112" s="94">
        <f t="shared" si="148"/>
        <v>4.8423149816296399E-3</v>
      </c>
      <c r="Z112" s="85">
        <f t="shared" si="120"/>
        <v>4.2581507601718149</v>
      </c>
      <c r="AA112" s="88">
        <f>R.esr_cin*Z112^2</f>
        <v>1.8131847896351805E-2</v>
      </c>
      <c r="AB112" s="95">
        <f t="shared" si="149"/>
        <v>1.8131847896351805E-2</v>
      </c>
      <c r="AC112" s="86">
        <f t="shared" si="122"/>
        <v>8.7734005229994523</v>
      </c>
      <c r="AD112" s="86">
        <f t="shared" si="150"/>
        <v>0.73123928900118706</v>
      </c>
      <c r="AE112" s="86">
        <f>AD112*(1+TC_rdson_hs*(T.amb-25))/(1-AD112*TC_rdson_hs*theta.ja_hs)</f>
        <v>0.83088126520125538</v>
      </c>
      <c r="AF112" s="86">
        <f t="shared" si="124"/>
        <v>0.12635386167440937</v>
      </c>
      <c r="AG112" s="86">
        <f t="shared" si="125"/>
        <v>3.8400000000000001E-3</v>
      </c>
      <c r="AH112" s="86">
        <f t="shared" si="126"/>
        <v>0</v>
      </c>
      <c r="AI112" s="63">
        <f t="shared" si="151"/>
        <v>3.1238095238095238E-2</v>
      </c>
      <c r="AJ112" s="83">
        <f t="shared" si="152"/>
        <v>0.99231322211376005</v>
      </c>
      <c r="AK112" s="86">
        <f t="shared" si="127"/>
        <v>4.8702363953018626</v>
      </c>
      <c r="AL112" s="86">
        <f>K112*AK112^2</f>
        <v>0.22533242418816735</v>
      </c>
      <c r="AM112" s="86">
        <f>AL112*(1+TC_rdson_ls*(T.amb-25))/(1-AL112*TC_rdson_ls*theta.ja_ls)</f>
        <v>0.23397900545555078</v>
      </c>
      <c r="AN112" s="86">
        <f t="shared" si="130"/>
        <v>4.6847534025000005E-2</v>
      </c>
      <c r="AO112" s="86">
        <f t="shared" si="131"/>
        <v>260.23805150887506</v>
      </c>
      <c r="AP112" s="86">
        <f t="shared" si="153"/>
        <v>4.6847534025000005E-2</v>
      </c>
      <c r="AQ112" s="81">
        <f t="shared" si="132"/>
        <v>6.5600000000000006E-2</v>
      </c>
      <c r="AR112" s="81">
        <f t="shared" si="133"/>
        <v>7110400000</v>
      </c>
      <c r="AS112" s="81">
        <f t="shared" si="154"/>
        <v>6.5600000000000006E-2</v>
      </c>
      <c r="AT112" s="61">
        <f t="shared" si="155"/>
        <v>3.4361904761904767E-2</v>
      </c>
      <c r="AU112" s="83">
        <f t="shared" si="156"/>
        <v>0.31518844424245557</v>
      </c>
      <c r="AV112" s="94">
        <f t="shared" si="134"/>
        <v>0.26179857413603391</v>
      </c>
      <c r="AW112" s="86">
        <f t="shared" si="135"/>
        <v>1.9840000000000001E-3</v>
      </c>
      <c r="AX112" s="86">
        <f t="shared" si="136"/>
        <v>3.5200000000000002E-2</v>
      </c>
      <c r="AY112" s="94">
        <f>SUM(AW112:AX112)</f>
        <v>3.7184000000000002E-2</v>
      </c>
      <c r="AZ112" s="94">
        <f>V112+Y112+AB112+AJ112+AU112+AV112+AY112</f>
        <v>4.3370677554842194</v>
      </c>
      <c r="BA112" s="85">
        <f t="shared" si="139"/>
        <v>120</v>
      </c>
      <c r="BB112" s="96">
        <f t="shared" si="157"/>
        <v>0.96511846520288469</v>
      </c>
      <c r="BC112" s="79">
        <f t="shared" si="158"/>
        <v>96.511846520288472</v>
      </c>
      <c r="BD112" s="80">
        <f t="shared" si="140"/>
        <v>2.7076093521139892</v>
      </c>
      <c r="BE112" s="80">
        <f t="shared" si="159"/>
        <v>1.3075016663562156</v>
      </c>
      <c r="BF112" s="80">
        <f t="shared" si="141"/>
        <v>0.99231322211376005</v>
      </c>
      <c r="BG112" s="80">
        <f t="shared" si="142"/>
        <v>0.31518844424245557</v>
      </c>
      <c r="BH112" s="80">
        <f t="shared" si="143"/>
        <v>0.26179857413603391</v>
      </c>
      <c r="BI112" s="80">
        <f t="shared" si="160"/>
        <v>3.7184000000000002E-2</v>
      </c>
      <c r="BJ112" s="80">
        <f t="shared" si="161"/>
        <v>1.8131847896351805E-2</v>
      </c>
      <c r="BK112" s="80">
        <f t="shared" si="162"/>
        <v>4.8423149816296399E-3</v>
      </c>
      <c r="BL112" s="80">
        <f t="shared" si="163"/>
        <v>4.3370677554842194</v>
      </c>
      <c r="BQ112" s="92"/>
      <c r="BR112" s="93"/>
    </row>
    <row r="113" spans="7:63" x14ac:dyDescent="0.2">
      <c r="G113" s="73"/>
      <c r="H113" s="64"/>
      <c r="I113" s="64"/>
      <c r="S113" s="63"/>
      <c r="T113" s="63"/>
      <c r="U113" s="63"/>
      <c r="V113" s="63" t="s">
        <v>147</v>
      </c>
      <c r="X113" s="63"/>
      <c r="Y113" s="63" t="s">
        <v>287</v>
      </c>
      <c r="Z113" s="63"/>
      <c r="AA113" s="74"/>
      <c r="AB113" s="75" t="s">
        <v>288</v>
      </c>
      <c r="AC113" s="63"/>
      <c r="AD113" s="63"/>
      <c r="AE113" s="63"/>
      <c r="AF113" s="63"/>
      <c r="AG113" s="63"/>
      <c r="AJ113" s="63" t="s">
        <v>350</v>
      </c>
      <c r="AK113" s="63"/>
      <c r="AL113" s="63"/>
      <c r="AM113" s="63"/>
      <c r="AN113" s="63"/>
      <c r="AO113" s="63"/>
      <c r="AP113" s="63"/>
      <c r="AQ113" s="63"/>
      <c r="AR113" s="63"/>
      <c r="AS113" s="63"/>
      <c r="AT113" s="63"/>
      <c r="AU113" s="63" t="s">
        <v>351</v>
      </c>
      <c r="AV113" s="63" t="s">
        <v>331</v>
      </c>
      <c r="AW113" s="63"/>
      <c r="AX113" s="63"/>
      <c r="AY113" s="63" t="s">
        <v>362</v>
      </c>
      <c r="AZ113" s="63" t="s">
        <v>363</v>
      </c>
      <c r="BB113" s="76" t="s">
        <v>364</v>
      </c>
      <c r="BC113" s="82"/>
      <c r="BE113" s="63"/>
      <c r="BF113" s="63"/>
      <c r="BG113" s="63"/>
      <c r="BH113" s="63"/>
      <c r="BI113" s="63"/>
      <c r="BJ113" s="63"/>
      <c r="BK113" s="63"/>
    </row>
    <row r="114" spans="7:63" x14ac:dyDescent="0.2">
      <c r="G114" s="73"/>
      <c r="H114" s="64"/>
      <c r="I114" s="64"/>
      <c r="S114" s="63"/>
      <c r="T114" s="63"/>
      <c r="U114" s="63"/>
      <c r="V114" s="63"/>
      <c r="X114" s="63"/>
      <c r="Y114" s="63"/>
      <c r="Z114" s="63"/>
      <c r="AA114" s="74"/>
      <c r="AB114" s="75"/>
      <c r="AC114" s="63"/>
      <c r="AD114" s="63"/>
      <c r="AE114" s="63"/>
      <c r="AF114" s="63"/>
      <c r="AG114" s="63"/>
      <c r="AJ114" s="63"/>
      <c r="AK114" s="63"/>
      <c r="AL114" s="63"/>
      <c r="AM114" s="63"/>
      <c r="AN114" s="63"/>
      <c r="AO114" s="63"/>
      <c r="AP114" s="63"/>
      <c r="AQ114" s="63"/>
      <c r="AR114" s="63"/>
      <c r="AS114" s="63"/>
      <c r="AT114" s="63"/>
      <c r="AU114" s="63"/>
      <c r="AV114" s="63"/>
      <c r="AW114" s="63"/>
      <c r="AX114" s="63"/>
      <c r="AY114" s="63"/>
      <c r="AZ114" s="63"/>
      <c r="BB114" s="76"/>
      <c r="BC114" s="82"/>
      <c r="BD114" s="63"/>
      <c r="BE114" s="63"/>
      <c r="BF114" s="63"/>
      <c r="BG114" s="63"/>
      <c r="BH114" s="63"/>
      <c r="BI114" s="63"/>
      <c r="BJ114" s="63"/>
      <c r="BK114" s="63"/>
    </row>
    <row r="115" spans="7:63" x14ac:dyDescent="0.2">
      <c r="G115" s="73"/>
      <c r="H115" s="64"/>
      <c r="I115" s="64"/>
      <c r="S115" s="63"/>
      <c r="T115" s="63"/>
      <c r="U115" s="63"/>
      <c r="V115" s="63"/>
      <c r="X115" s="63"/>
      <c r="Y115" s="63"/>
      <c r="Z115" s="63"/>
      <c r="AA115" s="74"/>
      <c r="AB115" s="75"/>
      <c r="AC115" s="63"/>
      <c r="AD115" s="63"/>
      <c r="AE115" s="63"/>
      <c r="AF115" s="63"/>
      <c r="AG115" s="63"/>
      <c r="AJ115" s="63"/>
      <c r="AK115" s="63"/>
      <c r="AL115" s="63"/>
      <c r="AM115" s="63"/>
      <c r="AN115" s="63"/>
      <c r="AO115" s="63"/>
      <c r="AP115" s="63"/>
      <c r="AQ115" s="63"/>
      <c r="AR115" s="63"/>
      <c r="AS115" s="63"/>
      <c r="AT115" s="63"/>
      <c r="AU115" s="63"/>
      <c r="AV115" s="63"/>
      <c r="AW115" s="63"/>
      <c r="AX115" s="63"/>
      <c r="AY115" s="63"/>
      <c r="AZ115" s="63"/>
      <c r="BB115" s="76"/>
      <c r="BC115" s="82"/>
      <c r="BD115" s="63"/>
      <c r="BE115" s="63"/>
      <c r="BF115" s="63"/>
      <c r="BG115" s="63"/>
      <c r="BH115" s="63"/>
      <c r="BI115" s="63"/>
      <c r="BJ115" s="63"/>
      <c r="BK115" s="63"/>
    </row>
    <row r="116" spans="7:63" x14ac:dyDescent="0.2">
      <c r="G116" s="73"/>
      <c r="H116" s="64"/>
      <c r="I116" s="64"/>
      <c r="S116" s="63"/>
      <c r="T116" s="63"/>
      <c r="U116" s="63"/>
      <c r="V116" s="63"/>
      <c r="X116" s="63"/>
      <c r="Y116" s="63"/>
      <c r="Z116" s="63"/>
      <c r="AA116" s="74"/>
      <c r="AB116" s="75"/>
      <c r="AC116" s="63"/>
      <c r="AD116" s="63"/>
      <c r="AE116" s="63"/>
      <c r="AF116" s="63"/>
      <c r="AG116" s="63"/>
      <c r="AJ116" s="63"/>
      <c r="AK116" s="63"/>
      <c r="AL116" s="63"/>
      <c r="AM116" s="63"/>
      <c r="AN116" s="63"/>
      <c r="AO116" s="63"/>
      <c r="AP116" s="63"/>
      <c r="AQ116" s="63"/>
      <c r="AR116" s="63"/>
      <c r="AS116" s="63"/>
      <c r="AT116" s="63"/>
      <c r="AU116" s="63"/>
      <c r="AV116" s="63"/>
      <c r="AW116" s="63"/>
      <c r="AX116" s="63"/>
      <c r="AY116" s="63"/>
      <c r="AZ116" s="63"/>
      <c r="BB116" s="76"/>
      <c r="BC116" s="82"/>
      <c r="BD116" s="63"/>
      <c r="BE116" s="63"/>
      <c r="BF116" s="63"/>
      <c r="BG116" s="63"/>
      <c r="BH116" s="63"/>
      <c r="BI116" s="63"/>
      <c r="BJ116" s="63"/>
      <c r="BK116" s="63"/>
    </row>
    <row r="117" spans="7:63" x14ac:dyDescent="0.2">
      <c r="G117" s="73"/>
      <c r="H117" s="64"/>
      <c r="I117" s="64"/>
      <c r="S117" s="63"/>
      <c r="T117" s="63"/>
      <c r="U117" s="63"/>
      <c r="V117" s="63"/>
      <c r="X117" s="63"/>
      <c r="Y117" s="63"/>
      <c r="Z117" s="63"/>
      <c r="AA117" s="74"/>
      <c r="AB117" s="75"/>
      <c r="AC117" s="63"/>
      <c r="AD117" s="63"/>
      <c r="AE117" s="63"/>
      <c r="AF117" s="63"/>
      <c r="AG117" s="63"/>
      <c r="AJ117" s="63"/>
      <c r="AK117" s="63"/>
      <c r="AL117" s="63"/>
      <c r="AM117" s="63"/>
      <c r="AN117" s="63"/>
      <c r="AO117" s="63"/>
      <c r="AP117" s="63"/>
      <c r="AQ117" s="63"/>
      <c r="AR117" s="63"/>
      <c r="AS117" s="63"/>
      <c r="AT117" s="63"/>
      <c r="AU117" s="63"/>
      <c r="AV117" s="63"/>
      <c r="AW117" s="63"/>
      <c r="AX117" s="63"/>
      <c r="AY117" s="63"/>
      <c r="AZ117" s="63"/>
      <c r="BB117" s="76"/>
      <c r="BC117" s="82"/>
      <c r="BD117" s="63"/>
      <c r="BE117" s="63"/>
      <c r="BF117" s="63"/>
      <c r="BG117" s="63"/>
      <c r="BH117" s="63"/>
      <c r="BI117" s="63"/>
      <c r="BJ117" s="63"/>
      <c r="BK117" s="63"/>
    </row>
    <row r="118" spans="7:63" x14ac:dyDescent="0.2">
      <c r="G118" s="73"/>
      <c r="H118" s="64"/>
      <c r="I118" s="64"/>
      <c r="S118" s="63"/>
      <c r="T118" s="63"/>
      <c r="U118" s="63"/>
      <c r="V118" s="63"/>
      <c r="X118" s="63"/>
      <c r="Y118" s="63"/>
      <c r="Z118" s="63"/>
      <c r="AA118" s="74"/>
      <c r="AB118" s="75"/>
      <c r="AC118" s="63"/>
      <c r="AD118" s="63"/>
      <c r="AE118" s="63"/>
      <c r="AF118" s="63"/>
      <c r="AG118" s="63"/>
      <c r="AJ118" s="63"/>
      <c r="AK118" s="63"/>
      <c r="AL118" s="63"/>
      <c r="AM118" s="63"/>
      <c r="AN118" s="63"/>
      <c r="AO118" s="63"/>
      <c r="AP118" s="63"/>
      <c r="AQ118" s="63"/>
      <c r="AR118" s="63"/>
      <c r="AS118" s="63"/>
      <c r="AT118" s="63"/>
      <c r="AU118" s="63"/>
      <c r="AV118" s="63"/>
      <c r="AW118" s="63"/>
      <c r="AX118" s="63"/>
      <c r="AY118" s="63"/>
      <c r="AZ118" s="63"/>
      <c r="BB118" s="76"/>
      <c r="BC118" s="82"/>
      <c r="BD118" s="63"/>
      <c r="BE118" s="63"/>
      <c r="BF118" s="63"/>
      <c r="BG118" s="63"/>
      <c r="BH118" s="63"/>
      <c r="BI118" s="63"/>
      <c r="BJ118" s="63"/>
      <c r="BK118" s="63"/>
    </row>
    <row r="119" spans="7:63" x14ac:dyDescent="0.2">
      <c r="G119" s="73"/>
      <c r="H119" s="64"/>
      <c r="I119" s="64"/>
      <c r="S119" s="63"/>
      <c r="T119" s="63"/>
      <c r="U119" s="63"/>
      <c r="V119" s="63"/>
      <c r="X119" s="63"/>
      <c r="Y119" s="63"/>
      <c r="Z119" s="63"/>
      <c r="AA119" s="74"/>
      <c r="AB119" s="75"/>
      <c r="AC119" s="63"/>
      <c r="AD119" s="63"/>
      <c r="AE119" s="63"/>
      <c r="AF119" s="63"/>
      <c r="AG119" s="63"/>
      <c r="AJ119" s="63"/>
      <c r="AK119" s="63"/>
      <c r="AL119" s="63"/>
      <c r="AM119" s="63"/>
      <c r="AN119" s="63"/>
      <c r="AO119" s="63"/>
      <c r="AP119" s="63"/>
      <c r="AQ119" s="63"/>
      <c r="AR119" s="63"/>
      <c r="AS119" s="63"/>
      <c r="AT119" s="63"/>
      <c r="AU119" s="63"/>
      <c r="AV119" s="63"/>
      <c r="AW119" s="63"/>
      <c r="AX119" s="63"/>
      <c r="AY119" s="63"/>
      <c r="AZ119" s="63"/>
      <c r="BB119" s="76"/>
      <c r="BC119" s="82"/>
      <c r="BD119" s="63"/>
      <c r="BE119" s="63"/>
      <c r="BF119" s="63"/>
      <c r="BG119" s="63"/>
      <c r="BH119" s="63"/>
      <c r="BI119" s="63"/>
      <c r="BJ119" s="63"/>
      <c r="BK119" s="63"/>
    </row>
    <row r="120" spans="7:63" x14ac:dyDescent="0.2">
      <c r="G120" s="73"/>
      <c r="H120" s="64"/>
      <c r="I120" s="64"/>
      <c r="S120" s="63"/>
      <c r="T120" s="63"/>
      <c r="U120" s="63"/>
      <c r="V120" s="63"/>
      <c r="X120" s="63"/>
      <c r="Y120" s="63"/>
      <c r="Z120" s="63"/>
      <c r="AA120" s="74"/>
      <c r="AB120" s="75"/>
      <c r="AC120" s="63"/>
      <c r="AD120" s="63"/>
      <c r="AE120" s="63"/>
      <c r="AF120" s="63"/>
      <c r="AG120" s="63"/>
      <c r="AJ120" s="63"/>
      <c r="AK120" s="63"/>
      <c r="AL120" s="63"/>
      <c r="AM120" s="63"/>
      <c r="AN120" s="63"/>
      <c r="AO120" s="63"/>
      <c r="AP120" s="63"/>
      <c r="AQ120" s="63"/>
      <c r="AR120" s="63"/>
      <c r="AS120" s="63"/>
      <c r="AT120" s="63"/>
      <c r="AU120" s="63"/>
      <c r="AV120" s="63"/>
      <c r="AW120" s="63"/>
      <c r="AX120" s="63"/>
      <c r="AY120" s="63"/>
      <c r="AZ120" s="63"/>
      <c r="BB120" s="76"/>
      <c r="BC120" s="82"/>
      <c r="BD120" s="63"/>
      <c r="BE120" s="63"/>
      <c r="BF120" s="63"/>
      <c r="BG120" s="63"/>
      <c r="BH120" s="63"/>
      <c r="BI120" s="63"/>
      <c r="BJ120" s="63"/>
      <c r="BK120" s="63"/>
    </row>
    <row r="121" spans="7:63" x14ac:dyDescent="0.2">
      <c r="G121" s="73"/>
      <c r="H121" s="64"/>
      <c r="I121" s="64"/>
      <c r="S121" s="63"/>
      <c r="T121" s="63"/>
      <c r="U121" s="63"/>
      <c r="V121" s="63"/>
      <c r="X121" s="63"/>
      <c r="Y121" s="63"/>
      <c r="Z121" s="63"/>
      <c r="AA121" s="74"/>
      <c r="AB121" s="75"/>
      <c r="AC121" s="63"/>
      <c r="AD121" s="63"/>
      <c r="AE121" s="63"/>
      <c r="AF121" s="63"/>
      <c r="AG121" s="63"/>
      <c r="AJ121" s="63"/>
      <c r="AK121" s="63"/>
      <c r="AL121" s="63"/>
      <c r="AM121" s="63"/>
      <c r="AN121" s="63"/>
      <c r="AO121" s="63"/>
      <c r="AP121" s="63"/>
      <c r="AQ121" s="63"/>
      <c r="AR121" s="63"/>
      <c r="AS121" s="63"/>
      <c r="AT121" s="63"/>
      <c r="AU121" s="63"/>
      <c r="AV121" s="63"/>
      <c r="AW121" s="63"/>
      <c r="AX121" s="63"/>
      <c r="AY121" s="63"/>
      <c r="AZ121" s="63"/>
      <c r="BB121" s="76"/>
      <c r="BC121" s="82"/>
      <c r="BD121" s="63"/>
      <c r="BE121" s="63"/>
      <c r="BF121" s="63"/>
      <c r="BG121" s="63"/>
      <c r="BH121" s="63"/>
      <c r="BI121" s="63"/>
      <c r="BJ121" s="63"/>
      <c r="BK121" s="63"/>
    </row>
    <row r="122" spans="7:63" x14ac:dyDescent="0.2">
      <c r="G122" s="73"/>
      <c r="H122" s="64"/>
      <c r="I122" s="64"/>
      <c r="S122" s="63"/>
      <c r="T122" s="63"/>
      <c r="U122" s="63"/>
      <c r="V122" s="63"/>
      <c r="X122" s="63"/>
      <c r="Y122" s="63"/>
      <c r="Z122" s="63"/>
      <c r="AA122" s="74"/>
      <c r="AB122" s="75"/>
      <c r="AC122" s="63"/>
      <c r="AD122" s="63"/>
      <c r="AE122" s="63"/>
      <c r="AF122" s="63"/>
      <c r="AG122" s="63"/>
      <c r="AJ122" s="63"/>
      <c r="AK122" s="63"/>
      <c r="AL122" s="63"/>
      <c r="AM122" s="63"/>
      <c r="AN122" s="63"/>
      <c r="AO122" s="63"/>
      <c r="AP122" s="63"/>
      <c r="AQ122" s="63"/>
      <c r="AR122" s="63"/>
      <c r="AS122" s="63"/>
      <c r="AT122" s="63"/>
      <c r="AU122" s="63"/>
      <c r="AV122" s="63"/>
      <c r="AW122" s="63"/>
      <c r="AX122" s="63"/>
      <c r="AY122" s="63"/>
      <c r="AZ122" s="63"/>
      <c r="BB122" s="76"/>
      <c r="BC122" s="82"/>
      <c r="BD122" s="63"/>
      <c r="BE122" s="63"/>
      <c r="BF122" s="63"/>
      <c r="BG122" s="63"/>
      <c r="BH122" s="63"/>
      <c r="BI122" s="63"/>
      <c r="BJ122" s="63"/>
      <c r="BK122" s="63"/>
    </row>
    <row r="123" spans="7:63" x14ac:dyDescent="0.2">
      <c r="G123" s="73"/>
      <c r="H123" s="64"/>
      <c r="I123" s="64"/>
      <c r="S123" s="63"/>
      <c r="T123" s="63"/>
      <c r="U123" s="63"/>
      <c r="V123" s="63"/>
      <c r="X123" s="63"/>
      <c r="Y123" s="63"/>
      <c r="Z123" s="63"/>
      <c r="AA123" s="74"/>
      <c r="AB123" s="75"/>
      <c r="AC123" s="63"/>
      <c r="AD123" s="63"/>
      <c r="AE123" s="63"/>
      <c r="AF123" s="63"/>
      <c r="AG123" s="63"/>
      <c r="AJ123" s="63"/>
      <c r="AK123" s="63"/>
      <c r="AL123" s="63"/>
      <c r="AM123" s="63"/>
      <c r="AN123" s="63"/>
      <c r="AO123" s="63"/>
      <c r="AP123" s="63"/>
      <c r="AQ123" s="63"/>
      <c r="AR123" s="63"/>
      <c r="AS123" s="63"/>
      <c r="AT123" s="63"/>
      <c r="AU123" s="63"/>
      <c r="AV123" s="63"/>
      <c r="AW123" s="63"/>
      <c r="AX123" s="63"/>
      <c r="AY123" s="63"/>
      <c r="AZ123" s="63"/>
      <c r="BB123" s="76"/>
      <c r="BC123" s="82"/>
      <c r="BD123" s="63"/>
      <c r="BE123" s="63"/>
      <c r="BF123" s="63"/>
      <c r="BG123" s="63"/>
      <c r="BH123" s="63"/>
      <c r="BI123" s="63"/>
      <c r="BJ123" s="63"/>
      <c r="BK123" s="63"/>
    </row>
    <row r="124" spans="7:63" x14ac:dyDescent="0.2">
      <c r="G124" s="73"/>
      <c r="H124" s="64"/>
      <c r="I124" s="64"/>
      <c r="S124" s="63"/>
      <c r="T124" s="63"/>
      <c r="U124" s="63"/>
      <c r="V124" s="63"/>
      <c r="X124" s="63"/>
      <c r="Y124" s="63"/>
      <c r="Z124" s="63"/>
      <c r="AA124" s="74"/>
      <c r="AB124" s="75"/>
      <c r="AC124" s="63"/>
      <c r="AD124" s="63"/>
      <c r="AE124" s="63"/>
      <c r="AF124" s="63"/>
      <c r="AG124" s="63"/>
      <c r="AJ124" s="63"/>
      <c r="AK124" s="63"/>
      <c r="AL124" s="63"/>
      <c r="AM124" s="63"/>
      <c r="AN124" s="63"/>
      <c r="AO124" s="63"/>
      <c r="AP124" s="63"/>
      <c r="AQ124" s="63"/>
      <c r="AR124" s="63"/>
      <c r="AS124" s="63"/>
      <c r="AT124" s="63"/>
      <c r="AU124" s="63"/>
      <c r="AV124" s="63"/>
      <c r="AW124" s="63"/>
      <c r="AX124" s="63"/>
      <c r="AY124" s="63"/>
      <c r="AZ124" s="63"/>
      <c r="BB124" s="76"/>
      <c r="BC124" s="82"/>
      <c r="BD124" s="63"/>
      <c r="BE124" s="63"/>
      <c r="BF124" s="63"/>
      <c r="BG124" s="63"/>
      <c r="BH124" s="63"/>
      <c r="BI124" s="63"/>
      <c r="BJ124" s="63"/>
      <c r="BK124" s="63"/>
    </row>
    <row r="125" spans="7:63" x14ac:dyDescent="0.2">
      <c r="G125" s="73"/>
      <c r="H125" s="64"/>
      <c r="I125" s="64"/>
      <c r="S125" s="63"/>
      <c r="T125" s="63"/>
      <c r="U125" s="63"/>
      <c r="V125" s="63"/>
      <c r="X125" s="63"/>
      <c r="Y125" s="63"/>
      <c r="Z125" s="63"/>
      <c r="AA125" s="74"/>
      <c r="AB125" s="75"/>
      <c r="AC125" s="63"/>
      <c r="AD125" s="63"/>
      <c r="AE125" s="63"/>
      <c r="AF125" s="63"/>
      <c r="AG125" s="63"/>
      <c r="AJ125" s="63"/>
      <c r="AK125" s="63"/>
      <c r="AL125" s="63"/>
      <c r="AM125" s="63"/>
      <c r="AN125" s="63"/>
      <c r="AO125" s="63"/>
      <c r="AP125" s="63"/>
      <c r="AQ125" s="63"/>
      <c r="AR125" s="63"/>
      <c r="AS125" s="63"/>
      <c r="AT125" s="63"/>
      <c r="AU125" s="63"/>
      <c r="AV125" s="63"/>
      <c r="AW125" s="63"/>
      <c r="AX125" s="63"/>
      <c r="AY125" s="63"/>
      <c r="AZ125" s="63"/>
      <c r="BB125" s="76"/>
      <c r="BC125" s="82"/>
      <c r="BD125" s="63"/>
      <c r="BE125" s="63"/>
      <c r="BF125" s="63"/>
      <c r="BG125" s="63"/>
      <c r="BH125" s="63"/>
      <c r="BI125" s="63"/>
      <c r="BJ125" s="63"/>
      <c r="BK125" s="63"/>
    </row>
    <row r="126" spans="7:63" x14ac:dyDescent="0.2">
      <c r="G126" s="73"/>
      <c r="H126" s="64"/>
      <c r="I126" s="64"/>
      <c r="S126" s="63"/>
      <c r="T126" s="63"/>
      <c r="U126" s="63"/>
      <c r="V126" s="63"/>
      <c r="X126" s="63"/>
      <c r="Y126" s="63"/>
      <c r="Z126" s="63"/>
      <c r="AA126" s="74"/>
      <c r="AB126" s="75"/>
      <c r="AC126" s="63"/>
      <c r="AD126" s="63"/>
      <c r="AE126" s="63"/>
      <c r="AF126" s="63"/>
      <c r="AG126" s="63"/>
      <c r="AJ126" s="63"/>
      <c r="AK126" s="63"/>
      <c r="AL126" s="63"/>
      <c r="AM126" s="63"/>
      <c r="AN126" s="63"/>
      <c r="AO126" s="63"/>
      <c r="AP126" s="63"/>
      <c r="AQ126" s="63"/>
      <c r="AR126" s="63"/>
      <c r="AS126" s="63"/>
      <c r="AT126" s="63"/>
      <c r="AU126" s="63"/>
      <c r="AV126" s="63"/>
      <c r="AW126" s="63"/>
      <c r="AX126" s="63"/>
      <c r="AY126" s="63"/>
      <c r="AZ126" s="63"/>
      <c r="BB126" s="76"/>
      <c r="BC126" s="82"/>
      <c r="BD126" s="63"/>
      <c r="BE126" s="63"/>
      <c r="BF126" s="63"/>
      <c r="BG126" s="63"/>
      <c r="BH126" s="63"/>
      <c r="BI126" s="63"/>
      <c r="BJ126" s="63"/>
      <c r="BK126" s="63"/>
    </row>
    <row r="127" spans="7:63" x14ac:dyDescent="0.2">
      <c r="G127" s="73"/>
      <c r="H127" s="64"/>
      <c r="I127" s="64"/>
      <c r="S127" s="63"/>
      <c r="T127" s="63"/>
      <c r="U127" s="63"/>
      <c r="V127" s="63"/>
      <c r="X127" s="63"/>
      <c r="Y127" s="63"/>
      <c r="Z127" s="63"/>
      <c r="AA127" s="74"/>
      <c r="AB127" s="75"/>
      <c r="AC127" s="63"/>
      <c r="AD127" s="63"/>
      <c r="AE127" s="63"/>
      <c r="AF127" s="63"/>
      <c r="AG127" s="63"/>
      <c r="AJ127" s="63"/>
      <c r="AK127" s="63"/>
      <c r="AL127" s="63"/>
      <c r="AM127" s="63"/>
      <c r="AN127" s="63"/>
      <c r="AO127" s="63"/>
      <c r="AP127" s="63"/>
      <c r="AQ127" s="63"/>
      <c r="AR127" s="63"/>
      <c r="AS127" s="63"/>
      <c r="AT127" s="63"/>
      <c r="AU127" s="63"/>
      <c r="AV127" s="63"/>
      <c r="AW127" s="63"/>
      <c r="AX127" s="63"/>
      <c r="AY127" s="63"/>
      <c r="AZ127" s="63"/>
      <c r="BB127" s="76"/>
      <c r="BC127" s="82"/>
      <c r="BD127" s="63"/>
      <c r="BE127" s="63"/>
      <c r="BF127" s="63"/>
      <c r="BG127" s="63"/>
      <c r="BH127" s="63"/>
      <c r="BI127" s="63"/>
      <c r="BJ127" s="63"/>
      <c r="BK127" s="63"/>
    </row>
    <row r="128" spans="7:63" x14ac:dyDescent="0.2">
      <c r="G128" s="73"/>
      <c r="H128" s="64"/>
      <c r="I128" s="64"/>
      <c r="S128" s="63"/>
      <c r="T128" s="63"/>
      <c r="U128" s="63"/>
      <c r="V128" s="63"/>
      <c r="X128" s="63"/>
      <c r="Y128" s="63"/>
      <c r="Z128" s="63"/>
      <c r="AA128" s="74"/>
      <c r="AB128" s="75"/>
      <c r="AC128" s="63"/>
      <c r="AD128" s="63"/>
      <c r="AE128" s="63"/>
      <c r="AF128" s="63"/>
      <c r="AG128" s="63"/>
      <c r="AJ128" s="63"/>
      <c r="AK128" s="63"/>
      <c r="AL128" s="63"/>
      <c r="AM128" s="63"/>
      <c r="AN128" s="63"/>
      <c r="AO128" s="63"/>
      <c r="AP128" s="63"/>
      <c r="AQ128" s="63"/>
      <c r="AR128" s="63"/>
      <c r="AS128" s="63"/>
      <c r="AT128" s="63"/>
      <c r="AU128" s="63"/>
      <c r="AV128" s="63"/>
      <c r="AW128" s="63"/>
      <c r="AX128" s="63"/>
      <c r="AY128" s="63"/>
      <c r="AZ128" s="63"/>
      <c r="BB128" s="76"/>
      <c r="BC128" s="82"/>
      <c r="BD128" s="63"/>
      <c r="BE128" s="63"/>
      <c r="BF128" s="63"/>
      <c r="BG128" s="63"/>
      <c r="BH128" s="63"/>
      <c r="BI128" s="63"/>
      <c r="BJ128" s="63"/>
      <c r="BK128" s="63"/>
    </row>
    <row r="129" spans="7:63" x14ac:dyDescent="0.2">
      <c r="G129" s="73"/>
      <c r="H129" s="64"/>
      <c r="I129" s="64"/>
      <c r="S129" s="63"/>
      <c r="T129" s="63"/>
      <c r="U129" s="63"/>
      <c r="V129" s="63"/>
      <c r="X129" s="63"/>
      <c r="Y129" s="63"/>
      <c r="Z129" s="63"/>
      <c r="AA129" s="74"/>
      <c r="AB129" s="75"/>
      <c r="AC129" s="63"/>
      <c r="AD129" s="63"/>
      <c r="AE129" s="63"/>
      <c r="AF129" s="63"/>
      <c r="AG129" s="63"/>
      <c r="AJ129" s="63"/>
      <c r="AK129" s="63"/>
      <c r="AL129" s="63"/>
      <c r="AM129" s="63"/>
      <c r="AN129" s="63"/>
      <c r="AO129" s="63"/>
      <c r="AP129" s="63"/>
      <c r="AQ129" s="63"/>
      <c r="AR129" s="63"/>
      <c r="AS129" s="63"/>
      <c r="AT129" s="63"/>
      <c r="AU129" s="63"/>
      <c r="AV129" s="63"/>
      <c r="AW129" s="63"/>
      <c r="AX129" s="63"/>
      <c r="AY129" s="63"/>
      <c r="AZ129" s="63"/>
      <c r="BB129" s="76"/>
      <c r="BC129" s="82"/>
      <c r="BD129" s="63"/>
      <c r="BE129" s="63"/>
      <c r="BF129" s="63"/>
      <c r="BG129" s="63"/>
      <c r="BH129" s="63"/>
      <c r="BI129" s="63"/>
      <c r="BJ129" s="63"/>
      <c r="BK129" s="63"/>
    </row>
    <row r="130" spans="7:63" x14ac:dyDescent="0.2">
      <c r="G130" s="73"/>
      <c r="H130" s="64"/>
      <c r="I130" s="64"/>
      <c r="S130" s="63"/>
      <c r="T130" s="63"/>
      <c r="U130" s="63"/>
      <c r="V130" s="63"/>
      <c r="X130" s="63"/>
      <c r="Y130" s="63"/>
      <c r="Z130" s="63"/>
      <c r="AA130" s="74"/>
      <c r="AB130" s="75"/>
      <c r="AC130" s="63"/>
      <c r="AD130" s="63"/>
      <c r="AE130" s="63"/>
      <c r="AF130" s="63"/>
      <c r="AG130" s="63"/>
      <c r="AJ130" s="63"/>
      <c r="AK130" s="63"/>
      <c r="AL130" s="63"/>
      <c r="AM130" s="63"/>
      <c r="AN130" s="63"/>
      <c r="AO130" s="63"/>
      <c r="AP130" s="63"/>
      <c r="AQ130" s="63"/>
      <c r="AR130" s="63"/>
      <c r="AS130" s="63"/>
      <c r="AT130" s="63"/>
      <c r="AU130" s="63"/>
      <c r="AV130" s="63"/>
      <c r="AW130" s="63"/>
      <c r="AX130" s="63"/>
      <c r="AY130" s="63"/>
      <c r="AZ130" s="63"/>
      <c r="BB130" s="76"/>
      <c r="BC130" s="82"/>
      <c r="BD130" s="63"/>
      <c r="BE130" s="63"/>
      <c r="BF130" s="63"/>
      <c r="BG130" s="63"/>
      <c r="BH130" s="63"/>
      <c r="BI130" s="63"/>
      <c r="BJ130" s="63"/>
      <c r="BK130" s="63"/>
    </row>
    <row r="131" spans="7:63" x14ac:dyDescent="0.2">
      <c r="G131" s="73"/>
      <c r="H131" s="64"/>
      <c r="I131" s="64"/>
      <c r="S131" s="63"/>
      <c r="T131" s="63"/>
      <c r="U131" s="63"/>
      <c r="V131" s="63"/>
      <c r="X131" s="63"/>
      <c r="Y131" s="63"/>
      <c r="Z131" s="63"/>
      <c r="AA131" s="74"/>
      <c r="AB131" s="75"/>
      <c r="AC131" s="63"/>
      <c r="AD131" s="63"/>
      <c r="AE131" s="63"/>
      <c r="AF131" s="63"/>
      <c r="AG131" s="63"/>
      <c r="AJ131" s="63"/>
      <c r="AK131" s="63"/>
      <c r="AL131" s="63"/>
      <c r="AM131" s="63"/>
      <c r="AN131" s="63"/>
      <c r="AO131" s="63"/>
      <c r="AP131" s="63"/>
      <c r="AQ131" s="63"/>
      <c r="AR131" s="63"/>
      <c r="AS131" s="63"/>
      <c r="AT131" s="63"/>
      <c r="AU131" s="63"/>
      <c r="AV131" s="63"/>
      <c r="AW131" s="63"/>
      <c r="AX131" s="63"/>
      <c r="AY131" s="63"/>
      <c r="AZ131" s="63"/>
      <c r="BB131" s="76"/>
      <c r="BC131" s="82"/>
      <c r="BD131" s="63"/>
      <c r="BE131" s="63"/>
      <c r="BF131" s="63"/>
      <c r="BG131" s="63"/>
      <c r="BH131" s="63"/>
      <c r="BI131" s="63"/>
      <c r="BJ131" s="63"/>
      <c r="BK131" s="63"/>
    </row>
    <row r="132" spans="7:63" x14ac:dyDescent="0.2">
      <c r="G132" s="73"/>
      <c r="H132" s="64"/>
      <c r="I132" s="64"/>
      <c r="S132" s="63"/>
      <c r="T132" s="63"/>
      <c r="U132" s="63"/>
      <c r="V132" s="63"/>
      <c r="X132" s="63"/>
      <c r="Y132" s="63"/>
      <c r="Z132" s="63"/>
      <c r="AA132" s="74"/>
      <c r="AB132" s="75"/>
      <c r="AC132" s="63"/>
      <c r="AD132" s="63"/>
      <c r="AE132" s="63"/>
      <c r="AF132" s="63"/>
      <c r="AG132" s="63"/>
      <c r="AJ132" s="63"/>
      <c r="AK132" s="63"/>
      <c r="AL132" s="63"/>
      <c r="AM132" s="63"/>
      <c r="AN132" s="63"/>
      <c r="AO132" s="63"/>
      <c r="AP132" s="63"/>
      <c r="AQ132" s="63"/>
      <c r="AR132" s="63"/>
      <c r="AS132" s="63"/>
      <c r="AT132" s="63"/>
      <c r="AU132" s="63"/>
      <c r="AV132" s="63"/>
      <c r="AW132" s="63"/>
      <c r="AX132" s="63"/>
      <c r="AY132" s="63"/>
      <c r="AZ132" s="63"/>
      <c r="BB132" s="76"/>
      <c r="BC132" s="82"/>
      <c r="BD132" s="63"/>
      <c r="BE132" s="63"/>
      <c r="BF132" s="63"/>
      <c r="BG132" s="63"/>
      <c r="BH132" s="63"/>
      <c r="BI132" s="63"/>
      <c r="BJ132" s="63"/>
      <c r="BK132" s="63"/>
    </row>
    <row r="133" spans="7:63" x14ac:dyDescent="0.2">
      <c r="G133" s="73"/>
      <c r="H133" s="64"/>
      <c r="I133" s="64"/>
      <c r="S133" s="63"/>
      <c r="T133" s="63"/>
      <c r="U133" s="63"/>
      <c r="V133" s="63"/>
      <c r="X133" s="63"/>
      <c r="Y133" s="63"/>
      <c r="Z133" s="63"/>
      <c r="AA133" s="74"/>
      <c r="AB133" s="75"/>
      <c r="AC133" s="63"/>
      <c r="AD133" s="63"/>
      <c r="AE133" s="63"/>
      <c r="AF133" s="63"/>
      <c r="AG133" s="63"/>
      <c r="AJ133" s="63"/>
      <c r="AK133" s="63"/>
      <c r="AL133" s="63"/>
      <c r="AM133" s="63"/>
      <c r="AN133" s="63"/>
      <c r="AO133" s="63"/>
      <c r="AP133" s="63"/>
      <c r="AQ133" s="63"/>
      <c r="AR133" s="63"/>
      <c r="AS133" s="63"/>
      <c r="AT133" s="63"/>
      <c r="AU133" s="63"/>
      <c r="AV133" s="63"/>
      <c r="AW133" s="63"/>
      <c r="AX133" s="63"/>
      <c r="AY133" s="63"/>
      <c r="AZ133" s="63"/>
      <c r="BB133" s="76"/>
      <c r="BC133" s="82"/>
      <c r="BD133" s="63"/>
      <c r="BE133" s="63"/>
      <c r="BF133" s="63"/>
      <c r="BG133" s="63"/>
      <c r="BH133" s="63"/>
      <c r="BI133" s="63"/>
      <c r="BJ133" s="63"/>
      <c r="BK133" s="63"/>
    </row>
    <row r="134" spans="7:63" x14ac:dyDescent="0.2">
      <c r="G134" s="73"/>
      <c r="H134" s="64"/>
      <c r="I134" s="64"/>
      <c r="S134" s="63"/>
      <c r="T134" s="63"/>
      <c r="U134" s="63"/>
      <c r="V134" s="63"/>
      <c r="X134" s="63"/>
      <c r="Y134" s="63"/>
      <c r="Z134" s="63"/>
      <c r="AA134" s="74"/>
      <c r="AB134" s="75"/>
      <c r="AC134" s="63"/>
      <c r="AD134" s="63"/>
      <c r="AE134" s="63"/>
      <c r="AF134" s="63"/>
      <c r="AG134" s="63"/>
      <c r="AJ134" s="63"/>
      <c r="AK134" s="63"/>
      <c r="AL134" s="63"/>
      <c r="AM134" s="63"/>
      <c r="AN134" s="63"/>
      <c r="AO134" s="63"/>
      <c r="AP134" s="63"/>
      <c r="AQ134" s="63"/>
      <c r="AR134" s="63"/>
      <c r="AS134" s="63"/>
      <c r="AT134" s="63"/>
      <c r="AU134" s="63"/>
      <c r="AV134" s="63"/>
      <c r="AW134" s="63"/>
      <c r="AX134" s="63"/>
      <c r="AY134" s="63"/>
      <c r="AZ134" s="63"/>
      <c r="BB134" s="76"/>
      <c r="BC134" s="82"/>
      <c r="BD134" s="63"/>
      <c r="BE134" s="63"/>
      <c r="BF134" s="63"/>
      <c r="BG134" s="63"/>
      <c r="BH134" s="63"/>
      <c r="BI134" s="63"/>
      <c r="BJ134" s="63"/>
      <c r="BK134" s="63"/>
    </row>
    <row r="135" spans="7:63" x14ac:dyDescent="0.2">
      <c r="G135" s="73"/>
      <c r="H135" s="64"/>
      <c r="I135" s="64"/>
      <c r="S135" s="63"/>
      <c r="T135" s="63"/>
      <c r="U135" s="63"/>
      <c r="V135" s="63"/>
      <c r="X135" s="63"/>
      <c r="Y135" s="63"/>
      <c r="Z135" s="63"/>
      <c r="AA135" s="74"/>
      <c r="AB135" s="75"/>
      <c r="AC135" s="63"/>
      <c r="AD135" s="63"/>
      <c r="AE135" s="63"/>
      <c r="AF135" s="63"/>
      <c r="AG135" s="63"/>
      <c r="AJ135" s="63"/>
      <c r="AK135" s="63"/>
      <c r="AL135" s="63"/>
      <c r="AM135" s="63"/>
      <c r="AN135" s="63"/>
      <c r="AO135" s="63"/>
      <c r="AP135" s="63"/>
      <c r="AQ135" s="63"/>
      <c r="AR135" s="63"/>
      <c r="AS135" s="63"/>
      <c r="AT135" s="63"/>
      <c r="AU135" s="63"/>
      <c r="AV135" s="63"/>
      <c r="AW135" s="63"/>
      <c r="AX135" s="63"/>
      <c r="AY135" s="63"/>
      <c r="AZ135" s="63"/>
      <c r="BB135" s="76"/>
      <c r="BC135" s="82"/>
      <c r="BD135" s="63"/>
      <c r="BE135" s="63"/>
      <c r="BF135" s="63"/>
      <c r="BG135" s="63"/>
      <c r="BH135" s="63"/>
      <c r="BI135" s="63"/>
      <c r="BJ135" s="63"/>
      <c r="BK135" s="63"/>
    </row>
    <row r="136" spans="7:63" x14ac:dyDescent="0.2">
      <c r="G136" s="73"/>
      <c r="H136" s="64"/>
      <c r="I136" s="64"/>
      <c r="S136" s="63"/>
      <c r="T136" s="63"/>
      <c r="U136" s="63"/>
      <c r="V136" s="63"/>
      <c r="X136" s="63"/>
      <c r="Y136" s="63"/>
      <c r="Z136" s="63"/>
      <c r="AA136" s="74"/>
      <c r="AB136" s="75"/>
      <c r="AC136" s="63"/>
      <c r="AD136" s="63"/>
      <c r="AE136" s="63"/>
      <c r="AF136" s="63"/>
      <c r="AG136" s="63"/>
      <c r="AJ136" s="63"/>
      <c r="AK136" s="63"/>
      <c r="AL136" s="63"/>
      <c r="AM136" s="63"/>
      <c r="AN136" s="63"/>
      <c r="AO136" s="63"/>
      <c r="AP136" s="63"/>
      <c r="AQ136" s="63"/>
      <c r="AR136" s="63"/>
      <c r="AS136" s="63"/>
      <c r="AT136" s="63"/>
      <c r="AU136" s="63"/>
      <c r="AV136" s="63"/>
      <c r="AW136" s="63"/>
      <c r="AX136" s="63"/>
      <c r="AY136" s="63"/>
      <c r="AZ136" s="63"/>
      <c r="BB136" s="76"/>
      <c r="BC136" s="82"/>
      <c r="BD136" s="63"/>
      <c r="BE136" s="63"/>
      <c r="BF136" s="63"/>
      <c r="BG136" s="63"/>
      <c r="BH136" s="63"/>
      <c r="BI136" s="63"/>
      <c r="BJ136" s="63"/>
      <c r="BK136" s="63"/>
    </row>
    <row r="137" spans="7:63" x14ac:dyDescent="0.2">
      <c r="G137" s="73"/>
      <c r="H137" s="64"/>
      <c r="I137" s="64"/>
      <c r="S137" s="63"/>
      <c r="T137" s="63"/>
      <c r="U137" s="63"/>
      <c r="V137" s="63"/>
      <c r="X137" s="63"/>
      <c r="Y137" s="63"/>
      <c r="Z137" s="63"/>
      <c r="AA137" s="74"/>
      <c r="AB137" s="75"/>
      <c r="AC137" s="63"/>
      <c r="AD137" s="63"/>
      <c r="AE137" s="63"/>
      <c r="AF137" s="63"/>
      <c r="AG137" s="63"/>
      <c r="AJ137" s="63"/>
      <c r="AK137" s="63"/>
      <c r="AL137" s="63"/>
      <c r="AM137" s="63"/>
      <c r="AN137" s="63"/>
      <c r="AO137" s="63"/>
      <c r="AP137" s="63"/>
      <c r="AQ137" s="63"/>
      <c r="AR137" s="63"/>
      <c r="AS137" s="63"/>
      <c r="AT137" s="63"/>
      <c r="AU137" s="63"/>
      <c r="AV137" s="63"/>
      <c r="AW137" s="63"/>
      <c r="AX137" s="63"/>
      <c r="AY137" s="63"/>
      <c r="AZ137" s="63"/>
      <c r="BB137" s="76"/>
      <c r="BC137" s="82"/>
      <c r="BD137" s="63"/>
      <c r="BE137" s="63"/>
      <c r="BF137" s="63"/>
      <c r="BG137" s="63"/>
      <c r="BH137" s="63"/>
      <c r="BI137" s="63"/>
      <c r="BJ137" s="63"/>
      <c r="BK137" s="63"/>
    </row>
    <row r="138" spans="7:63" x14ac:dyDescent="0.2">
      <c r="G138" s="73"/>
      <c r="H138" s="64"/>
      <c r="I138" s="64"/>
      <c r="S138" s="63"/>
      <c r="T138" s="63"/>
      <c r="U138" s="63"/>
      <c r="V138" s="63"/>
      <c r="X138" s="63"/>
      <c r="Y138" s="63"/>
      <c r="Z138" s="63"/>
      <c r="AA138" s="74"/>
      <c r="AB138" s="75"/>
      <c r="AC138" s="63"/>
      <c r="AD138" s="63"/>
      <c r="AE138" s="63"/>
      <c r="AF138" s="63"/>
      <c r="AG138" s="63"/>
      <c r="AJ138" s="63"/>
      <c r="AK138" s="63"/>
      <c r="AL138" s="63"/>
      <c r="AM138" s="63"/>
      <c r="AN138" s="63"/>
      <c r="AO138" s="63"/>
      <c r="AP138" s="63"/>
      <c r="AQ138" s="63"/>
      <c r="AR138" s="63"/>
      <c r="AS138" s="63"/>
      <c r="AT138" s="63"/>
      <c r="AU138" s="63"/>
      <c r="AV138" s="63"/>
      <c r="AW138" s="63"/>
      <c r="AX138" s="63"/>
      <c r="AY138" s="63"/>
      <c r="AZ138" s="63"/>
      <c r="BB138" s="76"/>
      <c r="BC138" s="82"/>
      <c r="BD138" s="63"/>
      <c r="BE138" s="63"/>
      <c r="BF138" s="63"/>
      <c r="BG138" s="63"/>
      <c r="BH138" s="63"/>
      <c r="BI138" s="63"/>
      <c r="BJ138" s="63"/>
      <c r="BK138" s="63"/>
    </row>
    <row r="139" spans="7:63" x14ac:dyDescent="0.2">
      <c r="G139" s="73"/>
      <c r="H139" s="64"/>
      <c r="I139" s="64"/>
      <c r="S139" s="63"/>
      <c r="T139" s="63"/>
      <c r="U139" s="63"/>
      <c r="V139" s="63"/>
      <c r="X139" s="63"/>
      <c r="Y139" s="63"/>
      <c r="Z139" s="63"/>
      <c r="AA139" s="74"/>
      <c r="AB139" s="75"/>
      <c r="AC139" s="63"/>
      <c r="AD139" s="63"/>
      <c r="AE139" s="63"/>
      <c r="AF139" s="63"/>
      <c r="AG139" s="63"/>
      <c r="AJ139" s="63"/>
      <c r="AK139" s="63"/>
      <c r="AL139" s="63"/>
      <c r="AM139" s="63"/>
      <c r="AN139" s="63"/>
      <c r="AO139" s="63"/>
      <c r="AP139" s="63"/>
      <c r="AQ139" s="63"/>
      <c r="AR139" s="63"/>
      <c r="AS139" s="63"/>
      <c r="AT139" s="63"/>
      <c r="AU139" s="63"/>
      <c r="AV139" s="63"/>
      <c r="AW139" s="63"/>
      <c r="AX139" s="63"/>
      <c r="AY139" s="63"/>
      <c r="AZ139" s="63"/>
      <c r="BB139" s="76"/>
      <c r="BC139" s="82"/>
      <c r="BD139" s="63"/>
      <c r="BE139" s="63"/>
      <c r="BF139" s="63"/>
      <c r="BG139" s="63"/>
      <c r="BH139" s="63"/>
      <c r="BI139" s="63"/>
      <c r="BJ139" s="63"/>
      <c r="BK139" s="63"/>
    </row>
    <row r="140" spans="7:63" x14ac:dyDescent="0.2">
      <c r="G140" s="73"/>
      <c r="H140" s="64"/>
      <c r="I140" s="64"/>
      <c r="S140" s="63"/>
      <c r="T140" s="63"/>
      <c r="U140" s="63"/>
      <c r="V140" s="63"/>
      <c r="X140" s="63"/>
      <c r="Y140" s="63"/>
      <c r="Z140" s="63"/>
      <c r="AA140" s="74"/>
      <c r="AB140" s="75"/>
      <c r="AC140" s="63"/>
      <c r="AD140" s="63"/>
      <c r="AE140" s="63"/>
      <c r="AF140" s="63"/>
      <c r="AG140" s="63"/>
      <c r="AJ140" s="63"/>
      <c r="AK140" s="63"/>
      <c r="AL140" s="63"/>
      <c r="AM140" s="63"/>
      <c r="AN140" s="63"/>
      <c r="AO140" s="63"/>
      <c r="AP140" s="63"/>
      <c r="AQ140" s="63"/>
      <c r="AR140" s="63"/>
      <c r="AS140" s="63"/>
      <c r="AT140" s="63"/>
      <c r="AU140" s="63"/>
      <c r="AV140" s="63"/>
      <c r="AW140" s="63"/>
      <c r="AX140" s="63"/>
      <c r="AY140" s="63"/>
      <c r="AZ140" s="63"/>
      <c r="BB140" s="76"/>
      <c r="BC140" s="82"/>
      <c r="BD140" s="63"/>
      <c r="BE140" s="63"/>
      <c r="BF140" s="63"/>
      <c r="BG140" s="63"/>
      <c r="BH140" s="63"/>
      <c r="BI140" s="63"/>
      <c r="BJ140" s="63"/>
      <c r="BK140" s="63"/>
    </row>
    <row r="141" spans="7:63" x14ac:dyDescent="0.2">
      <c r="G141" s="73"/>
      <c r="H141" s="64"/>
      <c r="I141" s="64"/>
      <c r="S141" s="63"/>
      <c r="T141" s="63"/>
      <c r="U141" s="63"/>
      <c r="V141" s="63"/>
      <c r="X141" s="63"/>
      <c r="Y141" s="63"/>
      <c r="Z141" s="63"/>
      <c r="AA141" s="74"/>
      <c r="AB141" s="75"/>
      <c r="AC141" s="63"/>
      <c r="AD141" s="63"/>
      <c r="AE141" s="63"/>
      <c r="AF141" s="63"/>
      <c r="AG141" s="63"/>
      <c r="AJ141" s="63"/>
      <c r="AK141" s="63"/>
      <c r="AL141" s="63"/>
      <c r="AM141" s="63"/>
      <c r="AN141" s="63"/>
      <c r="AO141" s="63"/>
      <c r="AP141" s="63"/>
      <c r="AQ141" s="63"/>
      <c r="AR141" s="63"/>
      <c r="AS141" s="63"/>
      <c r="AT141" s="63"/>
      <c r="AU141" s="63"/>
      <c r="AV141" s="63"/>
      <c r="AW141" s="63"/>
      <c r="AX141" s="63"/>
      <c r="AY141" s="63"/>
      <c r="AZ141" s="63"/>
      <c r="BB141" s="76"/>
      <c r="BC141" s="82"/>
      <c r="BD141" s="63"/>
      <c r="BE141" s="63"/>
      <c r="BF141" s="63"/>
      <c r="BG141" s="63"/>
      <c r="BH141" s="63"/>
      <c r="BI141" s="63"/>
      <c r="BJ141" s="63"/>
      <c r="BK141" s="63"/>
    </row>
    <row r="142" spans="7:63" x14ac:dyDescent="0.2">
      <c r="G142" s="73"/>
      <c r="H142" s="64"/>
      <c r="I142" s="64"/>
      <c r="S142" s="63"/>
      <c r="T142" s="63"/>
      <c r="U142" s="63"/>
      <c r="V142" s="63"/>
      <c r="X142" s="63"/>
      <c r="Y142" s="63"/>
      <c r="Z142" s="63"/>
      <c r="AA142" s="74"/>
      <c r="AB142" s="75"/>
      <c r="AC142" s="63"/>
      <c r="AD142" s="63"/>
      <c r="AE142" s="63"/>
      <c r="AF142" s="63"/>
      <c r="AG142" s="63"/>
      <c r="AJ142" s="63"/>
      <c r="AK142" s="63"/>
      <c r="AL142" s="63"/>
      <c r="AM142" s="63"/>
      <c r="AN142" s="63"/>
      <c r="AO142" s="63"/>
      <c r="AP142" s="63"/>
      <c r="AQ142" s="63"/>
      <c r="AR142" s="63"/>
      <c r="AS142" s="63"/>
      <c r="AT142" s="63"/>
      <c r="AU142" s="63"/>
      <c r="AV142" s="63"/>
      <c r="AW142" s="63"/>
      <c r="AX142" s="63"/>
      <c r="AY142" s="63"/>
      <c r="AZ142" s="63"/>
      <c r="BB142" s="76"/>
      <c r="BC142" s="82"/>
      <c r="BD142" s="63"/>
      <c r="BE142" s="63"/>
      <c r="BF142" s="63"/>
      <c r="BG142" s="63"/>
      <c r="BH142" s="63"/>
      <c r="BI142" s="63"/>
      <c r="BJ142" s="63"/>
      <c r="BK142" s="63"/>
    </row>
    <row r="143" spans="7:63" x14ac:dyDescent="0.2">
      <c r="G143" s="73"/>
      <c r="H143" s="64"/>
      <c r="I143" s="64"/>
      <c r="S143" s="63"/>
      <c r="T143" s="63"/>
      <c r="U143" s="63"/>
      <c r="V143" s="63"/>
      <c r="X143" s="63"/>
      <c r="Y143" s="63"/>
      <c r="Z143" s="63"/>
      <c r="AA143" s="74"/>
      <c r="AB143" s="75"/>
      <c r="AC143" s="63"/>
      <c r="AD143" s="63"/>
      <c r="AE143" s="63"/>
      <c r="AF143" s="63"/>
      <c r="AG143" s="63"/>
      <c r="AJ143" s="63"/>
      <c r="AK143" s="63"/>
      <c r="AL143" s="63"/>
      <c r="AM143" s="63"/>
      <c r="AN143" s="63"/>
      <c r="AO143" s="63"/>
      <c r="AP143" s="63"/>
      <c r="AQ143" s="63"/>
      <c r="AR143" s="63"/>
      <c r="AS143" s="63"/>
      <c r="AT143" s="63"/>
      <c r="AU143" s="63"/>
      <c r="AV143" s="63"/>
      <c r="AW143" s="63"/>
      <c r="AX143" s="63"/>
      <c r="AY143" s="63"/>
      <c r="AZ143" s="63"/>
      <c r="BB143" s="76"/>
      <c r="BC143" s="82"/>
      <c r="BD143" s="63"/>
      <c r="BE143" s="63"/>
      <c r="BF143" s="63"/>
      <c r="BG143" s="63"/>
      <c r="BH143" s="63"/>
      <c r="BI143" s="63"/>
      <c r="BJ143" s="63"/>
      <c r="BK143" s="63"/>
    </row>
    <row r="144" spans="7:63" x14ac:dyDescent="0.2">
      <c r="G144" s="73"/>
      <c r="H144" s="64"/>
      <c r="I144" s="64"/>
      <c r="S144" s="63"/>
      <c r="T144" s="63"/>
      <c r="U144" s="63"/>
      <c r="V144" s="63"/>
      <c r="X144" s="63"/>
      <c r="Y144" s="63"/>
      <c r="Z144" s="63"/>
      <c r="AA144" s="74"/>
      <c r="AB144" s="75"/>
      <c r="AC144" s="63"/>
      <c r="AD144" s="63"/>
      <c r="AE144" s="63"/>
      <c r="AF144" s="63"/>
      <c r="AG144" s="63"/>
      <c r="AJ144" s="63"/>
      <c r="AK144" s="63"/>
      <c r="AL144" s="63"/>
      <c r="AM144" s="63"/>
      <c r="AN144" s="63"/>
      <c r="AO144" s="63"/>
      <c r="AP144" s="63"/>
      <c r="AQ144" s="63"/>
      <c r="AR144" s="63"/>
      <c r="AS144" s="63"/>
      <c r="AT144" s="63"/>
      <c r="AU144" s="63"/>
      <c r="AV144" s="63"/>
      <c r="AW144" s="63"/>
      <c r="AX144" s="63"/>
      <c r="AY144" s="63"/>
      <c r="AZ144" s="63"/>
      <c r="BB144" s="76"/>
      <c r="BC144" s="82"/>
      <c r="BD144" s="63"/>
      <c r="BE144" s="63"/>
      <c r="BF144" s="63"/>
      <c r="BG144" s="63"/>
      <c r="BH144" s="63"/>
      <c r="BI144" s="63"/>
      <c r="BJ144" s="63"/>
      <c r="BK144" s="63"/>
    </row>
    <row r="145" spans="7:63" x14ac:dyDescent="0.2">
      <c r="G145" s="73"/>
      <c r="H145" s="64"/>
      <c r="I145" s="64"/>
      <c r="S145" s="63"/>
      <c r="T145" s="63"/>
      <c r="U145" s="63"/>
      <c r="V145" s="63"/>
      <c r="X145" s="63"/>
      <c r="Y145" s="63"/>
      <c r="Z145" s="63"/>
      <c r="AA145" s="74"/>
      <c r="AB145" s="75"/>
      <c r="AC145" s="63"/>
      <c r="AD145" s="63"/>
      <c r="AE145" s="63"/>
      <c r="AF145" s="63"/>
      <c r="AG145" s="63"/>
      <c r="AJ145" s="63"/>
      <c r="AK145" s="63"/>
      <c r="AL145" s="63"/>
      <c r="AM145" s="63"/>
      <c r="AN145" s="63"/>
      <c r="AO145" s="63"/>
      <c r="AP145" s="63"/>
      <c r="AQ145" s="63"/>
      <c r="AR145" s="63"/>
      <c r="AS145" s="63"/>
      <c r="AT145" s="63"/>
      <c r="AU145" s="63"/>
      <c r="AV145" s="63"/>
      <c r="AW145" s="63"/>
      <c r="AX145" s="63"/>
      <c r="AY145" s="63"/>
      <c r="AZ145" s="63"/>
      <c r="BB145" s="76"/>
      <c r="BC145" s="82"/>
      <c r="BD145" s="63"/>
      <c r="BE145" s="63"/>
      <c r="BF145" s="63"/>
      <c r="BG145" s="63"/>
      <c r="BH145" s="63"/>
      <c r="BI145" s="63"/>
      <c r="BJ145" s="63"/>
      <c r="BK145" s="63"/>
    </row>
    <row r="146" spans="7:63" x14ac:dyDescent="0.2">
      <c r="G146" s="73"/>
      <c r="H146" s="64"/>
      <c r="I146" s="64"/>
      <c r="S146" s="63"/>
      <c r="T146" s="63"/>
      <c r="U146" s="63"/>
      <c r="V146" s="63"/>
      <c r="X146" s="63"/>
      <c r="Y146" s="63"/>
      <c r="Z146" s="63"/>
      <c r="AA146" s="74"/>
      <c r="AB146" s="75"/>
      <c r="AC146" s="63"/>
      <c r="AD146" s="63"/>
      <c r="AE146" s="63"/>
      <c r="AF146" s="63"/>
      <c r="AG146" s="63"/>
      <c r="AJ146" s="63"/>
      <c r="AK146" s="63"/>
      <c r="AL146" s="63"/>
      <c r="AM146" s="63"/>
      <c r="AN146" s="63"/>
      <c r="AO146" s="63"/>
      <c r="AP146" s="63"/>
      <c r="AQ146" s="63"/>
      <c r="AR146" s="63"/>
      <c r="AS146" s="63"/>
      <c r="AT146" s="63"/>
      <c r="AU146" s="63"/>
      <c r="AV146" s="63"/>
      <c r="AW146" s="63"/>
      <c r="AX146" s="63"/>
      <c r="AY146" s="63"/>
      <c r="AZ146" s="63"/>
      <c r="BB146" s="76"/>
      <c r="BC146" s="82"/>
      <c r="BD146" s="63"/>
      <c r="BE146" s="63"/>
      <c r="BF146" s="63"/>
      <c r="BG146" s="63"/>
      <c r="BH146" s="63"/>
      <c r="BI146" s="63"/>
      <c r="BJ146" s="63"/>
      <c r="BK146" s="63"/>
    </row>
    <row r="147" spans="7:63" x14ac:dyDescent="0.2">
      <c r="G147" s="73"/>
      <c r="H147" s="64"/>
      <c r="I147" s="64"/>
      <c r="S147" s="63"/>
      <c r="T147" s="63"/>
      <c r="U147" s="63"/>
      <c r="V147" s="63"/>
      <c r="X147" s="63"/>
      <c r="Y147" s="63"/>
      <c r="Z147" s="63"/>
      <c r="AA147" s="74"/>
      <c r="AB147" s="75"/>
      <c r="AC147" s="63"/>
      <c r="AD147" s="63"/>
      <c r="AE147" s="63"/>
      <c r="AF147" s="63"/>
      <c r="AG147" s="63"/>
      <c r="AJ147" s="63"/>
      <c r="AK147" s="63"/>
      <c r="AL147" s="63"/>
      <c r="AM147" s="63"/>
      <c r="AN147" s="63"/>
      <c r="AO147" s="63"/>
      <c r="AP147" s="63"/>
      <c r="AQ147" s="63"/>
      <c r="AR147" s="63"/>
      <c r="AS147" s="63"/>
      <c r="AT147" s="63"/>
      <c r="AU147" s="63"/>
      <c r="AV147" s="63"/>
      <c r="AW147" s="63"/>
      <c r="AX147" s="63"/>
      <c r="AY147" s="63"/>
      <c r="AZ147" s="63"/>
      <c r="BB147" s="76"/>
      <c r="BC147" s="82"/>
      <c r="BD147" s="63"/>
      <c r="BE147" s="63"/>
      <c r="BF147" s="63"/>
      <c r="BG147" s="63"/>
      <c r="BH147" s="63"/>
      <c r="BI147" s="63"/>
      <c r="BJ147" s="63"/>
      <c r="BK147" s="63"/>
    </row>
    <row r="148" spans="7:63" x14ac:dyDescent="0.2">
      <c r="G148" s="73"/>
      <c r="H148" s="64"/>
      <c r="I148" s="64"/>
      <c r="S148" s="63"/>
      <c r="T148" s="63"/>
      <c r="U148" s="63"/>
      <c r="V148" s="63"/>
      <c r="X148" s="63"/>
      <c r="Y148" s="63"/>
      <c r="Z148" s="63"/>
      <c r="AA148" s="74"/>
      <c r="AB148" s="75"/>
      <c r="AC148" s="63"/>
      <c r="AD148" s="63"/>
      <c r="AE148" s="63"/>
      <c r="AF148" s="63"/>
      <c r="AG148" s="63"/>
      <c r="AJ148" s="63"/>
      <c r="AK148" s="63"/>
      <c r="AL148" s="63"/>
      <c r="AM148" s="63"/>
      <c r="AN148" s="63"/>
      <c r="AO148" s="63"/>
      <c r="AP148" s="63"/>
      <c r="AQ148" s="63"/>
      <c r="AR148" s="63"/>
      <c r="AS148" s="63"/>
      <c r="AT148" s="63"/>
      <c r="AU148" s="63"/>
      <c r="AV148" s="63"/>
      <c r="AW148" s="63"/>
      <c r="AX148" s="63"/>
      <c r="AY148" s="63"/>
      <c r="AZ148" s="63"/>
      <c r="BB148" s="76"/>
      <c r="BC148" s="82"/>
      <c r="BD148" s="63"/>
      <c r="BE148" s="63"/>
      <c r="BF148" s="63"/>
      <c r="BG148" s="63"/>
      <c r="BH148" s="63"/>
      <c r="BI148" s="63"/>
      <c r="BJ148" s="63"/>
      <c r="BK148" s="63"/>
    </row>
    <row r="149" spans="7:63" x14ac:dyDescent="0.2">
      <c r="G149" s="73"/>
      <c r="H149" s="64"/>
      <c r="I149" s="64"/>
      <c r="S149" s="63"/>
      <c r="T149" s="63"/>
      <c r="U149" s="63"/>
      <c r="V149" s="63"/>
      <c r="X149" s="63"/>
      <c r="Y149" s="63"/>
      <c r="Z149" s="63"/>
      <c r="AA149" s="74"/>
      <c r="AB149" s="75"/>
      <c r="AC149" s="63"/>
      <c r="AD149" s="63"/>
      <c r="AE149" s="63"/>
      <c r="AF149" s="63"/>
      <c r="AG149" s="63"/>
      <c r="AJ149" s="63"/>
      <c r="AK149" s="63"/>
      <c r="AL149" s="63"/>
      <c r="AM149" s="63"/>
      <c r="AN149" s="63"/>
      <c r="AO149" s="63"/>
      <c r="AP149" s="63"/>
      <c r="AQ149" s="63"/>
      <c r="AR149" s="63"/>
      <c r="AS149" s="63"/>
      <c r="AT149" s="63"/>
      <c r="AU149" s="63"/>
      <c r="AV149" s="63"/>
      <c r="AW149" s="63"/>
      <c r="AX149" s="63"/>
      <c r="AY149" s="63"/>
      <c r="AZ149" s="63"/>
      <c r="BB149" s="76"/>
      <c r="BC149" s="82"/>
      <c r="BD149" s="63"/>
      <c r="BE149" s="63"/>
      <c r="BF149" s="63"/>
      <c r="BG149" s="63"/>
      <c r="BH149" s="63"/>
      <c r="BI149" s="63"/>
      <c r="BJ149" s="63"/>
      <c r="BK149" s="63"/>
    </row>
    <row r="150" spans="7:63" x14ac:dyDescent="0.2">
      <c r="G150" s="73"/>
      <c r="H150" s="64"/>
      <c r="I150" s="64"/>
      <c r="S150" s="63"/>
      <c r="T150" s="63"/>
      <c r="U150" s="63"/>
      <c r="V150" s="63"/>
      <c r="X150" s="63"/>
      <c r="Y150" s="63"/>
      <c r="Z150" s="63"/>
      <c r="AA150" s="74"/>
      <c r="AB150" s="75"/>
      <c r="AC150" s="63"/>
      <c r="AD150" s="63"/>
      <c r="AE150" s="63"/>
      <c r="AF150" s="63"/>
      <c r="AG150" s="63"/>
      <c r="AJ150" s="63"/>
      <c r="AK150" s="63"/>
      <c r="AL150" s="63"/>
      <c r="AM150" s="63"/>
      <c r="AN150" s="63"/>
      <c r="AO150" s="63"/>
      <c r="AP150" s="63"/>
      <c r="AQ150" s="63"/>
      <c r="AR150" s="63"/>
      <c r="AS150" s="63"/>
      <c r="AT150" s="63"/>
      <c r="AU150" s="63"/>
      <c r="AV150" s="63"/>
      <c r="AW150" s="63"/>
      <c r="AX150" s="63"/>
      <c r="AY150" s="63"/>
      <c r="AZ150" s="63"/>
      <c r="BB150" s="76"/>
      <c r="BC150" s="82"/>
      <c r="BD150" s="63"/>
      <c r="BE150" s="63"/>
      <c r="BF150" s="63"/>
      <c r="BG150" s="63"/>
      <c r="BH150" s="63"/>
      <c r="BI150" s="63"/>
      <c r="BJ150" s="63"/>
      <c r="BK150" s="63"/>
    </row>
    <row r="151" spans="7:63" x14ac:dyDescent="0.2">
      <c r="G151" s="73"/>
      <c r="H151" s="64"/>
      <c r="I151" s="64"/>
      <c r="S151" s="63"/>
      <c r="T151" s="63"/>
      <c r="U151" s="63"/>
      <c r="V151" s="63"/>
      <c r="X151" s="63"/>
      <c r="Y151" s="63"/>
      <c r="Z151" s="63"/>
      <c r="AA151" s="74"/>
      <c r="AB151" s="75"/>
      <c r="AC151" s="63"/>
      <c r="AD151" s="63"/>
      <c r="AE151" s="63"/>
      <c r="AF151" s="63"/>
      <c r="AG151" s="63"/>
      <c r="AJ151" s="63"/>
      <c r="AK151" s="63"/>
      <c r="AL151" s="63"/>
      <c r="AM151" s="63"/>
      <c r="AN151" s="63"/>
      <c r="AO151" s="63"/>
      <c r="AP151" s="63"/>
      <c r="AQ151" s="63"/>
      <c r="AR151" s="63"/>
      <c r="AS151" s="63"/>
      <c r="AT151" s="63"/>
      <c r="AU151" s="63"/>
      <c r="AV151" s="63"/>
      <c r="AW151" s="63"/>
      <c r="AX151" s="63"/>
      <c r="AY151" s="63"/>
      <c r="AZ151" s="63"/>
      <c r="BB151" s="76"/>
      <c r="BC151" s="82"/>
      <c r="BD151" s="63"/>
      <c r="BE151" s="63"/>
      <c r="BF151" s="63"/>
      <c r="BG151" s="63"/>
      <c r="BH151" s="63"/>
      <c r="BI151" s="63"/>
      <c r="BJ151" s="63"/>
      <c r="BK151" s="63"/>
    </row>
    <row r="152" spans="7:63" x14ac:dyDescent="0.2">
      <c r="G152" s="73"/>
      <c r="H152" s="64"/>
      <c r="I152" s="64"/>
      <c r="S152" s="63"/>
      <c r="T152" s="63"/>
      <c r="U152" s="63"/>
      <c r="V152" s="63"/>
      <c r="X152" s="63"/>
      <c r="Y152" s="63"/>
      <c r="Z152" s="63"/>
      <c r="AA152" s="74"/>
      <c r="AB152" s="75"/>
      <c r="AC152" s="63"/>
      <c r="AD152" s="63"/>
      <c r="AE152" s="63"/>
      <c r="AF152" s="63"/>
      <c r="AG152" s="63"/>
      <c r="AJ152" s="63"/>
      <c r="AK152" s="63"/>
      <c r="AL152" s="63"/>
      <c r="AM152" s="63"/>
      <c r="AN152" s="63"/>
      <c r="AO152" s="63"/>
      <c r="AP152" s="63"/>
      <c r="AQ152" s="63"/>
      <c r="AR152" s="63"/>
      <c r="AS152" s="63"/>
      <c r="AT152" s="63"/>
      <c r="AU152" s="63"/>
      <c r="AV152" s="63"/>
      <c r="AW152" s="63"/>
      <c r="AX152" s="63"/>
      <c r="AY152" s="63"/>
      <c r="AZ152" s="63"/>
      <c r="BB152" s="76"/>
      <c r="BC152" s="82"/>
      <c r="BD152" s="63"/>
      <c r="BE152" s="63"/>
      <c r="BF152" s="63"/>
      <c r="BG152" s="63"/>
      <c r="BH152" s="63"/>
      <c r="BI152" s="63"/>
      <c r="BJ152" s="63"/>
      <c r="BK152" s="63"/>
    </row>
    <row r="153" spans="7:63" x14ac:dyDescent="0.2">
      <c r="G153" s="73"/>
      <c r="H153" s="64"/>
      <c r="I153" s="64"/>
      <c r="S153" s="63"/>
      <c r="T153" s="63"/>
      <c r="U153" s="63"/>
      <c r="V153" s="63"/>
      <c r="X153" s="63"/>
      <c r="Y153" s="63"/>
      <c r="Z153" s="63"/>
      <c r="AA153" s="74"/>
      <c r="AB153" s="75"/>
      <c r="AC153" s="63"/>
      <c r="AD153" s="63"/>
      <c r="AE153" s="63"/>
      <c r="AF153" s="63"/>
      <c r="AG153" s="63"/>
      <c r="AJ153" s="63"/>
      <c r="AK153" s="63"/>
      <c r="AL153" s="63"/>
      <c r="AM153" s="63"/>
      <c r="AN153" s="63"/>
      <c r="AO153" s="63"/>
      <c r="AP153" s="63"/>
      <c r="AQ153" s="63"/>
      <c r="AR153" s="63"/>
      <c r="AS153" s="63"/>
      <c r="AT153" s="63"/>
      <c r="AU153" s="63"/>
      <c r="AV153" s="63"/>
      <c r="AW153" s="63"/>
      <c r="AX153" s="63"/>
      <c r="AY153" s="63"/>
      <c r="AZ153" s="63"/>
      <c r="BB153" s="76"/>
      <c r="BC153" s="82"/>
      <c r="BD153" s="63"/>
      <c r="BE153" s="63"/>
      <c r="BF153" s="63"/>
      <c r="BG153" s="63"/>
      <c r="BH153" s="63"/>
      <c r="BI153" s="63"/>
      <c r="BJ153" s="63"/>
      <c r="BK153" s="63"/>
    </row>
    <row r="154" spans="7:63" x14ac:dyDescent="0.2">
      <c r="G154" s="73"/>
      <c r="H154" s="64"/>
      <c r="I154" s="64"/>
      <c r="S154" s="63"/>
      <c r="T154" s="63"/>
      <c r="U154" s="63"/>
      <c r="V154" s="63"/>
      <c r="X154" s="63"/>
      <c r="Y154" s="63"/>
      <c r="Z154" s="63"/>
      <c r="AA154" s="74"/>
      <c r="AB154" s="75"/>
      <c r="AC154" s="63"/>
      <c r="AD154" s="63"/>
      <c r="AE154" s="63"/>
      <c r="AF154" s="63"/>
      <c r="AG154" s="63"/>
      <c r="AJ154" s="63"/>
      <c r="AK154" s="63"/>
      <c r="AL154" s="63"/>
      <c r="AM154" s="63"/>
      <c r="AN154" s="63"/>
      <c r="AO154" s="63"/>
      <c r="AP154" s="63"/>
      <c r="AQ154" s="63"/>
      <c r="AR154" s="63"/>
      <c r="AS154" s="63"/>
      <c r="AT154" s="63"/>
      <c r="AU154" s="63"/>
      <c r="AV154" s="63"/>
      <c r="AW154" s="63"/>
      <c r="AX154" s="63"/>
      <c r="AY154" s="63"/>
      <c r="AZ154" s="63"/>
      <c r="BB154" s="76"/>
      <c r="BC154" s="82"/>
      <c r="BD154" s="63"/>
      <c r="BE154" s="63"/>
      <c r="BF154" s="63"/>
      <c r="BG154" s="63"/>
      <c r="BH154" s="63"/>
      <c r="BI154" s="63"/>
      <c r="BJ154" s="63"/>
      <c r="BK154" s="63"/>
    </row>
    <row r="155" spans="7:63" x14ac:dyDescent="0.2">
      <c r="G155" s="73"/>
      <c r="H155" s="64"/>
      <c r="I155" s="64"/>
      <c r="S155" s="63"/>
      <c r="T155" s="63"/>
      <c r="U155" s="63"/>
      <c r="V155" s="63"/>
      <c r="X155" s="63"/>
      <c r="Y155" s="63"/>
      <c r="Z155" s="63"/>
      <c r="AA155" s="74"/>
      <c r="AB155" s="75"/>
      <c r="AC155" s="63"/>
      <c r="AD155" s="63"/>
      <c r="AE155" s="63"/>
      <c r="AF155" s="63"/>
      <c r="AG155" s="63"/>
      <c r="AJ155" s="63"/>
      <c r="AK155" s="63"/>
      <c r="AL155" s="63"/>
      <c r="AM155" s="63"/>
      <c r="AN155" s="63"/>
      <c r="AO155" s="63"/>
      <c r="AP155" s="63"/>
      <c r="AQ155" s="63"/>
      <c r="AR155" s="63"/>
      <c r="AS155" s="63"/>
      <c r="AT155" s="63"/>
      <c r="AU155" s="63"/>
      <c r="AV155" s="63"/>
      <c r="AW155" s="63"/>
      <c r="AX155" s="63"/>
      <c r="AY155" s="63"/>
      <c r="AZ155" s="63"/>
      <c r="BB155" s="76"/>
      <c r="BC155" s="82"/>
      <c r="BD155" s="63"/>
      <c r="BE155" s="63"/>
      <c r="BF155" s="63"/>
      <c r="BG155" s="63"/>
      <c r="BH155" s="63"/>
      <c r="BI155" s="63"/>
      <c r="BJ155" s="63"/>
      <c r="BK155" s="63"/>
    </row>
    <row r="156" spans="7:63" x14ac:dyDescent="0.2">
      <c r="G156" s="73"/>
      <c r="H156" s="64"/>
      <c r="I156" s="64"/>
      <c r="S156" s="63"/>
      <c r="T156" s="63"/>
      <c r="U156" s="63"/>
      <c r="V156" s="63"/>
      <c r="X156" s="63"/>
      <c r="Y156" s="63"/>
      <c r="Z156" s="63"/>
      <c r="AA156" s="74"/>
      <c r="AB156" s="75"/>
      <c r="AC156" s="63"/>
      <c r="AD156" s="63"/>
      <c r="AE156" s="63"/>
      <c r="AF156" s="63"/>
      <c r="AG156" s="63"/>
      <c r="AJ156" s="63"/>
      <c r="AK156" s="63"/>
      <c r="AL156" s="63"/>
      <c r="AM156" s="63"/>
      <c r="AN156" s="63"/>
      <c r="AO156" s="63"/>
      <c r="AP156" s="63"/>
      <c r="AQ156" s="63"/>
      <c r="AR156" s="63"/>
      <c r="AS156" s="63"/>
      <c r="AT156" s="63"/>
      <c r="AU156" s="63"/>
      <c r="AV156" s="63"/>
      <c r="AW156" s="63"/>
      <c r="AX156" s="63"/>
      <c r="AY156" s="63"/>
      <c r="AZ156" s="63"/>
      <c r="BB156" s="76"/>
      <c r="BC156" s="82"/>
      <c r="BD156" s="63"/>
      <c r="BE156" s="63"/>
      <c r="BF156" s="63"/>
      <c r="BG156" s="63"/>
      <c r="BH156" s="63"/>
      <c r="BI156" s="63"/>
      <c r="BJ156" s="63"/>
      <c r="BK156" s="63"/>
    </row>
    <row r="157" spans="7:63" x14ac:dyDescent="0.2">
      <c r="G157" s="73"/>
      <c r="H157" s="64"/>
      <c r="I157" s="64"/>
      <c r="S157" s="63"/>
      <c r="T157" s="63"/>
      <c r="U157" s="63"/>
      <c r="V157" s="63"/>
      <c r="X157" s="63"/>
      <c r="Y157" s="63"/>
      <c r="Z157" s="63"/>
      <c r="AA157" s="74"/>
      <c r="AB157" s="75"/>
      <c r="AC157" s="63"/>
      <c r="AD157" s="63"/>
      <c r="AE157" s="63"/>
      <c r="AF157" s="63"/>
      <c r="AG157" s="63"/>
      <c r="AJ157" s="63"/>
      <c r="AK157" s="63"/>
      <c r="AL157" s="63"/>
      <c r="AM157" s="63"/>
      <c r="AN157" s="63"/>
      <c r="AO157" s="63"/>
      <c r="AP157" s="63"/>
      <c r="AQ157" s="63"/>
      <c r="AR157" s="63"/>
      <c r="AS157" s="63"/>
      <c r="AT157" s="63"/>
      <c r="AU157" s="63"/>
      <c r="AV157" s="63"/>
      <c r="AW157" s="63"/>
      <c r="AX157" s="63"/>
      <c r="AY157" s="63"/>
      <c r="AZ157" s="63"/>
      <c r="BB157" s="76"/>
      <c r="BC157" s="82"/>
      <c r="BD157" s="63"/>
      <c r="BE157" s="63"/>
      <c r="BF157" s="63"/>
      <c r="BG157" s="63"/>
      <c r="BH157" s="63"/>
      <c r="BI157" s="63"/>
      <c r="BJ157" s="63"/>
      <c r="BK157" s="63"/>
    </row>
    <row r="158" spans="7:63" x14ac:dyDescent="0.2">
      <c r="G158" s="73"/>
      <c r="H158" s="64"/>
      <c r="I158" s="64"/>
      <c r="S158" s="63"/>
      <c r="T158" s="63"/>
      <c r="U158" s="63"/>
      <c r="V158" s="63"/>
      <c r="X158" s="63"/>
      <c r="Y158" s="63"/>
      <c r="Z158" s="63"/>
      <c r="AA158" s="74"/>
      <c r="AB158" s="75"/>
      <c r="AC158" s="63"/>
      <c r="AD158" s="63"/>
      <c r="AE158" s="63"/>
      <c r="AF158" s="63"/>
      <c r="AG158" s="63"/>
      <c r="AJ158" s="63"/>
      <c r="AK158" s="63"/>
      <c r="AL158" s="63"/>
      <c r="AM158" s="63"/>
      <c r="AN158" s="63"/>
      <c r="AO158" s="63"/>
      <c r="AP158" s="63"/>
      <c r="AQ158" s="63"/>
      <c r="AR158" s="63"/>
      <c r="AS158" s="63"/>
      <c r="AT158" s="63"/>
      <c r="AU158" s="63"/>
      <c r="AV158" s="63"/>
      <c r="AW158" s="63"/>
      <c r="AX158" s="63"/>
      <c r="AY158" s="63"/>
      <c r="AZ158" s="63"/>
      <c r="BB158" s="76"/>
      <c r="BC158" s="82"/>
      <c r="BD158" s="63"/>
      <c r="BE158" s="63"/>
      <c r="BF158" s="63"/>
      <c r="BG158" s="63"/>
      <c r="BH158" s="63"/>
      <c r="BI158" s="63"/>
      <c r="BJ158" s="63"/>
      <c r="BK158" s="63"/>
    </row>
    <row r="159" spans="7:63" x14ac:dyDescent="0.2">
      <c r="G159" s="73"/>
      <c r="H159" s="64"/>
      <c r="I159" s="64"/>
      <c r="S159" s="63"/>
      <c r="T159" s="63"/>
      <c r="U159" s="63"/>
      <c r="V159" s="63"/>
      <c r="X159" s="63"/>
      <c r="Y159" s="63"/>
      <c r="Z159" s="63"/>
      <c r="AA159" s="74"/>
      <c r="AB159" s="75"/>
      <c r="AC159" s="63"/>
      <c r="AD159" s="63"/>
      <c r="AE159" s="63"/>
      <c r="AF159" s="63"/>
      <c r="AG159" s="63"/>
      <c r="AJ159" s="63"/>
      <c r="AK159" s="63"/>
      <c r="AL159" s="63"/>
      <c r="AM159" s="63"/>
      <c r="AN159" s="63"/>
      <c r="AO159" s="63"/>
      <c r="AP159" s="63"/>
      <c r="AQ159" s="63"/>
      <c r="AR159" s="63"/>
      <c r="AS159" s="63"/>
      <c r="AT159" s="63"/>
      <c r="AU159" s="63"/>
      <c r="AV159" s="63"/>
      <c r="AW159" s="63"/>
      <c r="AX159" s="63"/>
      <c r="AY159" s="63"/>
      <c r="AZ159" s="63"/>
      <c r="BB159" s="76"/>
      <c r="BC159" s="82"/>
      <c r="BD159" s="63"/>
      <c r="BE159" s="63"/>
      <c r="BF159" s="63"/>
      <c r="BG159" s="63"/>
      <c r="BH159" s="63"/>
      <c r="BI159" s="63"/>
      <c r="BJ159" s="63"/>
      <c r="BK159" s="63"/>
    </row>
    <row r="160" spans="7:63" x14ac:dyDescent="0.2">
      <c r="G160" s="73"/>
      <c r="H160" s="64"/>
      <c r="I160" s="64"/>
      <c r="S160" s="63"/>
      <c r="T160" s="63"/>
      <c r="U160" s="63"/>
      <c r="V160" s="63"/>
      <c r="X160" s="63"/>
      <c r="Y160" s="63"/>
      <c r="Z160" s="63"/>
      <c r="AA160" s="74"/>
      <c r="AB160" s="75"/>
      <c r="AC160" s="63"/>
      <c r="AD160" s="63"/>
      <c r="AE160" s="63"/>
      <c r="AF160" s="63"/>
      <c r="AG160" s="63"/>
      <c r="AJ160" s="63"/>
      <c r="AK160" s="63"/>
      <c r="AL160" s="63"/>
      <c r="AM160" s="63"/>
      <c r="AN160" s="63"/>
      <c r="AO160" s="63"/>
      <c r="AP160" s="63"/>
      <c r="AQ160" s="63"/>
      <c r="AR160" s="63"/>
      <c r="AS160" s="63"/>
      <c r="AT160" s="63"/>
      <c r="AU160" s="63"/>
      <c r="AV160" s="63"/>
      <c r="AW160" s="63"/>
      <c r="AX160" s="63"/>
      <c r="AY160" s="63"/>
      <c r="AZ160" s="63"/>
      <c r="BB160" s="76"/>
      <c r="BC160" s="82"/>
      <c r="BD160" s="63"/>
      <c r="BE160" s="63"/>
      <c r="BF160" s="63"/>
      <c r="BG160" s="63"/>
      <c r="BH160" s="63"/>
      <c r="BI160" s="63"/>
      <c r="BJ160" s="63"/>
      <c r="BK160" s="63"/>
    </row>
    <row r="161" spans="7:63" x14ac:dyDescent="0.2">
      <c r="G161" s="73"/>
      <c r="H161" s="64"/>
      <c r="I161" s="64"/>
      <c r="S161" s="63"/>
      <c r="T161" s="63"/>
      <c r="U161" s="63"/>
      <c r="V161" s="63"/>
      <c r="X161" s="63"/>
      <c r="Y161" s="63"/>
      <c r="Z161" s="63"/>
      <c r="AA161" s="74"/>
      <c r="AB161" s="75"/>
      <c r="AC161" s="63"/>
      <c r="AD161" s="63"/>
      <c r="AE161" s="63"/>
      <c r="AF161" s="63"/>
      <c r="AG161" s="63"/>
      <c r="AJ161" s="63"/>
      <c r="AK161" s="63"/>
      <c r="AL161" s="63"/>
      <c r="AM161" s="63"/>
      <c r="AN161" s="63"/>
      <c r="AO161" s="63"/>
      <c r="AP161" s="63"/>
      <c r="AQ161" s="63"/>
      <c r="AR161" s="63"/>
      <c r="AS161" s="63"/>
      <c r="AT161" s="63"/>
      <c r="AU161" s="63"/>
      <c r="AV161" s="63"/>
      <c r="AW161" s="63"/>
      <c r="AX161" s="63"/>
      <c r="AY161" s="63"/>
      <c r="AZ161" s="63"/>
      <c r="BB161" s="76"/>
      <c r="BC161" s="82"/>
      <c r="BD161" s="63"/>
      <c r="BE161" s="63"/>
      <c r="BF161" s="63"/>
      <c r="BG161" s="63"/>
      <c r="BH161" s="63"/>
      <c r="BI161" s="63"/>
      <c r="BJ161" s="63"/>
      <c r="BK161" s="63"/>
    </row>
    <row r="162" spans="7:63" x14ac:dyDescent="0.2">
      <c r="G162" s="73"/>
      <c r="H162" s="64"/>
      <c r="I162" s="64"/>
      <c r="S162" s="63"/>
      <c r="T162" s="63"/>
      <c r="U162" s="63"/>
      <c r="V162" s="63"/>
      <c r="X162" s="63"/>
      <c r="Y162" s="63"/>
      <c r="Z162" s="63"/>
      <c r="AA162" s="74"/>
      <c r="AB162" s="75"/>
      <c r="AC162" s="63"/>
      <c r="AD162" s="63"/>
      <c r="AE162" s="63"/>
      <c r="AF162" s="63"/>
      <c r="AG162" s="63"/>
      <c r="AJ162" s="63"/>
      <c r="AK162" s="63"/>
      <c r="AL162" s="63"/>
      <c r="AM162" s="63"/>
      <c r="AN162" s="63"/>
      <c r="AO162" s="63"/>
      <c r="AP162" s="63"/>
      <c r="AQ162" s="63"/>
      <c r="AR162" s="63"/>
      <c r="AS162" s="63"/>
      <c r="AT162" s="63"/>
      <c r="AU162" s="63"/>
      <c r="AV162" s="63"/>
      <c r="AW162" s="63"/>
      <c r="AX162" s="63"/>
      <c r="AY162" s="63"/>
      <c r="AZ162" s="63"/>
      <c r="BB162" s="76"/>
      <c r="BC162" s="82"/>
      <c r="BD162" s="63"/>
      <c r="BE162" s="63"/>
      <c r="BF162" s="63"/>
      <c r="BG162" s="63"/>
      <c r="BH162" s="63"/>
      <c r="BI162" s="63"/>
      <c r="BJ162" s="63"/>
      <c r="BK162" s="63"/>
    </row>
    <row r="163" spans="7:63" x14ac:dyDescent="0.2">
      <c r="G163" s="73"/>
      <c r="H163" s="64"/>
      <c r="I163" s="64"/>
      <c r="S163" s="63"/>
      <c r="T163" s="63"/>
      <c r="U163" s="63"/>
      <c r="V163" s="63"/>
      <c r="X163" s="63"/>
      <c r="Y163" s="63"/>
      <c r="Z163" s="63"/>
      <c r="AA163" s="74"/>
      <c r="AB163" s="75"/>
      <c r="AC163" s="63"/>
      <c r="AD163" s="63"/>
      <c r="AE163" s="63"/>
      <c r="AF163" s="63"/>
      <c r="AG163" s="63"/>
      <c r="AJ163" s="63"/>
      <c r="AK163" s="63"/>
      <c r="AL163" s="63"/>
      <c r="AM163" s="63"/>
      <c r="AN163" s="63"/>
      <c r="AO163" s="63"/>
      <c r="AP163" s="63"/>
      <c r="AQ163" s="63"/>
      <c r="AR163" s="63"/>
      <c r="AS163" s="63"/>
      <c r="AT163" s="63"/>
      <c r="AU163" s="63"/>
      <c r="AV163" s="63"/>
      <c r="AW163" s="63"/>
      <c r="AX163" s="63"/>
      <c r="AY163" s="63"/>
      <c r="AZ163" s="63"/>
      <c r="BB163" s="76"/>
      <c r="BC163" s="82"/>
      <c r="BD163" s="63"/>
      <c r="BE163" s="63"/>
      <c r="BF163" s="63"/>
      <c r="BG163" s="63"/>
      <c r="BH163" s="63"/>
      <c r="BI163" s="63"/>
      <c r="BJ163" s="63"/>
      <c r="BK163" s="63"/>
    </row>
    <row r="164" spans="7:63" x14ac:dyDescent="0.2">
      <c r="G164" s="73"/>
      <c r="H164" s="64"/>
      <c r="I164" s="64"/>
      <c r="S164" s="63"/>
      <c r="T164" s="63"/>
      <c r="U164" s="63"/>
      <c r="V164" s="63"/>
      <c r="X164" s="63"/>
      <c r="Y164" s="63"/>
      <c r="Z164" s="63"/>
      <c r="AA164" s="74"/>
      <c r="AB164" s="75"/>
      <c r="AC164" s="63"/>
      <c r="AD164" s="63"/>
      <c r="AE164" s="63"/>
      <c r="AF164" s="63"/>
      <c r="AG164" s="63"/>
      <c r="AJ164" s="63"/>
      <c r="AK164" s="63"/>
      <c r="AL164" s="63"/>
      <c r="AM164" s="63"/>
      <c r="AN164" s="63"/>
      <c r="AO164" s="63"/>
      <c r="AP164" s="63"/>
      <c r="AQ164" s="63"/>
      <c r="AR164" s="63"/>
      <c r="AS164" s="63"/>
      <c r="AT164" s="63"/>
      <c r="AU164" s="63"/>
      <c r="AV164" s="63"/>
      <c r="AW164" s="63"/>
      <c r="AX164" s="63"/>
      <c r="AY164" s="63"/>
      <c r="AZ164" s="63"/>
      <c r="BB164" s="76"/>
      <c r="BC164" s="82"/>
      <c r="BD164" s="63"/>
      <c r="BE164" s="63"/>
      <c r="BF164" s="63"/>
      <c r="BG164" s="63"/>
      <c r="BH164" s="63"/>
      <c r="BI164" s="63"/>
      <c r="BJ164" s="63"/>
      <c r="BK164" s="63"/>
    </row>
    <row r="165" spans="7:63" x14ac:dyDescent="0.2">
      <c r="G165" s="73"/>
      <c r="H165" s="64"/>
      <c r="I165" s="64"/>
      <c r="S165" s="63"/>
      <c r="T165" s="63"/>
      <c r="U165" s="63"/>
      <c r="V165" s="63"/>
      <c r="X165" s="63"/>
      <c r="Y165" s="63"/>
      <c r="Z165" s="63"/>
      <c r="AA165" s="74"/>
      <c r="AB165" s="75"/>
      <c r="AC165" s="63"/>
      <c r="AD165" s="63"/>
      <c r="AE165" s="63"/>
      <c r="AF165" s="63"/>
      <c r="AG165" s="63"/>
      <c r="AJ165" s="63"/>
      <c r="AK165" s="63"/>
      <c r="AL165" s="63"/>
      <c r="AM165" s="63"/>
      <c r="AN165" s="63"/>
      <c r="AO165" s="63"/>
      <c r="AP165" s="63"/>
      <c r="AQ165" s="63"/>
      <c r="AR165" s="63"/>
      <c r="AS165" s="63"/>
      <c r="AT165" s="63"/>
      <c r="AU165" s="63"/>
      <c r="AV165" s="63"/>
      <c r="AW165" s="63"/>
      <c r="AX165" s="63"/>
      <c r="AY165" s="63"/>
      <c r="AZ165" s="63"/>
      <c r="BB165" s="76"/>
      <c r="BC165" s="82"/>
      <c r="BD165" s="63"/>
      <c r="BE165" s="63"/>
      <c r="BF165" s="63"/>
      <c r="BG165" s="63"/>
      <c r="BH165" s="63"/>
      <c r="BI165" s="63"/>
      <c r="BJ165" s="63"/>
      <c r="BK165" s="63"/>
    </row>
    <row r="166" spans="7:63" x14ac:dyDescent="0.2">
      <c r="G166" s="73"/>
      <c r="H166" s="64"/>
      <c r="I166" s="64"/>
      <c r="S166" s="63"/>
      <c r="T166" s="63"/>
      <c r="U166" s="63"/>
      <c r="V166" s="63"/>
      <c r="X166" s="63"/>
      <c r="Y166" s="63"/>
      <c r="Z166" s="63"/>
      <c r="AA166" s="74"/>
      <c r="AB166" s="75"/>
      <c r="AC166" s="63"/>
      <c r="AD166" s="63"/>
      <c r="AE166" s="63"/>
      <c r="AF166" s="63"/>
      <c r="AG166" s="63"/>
      <c r="AJ166" s="63"/>
      <c r="AK166" s="63"/>
      <c r="AL166" s="63"/>
      <c r="AM166" s="63"/>
      <c r="AN166" s="63"/>
      <c r="AO166" s="63"/>
      <c r="AP166" s="63"/>
      <c r="AQ166" s="63"/>
      <c r="AR166" s="63"/>
      <c r="AS166" s="63"/>
      <c r="AT166" s="63"/>
      <c r="AU166" s="63"/>
      <c r="AV166" s="63"/>
      <c r="AW166" s="63"/>
      <c r="AX166" s="63"/>
      <c r="AY166" s="63"/>
      <c r="AZ166" s="63"/>
      <c r="BB166" s="76"/>
      <c r="BC166" s="82"/>
      <c r="BD166" s="63"/>
      <c r="BE166" s="63"/>
      <c r="BF166" s="63"/>
      <c r="BG166" s="63"/>
      <c r="BH166" s="63"/>
      <c r="BI166" s="63"/>
      <c r="BJ166" s="63"/>
      <c r="BK166" s="63"/>
    </row>
    <row r="167" spans="7:63" x14ac:dyDescent="0.2">
      <c r="G167" s="73"/>
      <c r="H167" s="64"/>
      <c r="I167" s="64"/>
      <c r="S167" s="63"/>
      <c r="T167" s="63"/>
      <c r="U167" s="63"/>
      <c r="V167" s="63"/>
      <c r="X167" s="63"/>
      <c r="Y167" s="63"/>
      <c r="Z167" s="63"/>
      <c r="AA167" s="74"/>
      <c r="AB167" s="75"/>
      <c r="AC167" s="63"/>
      <c r="AD167" s="63"/>
      <c r="AE167" s="63"/>
      <c r="AF167" s="63"/>
      <c r="AG167" s="63"/>
      <c r="AJ167" s="63"/>
      <c r="AK167" s="63"/>
      <c r="AL167" s="63"/>
      <c r="AM167" s="63"/>
      <c r="AN167" s="63"/>
      <c r="AO167" s="63"/>
      <c r="AP167" s="63"/>
      <c r="AQ167" s="63"/>
      <c r="AR167" s="63"/>
      <c r="AS167" s="63"/>
      <c r="AT167" s="63"/>
      <c r="AU167" s="63"/>
      <c r="AV167" s="63"/>
      <c r="AW167" s="63"/>
      <c r="AX167" s="63"/>
      <c r="AY167" s="63"/>
      <c r="AZ167" s="63"/>
      <c r="BB167" s="76"/>
      <c r="BC167" s="82"/>
      <c r="BD167" s="63"/>
      <c r="BE167" s="63"/>
      <c r="BF167" s="63"/>
      <c r="BG167" s="63"/>
      <c r="BH167" s="63"/>
      <c r="BI167" s="63"/>
      <c r="BJ167" s="63"/>
      <c r="BK167" s="63"/>
    </row>
    <row r="168" spans="7:63" x14ac:dyDescent="0.2">
      <c r="G168" s="73"/>
      <c r="H168" s="64"/>
      <c r="I168" s="64"/>
      <c r="S168" s="63"/>
      <c r="T168" s="63"/>
      <c r="U168" s="63"/>
      <c r="V168" s="63"/>
      <c r="X168" s="63"/>
      <c r="Y168" s="63"/>
      <c r="Z168" s="63"/>
      <c r="AA168" s="74"/>
      <c r="AB168" s="75"/>
      <c r="AC168" s="63"/>
      <c r="AD168" s="63"/>
      <c r="AE168" s="63"/>
      <c r="AF168" s="63"/>
      <c r="AG168" s="63"/>
      <c r="AJ168" s="63"/>
      <c r="AK168" s="63"/>
      <c r="AL168" s="63"/>
      <c r="AM168" s="63"/>
      <c r="AN168" s="63"/>
      <c r="AO168" s="63"/>
      <c r="AP168" s="63"/>
      <c r="AQ168" s="63"/>
      <c r="AR168" s="63"/>
      <c r="AS168" s="63"/>
      <c r="AT168" s="63"/>
      <c r="AU168" s="63"/>
      <c r="AV168" s="63"/>
      <c r="AW168" s="63"/>
      <c r="AX168" s="63"/>
      <c r="AY168" s="63"/>
      <c r="AZ168" s="63"/>
      <c r="BB168" s="76"/>
      <c r="BC168" s="82"/>
      <c r="BD168" s="63"/>
      <c r="BE168" s="63"/>
      <c r="BF168" s="63"/>
      <c r="BG168" s="63"/>
      <c r="BH168" s="63"/>
      <c r="BI168" s="63"/>
      <c r="BJ168" s="63"/>
      <c r="BK168" s="63"/>
    </row>
    <row r="169" spans="7:63" x14ac:dyDescent="0.2">
      <c r="G169" s="73"/>
      <c r="H169" s="64"/>
      <c r="I169" s="64"/>
      <c r="S169" s="63"/>
      <c r="T169" s="63"/>
      <c r="U169" s="63"/>
      <c r="V169" s="63"/>
      <c r="X169" s="63"/>
      <c r="Y169" s="63"/>
      <c r="Z169" s="63"/>
      <c r="AA169" s="74"/>
      <c r="AB169" s="75"/>
      <c r="AC169" s="63"/>
      <c r="AD169" s="63"/>
      <c r="AE169" s="63"/>
      <c r="AF169" s="63"/>
      <c r="AG169" s="63"/>
      <c r="AJ169" s="63"/>
      <c r="AK169" s="63"/>
      <c r="AL169" s="63"/>
      <c r="AM169" s="63"/>
      <c r="AN169" s="63"/>
      <c r="AO169" s="63"/>
      <c r="AP169" s="63"/>
      <c r="AQ169" s="63"/>
      <c r="AR169" s="63"/>
      <c r="AS169" s="63"/>
      <c r="AT169" s="63"/>
      <c r="AU169" s="63"/>
      <c r="AV169" s="63"/>
      <c r="AW169" s="63"/>
      <c r="AX169" s="63"/>
      <c r="AY169" s="63"/>
      <c r="AZ169" s="63"/>
      <c r="BB169" s="76"/>
      <c r="BC169" s="82"/>
      <c r="BD169" s="63"/>
      <c r="BE169" s="63"/>
      <c r="BF169" s="63"/>
      <c r="BG169" s="63"/>
      <c r="BH169" s="63"/>
      <c r="BI169" s="63"/>
      <c r="BJ169" s="63"/>
      <c r="BK169" s="63"/>
    </row>
    <row r="170" spans="7:63" x14ac:dyDescent="0.2">
      <c r="G170" s="73"/>
      <c r="H170" s="64"/>
      <c r="I170" s="64"/>
      <c r="S170" s="63"/>
      <c r="T170" s="63"/>
      <c r="U170" s="63"/>
      <c r="V170" s="63"/>
      <c r="X170" s="63"/>
      <c r="Y170" s="63"/>
      <c r="Z170" s="63"/>
      <c r="AA170" s="74"/>
      <c r="AB170" s="75"/>
      <c r="AC170" s="63"/>
      <c r="AD170" s="63"/>
      <c r="AE170" s="63"/>
      <c r="AF170" s="63"/>
      <c r="AG170" s="63"/>
      <c r="AJ170" s="63"/>
      <c r="AK170" s="63"/>
      <c r="AL170" s="63"/>
      <c r="AM170" s="63"/>
      <c r="AN170" s="63"/>
      <c r="AO170" s="63"/>
      <c r="AP170" s="63"/>
      <c r="AQ170" s="63"/>
      <c r="AR170" s="63"/>
      <c r="AS170" s="63"/>
      <c r="AT170" s="63"/>
      <c r="AU170" s="63"/>
      <c r="AV170" s="63"/>
      <c r="AW170" s="63"/>
      <c r="AX170" s="63"/>
      <c r="AY170" s="63"/>
      <c r="AZ170" s="63"/>
      <c r="BB170" s="76"/>
      <c r="BC170" s="82"/>
      <c r="BD170" s="63"/>
      <c r="BE170" s="63"/>
      <c r="BF170" s="63"/>
      <c r="BG170" s="63"/>
      <c r="BH170" s="63"/>
      <c r="BI170" s="63"/>
      <c r="BJ170" s="63"/>
      <c r="BK170" s="63"/>
    </row>
    <row r="171" spans="7:63" x14ac:dyDescent="0.2">
      <c r="G171" s="73"/>
      <c r="H171" s="64"/>
      <c r="I171" s="64"/>
      <c r="S171" s="63"/>
      <c r="T171" s="63"/>
      <c r="U171" s="63"/>
      <c r="V171" s="63"/>
      <c r="X171" s="63"/>
      <c r="Y171" s="63"/>
      <c r="Z171" s="63"/>
      <c r="AA171" s="74"/>
      <c r="AB171" s="75"/>
      <c r="AC171" s="63"/>
      <c r="AD171" s="63"/>
      <c r="AE171" s="63"/>
      <c r="AF171" s="63"/>
      <c r="AG171" s="63"/>
      <c r="AJ171" s="63"/>
      <c r="AK171" s="63"/>
      <c r="AL171" s="63"/>
      <c r="AM171" s="63"/>
      <c r="AN171" s="63"/>
      <c r="AO171" s="63"/>
      <c r="AP171" s="63"/>
      <c r="AQ171" s="63"/>
      <c r="AR171" s="63"/>
      <c r="AS171" s="63"/>
      <c r="AT171" s="63"/>
      <c r="AU171" s="63"/>
      <c r="AV171" s="63"/>
      <c r="AW171" s="63"/>
      <c r="AX171" s="63"/>
      <c r="AY171" s="63"/>
      <c r="AZ171" s="63"/>
      <c r="BB171" s="76"/>
      <c r="BC171" s="82"/>
      <c r="BD171" s="63"/>
      <c r="BE171" s="63"/>
      <c r="BF171" s="63"/>
      <c r="BG171" s="63"/>
      <c r="BH171" s="63"/>
      <c r="BI171" s="63"/>
      <c r="BJ171" s="63"/>
      <c r="BK171" s="63"/>
    </row>
    <row r="172" spans="7:63" x14ac:dyDescent="0.2">
      <c r="G172" s="73"/>
      <c r="H172" s="64"/>
      <c r="I172" s="64"/>
      <c r="S172" s="63"/>
      <c r="T172" s="63"/>
      <c r="U172" s="63"/>
      <c r="V172" s="63"/>
      <c r="X172" s="63"/>
      <c r="Y172" s="63"/>
      <c r="Z172" s="63"/>
      <c r="AA172" s="74"/>
      <c r="AB172" s="75"/>
      <c r="AC172" s="63"/>
      <c r="AD172" s="63"/>
      <c r="AE172" s="63"/>
      <c r="AF172" s="63"/>
      <c r="AG172" s="63"/>
      <c r="AJ172" s="63"/>
      <c r="AK172" s="63"/>
      <c r="AL172" s="63"/>
      <c r="AM172" s="63"/>
      <c r="AN172" s="63"/>
      <c r="AO172" s="63"/>
      <c r="AP172" s="63"/>
      <c r="AQ172" s="63"/>
      <c r="AR172" s="63"/>
      <c r="AS172" s="63"/>
      <c r="AT172" s="63"/>
      <c r="AU172" s="63"/>
      <c r="AV172" s="63"/>
      <c r="AW172" s="63"/>
      <c r="AX172" s="63"/>
      <c r="AY172" s="63"/>
      <c r="AZ172" s="63"/>
      <c r="BB172" s="76"/>
      <c r="BC172" s="82"/>
      <c r="BD172" s="63"/>
      <c r="BE172" s="63"/>
      <c r="BF172" s="63"/>
      <c r="BG172" s="63"/>
      <c r="BH172" s="63"/>
      <c r="BI172" s="63"/>
      <c r="BJ172" s="63"/>
      <c r="BK172" s="63"/>
    </row>
    <row r="173" spans="7:63" x14ac:dyDescent="0.2">
      <c r="G173" s="73"/>
      <c r="H173" s="64"/>
      <c r="I173" s="64"/>
      <c r="S173" s="63"/>
      <c r="T173" s="63"/>
      <c r="U173" s="63"/>
      <c r="V173" s="63"/>
      <c r="X173" s="63"/>
      <c r="Y173" s="63"/>
      <c r="Z173" s="63"/>
      <c r="AA173" s="74"/>
      <c r="AB173" s="75"/>
      <c r="AC173" s="63"/>
      <c r="AD173" s="63"/>
      <c r="AE173" s="63"/>
      <c r="AF173" s="63"/>
      <c r="AG173" s="63"/>
      <c r="AJ173" s="63"/>
      <c r="AK173" s="63"/>
      <c r="AL173" s="63"/>
      <c r="AM173" s="63"/>
      <c r="AN173" s="63"/>
      <c r="AO173" s="63"/>
      <c r="AP173" s="63"/>
      <c r="AQ173" s="63"/>
      <c r="AR173" s="63"/>
      <c r="AS173" s="63"/>
      <c r="AT173" s="63"/>
      <c r="AU173" s="63"/>
      <c r="AV173" s="63"/>
      <c r="AW173" s="63"/>
      <c r="AX173" s="63"/>
      <c r="AY173" s="63"/>
      <c r="AZ173" s="63"/>
      <c r="BB173" s="76"/>
      <c r="BC173" s="82"/>
      <c r="BD173" s="63"/>
      <c r="BE173" s="63"/>
      <c r="BF173" s="63"/>
      <c r="BG173" s="63"/>
      <c r="BH173" s="63"/>
      <c r="BI173" s="63"/>
      <c r="BJ173" s="63"/>
      <c r="BK173" s="63"/>
    </row>
    <row r="174" spans="7:63" x14ac:dyDescent="0.2">
      <c r="G174" s="73"/>
      <c r="H174" s="64"/>
      <c r="I174" s="64"/>
      <c r="S174" s="63"/>
      <c r="T174" s="63"/>
      <c r="U174" s="63"/>
      <c r="V174" s="63"/>
      <c r="X174" s="63"/>
      <c r="Y174" s="63"/>
      <c r="Z174" s="63"/>
      <c r="AA174" s="74"/>
      <c r="AB174" s="75"/>
      <c r="AC174" s="63"/>
      <c r="AD174" s="63"/>
      <c r="AE174" s="63"/>
      <c r="AF174" s="63"/>
      <c r="AG174" s="63"/>
      <c r="AJ174" s="63"/>
      <c r="AK174" s="63"/>
      <c r="AL174" s="63"/>
      <c r="AM174" s="63"/>
      <c r="AN174" s="63"/>
      <c r="AO174" s="63"/>
      <c r="AP174" s="63"/>
      <c r="AQ174" s="63"/>
      <c r="AR174" s="63"/>
      <c r="AS174" s="63"/>
      <c r="AT174" s="63"/>
      <c r="AU174" s="63"/>
      <c r="AV174" s="63"/>
      <c r="AW174" s="63"/>
      <c r="AX174" s="63"/>
      <c r="AY174" s="63"/>
      <c r="AZ174" s="63"/>
      <c r="BB174" s="76"/>
      <c r="BC174" s="82"/>
      <c r="BD174" s="63"/>
      <c r="BE174" s="63"/>
      <c r="BF174" s="63"/>
      <c r="BG174" s="63"/>
      <c r="BH174" s="63"/>
      <c r="BI174" s="63"/>
      <c r="BJ174" s="63"/>
      <c r="BK174" s="63"/>
    </row>
    <row r="175" spans="7:63" x14ac:dyDescent="0.2">
      <c r="G175" s="73"/>
      <c r="H175" s="64"/>
      <c r="I175" s="64"/>
      <c r="S175" s="63"/>
      <c r="T175" s="63"/>
      <c r="U175" s="63"/>
      <c r="V175" s="63"/>
      <c r="X175" s="63"/>
      <c r="Y175" s="63"/>
      <c r="Z175" s="63"/>
      <c r="AA175" s="74"/>
      <c r="AB175" s="75"/>
      <c r="AC175" s="63"/>
      <c r="AD175" s="63"/>
      <c r="AE175" s="63"/>
      <c r="AF175" s="63"/>
      <c r="AG175" s="63"/>
      <c r="AJ175" s="63"/>
      <c r="AK175" s="63"/>
      <c r="AL175" s="63"/>
      <c r="AM175" s="63"/>
      <c r="AN175" s="63"/>
      <c r="AO175" s="63"/>
      <c r="AP175" s="63"/>
      <c r="AQ175" s="63"/>
      <c r="AR175" s="63"/>
      <c r="AS175" s="63"/>
      <c r="AT175" s="63"/>
      <c r="AU175" s="63"/>
      <c r="AV175" s="63"/>
      <c r="AW175" s="63"/>
      <c r="AX175" s="63"/>
      <c r="AY175" s="63"/>
      <c r="AZ175" s="63"/>
      <c r="BB175" s="76"/>
      <c r="BC175" s="82"/>
      <c r="BD175" s="63"/>
      <c r="BE175" s="63"/>
      <c r="BF175" s="63"/>
      <c r="BG175" s="63"/>
      <c r="BH175" s="63"/>
      <c r="BI175" s="63"/>
      <c r="BJ175" s="63"/>
      <c r="BK175" s="63"/>
    </row>
    <row r="176" spans="7:63" x14ac:dyDescent="0.2">
      <c r="G176" s="73"/>
      <c r="H176" s="64"/>
      <c r="I176" s="64"/>
      <c r="S176" s="63"/>
      <c r="T176" s="63"/>
      <c r="U176" s="63"/>
      <c r="V176" s="63"/>
      <c r="X176" s="63"/>
      <c r="Y176" s="63"/>
      <c r="Z176" s="63"/>
      <c r="AA176" s="74"/>
      <c r="AB176" s="75"/>
      <c r="AC176" s="63"/>
      <c r="AD176" s="63"/>
      <c r="AE176" s="63"/>
      <c r="AF176" s="63"/>
      <c r="AG176" s="63"/>
      <c r="AJ176" s="63"/>
      <c r="AK176" s="63"/>
      <c r="AL176" s="63"/>
      <c r="AM176" s="63"/>
      <c r="AN176" s="63"/>
      <c r="AO176" s="63"/>
      <c r="AP176" s="63"/>
      <c r="AQ176" s="63"/>
      <c r="AR176" s="63"/>
      <c r="AS176" s="63"/>
      <c r="AT176" s="63"/>
      <c r="AU176" s="63"/>
      <c r="AV176" s="63"/>
      <c r="AW176" s="63"/>
      <c r="AX176" s="63"/>
      <c r="AY176" s="63"/>
      <c r="AZ176" s="63"/>
      <c r="BB176" s="76"/>
      <c r="BC176" s="82"/>
      <c r="BD176" s="63"/>
      <c r="BE176" s="63"/>
      <c r="BF176" s="63"/>
      <c r="BG176" s="63"/>
      <c r="BH176" s="63"/>
      <c r="BI176" s="63"/>
      <c r="BJ176" s="63"/>
      <c r="BK176" s="63"/>
    </row>
    <row r="177" spans="7:63" x14ac:dyDescent="0.2">
      <c r="G177" s="73"/>
      <c r="H177" s="64"/>
      <c r="I177" s="64"/>
      <c r="S177" s="63"/>
      <c r="T177" s="63"/>
      <c r="U177" s="63"/>
      <c r="V177" s="63"/>
      <c r="X177" s="63"/>
      <c r="Y177" s="63"/>
      <c r="Z177" s="63"/>
      <c r="AA177" s="74"/>
      <c r="AB177" s="75"/>
      <c r="AC177" s="63"/>
      <c r="AD177" s="63"/>
      <c r="AE177" s="63"/>
      <c r="AF177" s="63"/>
      <c r="AG177" s="63"/>
      <c r="AJ177" s="63"/>
      <c r="AK177" s="63"/>
      <c r="AL177" s="63"/>
      <c r="AM177" s="63"/>
      <c r="AN177" s="63"/>
      <c r="AO177" s="63"/>
      <c r="AP177" s="63"/>
      <c r="AQ177" s="63"/>
      <c r="AR177" s="63"/>
      <c r="AS177" s="63"/>
      <c r="AT177" s="63"/>
      <c r="AU177" s="63"/>
      <c r="AV177" s="63"/>
      <c r="AW177" s="63"/>
      <c r="AX177" s="63"/>
      <c r="AY177" s="63"/>
      <c r="AZ177" s="63"/>
      <c r="BB177" s="76"/>
      <c r="BC177" s="82"/>
      <c r="BD177" s="63"/>
      <c r="BE177" s="63"/>
      <c r="BF177" s="63"/>
      <c r="BG177" s="63"/>
      <c r="BH177" s="63"/>
      <c r="BI177" s="63"/>
      <c r="BJ177" s="63"/>
      <c r="BK177" s="63"/>
    </row>
    <row r="178" spans="7:63" x14ac:dyDescent="0.2">
      <c r="G178" s="73"/>
      <c r="H178" s="64"/>
      <c r="I178" s="64"/>
      <c r="S178" s="63"/>
      <c r="T178" s="63"/>
      <c r="U178" s="63"/>
      <c r="V178" s="63"/>
      <c r="X178" s="63"/>
      <c r="Y178" s="63"/>
      <c r="Z178" s="63"/>
      <c r="AA178" s="74"/>
      <c r="AB178" s="75"/>
      <c r="AC178" s="63"/>
      <c r="AD178" s="63"/>
      <c r="AE178" s="63"/>
      <c r="AF178" s="63"/>
      <c r="AG178" s="63"/>
      <c r="AJ178" s="63"/>
      <c r="AK178" s="63"/>
      <c r="AL178" s="63"/>
      <c r="AM178" s="63"/>
      <c r="AN178" s="63"/>
      <c r="AO178" s="63"/>
      <c r="AP178" s="63"/>
      <c r="AQ178" s="63"/>
      <c r="AR178" s="63"/>
      <c r="AS178" s="63"/>
      <c r="AT178" s="63"/>
      <c r="AU178" s="63"/>
      <c r="AV178" s="63"/>
      <c r="AW178" s="63"/>
      <c r="AX178" s="63"/>
      <c r="AY178" s="63"/>
      <c r="AZ178" s="63"/>
      <c r="BB178" s="76"/>
      <c r="BC178" s="82"/>
      <c r="BD178" s="63"/>
      <c r="BE178" s="63"/>
      <c r="BF178" s="63"/>
      <c r="BG178" s="63"/>
      <c r="BH178" s="63"/>
      <c r="BI178" s="63"/>
      <c r="BJ178" s="63"/>
      <c r="BK178" s="63"/>
    </row>
    <row r="179" spans="7:63" x14ac:dyDescent="0.2">
      <c r="G179" s="73"/>
      <c r="H179" s="64"/>
      <c r="I179" s="64"/>
      <c r="S179" s="63"/>
      <c r="T179" s="63"/>
      <c r="U179" s="63"/>
      <c r="V179" s="63"/>
      <c r="X179" s="63"/>
      <c r="Y179" s="63"/>
      <c r="Z179" s="63"/>
      <c r="AA179" s="74"/>
      <c r="AB179" s="75"/>
      <c r="AC179" s="63"/>
      <c r="AD179" s="63"/>
      <c r="AE179" s="63"/>
      <c r="AF179" s="63"/>
      <c r="AG179" s="63"/>
      <c r="AJ179" s="63"/>
      <c r="AK179" s="63"/>
      <c r="AL179" s="63"/>
      <c r="AM179" s="63"/>
      <c r="AN179" s="63"/>
      <c r="AO179" s="63"/>
      <c r="AP179" s="63"/>
      <c r="AQ179" s="63"/>
      <c r="AR179" s="63"/>
      <c r="AS179" s="63"/>
      <c r="AT179" s="63"/>
      <c r="AU179" s="63"/>
      <c r="AV179" s="63"/>
      <c r="AW179" s="63"/>
      <c r="AX179" s="63"/>
      <c r="AY179" s="63"/>
      <c r="AZ179" s="63"/>
      <c r="BB179" s="76"/>
      <c r="BC179" s="82"/>
      <c r="BD179" s="63"/>
      <c r="BE179" s="63"/>
      <c r="BF179" s="63"/>
      <c r="BG179" s="63"/>
      <c r="BH179" s="63"/>
      <c r="BI179" s="63"/>
      <c r="BJ179" s="63"/>
      <c r="BK179" s="63"/>
    </row>
    <row r="180" spans="7:63" x14ac:dyDescent="0.2">
      <c r="G180" s="73"/>
      <c r="H180" s="64"/>
      <c r="I180" s="64"/>
      <c r="S180" s="63"/>
      <c r="T180" s="63"/>
      <c r="U180" s="63"/>
      <c r="V180" s="63"/>
      <c r="X180" s="63"/>
      <c r="Y180" s="63"/>
      <c r="Z180" s="63"/>
      <c r="AA180" s="74"/>
      <c r="AB180" s="75"/>
      <c r="AC180" s="63"/>
      <c r="AD180" s="63"/>
      <c r="AE180" s="63"/>
      <c r="AF180" s="63"/>
      <c r="AG180" s="63"/>
      <c r="AJ180" s="63"/>
      <c r="AK180" s="63"/>
      <c r="AL180" s="63"/>
      <c r="AM180" s="63"/>
      <c r="AN180" s="63"/>
      <c r="AO180" s="63"/>
      <c r="AP180" s="63"/>
      <c r="AQ180" s="63"/>
      <c r="AR180" s="63"/>
      <c r="AS180" s="63"/>
      <c r="AT180" s="63"/>
      <c r="AU180" s="63"/>
      <c r="AV180" s="63"/>
      <c r="AW180" s="63"/>
      <c r="AX180" s="63"/>
      <c r="AY180" s="63"/>
      <c r="AZ180" s="63"/>
      <c r="BB180" s="76"/>
      <c r="BC180" s="82"/>
      <c r="BD180" s="63"/>
      <c r="BE180" s="63"/>
      <c r="BF180" s="63"/>
      <c r="BG180" s="63"/>
      <c r="BH180" s="63"/>
      <c r="BI180" s="63"/>
      <c r="BJ180" s="63"/>
      <c r="BK180" s="63"/>
    </row>
    <row r="181" spans="7:63" x14ac:dyDescent="0.2">
      <c r="G181" s="73"/>
      <c r="H181" s="64"/>
      <c r="I181" s="64"/>
      <c r="S181" s="63"/>
      <c r="T181" s="63"/>
      <c r="U181" s="63"/>
      <c r="V181" s="63"/>
      <c r="X181" s="63"/>
      <c r="Y181" s="63"/>
      <c r="Z181" s="63"/>
      <c r="AA181" s="74"/>
      <c r="AB181" s="75"/>
      <c r="AC181" s="63"/>
      <c r="AD181" s="63"/>
      <c r="AE181" s="63"/>
      <c r="AF181" s="63"/>
      <c r="AG181" s="63"/>
      <c r="AJ181" s="63"/>
      <c r="AK181" s="63"/>
      <c r="AL181" s="63"/>
      <c r="AM181" s="63"/>
      <c r="AN181" s="63"/>
      <c r="AO181" s="63"/>
      <c r="AP181" s="63"/>
      <c r="AQ181" s="63"/>
      <c r="AR181" s="63"/>
      <c r="AS181" s="63"/>
      <c r="AT181" s="63"/>
      <c r="AU181" s="63"/>
      <c r="AV181" s="63"/>
      <c r="AW181" s="63"/>
      <c r="AX181" s="63"/>
      <c r="AY181" s="63"/>
      <c r="AZ181" s="63"/>
      <c r="BB181" s="76"/>
      <c r="BC181" s="82"/>
      <c r="BD181" s="63"/>
      <c r="BE181" s="63"/>
      <c r="BF181" s="63"/>
      <c r="BG181" s="63"/>
      <c r="BH181" s="63"/>
      <c r="BI181" s="63"/>
      <c r="BJ181" s="63"/>
      <c r="BK181" s="63"/>
    </row>
    <row r="182" spans="7:63" x14ac:dyDescent="0.2">
      <c r="G182" s="73"/>
      <c r="H182" s="64"/>
      <c r="I182" s="64"/>
      <c r="S182" s="63"/>
      <c r="T182" s="63"/>
      <c r="U182" s="63"/>
      <c r="V182" s="63"/>
      <c r="X182" s="63"/>
      <c r="Y182" s="63"/>
      <c r="Z182" s="63"/>
      <c r="AA182" s="74"/>
      <c r="AB182" s="75"/>
      <c r="AC182" s="63"/>
      <c r="AD182" s="63"/>
      <c r="AE182" s="63"/>
      <c r="AF182" s="63"/>
      <c r="AG182" s="63"/>
      <c r="AJ182" s="63"/>
      <c r="AK182" s="63"/>
      <c r="AL182" s="63"/>
      <c r="AM182" s="63"/>
      <c r="AN182" s="63"/>
      <c r="AO182" s="63"/>
      <c r="AP182" s="63"/>
      <c r="AQ182" s="63"/>
      <c r="AR182" s="63"/>
      <c r="AS182" s="63"/>
      <c r="AT182" s="63"/>
      <c r="AU182" s="63"/>
      <c r="AV182" s="63"/>
      <c r="AW182" s="63"/>
      <c r="AX182" s="63"/>
      <c r="AY182" s="63"/>
      <c r="AZ182" s="63"/>
      <c r="BB182" s="76"/>
      <c r="BC182" s="82"/>
      <c r="BD182" s="63"/>
      <c r="BE182" s="63"/>
      <c r="BF182" s="63"/>
      <c r="BG182" s="63"/>
      <c r="BH182" s="63"/>
      <c r="BI182" s="63"/>
      <c r="BJ182" s="63"/>
      <c r="BK182" s="63"/>
    </row>
    <row r="183" spans="7:63" x14ac:dyDescent="0.2">
      <c r="G183" s="73"/>
      <c r="H183" s="64"/>
      <c r="I183" s="64"/>
      <c r="S183" s="63"/>
      <c r="T183" s="63"/>
      <c r="U183" s="63"/>
      <c r="V183" s="63"/>
      <c r="X183" s="63"/>
      <c r="Y183" s="63"/>
      <c r="Z183" s="63"/>
      <c r="AA183" s="74"/>
      <c r="AB183" s="75"/>
      <c r="AC183" s="63"/>
      <c r="AD183" s="63"/>
      <c r="AE183" s="63"/>
      <c r="AF183" s="63"/>
      <c r="AG183" s="63"/>
      <c r="AJ183" s="63"/>
      <c r="AK183" s="63"/>
      <c r="AL183" s="63"/>
      <c r="AM183" s="63"/>
      <c r="AN183" s="63"/>
      <c r="AO183" s="63"/>
      <c r="AP183" s="63"/>
      <c r="AQ183" s="63"/>
      <c r="AR183" s="63"/>
      <c r="AS183" s="63"/>
      <c r="AT183" s="63"/>
      <c r="AU183" s="63"/>
      <c r="AV183" s="63"/>
      <c r="AW183" s="63"/>
      <c r="AX183" s="63"/>
      <c r="AY183" s="63"/>
      <c r="AZ183" s="63"/>
      <c r="BB183" s="76"/>
      <c r="BC183" s="82"/>
      <c r="BD183" s="63"/>
      <c r="BE183" s="63"/>
      <c r="BF183" s="63"/>
      <c r="BG183" s="63"/>
      <c r="BH183" s="63"/>
      <c r="BI183" s="63"/>
      <c r="BJ183" s="63"/>
      <c r="BK183" s="63"/>
    </row>
    <row r="184" spans="7:63" x14ac:dyDescent="0.2">
      <c r="G184" s="73"/>
      <c r="H184" s="64"/>
      <c r="I184" s="64"/>
      <c r="S184" s="63"/>
      <c r="T184" s="63"/>
      <c r="U184" s="63"/>
      <c r="V184" s="63"/>
      <c r="X184" s="63"/>
      <c r="Y184" s="63"/>
      <c r="Z184" s="63"/>
      <c r="AA184" s="74"/>
      <c r="AB184" s="75"/>
      <c r="AC184" s="63"/>
      <c r="AD184" s="63"/>
      <c r="AE184" s="63"/>
      <c r="AF184" s="63"/>
      <c r="AG184" s="63"/>
      <c r="AJ184" s="63"/>
      <c r="AK184" s="63"/>
      <c r="AL184" s="63"/>
      <c r="AM184" s="63"/>
      <c r="AN184" s="63"/>
      <c r="AO184" s="63"/>
      <c r="AP184" s="63"/>
      <c r="AQ184" s="63"/>
      <c r="AR184" s="63"/>
      <c r="AS184" s="63"/>
      <c r="AT184" s="63"/>
      <c r="AU184" s="63"/>
      <c r="AV184" s="63"/>
      <c r="AW184" s="63"/>
      <c r="AX184" s="63"/>
      <c r="AY184" s="63"/>
      <c r="AZ184" s="63"/>
      <c r="BB184" s="76"/>
      <c r="BC184" s="82"/>
      <c r="BD184" s="63"/>
      <c r="BE184" s="63"/>
      <c r="BF184" s="63"/>
      <c r="BG184" s="63"/>
      <c r="BH184" s="63"/>
      <c r="BI184" s="63"/>
      <c r="BJ184" s="63"/>
      <c r="BK184" s="63"/>
    </row>
    <row r="185" spans="7:63" x14ac:dyDescent="0.2">
      <c r="G185" s="73"/>
      <c r="H185" s="64"/>
      <c r="I185" s="64"/>
      <c r="S185" s="63"/>
      <c r="T185" s="63"/>
      <c r="U185" s="63"/>
      <c r="V185" s="63"/>
      <c r="X185" s="63"/>
      <c r="Y185" s="63"/>
      <c r="Z185" s="63"/>
      <c r="AA185" s="74"/>
      <c r="AB185" s="75"/>
      <c r="AC185" s="63"/>
      <c r="AD185" s="63"/>
      <c r="AE185" s="63"/>
      <c r="AF185" s="63"/>
      <c r="AG185" s="63"/>
      <c r="AJ185" s="63"/>
      <c r="AK185" s="63"/>
      <c r="AL185" s="63"/>
      <c r="AM185" s="63"/>
      <c r="AN185" s="63"/>
      <c r="AO185" s="63"/>
      <c r="AP185" s="63"/>
      <c r="AQ185" s="63"/>
      <c r="AR185" s="63"/>
      <c r="AS185" s="63"/>
      <c r="AT185" s="63"/>
      <c r="AU185" s="63"/>
      <c r="AV185" s="63"/>
      <c r="AW185" s="63"/>
      <c r="AX185" s="63"/>
      <c r="AY185" s="63"/>
      <c r="AZ185" s="63"/>
      <c r="BB185" s="76"/>
      <c r="BC185" s="82"/>
      <c r="BD185" s="63"/>
      <c r="BE185" s="63"/>
      <c r="BF185" s="63"/>
      <c r="BG185" s="63"/>
      <c r="BH185" s="63"/>
      <c r="BI185" s="63"/>
      <c r="BJ185" s="63"/>
      <c r="BK185" s="63"/>
    </row>
    <row r="186" spans="7:63" x14ac:dyDescent="0.2">
      <c r="G186" s="73"/>
      <c r="H186" s="64"/>
      <c r="I186" s="64"/>
      <c r="S186" s="63"/>
      <c r="T186" s="63"/>
      <c r="U186" s="63"/>
      <c r="V186" s="63"/>
      <c r="X186" s="63"/>
      <c r="Y186" s="63"/>
      <c r="Z186" s="63"/>
      <c r="AA186" s="74"/>
      <c r="AB186" s="75"/>
      <c r="AC186" s="63"/>
      <c r="AD186" s="63"/>
      <c r="AE186" s="63"/>
      <c r="AF186" s="63"/>
      <c r="AG186" s="63"/>
      <c r="AJ186" s="63"/>
      <c r="AK186" s="63"/>
      <c r="AL186" s="63"/>
      <c r="AM186" s="63"/>
      <c r="AN186" s="63"/>
      <c r="AO186" s="63"/>
      <c r="AP186" s="63"/>
      <c r="AQ186" s="63"/>
      <c r="AR186" s="63"/>
      <c r="AS186" s="63"/>
      <c r="AT186" s="63"/>
      <c r="AU186" s="63"/>
      <c r="AV186" s="63"/>
      <c r="AW186" s="63"/>
      <c r="AX186" s="63"/>
      <c r="AY186" s="63"/>
      <c r="AZ186" s="63"/>
      <c r="BB186" s="76"/>
      <c r="BC186" s="82"/>
      <c r="BD186" s="63"/>
      <c r="BE186" s="63"/>
      <c r="BF186" s="63"/>
      <c r="BG186" s="63"/>
      <c r="BH186" s="63"/>
      <c r="BI186" s="63"/>
      <c r="BJ186" s="63"/>
      <c r="BK186" s="63"/>
    </row>
    <row r="187" spans="7:63" x14ac:dyDescent="0.2">
      <c r="G187" s="73"/>
      <c r="H187" s="64"/>
      <c r="I187" s="64"/>
      <c r="S187" s="63"/>
      <c r="T187" s="63"/>
      <c r="U187" s="63"/>
      <c r="V187" s="63"/>
      <c r="X187" s="63"/>
      <c r="Y187" s="63"/>
      <c r="Z187" s="63"/>
      <c r="AA187" s="74"/>
      <c r="AB187" s="75"/>
      <c r="AC187" s="63"/>
      <c r="AD187" s="63"/>
      <c r="AE187" s="63"/>
      <c r="AF187" s="63"/>
      <c r="AG187" s="63"/>
      <c r="AJ187" s="63"/>
      <c r="AK187" s="63"/>
      <c r="AL187" s="63"/>
      <c r="AM187" s="63"/>
      <c r="AN187" s="63"/>
      <c r="AO187" s="63"/>
      <c r="AP187" s="63"/>
      <c r="AQ187" s="63"/>
      <c r="AR187" s="63"/>
      <c r="AS187" s="63"/>
      <c r="AT187" s="63"/>
      <c r="AU187" s="63"/>
      <c r="AV187" s="63"/>
      <c r="AW187" s="63"/>
      <c r="AX187" s="63"/>
      <c r="AY187" s="63"/>
      <c r="AZ187" s="63"/>
      <c r="BB187" s="76"/>
      <c r="BC187" s="82"/>
      <c r="BD187" s="63"/>
      <c r="BE187" s="63"/>
      <c r="BF187" s="63"/>
      <c r="BG187" s="63"/>
      <c r="BH187" s="63"/>
      <c r="BI187" s="63"/>
      <c r="BJ187" s="63"/>
      <c r="BK187" s="63"/>
    </row>
    <row r="188" spans="7:63" x14ac:dyDescent="0.2">
      <c r="G188" s="73"/>
      <c r="H188" s="64"/>
      <c r="I188" s="64"/>
      <c r="S188" s="63"/>
      <c r="T188" s="63"/>
      <c r="U188" s="63"/>
      <c r="V188" s="63"/>
      <c r="X188" s="63"/>
      <c r="Y188" s="63"/>
      <c r="Z188" s="63"/>
      <c r="AA188" s="74"/>
      <c r="AB188" s="75"/>
      <c r="AC188" s="63"/>
      <c r="AD188" s="63"/>
      <c r="AE188" s="63"/>
      <c r="AF188" s="63"/>
      <c r="AG188" s="63"/>
      <c r="AJ188" s="63"/>
      <c r="AK188" s="63"/>
      <c r="AL188" s="63"/>
      <c r="AM188" s="63"/>
      <c r="AN188" s="63"/>
      <c r="AO188" s="63"/>
      <c r="AP188" s="63"/>
      <c r="AQ188" s="63"/>
      <c r="AR188" s="63"/>
      <c r="AS188" s="63"/>
      <c r="AT188" s="63"/>
      <c r="AU188" s="63"/>
      <c r="AV188" s="63"/>
      <c r="AW188" s="63"/>
      <c r="AX188" s="63"/>
      <c r="AY188" s="63"/>
      <c r="AZ188" s="63"/>
      <c r="BB188" s="76"/>
      <c r="BC188" s="82"/>
      <c r="BD188" s="63"/>
      <c r="BE188" s="63"/>
      <c r="BF188" s="63"/>
      <c r="BG188" s="63"/>
      <c r="BH188" s="63"/>
      <c r="BI188" s="63"/>
      <c r="BJ188" s="63"/>
      <c r="BK188" s="63"/>
    </row>
    <row r="189" spans="7:63" x14ac:dyDescent="0.2">
      <c r="G189" s="73"/>
      <c r="H189" s="64"/>
      <c r="I189" s="64"/>
      <c r="S189" s="63"/>
      <c r="T189" s="63"/>
      <c r="U189" s="63"/>
      <c r="V189" s="63"/>
      <c r="X189" s="63"/>
      <c r="Y189" s="63"/>
      <c r="Z189" s="63"/>
      <c r="AA189" s="74"/>
      <c r="AB189" s="75"/>
      <c r="AC189" s="63"/>
      <c r="AD189" s="63"/>
      <c r="AE189" s="63"/>
      <c r="AF189" s="63"/>
      <c r="AG189" s="63"/>
      <c r="AJ189" s="63"/>
      <c r="AK189" s="63"/>
      <c r="AL189" s="63"/>
      <c r="AM189" s="63"/>
      <c r="AN189" s="63"/>
      <c r="AO189" s="63"/>
      <c r="AP189" s="63"/>
      <c r="AQ189" s="63"/>
      <c r="AR189" s="63"/>
      <c r="AS189" s="63"/>
      <c r="AT189" s="63"/>
      <c r="AU189" s="63"/>
      <c r="AV189" s="63"/>
      <c r="AW189" s="63"/>
      <c r="AX189" s="63"/>
      <c r="AY189" s="63"/>
      <c r="AZ189" s="63"/>
      <c r="BB189" s="76"/>
      <c r="BC189" s="82"/>
      <c r="BD189" s="63"/>
      <c r="BE189" s="63"/>
      <c r="BF189" s="63"/>
      <c r="BG189" s="63"/>
      <c r="BH189" s="63"/>
      <c r="BI189" s="63"/>
      <c r="BJ189" s="63"/>
      <c r="BK189" s="63"/>
    </row>
    <row r="190" spans="7:63" x14ac:dyDescent="0.2">
      <c r="G190" s="73"/>
      <c r="H190" s="64"/>
      <c r="I190" s="64"/>
      <c r="S190" s="63"/>
      <c r="T190" s="63"/>
      <c r="U190" s="63"/>
      <c r="V190" s="63"/>
      <c r="X190" s="63"/>
      <c r="Y190" s="63"/>
      <c r="Z190" s="63"/>
      <c r="AA190" s="74"/>
      <c r="AB190" s="75"/>
      <c r="AC190" s="63"/>
      <c r="AD190" s="63"/>
      <c r="AE190" s="63"/>
      <c r="AF190" s="63"/>
      <c r="AG190" s="63"/>
      <c r="AJ190" s="63"/>
      <c r="AK190" s="63"/>
      <c r="AL190" s="63"/>
      <c r="AM190" s="63"/>
      <c r="AN190" s="63"/>
      <c r="AO190" s="63"/>
      <c r="AP190" s="63"/>
      <c r="AQ190" s="63"/>
      <c r="AR190" s="63"/>
      <c r="AS190" s="63"/>
      <c r="AT190" s="63"/>
      <c r="AU190" s="63"/>
      <c r="AV190" s="63"/>
      <c r="AW190" s="63"/>
      <c r="AX190" s="63"/>
      <c r="AY190" s="63"/>
      <c r="AZ190" s="63"/>
      <c r="BB190" s="76"/>
      <c r="BC190" s="82"/>
      <c r="BD190" s="63"/>
      <c r="BE190" s="63"/>
      <c r="BF190" s="63"/>
      <c r="BG190" s="63"/>
      <c r="BH190" s="63"/>
      <c r="BI190" s="63"/>
      <c r="BJ190" s="63"/>
      <c r="BK190" s="63"/>
    </row>
    <row r="191" spans="7:63" x14ac:dyDescent="0.2">
      <c r="G191" s="73"/>
      <c r="H191" s="64"/>
      <c r="I191" s="64"/>
      <c r="S191" s="63"/>
      <c r="T191" s="63"/>
      <c r="U191" s="63"/>
      <c r="V191" s="63"/>
      <c r="X191" s="63"/>
      <c r="Y191" s="63"/>
      <c r="Z191" s="63"/>
      <c r="AA191" s="74"/>
      <c r="AB191" s="75"/>
      <c r="AC191" s="63"/>
      <c r="AD191" s="63"/>
      <c r="AE191" s="63"/>
      <c r="AF191" s="63"/>
      <c r="AG191" s="63"/>
      <c r="AJ191" s="63"/>
      <c r="AK191" s="63"/>
      <c r="AL191" s="63"/>
      <c r="AM191" s="63"/>
      <c r="AN191" s="63"/>
      <c r="AO191" s="63"/>
      <c r="AP191" s="63"/>
      <c r="AQ191" s="63"/>
      <c r="AR191" s="63"/>
      <c r="AS191" s="63"/>
      <c r="AT191" s="63"/>
      <c r="AU191" s="63"/>
      <c r="AV191" s="63"/>
      <c r="AW191" s="63"/>
      <c r="AX191" s="63"/>
      <c r="AY191" s="63"/>
      <c r="AZ191" s="63"/>
      <c r="BB191" s="76"/>
      <c r="BC191" s="82"/>
      <c r="BD191" s="63"/>
      <c r="BE191" s="63"/>
      <c r="BF191" s="63"/>
      <c r="BG191" s="63"/>
      <c r="BH191" s="63"/>
      <c r="BI191" s="63"/>
      <c r="BJ191" s="63"/>
      <c r="BK191" s="63"/>
    </row>
    <row r="192" spans="7:63" x14ac:dyDescent="0.2">
      <c r="G192" s="73"/>
      <c r="H192" s="64"/>
      <c r="I192" s="64"/>
      <c r="S192" s="63"/>
      <c r="T192" s="63"/>
      <c r="U192" s="63"/>
      <c r="V192" s="63"/>
      <c r="X192" s="63"/>
      <c r="Y192" s="63"/>
      <c r="Z192" s="63"/>
      <c r="AA192" s="74"/>
      <c r="AB192" s="75"/>
      <c r="AC192" s="63"/>
      <c r="AD192" s="63"/>
      <c r="AE192" s="63"/>
      <c r="AF192" s="63"/>
      <c r="AG192" s="63"/>
      <c r="AJ192" s="63"/>
      <c r="AK192" s="63"/>
      <c r="AL192" s="63"/>
      <c r="AM192" s="63"/>
      <c r="AN192" s="63"/>
      <c r="AO192" s="63"/>
      <c r="AP192" s="63"/>
      <c r="AQ192" s="63"/>
      <c r="AR192" s="63"/>
      <c r="AS192" s="63"/>
      <c r="AT192" s="63"/>
      <c r="AU192" s="63"/>
      <c r="AV192" s="63"/>
      <c r="AW192" s="63"/>
      <c r="AX192" s="63"/>
      <c r="AY192" s="63"/>
      <c r="AZ192" s="63"/>
      <c r="BB192" s="76"/>
      <c r="BC192" s="82"/>
      <c r="BD192" s="63"/>
      <c r="BE192" s="63"/>
      <c r="BF192" s="63"/>
      <c r="BG192" s="63"/>
      <c r="BH192" s="63"/>
      <c r="BI192" s="63"/>
      <c r="BJ192" s="63"/>
      <c r="BK192" s="63"/>
    </row>
    <row r="193" spans="7:63" x14ac:dyDescent="0.2">
      <c r="G193" s="73"/>
      <c r="H193" s="64"/>
      <c r="I193" s="64"/>
      <c r="S193" s="63"/>
      <c r="T193" s="63"/>
      <c r="U193" s="63"/>
      <c r="V193" s="63"/>
      <c r="X193" s="63"/>
      <c r="Y193" s="63"/>
      <c r="Z193" s="63"/>
      <c r="AA193" s="74"/>
      <c r="AB193" s="75"/>
      <c r="AC193" s="63"/>
      <c r="AD193" s="63"/>
      <c r="AE193" s="63"/>
      <c r="AF193" s="63"/>
      <c r="AG193" s="63"/>
      <c r="AJ193" s="63"/>
      <c r="AK193" s="63"/>
      <c r="AL193" s="63"/>
      <c r="AM193" s="63"/>
      <c r="AN193" s="63"/>
      <c r="AO193" s="63"/>
      <c r="AP193" s="63"/>
      <c r="AQ193" s="63"/>
      <c r="AR193" s="63"/>
      <c r="AS193" s="63"/>
      <c r="AT193" s="63"/>
      <c r="AU193" s="63"/>
      <c r="AV193" s="63"/>
      <c r="AW193" s="63"/>
      <c r="AX193" s="63"/>
      <c r="AY193" s="63"/>
      <c r="AZ193" s="63"/>
      <c r="BB193" s="76"/>
      <c r="BC193" s="82"/>
      <c r="BD193" s="63"/>
      <c r="BE193" s="63"/>
      <c r="BF193" s="63"/>
      <c r="BG193" s="63"/>
      <c r="BH193" s="63"/>
      <c r="BI193" s="63"/>
      <c r="BJ193" s="63"/>
      <c r="BK193" s="63"/>
    </row>
    <row r="194" spans="7:63" x14ac:dyDescent="0.2">
      <c r="G194" s="73"/>
      <c r="H194" s="64"/>
      <c r="I194" s="64"/>
      <c r="S194" s="63"/>
      <c r="T194" s="63"/>
      <c r="U194" s="63"/>
      <c r="V194" s="63"/>
      <c r="X194" s="63"/>
      <c r="Y194" s="63"/>
      <c r="Z194" s="63"/>
      <c r="AA194" s="74"/>
      <c r="AB194" s="75"/>
      <c r="AC194" s="63"/>
      <c r="AD194" s="63"/>
      <c r="AE194" s="63"/>
      <c r="AF194" s="63"/>
      <c r="AG194" s="63"/>
      <c r="AJ194" s="63"/>
      <c r="AK194" s="63"/>
      <c r="AL194" s="63"/>
      <c r="AM194" s="63"/>
      <c r="AN194" s="63"/>
      <c r="AO194" s="63"/>
      <c r="AP194" s="63"/>
      <c r="AQ194" s="63"/>
      <c r="AR194" s="63"/>
      <c r="AS194" s="63"/>
      <c r="AT194" s="63"/>
      <c r="AU194" s="63"/>
      <c r="AV194" s="63"/>
      <c r="AW194" s="63"/>
      <c r="AX194" s="63"/>
      <c r="AY194" s="63"/>
      <c r="AZ194" s="63"/>
      <c r="BB194" s="76"/>
      <c r="BC194" s="82"/>
      <c r="BD194" s="63"/>
      <c r="BE194" s="63"/>
      <c r="BF194" s="63"/>
      <c r="BG194" s="63"/>
      <c r="BH194" s="63"/>
      <c r="BI194" s="63"/>
      <c r="BJ194" s="63"/>
      <c r="BK194" s="63"/>
    </row>
    <row r="195" spans="7:63" x14ac:dyDescent="0.2">
      <c r="G195" s="73"/>
      <c r="H195" s="64"/>
      <c r="I195" s="64"/>
      <c r="S195" s="63"/>
      <c r="T195" s="63"/>
      <c r="U195" s="63"/>
      <c r="V195" s="63"/>
      <c r="X195" s="63"/>
      <c r="Y195" s="63"/>
      <c r="Z195" s="63"/>
      <c r="AA195" s="74"/>
      <c r="AB195" s="75"/>
      <c r="AC195" s="63"/>
      <c r="AD195" s="63"/>
      <c r="AE195" s="63"/>
      <c r="AF195" s="63"/>
      <c r="AG195" s="63"/>
      <c r="AJ195" s="63"/>
      <c r="AK195" s="63"/>
      <c r="AL195" s="63"/>
      <c r="AM195" s="63"/>
      <c r="AN195" s="63"/>
      <c r="AO195" s="63"/>
      <c r="AP195" s="63"/>
      <c r="AQ195" s="63"/>
      <c r="AR195" s="63"/>
      <c r="AS195" s="63"/>
      <c r="AT195" s="63"/>
      <c r="AU195" s="63"/>
      <c r="AV195" s="63"/>
      <c r="AW195" s="63"/>
      <c r="AX195" s="63"/>
      <c r="AY195" s="63"/>
      <c r="AZ195" s="63"/>
      <c r="BB195" s="76"/>
      <c r="BC195" s="82"/>
      <c r="BD195" s="63"/>
      <c r="BE195" s="63"/>
      <c r="BF195" s="63"/>
      <c r="BG195" s="63"/>
      <c r="BH195" s="63"/>
      <c r="BI195" s="63"/>
      <c r="BJ195" s="63"/>
      <c r="BK195" s="63"/>
    </row>
    <row r="196" spans="7:63" x14ac:dyDescent="0.2">
      <c r="G196" s="73"/>
      <c r="H196" s="64"/>
      <c r="I196" s="64"/>
      <c r="S196" s="63"/>
      <c r="T196" s="63"/>
      <c r="U196" s="63"/>
      <c r="V196" s="63"/>
      <c r="X196" s="63"/>
      <c r="Y196" s="63"/>
      <c r="Z196" s="63"/>
      <c r="AA196" s="74"/>
      <c r="AB196" s="75"/>
      <c r="AC196" s="63"/>
      <c r="AD196" s="63"/>
      <c r="AE196" s="63"/>
      <c r="AF196" s="63"/>
      <c r="AG196" s="63"/>
      <c r="AJ196" s="63"/>
      <c r="AK196" s="63"/>
      <c r="AL196" s="63"/>
      <c r="AM196" s="63"/>
      <c r="AN196" s="63"/>
      <c r="AO196" s="63"/>
      <c r="AP196" s="63"/>
      <c r="AQ196" s="63"/>
      <c r="AR196" s="63"/>
      <c r="AS196" s="63"/>
      <c r="AT196" s="63"/>
      <c r="AU196" s="63"/>
      <c r="AV196" s="63"/>
      <c r="AW196" s="63"/>
      <c r="AX196" s="63"/>
      <c r="AY196" s="63"/>
      <c r="AZ196" s="63"/>
      <c r="BB196" s="76"/>
      <c r="BC196" s="82"/>
      <c r="BD196" s="63"/>
      <c r="BE196" s="63"/>
      <c r="BF196" s="63"/>
      <c r="BG196" s="63"/>
      <c r="BH196" s="63"/>
      <c r="BI196" s="63"/>
      <c r="BJ196" s="63"/>
      <c r="BK196" s="63"/>
    </row>
    <row r="197" spans="7:63" x14ac:dyDescent="0.2">
      <c r="G197" s="73"/>
      <c r="H197" s="64"/>
      <c r="I197" s="64"/>
      <c r="S197" s="63"/>
      <c r="T197" s="63"/>
      <c r="U197" s="63"/>
      <c r="V197" s="63"/>
      <c r="X197" s="63"/>
      <c r="Y197" s="63"/>
      <c r="Z197" s="63"/>
      <c r="AA197" s="74"/>
      <c r="AB197" s="75"/>
      <c r="AC197" s="63"/>
      <c r="AD197" s="63"/>
      <c r="AE197" s="63"/>
      <c r="AF197" s="63"/>
      <c r="AG197" s="63"/>
      <c r="AJ197" s="63"/>
      <c r="AK197" s="63"/>
      <c r="AL197" s="63"/>
      <c r="AM197" s="63"/>
      <c r="AN197" s="63"/>
      <c r="AO197" s="63"/>
      <c r="AP197" s="63"/>
      <c r="AQ197" s="63"/>
      <c r="AR197" s="63"/>
      <c r="AS197" s="63"/>
      <c r="AT197" s="63"/>
      <c r="AU197" s="63"/>
      <c r="AV197" s="63"/>
      <c r="AW197" s="63"/>
      <c r="AX197" s="63"/>
      <c r="AY197" s="63"/>
      <c r="AZ197" s="63"/>
      <c r="BB197" s="76"/>
      <c r="BC197" s="82"/>
      <c r="BD197" s="63"/>
      <c r="BE197" s="63"/>
      <c r="BF197" s="63"/>
      <c r="BG197" s="63"/>
      <c r="BH197" s="63"/>
      <c r="BI197" s="63"/>
      <c r="BJ197" s="63"/>
      <c r="BK197" s="63"/>
    </row>
    <row r="198" spans="7:63" x14ac:dyDescent="0.2">
      <c r="G198" s="73"/>
      <c r="H198" s="64"/>
      <c r="I198" s="64"/>
      <c r="S198" s="63"/>
      <c r="T198" s="63"/>
      <c r="U198" s="63"/>
      <c r="V198" s="63"/>
      <c r="X198" s="63"/>
      <c r="Y198" s="63"/>
      <c r="Z198" s="63"/>
      <c r="AA198" s="74"/>
      <c r="AB198" s="75"/>
      <c r="AC198" s="63"/>
      <c r="AD198" s="63"/>
      <c r="AE198" s="63"/>
      <c r="AF198" s="63"/>
      <c r="AG198" s="63"/>
      <c r="AJ198" s="63"/>
      <c r="AK198" s="63"/>
      <c r="AL198" s="63"/>
      <c r="AM198" s="63"/>
      <c r="AN198" s="63"/>
      <c r="AO198" s="63"/>
      <c r="AP198" s="63"/>
      <c r="AQ198" s="63"/>
      <c r="AR198" s="63"/>
      <c r="AS198" s="63"/>
      <c r="AT198" s="63"/>
      <c r="AU198" s="63"/>
      <c r="AV198" s="63"/>
      <c r="AW198" s="63"/>
      <c r="AX198" s="63"/>
      <c r="AY198" s="63"/>
      <c r="AZ198" s="63"/>
      <c r="BB198" s="76"/>
      <c r="BC198" s="82"/>
      <c r="BD198" s="63"/>
      <c r="BE198" s="63"/>
      <c r="BF198" s="63"/>
      <c r="BG198" s="63"/>
      <c r="BH198" s="63"/>
      <c r="BI198" s="63"/>
      <c r="BJ198" s="63"/>
      <c r="BK198" s="63"/>
    </row>
    <row r="199" spans="7:63" x14ac:dyDescent="0.2">
      <c r="G199" s="73"/>
      <c r="H199" s="64"/>
      <c r="I199" s="64"/>
      <c r="S199" s="63"/>
      <c r="T199" s="63"/>
      <c r="U199" s="63"/>
      <c r="V199" s="63"/>
      <c r="X199" s="63"/>
      <c r="Y199" s="63"/>
      <c r="Z199" s="63"/>
      <c r="AA199" s="74"/>
      <c r="AB199" s="75"/>
      <c r="AC199" s="63"/>
      <c r="AD199" s="63"/>
      <c r="AE199" s="63"/>
      <c r="AF199" s="63"/>
      <c r="AG199" s="63"/>
      <c r="AJ199" s="63"/>
      <c r="AK199" s="63"/>
      <c r="AL199" s="63"/>
      <c r="AM199" s="63"/>
      <c r="AN199" s="63"/>
      <c r="AO199" s="63"/>
      <c r="AP199" s="63"/>
      <c r="AQ199" s="63"/>
      <c r="AR199" s="63"/>
      <c r="AS199" s="63"/>
      <c r="AT199" s="63"/>
      <c r="AU199" s="63"/>
      <c r="AV199" s="63"/>
      <c r="AW199" s="63"/>
      <c r="AX199" s="63"/>
      <c r="AY199" s="63"/>
      <c r="AZ199" s="63"/>
      <c r="BB199" s="76"/>
      <c r="BC199" s="82"/>
      <c r="BD199" s="63"/>
      <c r="BE199" s="63"/>
      <c r="BF199" s="63"/>
      <c r="BG199" s="63"/>
      <c r="BH199" s="63"/>
      <c r="BI199" s="63"/>
      <c r="BJ199" s="63"/>
      <c r="BK199" s="63"/>
    </row>
    <row r="200" spans="7:63" x14ac:dyDescent="0.2">
      <c r="G200" s="73"/>
      <c r="H200" s="64"/>
      <c r="I200" s="64"/>
      <c r="S200" s="63"/>
      <c r="T200" s="63"/>
      <c r="U200" s="63"/>
      <c r="V200" s="63"/>
      <c r="X200" s="63"/>
      <c r="Y200" s="63"/>
      <c r="Z200" s="63"/>
      <c r="AA200" s="74"/>
      <c r="AB200" s="75"/>
      <c r="AC200" s="63"/>
      <c r="AD200" s="63"/>
      <c r="AE200" s="63"/>
      <c r="AF200" s="63"/>
      <c r="AG200" s="63"/>
      <c r="AJ200" s="63"/>
      <c r="AK200" s="63"/>
      <c r="AL200" s="63"/>
      <c r="AM200" s="63"/>
      <c r="AN200" s="63"/>
      <c r="AO200" s="63"/>
      <c r="AP200" s="63"/>
      <c r="AQ200" s="63"/>
      <c r="AR200" s="63"/>
      <c r="AS200" s="63"/>
      <c r="AT200" s="63"/>
      <c r="AU200" s="63"/>
      <c r="AV200" s="63"/>
      <c r="AW200" s="63"/>
      <c r="AX200" s="63"/>
      <c r="AY200" s="63"/>
      <c r="AZ200" s="63"/>
      <c r="BB200" s="76"/>
      <c r="BC200" s="82"/>
      <c r="BD200" s="63"/>
      <c r="BE200" s="63"/>
      <c r="BF200" s="63"/>
      <c r="BG200" s="63"/>
      <c r="BH200" s="63"/>
      <c r="BI200" s="63"/>
      <c r="BJ200" s="63"/>
      <c r="BK200" s="63"/>
    </row>
    <row r="201" spans="7:63" x14ac:dyDescent="0.2">
      <c r="G201" s="73"/>
      <c r="H201" s="64"/>
      <c r="I201" s="64"/>
      <c r="S201" s="63"/>
      <c r="T201" s="63"/>
      <c r="U201" s="63"/>
      <c r="V201" s="63"/>
      <c r="X201" s="63"/>
      <c r="Y201" s="63"/>
      <c r="Z201" s="63"/>
      <c r="AA201" s="74"/>
      <c r="AB201" s="75"/>
      <c r="AC201" s="63"/>
      <c r="AD201" s="63"/>
      <c r="AE201" s="63"/>
      <c r="AF201" s="63"/>
      <c r="AG201" s="63"/>
      <c r="AJ201" s="63"/>
      <c r="AK201" s="63"/>
      <c r="AL201" s="63"/>
      <c r="AM201" s="63"/>
      <c r="AN201" s="63"/>
      <c r="AO201" s="63"/>
      <c r="AP201" s="63"/>
      <c r="AQ201" s="63"/>
      <c r="AR201" s="63"/>
      <c r="AS201" s="63"/>
      <c r="AT201" s="63"/>
      <c r="AU201" s="63"/>
      <c r="AV201" s="63"/>
      <c r="AW201" s="63"/>
      <c r="AX201" s="63"/>
      <c r="AY201" s="63"/>
      <c r="AZ201" s="63"/>
      <c r="BB201" s="76"/>
      <c r="BC201" s="82"/>
      <c r="BD201" s="63"/>
      <c r="BE201" s="63"/>
      <c r="BF201" s="63"/>
      <c r="BG201" s="63"/>
      <c r="BH201" s="63"/>
      <c r="BI201" s="63"/>
      <c r="BJ201" s="63"/>
      <c r="BK201" s="63"/>
    </row>
    <row r="202" spans="7:63" x14ac:dyDescent="0.2">
      <c r="G202" s="73"/>
      <c r="H202" s="64"/>
      <c r="I202" s="64"/>
      <c r="S202" s="63"/>
      <c r="T202" s="63"/>
      <c r="U202" s="63"/>
      <c r="V202" s="63"/>
      <c r="X202" s="63"/>
      <c r="Y202" s="63"/>
      <c r="Z202" s="63"/>
      <c r="AA202" s="74"/>
      <c r="AB202" s="75"/>
      <c r="AC202" s="63"/>
      <c r="AD202" s="63"/>
      <c r="AE202" s="63"/>
      <c r="AF202" s="63"/>
      <c r="AG202" s="63"/>
      <c r="AJ202" s="63"/>
      <c r="AK202" s="63"/>
      <c r="AL202" s="63"/>
      <c r="AM202" s="63"/>
      <c r="AN202" s="63"/>
      <c r="AO202" s="63"/>
      <c r="AP202" s="63"/>
      <c r="AQ202" s="63"/>
      <c r="AR202" s="63"/>
      <c r="AS202" s="63"/>
      <c r="AT202" s="63"/>
      <c r="AU202" s="63"/>
      <c r="AV202" s="63"/>
      <c r="AW202" s="63"/>
      <c r="AX202" s="63"/>
      <c r="AY202" s="63"/>
      <c r="AZ202" s="63"/>
      <c r="BB202" s="76"/>
      <c r="BC202" s="82"/>
      <c r="BD202" s="63"/>
      <c r="BE202" s="63"/>
      <c r="BF202" s="63"/>
      <c r="BG202" s="63"/>
      <c r="BH202" s="63"/>
      <c r="BI202" s="63"/>
      <c r="BJ202" s="63"/>
      <c r="BK202" s="63"/>
    </row>
    <row r="203" spans="7:63" x14ac:dyDescent="0.2">
      <c r="G203" s="73"/>
      <c r="H203" s="64"/>
      <c r="I203" s="64"/>
      <c r="S203" s="63"/>
      <c r="T203" s="63"/>
      <c r="U203" s="63"/>
      <c r="V203" s="63"/>
      <c r="X203" s="63"/>
      <c r="Y203" s="63"/>
      <c r="Z203" s="63"/>
      <c r="AA203" s="74"/>
      <c r="AB203" s="75"/>
      <c r="AC203" s="63"/>
      <c r="AD203" s="63"/>
      <c r="AE203" s="63"/>
      <c r="AF203" s="63"/>
      <c r="AG203" s="63"/>
      <c r="AJ203" s="63"/>
      <c r="AK203" s="63"/>
      <c r="AL203" s="63"/>
      <c r="AM203" s="63"/>
      <c r="AN203" s="63"/>
      <c r="AO203" s="63"/>
      <c r="AP203" s="63"/>
      <c r="AQ203" s="63"/>
      <c r="AR203" s="63"/>
      <c r="AS203" s="63"/>
      <c r="AT203" s="63"/>
      <c r="AU203" s="63"/>
      <c r="AV203" s="63"/>
      <c r="AW203" s="63"/>
      <c r="AX203" s="63"/>
      <c r="AY203" s="63"/>
      <c r="AZ203" s="63"/>
      <c r="BB203" s="76"/>
      <c r="BC203" s="82"/>
      <c r="BD203" s="63"/>
      <c r="BE203" s="63"/>
      <c r="BF203" s="63"/>
      <c r="BG203" s="63"/>
      <c r="BH203" s="63"/>
      <c r="BI203" s="63"/>
      <c r="BJ203" s="63"/>
      <c r="BK203" s="63"/>
    </row>
    <row r="204" spans="7:63" x14ac:dyDescent="0.2">
      <c r="G204" s="73"/>
      <c r="H204" s="64"/>
      <c r="I204" s="64"/>
      <c r="S204" s="63"/>
      <c r="T204" s="63"/>
      <c r="U204" s="63"/>
      <c r="V204" s="63"/>
      <c r="X204" s="63"/>
      <c r="Y204" s="63"/>
      <c r="Z204" s="63"/>
      <c r="AA204" s="74"/>
      <c r="AB204" s="75"/>
      <c r="AC204" s="63"/>
      <c r="AD204" s="63"/>
      <c r="AE204" s="63"/>
      <c r="AF204" s="63"/>
      <c r="AG204" s="63"/>
      <c r="AJ204" s="63"/>
      <c r="AK204" s="63"/>
      <c r="AL204" s="63"/>
      <c r="AM204" s="63"/>
      <c r="AN204" s="63"/>
      <c r="AO204" s="63"/>
      <c r="AP204" s="63"/>
      <c r="AQ204" s="63"/>
      <c r="AR204" s="63"/>
      <c r="AS204" s="63"/>
      <c r="AT204" s="63"/>
      <c r="AU204" s="63"/>
      <c r="AV204" s="63"/>
      <c r="AW204" s="63"/>
      <c r="AX204" s="63"/>
      <c r="AY204" s="63"/>
      <c r="AZ204" s="63"/>
      <c r="BB204" s="76"/>
      <c r="BC204" s="82"/>
      <c r="BD204" s="63"/>
      <c r="BE204" s="63"/>
      <c r="BF204" s="63"/>
      <c r="BG204" s="63"/>
      <c r="BH204" s="63"/>
      <c r="BI204" s="63"/>
      <c r="BJ204" s="63"/>
      <c r="BK204" s="63"/>
    </row>
    <row r="205" spans="7:63" x14ac:dyDescent="0.2">
      <c r="G205" s="73"/>
      <c r="H205" s="64"/>
      <c r="I205" s="64"/>
      <c r="S205" s="63"/>
      <c r="T205" s="63"/>
      <c r="U205" s="63"/>
      <c r="V205" s="63"/>
      <c r="X205" s="63"/>
      <c r="Y205" s="63"/>
      <c r="Z205" s="63"/>
      <c r="AA205" s="74"/>
      <c r="AB205" s="75"/>
      <c r="AC205" s="63"/>
      <c r="AD205" s="63"/>
      <c r="AE205" s="63"/>
      <c r="AF205" s="63"/>
      <c r="AG205" s="63"/>
      <c r="AJ205" s="63"/>
      <c r="AK205" s="63"/>
      <c r="AL205" s="63"/>
      <c r="AM205" s="63"/>
      <c r="AN205" s="63"/>
      <c r="AO205" s="63"/>
      <c r="AP205" s="63"/>
      <c r="AQ205" s="63"/>
      <c r="AR205" s="63"/>
      <c r="AS205" s="63"/>
      <c r="AT205" s="63"/>
      <c r="AU205" s="63"/>
      <c r="AV205" s="63"/>
      <c r="AW205" s="63"/>
      <c r="AX205" s="63"/>
      <c r="AY205" s="63"/>
      <c r="AZ205" s="63"/>
      <c r="BB205" s="76"/>
      <c r="BC205" s="82"/>
      <c r="BD205" s="63"/>
      <c r="BE205" s="63"/>
      <c r="BF205" s="63"/>
      <c r="BG205" s="63"/>
      <c r="BH205" s="63"/>
      <c r="BI205" s="63"/>
      <c r="BJ205" s="63"/>
      <c r="BK205" s="63"/>
    </row>
    <row r="206" spans="7:63" x14ac:dyDescent="0.2">
      <c r="G206" s="73"/>
      <c r="H206" s="64"/>
      <c r="I206" s="64"/>
      <c r="S206" s="63"/>
      <c r="T206" s="63"/>
      <c r="U206" s="63"/>
      <c r="V206" s="63"/>
      <c r="X206" s="63"/>
      <c r="Y206" s="63"/>
      <c r="Z206" s="63"/>
      <c r="AA206" s="74"/>
      <c r="AB206" s="75"/>
      <c r="AC206" s="63"/>
      <c r="AD206" s="63"/>
      <c r="AE206" s="63"/>
      <c r="AF206" s="63"/>
      <c r="AG206" s="63"/>
      <c r="AJ206" s="63"/>
      <c r="AK206" s="63"/>
      <c r="AL206" s="63"/>
      <c r="AM206" s="63"/>
      <c r="AN206" s="63"/>
      <c r="AO206" s="63"/>
      <c r="AP206" s="63"/>
      <c r="AQ206" s="63"/>
      <c r="AR206" s="63"/>
      <c r="AS206" s="63"/>
      <c r="AT206" s="63"/>
      <c r="AU206" s="63"/>
      <c r="AV206" s="63"/>
      <c r="AW206" s="63"/>
      <c r="AX206" s="63"/>
      <c r="AY206" s="63"/>
      <c r="AZ206" s="63"/>
      <c r="BB206" s="76"/>
      <c r="BC206" s="82"/>
      <c r="BD206" s="63"/>
      <c r="BE206" s="63"/>
      <c r="BF206" s="63"/>
      <c r="BG206" s="63"/>
      <c r="BH206" s="63"/>
      <c r="BI206" s="63"/>
      <c r="BJ206" s="63"/>
      <c r="BK206" s="63"/>
    </row>
    <row r="207" spans="7:63" x14ac:dyDescent="0.2">
      <c r="G207" s="73"/>
      <c r="H207" s="64"/>
      <c r="I207" s="64"/>
      <c r="S207" s="63"/>
      <c r="T207" s="63"/>
      <c r="U207" s="63"/>
      <c r="V207" s="63"/>
      <c r="X207" s="63"/>
      <c r="Y207" s="63"/>
      <c r="Z207" s="63"/>
      <c r="AA207" s="74"/>
      <c r="AB207" s="75"/>
      <c r="AC207" s="63"/>
      <c r="AD207" s="63"/>
      <c r="AE207" s="63"/>
      <c r="AF207" s="63"/>
      <c r="AG207" s="63"/>
      <c r="AJ207" s="63"/>
      <c r="AK207" s="63"/>
      <c r="AL207" s="63"/>
      <c r="AM207" s="63"/>
      <c r="AN207" s="63"/>
      <c r="AO207" s="63"/>
      <c r="AP207" s="63"/>
      <c r="AQ207" s="63"/>
      <c r="AR207" s="63"/>
      <c r="AS207" s="63"/>
      <c r="AT207" s="63"/>
      <c r="AU207" s="63"/>
      <c r="AV207" s="63"/>
      <c r="AW207" s="63"/>
      <c r="AX207" s="63"/>
      <c r="AY207" s="63"/>
      <c r="AZ207" s="63"/>
      <c r="BB207" s="76"/>
      <c r="BC207" s="82"/>
      <c r="BD207" s="63"/>
      <c r="BE207" s="63"/>
      <c r="BF207" s="63"/>
      <c r="BG207" s="63"/>
      <c r="BH207" s="63"/>
      <c r="BI207" s="63"/>
      <c r="BJ207" s="63"/>
      <c r="BK207" s="63"/>
    </row>
    <row r="208" spans="7:63" x14ac:dyDescent="0.2">
      <c r="G208" s="73"/>
      <c r="H208" s="64"/>
      <c r="I208" s="64"/>
      <c r="S208" s="63"/>
      <c r="T208" s="63"/>
      <c r="U208" s="63"/>
      <c r="V208" s="63"/>
      <c r="X208" s="63"/>
      <c r="Y208" s="63"/>
      <c r="Z208" s="63"/>
      <c r="AA208" s="74"/>
      <c r="AB208" s="75"/>
      <c r="AC208" s="63"/>
      <c r="AD208" s="63"/>
      <c r="AE208" s="63"/>
      <c r="AF208" s="63"/>
      <c r="AG208" s="63"/>
      <c r="AJ208" s="63"/>
      <c r="AK208" s="63"/>
      <c r="AL208" s="63"/>
      <c r="AM208" s="63"/>
      <c r="AN208" s="63"/>
      <c r="AO208" s="63"/>
      <c r="AP208" s="63"/>
      <c r="AQ208" s="63"/>
      <c r="AR208" s="63"/>
      <c r="AS208" s="63"/>
      <c r="AT208" s="63"/>
      <c r="AU208" s="63"/>
      <c r="AV208" s="63"/>
      <c r="AW208" s="63"/>
      <c r="AX208" s="63"/>
      <c r="AY208" s="63"/>
      <c r="AZ208" s="63"/>
      <c r="BB208" s="76"/>
      <c r="BC208" s="82"/>
      <c r="BD208" s="63"/>
      <c r="BE208" s="63"/>
      <c r="BF208" s="63"/>
      <c r="BG208" s="63"/>
      <c r="BH208" s="63"/>
      <c r="BI208" s="63"/>
      <c r="BJ208" s="63"/>
      <c r="BK208" s="63"/>
    </row>
    <row r="209" spans="7:63" x14ac:dyDescent="0.2">
      <c r="G209" s="73"/>
      <c r="H209" s="64"/>
      <c r="I209" s="64"/>
      <c r="S209" s="63"/>
      <c r="T209" s="63"/>
      <c r="U209" s="63"/>
      <c r="V209" s="63"/>
      <c r="X209" s="63"/>
      <c r="Y209" s="63"/>
      <c r="Z209" s="63"/>
      <c r="AA209" s="74"/>
      <c r="AB209" s="75"/>
      <c r="AC209" s="63"/>
      <c r="AD209" s="63"/>
      <c r="AE209" s="63"/>
      <c r="AF209" s="63"/>
      <c r="AG209" s="63"/>
      <c r="AJ209" s="63"/>
      <c r="AK209" s="63"/>
      <c r="AL209" s="63"/>
      <c r="AM209" s="63"/>
      <c r="AN209" s="63"/>
      <c r="AO209" s="63"/>
      <c r="AP209" s="63"/>
      <c r="AQ209" s="63"/>
      <c r="AR209" s="63"/>
      <c r="AS209" s="63"/>
      <c r="AT209" s="63"/>
      <c r="AU209" s="63"/>
      <c r="AV209" s="63"/>
      <c r="AW209" s="63"/>
      <c r="AX209" s="63"/>
      <c r="AY209" s="63"/>
      <c r="AZ209" s="63"/>
      <c r="BB209" s="76"/>
      <c r="BC209" s="82"/>
      <c r="BD209" s="63"/>
      <c r="BE209" s="63"/>
      <c r="BF209" s="63"/>
      <c r="BG209" s="63"/>
      <c r="BH209" s="63"/>
      <c r="BI209" s="63"/>
      <c r="BJ209" s="63"/>
      <c r="BK209" s="63"/>
    </row>
    <row r="210" spans="7:63" x14ac:dyDescent="0.2">
      <c r="G210" s="73"/>
      <c r="H210" s="64"/>
      <c r="I210" s="64"/>
      <c r="S210" s="63"/>
      <c r="T210" s="63"/>
      <c r="U210" s="63"/>
      <c r="V210" s="63"/>
      <c r="X210" s="63"/>
      <c r="Y210" s="63"/>
      <c r="Z210" s="63"/>
      <c r="AA210" s="74"/>
      <c r="AB210" s="75"/>
      <c r="AC210" s="63"/>
      <c r="AD210" s="63"/>
      <c r="AE210" s="63"/>
      <c r="AF210" s="63"/>
      <c r="AG210" s="63"/>
      <c r="AJ210" s="63"/>
      <c r="AK210" s="63"/>
      <c r="AL210" s="63"/>
      <c r="AM210" s="63"/>
      <c r="AN210" s="63"/>
      <c r="AO210" s="63"/>
      <c r="AP210" s="63"/>
      <c r="AQ210" s="63"/>
      <c r="AR210" s="63"/>
      <c r="AS210" s="63"/>
      <c r="AT210" s="63"/>
      <c r="AU210" s="63"/>
      <c r="AV210" s="63"/>
      <c r="AW210" s="63"/>
      <c r="AX210" s="63"/>
      <c r="AY210" s="63"/>
      <c r="AZ210" s="63"/>
      <c r="BB210" s="76"/>
      <c r="BC210" s="82"/>
      <c r="BD210" s="63"/>
      <c r="BE210" s="63"/>
      <c r="BF210" s="63"/>
      <c r="BG210" s="63"/>
      <c r="BH210" s="63"/>
      <c r="BI210" s="63"/>
      <c r="BJ210" s="63"/>
      <c r="BK210" s="63"/>
    </row>
    <row r="211" spans="7:63" x14ac:dyDescent="0.2">
      <c r="G211" s="73"/>
      <c r="H211" s="64"/>
      <c r="I211" s="64"/>
      <c r="S211" s="63"/>
      <c r="T211" s="63"/>
      <c r="U211" s="63"/>
      <c r="V211" s="63"/>
      <c r="X211" s="63"/>
      <c r="Y211" s="63"/>
      <c r="Z211" s="63"/>
      <c r="AA211" s="74"/>
      <c r="AB211" s="75"/>
      <c r="AC211" s="63"/>
      <c r="AD211" s="63"/>
      <c r="AE211" s="63"/>
      <c r="AF211" s="63"/>
      <c r="AG211" s="63"/>
      <c r="AJ211" s="63"/>
      <c r="AK211" s="63"/>
      <c r="AL211" s="63"/>
      <c r="AM211" s="63"/>
      <c r="AN211" s="63"/>
      <c r="AO211" s="63"/>
      <c r="AP211" s="63"/>
      <c r="AQ211" s="63"/>
      <c r="AR211" s="63"/>
      <c r="AS211" s="63"/>
      <c r="AT211" s="63"/>
      <c r="AU211" s="63"/>
      <c r="AV211" s="63"/>
      <c r="AW211" s="63"/>
      <c r="AX211" s="63"/>
      <c r="AY211" s="63"/>
      <c r="AZ211" s="63"/>
      <c r="BB211" s="76"/>
      <c r="BC211" s="82"/>
      <c r="BD211" s="63"/>
      <c r="BE211" s="63"/>
      <c r="BF211" s="63"/>
      <c r="BG211" s="63"/>
      <c r="BH211" s="63"/>
      <c r="BI211" s="63"/>
      <c r="BJ211" s="63"/>
      <c r="BK211" s="63"/>
    </row>
    <row r="212" spans="7:63" x14ac:dyDescent="0.2">
      <c r="G212" s="73"/>
      <c r="H212" s="64"/>
      <c r="I212" s="64"/>
      <c r="S212" s="63"/>
      <c r="T212" s="63"/>
      <c r="U212" s="63"/>
      <c r="V212" s="63"/>
      <c r="X212" s="63"/>
      <c r="Y212" s="63"/>
      <c r="Z212" s="63"/>
      <c r="AA212" s="74"/>
      <c r="AB212" s="75"/>
      <c r="AC212" s="63"/>
      <c r="AD212" s="63"/>
      <c r="AE212" s="63"/>
      <c r="AF212" s="63"/>
      <c r="AG212" s="63"/>
      <c r="AJ212" s="63"/>
      <c r="AK212" s="63"/>
      <c r="AL212" s="63"/>
      <c r="AM212" s="63"/>
      <c r="AN212" s="63"/>
      <c r="AO212" s="63"/>
      <c r="AP212" s="63"/>
      <c r="AQ212" s="63"/>
      <c r="AR212" s="63"/>
      <c r="AS212" s="63"/>
      <c r="AT212" s="63"/>
      <c r="AU212" s="63"/>
      <c r="AV212" s="63"/>
      <c r="AW212" s="63"/>
      <c r="AX212" s="63"/>
      <c r="AY212" s="63"/>
      <c r="AZ212" s="63"/>
      <c r="BB212" s="76"/>
      <c r="BC212" s="82"/>
      <c r="BD212" s="63"/>
      <c r="BE212" s="63"/>
      <c r="BF212" s="63"/>
      <c r="BG212" s="63"/>
      <c r="BH212" s="63"/>
      <c r="BI212" s="63"/>
      <c r="BJ212" s="63"/>
      <c r="BK212" s="63"/>
    </row>
  </sheetData>
  <sheetProtection selectLockedCells="1"/>
  <mergeCells count="9">
    <mergeCell ref="Z10:AB10"/>
    <mergeCell ref="BC10:BL10"/>
    <mergeCell ref="C10:R10"/>
    <mergeCell ref="S10:V10"/>
    <mergeCell ref="W10:Y10"/>
    <mergeCell ref="AC10:AJ10"/>
    <mergeCell ref="AK10:AU10"/>
    <mergeCell ref="AW10:AY10"/>
    <mergeCell ref="AZ10:BB10"/>
  </mergeCells>
  <phoneticPr fontId="48" type="noConversion"/>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已命名的範圍</vt:lpstr>
      </vt:variant>
      <vt:variant>
        <vt:i4>199</vt:i4>
      </vt:variant>
    </vt:vector>
  </HeadingPairs>
  <TitlesOfParts>
    <vt:vector size="207" baseType="lpstr">
      <vt:lpstr>How to use</vt:lpstr>
      <vt:lpstr>Design</vt:lpstr>
      <vt:lpstr>Important Notice and Disclaimer</vt:lpstr>
      <vt:lpstr>Calc</vt:lpstr>
      <vt:lpstr>STD_VAL</vt:lpstr>
      <vt:lpstr>SCH</vt:lpstr>
      <vt:lpstr>Bode</vt:lpstr>
      <vt:lpstr>Efficiency</vt:lpstr>
      <vt:lpstr>A.s_max</vt:lpstr>
      <vt:lpstr>A.s_min</vt:lpstr>
      <vt:lpstr>A.s_typ</vt:lpstr>
      <vt:lpstr>A_COMP2CS</vt:lpstr>
      <vt:lpstr>A_COMP2VOUT</vt:lpstr>
      <vt:lpstr>C.comp</vt:lpstr>
      <vt:lpstr>C.comp_desired</vt:lpstr>
      <vt:lpstr>C.eaout</vt:lpstr>
      <vt:lpstr>C.fbb</vt:lpstr>
      <vt:lpstr>C.ff</vt:lpstr>
      <vt:lpstr>C.hf</vt:lpstr>
      <vt:lpstr>C.hf_desired</vt:lpstr>
      <vt:lpstr>C.imon</vt:lpstr>
      <vt:lpstr>C.imon_desired</vt:lpstr>
      <vt:lpstr>C.inb_derated</vt:lpstr>
      <vt:lpstr>C.iset</vt:lpstr>
      <vt:lpstr>C.oss_hs</vt:lpstr>
      <vt:lpstr>C.oss_ls</vt:lpstr>
      <vt:lpstr>C.outb_derated</vt:lpstr>
      <vt:lpstr>C.outb_derated_min</vt:lpstr>
      <vt:lpstr>C.outb_derated_min1</vt:lpstr>
      <vt:lpstr>C.outb_derated_min2</vt:lpstr>
      <vt:lpstr>C.outb_derated_min3</vt:lpstr>
      <vt:lpstr>C.outb_derating_factor</vt:lpstr>
      <vt:lpstr>C.outb_rated</vt:lpstr>
      <vt:lpstr>C.outhf_derated</vt:lpstr>
      <vt:lpstr>C.outhf_derating_factor</vt:lpstr>
      <vt:lpstr>C.outhf_rated</vt:lpstr>
      <vt:lpstr>C.outtotal_derated</vt:lpstr>
      <vt:lpstr>CC_LOOP</vt:lpstr>
      <vt:lpstr>CV_LOOP</vt:lpstr>
      <vt:lpstr>D.off_min_150</vt:lpstr>
      <vt:lpstr>D.off_min_ideal</vt:lpstr>
      <vt:lpstr>D.on_min_150</vt:lpstr>
      <vt:lpstr>D.on_min_ideal</vt:lpstr>
      <vt:lpstr>DESIGN_GUIDE1</vt:lpstr>
      <vt:lpstr>DEVICE</vt:lpstr>
      <vt:lpstr>dI.out_max</vt:lpstr>
      <vt:lpstr>dI.out_max_rms</vt:lpstr>
      <vt:lpstr>dV.out_max_rms</vt:lpstr>
      <vt:lpstr>EfficiencyChart</vt:lpstr>
      <vt:lpstr>ExtVCC</vt:lpstr>
      <vt:lpstr>f.cross_desired</vt:lpstr>
      <vt:lpstr>f.p_err</vt:lpstr>
      <vt:lpstr>f.p_err_desired</vt:lpstr>
      <vt:lpstr>f.p_imon</vt:lpstr>
      <vt:lpstr>f.p_imon_desired</vt:lpstr>
      <vt:lpstr>f.sw</vt:lpstr>
      <vt:lpstr>f.z_cff</vt:lpstr>
      <vt:lpstr>f.z_err</vt:lpstr>
      <vt:lpstr>f.z_err_desired</vt:lpstr>
      <vt:lpstr>f.z_imon</vt:lpstr>
      <vt:lpstr>f.z_imon_desired</vt:lpstr>
      <vt:lpstr>FCROSSOVER_FOUND_CV</vt:lpstr>
      <vt:lpstr>FPWM</vt:lpstr>
      <vt:lpstr>fsw_sh</vt:lpstr>
      <vt:lpstr>g.fs_hs</vt:lpstr>
      <vt:lpstr>g.fs_ls</vt:lpstr>
      <vt:lpstr>GM</vt:lpstr>
      <vt:lpstr>GM.imon</vt:lpstr>
      <vt:lpstr>I.imon</vt:lpstr>
      <vt:lpstr>I.iset</vt:lpstr>
      <vt:lpstr>I.load</vt:lpstr>
      <vt:lpstr>I.peak_tblank</vt:lpstr>
      <vt:lpstr>I.peakcl</vt:lpstr>
      <vt:lpstr>I.q_IC</vt:lpstr>
      <vt:lpstr>Ipeak_atvinmax</vt:lpstr>
      <vt:lpstr>IVCC</vt:lpstr>
      <vt:lpstr>kfactor</vt:lpstr>
      <vt:lpstr>L.margin</vt:lpstr>
      <vt:lpstr>L.out</vt:lpstr>
      <vt:lpstr>L.out_desired</vt:lpstr>
      <vt:lpstr>L.outmin1</vt:lpstr>
      <vt:lpstr>L.outmin2</vt:lpstr>
      <vt:lpstr>L.outmin3</vt:lpstr>
      <vt:lpstr>L.outmin4</vt:lpstr>
      <vt:lpstr>L.smalest</vt:lpstr>
      <vt:lpstr>MaxOperatinvVIN</vt:lpstr>
      <vt:lpstr>mc</vt:lpstr>
      <vt:lpstr>MinCboot</vt:lpstr>
      <vt:lpstr>MinCvcc</vt:lpstr>
      <vt:lpstr>MinCvcc2</vt:lpstr>
      <vt:lpstr>P.core</vt:lpstr>
      <vt:lpstr>P.out</vt:lpstr>
      <vt:lpstr>P.rs</vt:lpstr>
      <vt:lpstr>PCB_TYPICAL1</vt:lpstr>
      <vt:lpstr>PI</vt:lpstr>
      <vt:lpstr>Design!Print_Area</vt:lpstr>
      <vt:lpstr>Q.g_hs</vt:lpstr>
      <vt:lpstr>Q.g_ls</vt:lpstr>
      <vt:lpstr>Q.gd_hs</vt:lpstr>
      <vt:lpstr>Q.gd_ls</vt:lpstr>
      <vt:lpstr>Q.gs_hs</vt:lpstr>
      <vt:lpstr>Q.gs_ls</vt:lpstr>
      <vt:lpstr>Q.oss_hs</vt:lpstr>
      <vt:lpstr>Q.oss_ls</vt:lpstr>
      <vt:lpstr>Q.rr_hs</vt:lpstr>
      <vt:lpstr>Q.rr_ls</vt:lpstr>
      <vt:lpstr>Q.rr_sch</vt:lpstr>
      <vt:lpstr>Qfactor</vt:lpstr>
      <vt:lpstr>R.comp</vt:lpstr>
      <vt:lpstr>R.comp_desired</vt:lpstr>
      <vt:lpstr>R.dcr150</vt:lpstr>
      <vt:lpstr>R.dcr25</vt:lpstr>
      <vt:lpstr>R.drv_hs_sink</vt:lpstr>
      <vt:lpstr>R.drv_hs_source</vt:lpstr>
      <vt:lpstr>R.drv_ls_sink</vt:lpstr>
      <vt:lpstr>R.drv_ls_source</vt:lpstr>
      <vt:lpstr>R.eaout</vt:lpstr>
      <vt:lpstr>R.enb</vt:lpstr>
      <vt:lpstr>R.ent</vt:lpstr>
      <vt:lpstr>R.esr_cin</vt:lpstr>
      <vt:lpstr>R.esrb</vt:lpstr>
      <vt:lpstr>R.esrhf</vt:lpstr>
      <vt:lpstr>R.fbb</vt:lpstr>
      <vt:lpstr>R.fbt</vt:lpstr>
      <vt:lpstr>R.fbt_min</vt:lpstr>
      <vt:lpstr>R.ff</vt:lpstr>
      <vt:lpstr>R.g_hs</vt:lpstr>
      <vt:lpstr>R.g_ls</vt:lpstr>
      <vt:lpstr>R.hs150</vt:lpstr>
      <vt:lpstr>R.hs25</vt:lpstr>
      <vt:lpstr>R.imon</vt:lpstr>
      <vt:lpstr>R.imon_desired</vt:lpstr>
      <vt:lpstr>R.imonhf</vt:lpstr>
      <vt:lpstr>R.imonhf_desired</vt:lpstr>
      <vt:lpstr>R.iset</vt:lpstr>
      <vt:lpstr>R.load</vt:lpstr>
      <vt:lpstr>R.lp</vt:lpstr>
      <vt:lpstr>R.ls150</vt:lpstr>
      <vt:lpstr>R.ls25</vt:lpstr>
      <vt:lpstr>R.s</vt:lpstr>
      <vt:lpstr>R.s_desired</vt:lpstr>
      <vt:lpstr>R.t_calc</vt:lpstr>
      <vt:lpstr>R.t_std</vt:lpstr>
      <vt:lpstr>RR.typ</vt:lpstr>
      <vt:lpstr>S.fall</vt:lpstr>
      <vt:lpstr>S.rise</vt:lpstr>
      <vt:lpstr>S.slope</vt:lpstr>
      <vt:lpstr>SCH_TYPICAL1</vt:lpstr>
      <vt:lpstr>T.amb</vt:lpstr>
      <vt:lpstr>t.blank_max</vt:lpstr>
      <vt:lpstr>t.d_hoff_lon</vt:lpstr>
      <vt:lpstr>t.d_loff_hon</vt:lpstr>
      <vt:lpstr>T.fall</vt:lpstr>
      <vt:lpstr>T.off_min_150</vt:lpstr>
      <vt:lpstr>T.off_min_ideal</vt:lpstr>
      <vt:lpstr>T.offmin_IC</vt:lpstr>
      <vt:lpstr>T.on_min_150</vt:lpstr>
      <vt:lpstr>T.on_min_ideal</vt:lpstr>
      <vt:lpstr>T.onmin_IC</vt:lpstr>
      <vt:lpstr>T.rise</vt:lpstr>
      <vt:lpstr>T.sscc</vt:lpstr>
      <vt:lpstr>TC_rdson_hs</vt:lpstr>
      <vt:lpstr>TC_rdson_ls</vt:lpstr>
      <vt:lpstr>theta.ja_hs</vt:lpstr>
      <vt:lpstr>theta.ja_ls</vt:lpstr>
      <vt:lpstr>Trf_CorrectionFactor</vt:lpstr>
      <vt:lpstr>V.bd_hs</vt:lpstr>
      <vt:lpstr>V.bd_ls</vt:lpstr>
      <vt:lpstr>V.enfalling_max</vt:lpstr>
      <vt:lpstr>V.enrising_max</vt:lpstr>
      <vt:lpstr>V.fwd_sch</vt:lpstr>
      <vt:lpstr>V.imon_offset</vt:lpstr>
      <vt:lpstr>V.in_ripple_required</vt:lpstr>
      <vt:lpstr>V.iset_desired</vt:lpstr>
      <vt:lpstr>V.load</vt:lpstr>
      <vt:lpstr>V.ncl_max</vt:lpstr>
      <vt:lpstr>V.overshoot</vt:lpstr>
      <vt:lpstr>V.overshoot_calc</vt:lpstr>
      <vt:lpstr>V.overshoot_calc1</vt:lpstr>
      <vt:lpstr>V.overshoot_calc2</vt:lpstr>
      <vt:lpstr>V.pcl_max</vt:lpstr>
      <vt:lpstr>V.pcl_min</vt:lpstr>
      <vt:lpstr>V.pcl_typ</vt:lpstr>
      <vt:lpstr>V.slope_max</vt:lpstr>
      <vt:lpstr>V.slope_min</vt:lpstr>
      <vt:lpstr>V.slope_typ</vt:lpstr>
      <vt:lpstr>V.sp_hs</vt:lpstr>
      <vt:lpstr>V.sp_hs_100A</vt:lpstr>
      <vt:lpstr>V.sp_ls</vt:lpstr>
      <vt:lpstr>V.sp_ls_100A</vt:lpstr>
      <vt:lpstr>V.sp_max</vt:lpstr>
      <vt:lpstr>V.sp_max_100A</vt:lpstr>
      <vt:lpstr>V.startup</vt:lpstr>
      <vt:lpstr>V.supply_max</vt:lpstr>
      <vt:lpstr>V.supply_min</vt:lpstr>
      <vt:lpstr>V.supply_typ</vt:lpstr>
      <vt:lpstr>V.th_hs</vt:lpstr>
      <vt:lpstr>V.th_ls</vt:lpstr>
      <vt:lpstr>V.undershoot</vt:lpstr>
      <vt:lpstr>V.undershoot_calc</vt:lpstr>
      <vt:lpstr>V.vref</vt:lpstr>
      <vt:lpstr>VCC</vt:lpstr>
      <vt:lpstr>Vshutdown</vt:lpstr>
      <vt:lpstr>Wesr_zero</vt:lpstr>
      <vt:lpstr>Wload_pole</vt:lpstr>
      <vt:lpstr>WloadZ</vt:lpstr>
      <vt:lpstr>Wsh</vt:lpstr>
    </vt:vector>
  </TitlesOfParts>
  <Company>Texas Instruments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Eric</dc:creator>
  <cp:lastModifiedBy>TW-3320-詹文嘉</cp:lastModifiedBy>
  <cp:lastPrinted>2024-10-10T20:44:38Z</cp:lastPrinted>
  <dcterms:created xsi:type="dcterms:W3CDTF">2024-04-07T17:12:23Z</dcterms:created>
  <dcterms:modified xsi:type="dcterms:W3CDTF">2025-11-03T11:17:54Z</dcterms:modified>
</cp:coreProperties>
</file>