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G:\Shared drives\Thalion\Electronics\Power Simulations\"/>
    </mc:Choice>
  </mc:AlternateContent>
  <xr:revisionPtr revIDLastSave="0" documentId="8_{506989BF-6F93-44B5-9189-CF497A730C89}" xr6:coauthVersionLast="47" xr6:coauthVersionMax="47" xr10:uidLastSave="{00000000-0000-0000-0000-000000000000}"/>
  <workbookProtection workbookAlgorithmName="SHA-512" workbookHashValue="2fjVIlIIRXqUYBytUJmI53qWjWUteVmdQSVUalzQz8HCBGoutjYFVloWHBIshXVo4ziWd26EYFHgWsG55erp3g==" workbookSaltValue="X3tw0iu0rfL4Sf4BOk7i3A==" workbookSpinCount="100000" lockStructure="1"/>
  <bookViews>
    <workbookView xWindow="-108" yWindow="-108" windowWidth="46296" windowHeight="25416" tabRatio="835" xr2:uid="{2BC73F40-D425-4201-830F-4961286CC26C}"/>
  </bookViews>
  <sheets>
    <sheet name="Main" sheetId="9" r:id="rId1"/>
    <sheet name="Insructions" sheetId="15" r:id="rId2"/>
    <sheet name="Revision_history" sheetId="16" r:id="rId3"/>
    <sheet name="FB_div_xfer" sheetId="21" state="hidden" r:id="rId4"/>
    <sheet name="Eamp" sheetId="19" state="hidden" r:id="rId5"/>
    <sheet name="RT" sheetId="13" state="hidden" r:id="rId6"/>
    <sheet name="Helper_clacs" sheetId="10" state="hidden" r:id="rId7"/>
    <sheet name="D_limits" sheetId="11" state="hidden" r:id="rId8"/>
    <sheet name="short_circuit" sheetId="7" state="hidden" r:id="rId9"/>
    <sheet name="Current_limit" sheetId="12" state="hidden" r:id="rId10"/>
    <sheet name="Ilimit_2" sheetId="5" state="hidden" r:id="rId11"/>
    <sheet name="Ilimit_3" sheetId="4" state="hidden" r:id="rId12"/>
    <sheet name="Loop_gain" sheetId="14" state="hidden" r:id="rId13"/>
    <sheet name="FB_div_selector" sheetId="17" state="hidden" r:id="rId14"/>
    <sheet name="Min_L" sheetId="8" state="hidden" r:id="rId15"/>
    <sheet name="Cout_fixed" sheetId="22" state="hidden" r:id="rId16"/>
    <sheet name="Cout_adj" sheetId="23" state="hidden" r:id="rId17"/>
    <sheet name="Cout_other" sheetId="25" state="hidden" r:id="rId18"/>
    <sheet name="Cout_select" sheetId="24" state="hidden" r:id="rId19"/>
    <sheet name="Ilimit_1" sheetId="3" state="hidden" r:id="rId2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25" l="1"/>
  <c r="B18" i="25"/>
  <c r="B9" i="25"/>
  <c r="B8" i="25"/>
  <c r="C13" i="25" s="1"/>
  <c r="B7" i="25"/>
  <c r="B27" i="25" l="1"/>
  <c r="C15" i="25"/>
  <c r="B33" i="21" l="1"/>
  <c r="B31" i="21"/>
  <c r="B8" i="17"/>
  <c r="B9" i="23"/>
  <c r="B13" i="23" s="1"/>
  <c r="B8" i="23"/>
  <c r="B12" i="23" s="1"/>
  <c r="B9" i="22"/>
  <c r="B13" i="22" s="1"/>
  <c r="B8" i="22"/>
  <c r="B12" i="22" s="1"/>
  <c r="D46" i="21" l="1"/>
  <c r="B41" i="14" l="1"/>
  <c r="B45" i="14"/>
  <c r="B44" i="14"/>
  <c r="B43" i="14"/>
  <c r="B46" i="10"/>
  <c r="B49" i="10" l="1"/>
  <c r="B64" i="9" s="1"/>
  <c r="B39" i="21"/>
  <c r="D48" i="21" s="1"/>
  <c r="B66" i="14" s="1"/>
  <c r="B47" i="10"/>
  <c r="B63" i="9" s="1"/>
  <c r="B75" i="14"/>
  <c r="B42" i="14"/>
  <c r="B74" i="14"/>
  <c r="B47" i="19"/>
  <c r="B60" i="14" s="1"/>
  <c r="C60" i="14" s="1"/>
  <c r="C47" i="19" l="1"/>
  <c r="E131" i="14"/>
  <c r="C74" i="14"/>
  <c r="C75" i="14"/>
  <c r="F131" i="14"/>
  <c r="C43" i="21"/>
  <c r="C44" i="21"/>
  <c r="K15" i="10"/>
  <c r="K16" i="10"/>
  <c r="K14" i="10"/>
  <c r="C48" i="21" l="1"/>
  <c r="B65" i="14" s="1"/>
  <c r="C65" i="14" s="1"/>
  <c r="B49" i="19"/>
  <c r="B46" i="19"/>
  <c r="B59" i="14" s="1"/>
  <c r="C59" i="14" s="1"/>
  <c r="B45" i="19"/>
  <c r="B58" i="14" s="1"/>
  <c r="C58" i="14" s="1"/>
  <c r="B44" i="19"/>
  <c r="B57" i="14" s="1"/>
  <c r="C57" i="14" s="1"/>
  <c r="B37" i="19"/>
  <c r="B43" i="19" s="1"/>
  <c r="B20" i="25" l="1"/>
  <c r="B56" i="14"/>
  <c r="C56" i="14" s="1"/>
  <c r="C43" i="19"/>
  <c r="C46" i="19"/>
  <c r="C44" i="19"/>
  <c r="C45" i="19"/>
  <c r="B24" i="25" s="1"/>
  <c r="C19" i="9"/>
  <c r="B7" i="17"/>
  <c r="O18" i="10"/>
  <c r="B21" i="10"/>
  <c r="B11" i="25" s="1"/>
  <c r="C14" i="25" s="1"/>
  <c r="B24" i="10"/>
  <c r="B9" i="17" l="1"/>
  <c r="B11" i="17" s="1"/>
  <c r="B13" i="17" s="1"/>
  <c r="C43" i="9" s="1"/>
  <c r="B8" i="13"/>
  <c r="B9" i="13" s="1"/>
  <c r="B48" i="10" s="1"/>
  <c r="B40" i="14"/>
  <c r="C36" i="10"/>
  <c r="B36" i="10" s="1"/>
  <c r="B12" i="25" s="1"/>
  <c r="B36" i="25" l="1"/>
  <c r="C36" i="25" s="1"/>
  <c r="B29" i="25"/>
  <c r="B33" i="25"/>
  <c r="B35" i="25" s="1"/>
  <c r="C35" i="25" s="1"/>
  <c r="B26" i="25"/>
  <c r="B15" i="17"/>
  <c r="B44" i="9" s="1"/>
  <c r="B32" i="21" s="1"/>
  <c r="B62" i="9"/>
  <c r="B51" i="14"/>
  <c r="B76" i="14" s="1"/>
  <c r="B39" i="14"/>
  <c r="B46" i="14"/>
  <c r="B14" i="8"/>
  <c r="D18" i="10"/>
  <c r="B22" i="25" s="1"/>
  <c r="B28" i="25" s="1"/>
  <c r="E18" i="10"/>
  <c r="F18" i="10"/>
  <c r="G18" i="10"/>
  <c r="H18" i="10"/>
  <c r="I18" i="10"/>
  <c r="B7" i="11" s="1"/>
  <c r="J18" i="10"/>
  <c r="B13" i="11" s="1"/>
  <c r="K18" i="10"/>
  <c r="L18" i="10"/>
  <c r="M18" i="10"/>
  <c r="N18" i="10"/>
  <c r="C18" i="10"/>
  <c r="B18" i="10"/>
  <c r="A18" i="10"/>
  <c r="B37" i="14" l="1"/>
  <c r="B21" i="25"/>
  <c r="B25" i="25" s="1"/>
  <c r="B38" i="25" s="1"/>
  <c r="C38" i="25" s="1"/>
  <c r="B37" i="25"/>
  <c r="C37" i="25" s="1"/>
  <c r="B7" i="22"/>
  <c r="B10" i="22" s="1"/>
  <c r="B30" i="22" s="1"/>
  <c r="B7" i="23"/>
  <c r="B10" i="23" s="1"/>
  <c r="B30" i="23" s="1"/>
  <c r="B43" i="21"/>
  <c r="B44" i="21"/>
  <c r="B34" i="21"/>
  <c r="F43" i="21" s="1"/>
  <c r="C18" i="9"/>
  <c r="B14" i="11"/>
  <c r="B16" i="11" s="1"/>
  <c r="B20" i="11" s="1"/>
  <c r="B57" i="9" s="1"/>
  <c r="B17" i="11"/>
  <c r="B8" i="11"/>
  <c r="B9" i="11" s="1"/>
  <c r="B55" i="9" s="1"/>
  <c r="B10" i="12"/>
  <c r="B28" i="10"/>
  <c r="B33" i="10" s="1"/>
  <c r="B15" i="8"/>
  <c r="B23" i="10"/>
  <c r="B15" i="11"/>
  <c r="B19" i="11" s="1"/>
  <c r="B56" i="9" s="1"/>
  <c r="B22" i="10"/>
  <c r="B38" i="14" s="1"/>
  <c r="C21" i="9"/>
  <c r="B32" i="25" l="1"/>
  <c r="B30" i="25" s="1"/>
  <c r="B51" i="25" s="1"/>
  <c r="B48" i="21"/>
  <c r="B64" i="14" s="1"/>
  <c r="C64" i="14" s="1"/>
  <c r="B40" i="25"/>
  <c r="B45" i="25" s="1"/>
  <c r="F44" i="21"/>
  <c r="F48" i="21" s="1"/>
  <c r="B68" i="14" s="1"/>
  <c r="E44" i="21"/>
  <c r="E43" i="21"/>
  <c r="B36" i="14"/>
  <c r="B50" i="14" s="1"/>
  <c r="B40" i="10"/>
  <c r="B76" i="9" s="1"/>
  <c r="B29" i="10"/>
  <c r="B11" i="12"/>
  <c r="B15" i="12"/>
  <c r="B20" i="12" s="1"/>
  <c r="B124" i="14"/>
  <c r="B125" i="14"/>
  <c r="B126" i="14"/>
  <c r="B127" i="14"/>
  <c r="B128" i="14"/>
  <c r="B129" i="14"/>
  <c r="B130" i="14"/>
  <c r="F124" i="14" l="1"/>
  <c r="E124" i="14"/>
  <c r="E130" i="14"/>
  <c r="F130" i="14"/>
  <c r="E129" i="14"/>
  <c r="F129" i="14"/>
  <c r="F128" i="14"/>
  <c r="E128" i="14"/>
  <c r="F127" i="14"/>
  <c r="E127" i="14"/>
  <c r="F126" i="14"/>
  <c r="E126" i="14"/>
  <c r="F125" i="14"/>
  <c r="E125" i="14"/>
  <c r="E48" i="21"/>
  <c r="B67" i="14" s="1"/>
  <c r="O125" i="14" s="1"/>
  <c r="B8" i="24"/>
  <c r="B9" i="24" s="1"/>
  <c r="B35" i="9" s="1"/>
  <c r="B46" i="25"/>
  <c r="P127" i="14"/>
  <c r="P128" i="14"/>
  <c r="P124" i="14"/>
  <c r="P129" i="14"/>
  <c r="Z126" i="14"/>
  <c r="AB126" i="14"/>
  <c r="Y126" i="14"/>
  <c r="AA126" i="14"/>
  <c r="W126" i="14"/>
  <c r="M126" i="14"/>
  <c r="K126" i="14"/>
  <c r="V126" i="14"/>
  <c r="N126" i="14"/>
  <c r="AC126" i="14"/>
  <c r="AB125" i="14"/>
  <c r="AA125" i="14"/>
  <c r="Y125" i="14"/>
  <c r="Z125" i="14"/>
  <c r="W125" i="14"/>
  <c r="M125" i="14"/>
  <c r="K125" i="14"/>
  <c r="V125" i="14"/>
  <c r="AC125" i="14"/>
  <c r="N125" i="14"/>
  <c r="Z130" i="14"/>
  <c r="Y130" i="14"/>
  <c r="AA130" i="14"/>
  <c r="AB130" i="14"/>
  <c r="W130" i="14"/>
  <c r="K130" i="14"/>
  <c r="M130" i="14"/>
  <c r="V130" i="14"/>
  <c r="AC130" i="14"/>
  <c r="N130" i="14"/>
  <c r="Z129" i="14"/>
  <c r="Y129" i="14"/>
  <c r="AA129" i="14"/>
  <c r="AB129" i="14"/>
  <c r="W129" i="14"/>
  <c r="K129" i="14"/>
  <c r="M129" i="14"/>
  <c r="V129" i="14"/>
  <c r="AC129" i="14"/>
  <c r="N129" i="14"/>
  <c r="Y124" i="14"/>
  <c r="AB124" i="14"/>
  <c r="AA124" i="14"/>
  <c r="Z124" i="14"/>
  <c r="W124" i="14"/>
  <c r="M124" i="14"/>
  <c r="K124" i="14"/>
  <c r="V124" i="14"/>
  <c r="N124" i="14"/>
  <c r="AC124" i="14"/>
  <c r="P125" i="14"/>
  <c r="AA128" i="14"/>
  <c r="Z128" i="14"/>
  <c r="AB128" i="14"/>
  <c r="Y128" i="14"/>
  <c r="W128" i="14"/>
  <c r="K128" i="14"/>
  <c r="M128" i="14"/>
  <c r="V128" i="14"/>
  <c r="AC128" i="14"/>
  <c r="N128" i="14"/>
  <c r="AA127" i="14"/>
  <c r="Z127" i="14"/>
  <c r="AB127" i="14"/>
  <c r="Y127" i="14"/>
  <c r="K127" i="14"/>
  <c r="W127" i="14"/>
  <c r="M127" i="14"/>
  <c r="V127" i="14"/>
  <c r="AC127" i="14"/>
  <c r="N127" i="14"/>
  <c r="P130" i="14"/>
  <c r="P126" i="14"/>
  <c r="G128" i="14"/>
  <c r="J128" i="14"/>
  <c r="L128" i="14"/>
  <c r="G127" i="14"/>
  <c r="J127" i="14"/>
  <c r="L127" i="14"/>
  <c r="J124" i="14"/>
  <c r="L124" i="14"/>
  <c r="G124" i="14"/>
  <c r="J126" i="14"/>
  <c r="L126" i="14"/>
  <c r="G126" i="14"/>
  <c r="J125" i="14"/>
  <c r="L125" i="14"/>
  <c r="G125" i="14"/>
  <c r="L130" i="14"/>
  <c r="G130" i="14"/>
  <c r="J130" i="14"/>
  <c r="G129" i="14"/>
  <c r="L129" i="14"/>
  <c r="J129" i="14"/>
  <c r="B77" i="14"/>
  <c r="B48" i="14"/>
  <c r="B49" i="14" s="1"/>
  <c r="B42" i="10"/>
  <c r="B75" i="9" s="1"/>
  <c r="B41" i="10"/>
  <c r="B74" i="9" s="1"/>
  <c r="B13" i="12"/>
  <c r="B80" i="9" s="1"/>
  <c r="B16" i="12"/>
  <c r="B123" i="14"/>
  <c r="B122" i="14"/>
  <c r="B86" i="14"/>
  <c r="B87" i="14"/>
  <c r="B88" i="14"/>
  <c r="B89" i="14"/>
  <c r="B90" i="14"/>
  <c r="B91" i="14"/>
  <c r="B92" i="14"/>
  <c r="B93" i="14"/>
  <c r="B94" i="14"/>
  <c r="B95" i="14"/>
  <c r="B96" i="14"/>
  <c r="B97" i="14"/>
  <c r="B98" i="14"/>
  <c r="B99" i="14"/>
  <c r="B100" i="14"/>
  <c r="B101" i="14"/>
  <c r="B102" i="14"/>
  <c r="B103" i="14"/>
  <c r="B104" i="14"/>
  <c r="B105" i="14"/>
  <c r="B106" i="14"/>
  <c r="B107" i="14"/>
  <c r="B108" i="14"/>
  <c r="B109" i="14"/>
  <c r="B110" i="14"/>
  <c r="B111" i="14"/>
  <c r="B112" i="14"/>
  <c r="B113" i="14"/>
  <c r="B114" i="14"/>
  <c r="B115" i="14"/>
  <c r="B116" i="14"/>
  <c r="B117" i="14"/>
  <c r="B118" i="14"/>
  <c r="B119" i="14"/>
  <c r="B120" i="14"/>
  <c r="B121" i="14"/>
  <c r="B85" i="14"/>
  <c r="F94" i="14" l="1"/>
  <c r="E94" i="14"/>
  <c r="E106" i="14"/>
  <c r="F106" i="14"/>
  <c r="E116" i="14"/>
  <c r="F116" i="14"/>
  <c r="E118" i="14"/>
  <c r="F118" i="14"/>
  <c r="E117" i="14"/>
  <c r="F117" i="14"/>
  <c r="E104" i="14"/>
  <c r="F104" i="14"/>
  <c r="E93" i="14"/>
  <c r="F93" i="14"/>
  <c r="F103" i="14"/>
  <c r="E103" i="14"/>
  <c r="E90" i="14"/>
  <c r="F90" i="14"/>
  <c r="F101" i="14"/>
  <c r="E101" i="14"/>
  <c r="E112" i="14"/>
  <c r="F112" i="14"/>
  <c r="F111" i="14"/>
  <c r="E111" i="14"/>
  <c r="E99" i="14"/>
  <c r="F99" i="14"/>
  <c r="E87" i="14"/>
  <c r="F87" i="14"/>
  <c r="E115" i="14"/>
  <c r="F115" i="14"/>
  <c r="E102" i="14"/>
  <c r="F102" i="14"/>
  <c r="F113" i="14"/>
  <c r="E113" i="14"/>
  <c r="E88" i="14"/>
  <c r="F88" i="14"/>
  <c r="E98" i="14"/>
  <c r="F98" i="14"/>
  <c r="E105" i="14"/>
  <c r="F105" i="14"/>
  <c r="F100" i="14"/>
  <c r="E100" i="14"/>
  <c r="F85" i="14"/>
  <c r="E85" i="14"/>
  <c r="E121" i="14"/>
  <c r="F121" i="14"/>
  <c r="F97" i="14"/>
  <c r="E97" i="14"/>
  <c r="F92" i="14"/>
  <c r="E92" i="14"/>
  <c r="F91" i="14"/>
  <c r="E91" i="14"/>
  <c r="E110" i="14"/>
  <c r="F110" i="14"/>
  <c r="E86" i="14"/>
  <c r="F86" i="14"/>
  <c r="F109" i="14"/>
  <c r="E109" i="14"/>
  <c r="E122" i="14"/>
  <c r="F122" i="14"/>
  <c r="E120" i="14"/>
  <c r="F120" i="14"/>
  <c r="F108" i="14"/>
  <c r="E108" i="14"/>
  <c r="E96" i="14"/>
  <c r="F96" i="14"/>
  <c r="E123" i="14"/>
  <c r="F123" i="14"/>
  <c r="E114" i="14"/>
  <c r="F114" i="14"/>
  <c r="F89" i="14"/>
  <c r="E89" i="14"/>
  <c r="E119" i="14"/>
  <c r="F119" i="14"/>
  <c r="E107" i="14"/>
  <c r="F107" i="14"/>
  <c r="F95" i="14"/>
  <c r="E95" i="14"/>
  <c r="O126" i="14"/>
  <c r="AD126" i="14" s="1"/>
  <c r="AK126" i="14" s="1"/>
  <c r="O130" i="14"/>
  <c r="Q130" i="14" s="1"/>
  <c r="AJ130" i="14" s="1"/>
  <c r="O129" i="14"/>
  <c r="AD129" i="14" s="1"/>
  <c r="AK129" i="14" s="1"/>
  <c r="O124" i="14"/>
  <c r="AD124" i="14" s="1"/>
  <c r="AK124" i="14" s="1"/>
  <c r="O128" i="14"/>
  <c r="AD128" i="14" s="1"/>
  <c r="AK128" i="14" s="1"/>
  <c r="O127" i="14"/>
  <c r="AD127" i="14" s="1"/>
  <c r="AK127" i="14" s="1"/>
  <c r="Q125" i="14"/>
  <c r="AJ125" i="14" s="1"/>
  <c r="AD125" i="14"/>
  <c r="AK125" i="14" s="1"/>
  <c r="Y91" i="14"/>
  <c r="Z91" i="14"/>
  <c r="AB91" i="14"/>
  <c r="AA91" i="14"/>
  <c r="W91" i="14"/>
  <c r="K91" i="14"/>
  <c r="M91" i="14"/>
  <c r="V91" i="14"/>
  <c r="AC91" i="14"/>
  <c r="N91" i="14"/>
  <c r="P91" i="14"/>
  <c r="Z97" i="14"/>
  <c r="Y97" i="14"/>
  <c r="AA97" i="14"/>
  <c r="AB97" i="14"/>
  <c r="W97" i="14"/>
  <c r="K97" i="14"/>
  <c r="M97" i="14"/>
  <c r="V97" i="14"/>
  <c r="AC97" i="14"/>
  <c r="N97" i="14"/>
  <c r="P97" i="14"/>
  <c r="Y120" i="14"/>
  <c r="Z120" i="14"/>
  <c r="AA120" i="14"/>
  <c r="AB120" i="14"/>
  <c r="W120" i="14"/>
  <c r="K120" i="14"/>
  <c r="M120" i="14"/>
  <c r="V120" i="14"/>
  <c r="AC120" i="14"/>
  <c r="N120" i="14"/>
  <c r="P120" i="14"/>
  <c r="AA88" i="14"/>
  <c r="Z88" i="14"/>
  <c r="AB88" i="14"/>
  <c r="Y88" i="14"/>
  <c r="W88" i="14"/>
  <c r="K88" i="14"/>
  <c r="M88" i="14"/>
  <c r="V88" i="14"/>
  <c r="AC88" i="14"/>
  <c r="N88" i="14"/>
  <c r="P88" i="14"/>
  <c r="Y99" i="14"/>
  <c r="Z99" i="14"/>
  <c r="AA99" i="14"/>
  <c r="AB99" i="14"/>
  <c r="W99" i="14"/>
  <c r="M99" i="14"/>
  <c r="K99" i="14"/>
  <c r="V99" i="14"/>
  <c r="N99" i="14"/>
  <c r="AC99" i="14"/>
  <c r="P99" i="14"/>
  <c r="Z106" i="14"/>
  <c r="AB106" i="14"/>
  <c r="AA106" i="14"/>
  <c r="Y106" i="14"/>
  <c r="W106" i="14"/>
  <c r="M106" i="14"/>
  <c r="K106" i="14"/>
  <c r="V106" i="14"/>
  <c r="N106" i="14"/>
  <c r="AC106" i="14"/>
  <c r="P106" i="14"/>
  <c r="Z90" i="14"/>
  <c r="Y90" i="14"/>
  <c r="AA90" i="14"/>
  <c r="AB90" i="14"/>
  <c r="W90" i="14"/>
  <c r="K90" i="14"/>
  <c r="M90" i="14"/>
  <c r="V90" i="14"/>
  <c r="N90" i="14"/>
  <c r="AC90" i="14"/>
  <c r="P90" i="14"/>
  <c r="Z105" i="14"/>
  <c r="AA105" i="14"/>
  <c r="Y105" i="14"/>
  <c r="AB105" i="14"/>
  <c r="K105" i="14"/>
  <c r="W105" i="14"/>
  <c r="M105" i="14"/>
  <c r="V105" i="14"/>
  <c r="N105" i="14"/>
  <c r="AC105" i="14"/>
  <c r="P105" i="14"/>
  <c r="AA112" i="14"/>
  <c r="Y112" i="14"/>
  <c r="AB112" i="14"/>
  <c r="Z112" i="14"/>
  <c r="K112" i="14"/>
  <c r="W112" i="14"/>
  <c r="M112" i="14"/>
  <c r="V112" i="14"/>
  <c r="N112" i="14"/>
  <c r="AC112" i="14"/>
  <c r="P112" i="14"/>
  <c r="AA96" i="14"/>
  <c r="Y96" i="14"/>
  <c r="Z96" i="14"/>
  <c r="AB96" i="14"/>
  <c r="W96" i="14"/>
  <c r="K96" i="14"/>
  <c r="M96" i="14"/>
  <c r="V96" i="14"/>
  <c r="N96" i="14"/>
  <c r="AC96" i="14"/>
  <c r="P96" i="14"/>
  <c r="AA119" i="14"/>
  <c r="Z119" i="14"/>
  <c r="AB119" i="14"/>
  <c r="Y119" i="14"/>
  <c r="W119" i="14"/>
  <c r="K119" i="14"/>
  <c r="M119" i="14"/>
  <c r="V119" i="14"/>
  <c r="AC119" i="14"/>
  <c r="N119" i="14"/>
  <c r="P119" i="14"/>
  <c r="AA95" i="14"/>
  <c r="AB95" i="14"/>
  <c r="Y95" i="14"/>
  <c r="Z95" i="14"/>
  <c r="W95" i="14"/>
  <c r="K95" i="14"/>
  <c r="M95" i="14"/>
  <c r="V95" i="14"/>
  <c r="AC95" i="14"/>
  <c r="N95" i="14"/>
  <c r="P95" i="14"/>
  <c r="AA87" i="14"/>
  <c r="AB87" i="14"/>
  <c r="Z87" i="14"/>
  <c r="Y87" i="14"/>
  <c r="W87" i="14"/>
  <c r="K87" i="14"/>
  <c r="M87" i="14"/>
  <c r="V87" i="14"/>
  <c r="AC87" i="14"/>
  <c r="N87" i="14"/>
  <c r="P87" i="14"/>
  <c r="Z114" i="14"/>
  <c r="AA114" i="14"/>
  <c r="AB114" i="14"/>
  <c r="Y114" i="14"/>
  <c r="W114" i="14"/>
  <c r="M114" i="14"/>
  <c r="K114" i="14"/>
  <c r="V114" i="14"/>
  <c r="AC114" i="14"/>
  <c r="N114" i="14"/>
  <c r="P114" i="14"/>
  <c r="AA104" i="14"/>
  <c r="AB104" i="14"/>
  <c r="Y104" i="14"/>
  <c r="Z104" i="14"/>
  <c r="W104" i="14"/>
  <c r="K104" i="14"/>
  <c r="M104" i="14"/>
  <c r="V104" i="14"/>
  <c r="N104" i="14"/>
  <c r="AC104" i="14"/>
  <c r="P104" i="14"/>
  <c r="AB102" i="14"/>
  <c r="Y102" i="14"/>
  <c r="AA102" i="14"/>
  <c r="Z102" i="14"/>
  <c r="W102" i="14"/>
  <c r="K102" i="14"/>
  <c r="M102" i="14"/>
  <c r="V102" i="14"/>
  <c r="N102" i="14"/>
  <c r="AC102" i="14"/>
  <c r="P102" i="14"/>
  <c r="Z86" i="14"/>
  <c r="AB86" i="14"/>
  <c r="Y86" i="14"/>
  <c r="AA86" i="14"/>
  <c r="W86" i="14"/>
  <c r="M86" i="14"/>
  <c r="K86" i="14"/>
  <c r="V86" i="14"/>
  <c r="AC86" i="14"/>
  <c r="N86" i="14"/>
  <c r="P86" i="14"/>
  <c r="Y107" i="14"/>
  <c r="AB107" i="14"/>
  <c r="Z107" i="14"/>
  <c r="AA107" i="14"/>
  <c r="W107" i="14"/>
  <c r="K107" i="14"/>
  <c r="M107" i="14"/>
  <c r="V107" i="14"/>
  <c r="N107" i="14"/>
  <c r="AC107" i="14"/>
  <c r="P107" i="14"/>
  <c r="Y85" i="14"/>
  <c r="AB85" i="14"/>
  <c r="Z85" i="14"/>
  <c r="AA85" i="14"/>
  <c r="W85" i="14"/>
  <c r="M85" i="14"/>
  <c r="K85" i="14"/>
  <c r="V85" i="14"/>
  <c r="N85" i="14"/>
  <c r="AC85" i="14"/>
  <c r="P85" i="14"/>
  <c r="AB98" i="14"/>
  <c r="Y98" i="14"/>
  <c r="Z98" i="14"/>
  <c r="AA98" i="14"/>
  <c r="W98" i="14"/>
  <c r="K98" i="14"/>
  <c r="M98" i="14"/>
  <c r="V98" i="14"/>
  <c r="AC98" i="14"/>
  <c r="N98" i="14"/>
  <c r="P98" i="14"/>
  <c r="Z113" i="14"/>
  <c r="AA113" i="14"/>
  <c r="Y113" i="14"/>
  <c r="AB113" i="14"/>
  <c r="K113" i="14"/>
  <c r="W113" i="14"/>
  <c r="M113" i="14"/>
  <c r="V113" i="14"/>
  <c r="N113" i="14"/>
  <c r="AC113" i="14"/>
  <c r="P113" i="14"/>
  <c r="AA111" i="14"/>
  <c r="Z111" i="14"/>
  <c r="AB111" i="14"/>
  <c r="Y111" i="14"/>
  <c r="K111" i="14"/>
  <c r="W111" i="14"/>
  <c r="M111" i="14"/>
  <c r="V111" i="14"/>
  <c r="AC111" i="14"/>
  <c r="N111" i="14"/>
  <c r="P111" i="14"/>
  <c r="AA118" i="14"/>
  <c r="AB118" i="14"/>
  <c r="Z118" i="14"/>
  <c r="Y118" i="14"/>
  <c r="W118" i="14"/>
  <c r="M118" i="14"/>
  <c r="K118" i="14"/>
  <c r="V118" i="14"/>
  <c r="AC118" i="14"/>
  <c r="N118" i="14"/>
  <c r="P118" i="14"/>
  <c r="Y110" i="14"/>
  <c r="AB110" i="14"/>
  <c r="Z110" i="14"/>
  <c r="AA110" i="14"/>
  <c r="W110" i="14"/>
  <c r="M110" i="14"/>
  <c r="K110" i="14"/>
  <c r="V110" i="14"/>
  <c r="AC110" i="14"/>
  <c r="N110" i="14"/>
  <c r="P110" i="14"/>
  <c r="AB94" i="14"/>
  <c r="Y94" i="14"/>
  <c r="Z94" i="14"/>
  <c r="AA94" i="14"/>
  <c r="W94" i="14"/>
  <c r="M94" i="14"/>
  <c r="K94" i="14"/>
  <c r="V94" i="14"/>
  <c r="N94" i="14"/>
  <c r="AC94" i="14"/>
  <c r="P94" i="14"/>
  <c r="AB117" i="14"/>
  <c r="AA117" i="14"/>
  <c r="Y117" i="14"/>
  <c r="Z117" i="14"/>
  <c r="W117" i="14"/>
  <c r="K117" i="14"/>
  <c r="M117" i="14"/>
  <c r="V117" i="14"/>
  <c r="N117" i="14"/>
  <c r="AC117" i="14"/>
  <c r="P117" i="14"/>
  <c r="AB109" i="14"/>
  <c r="Y109" i="14"/>
  <c r="AA109" i="14"/>
  <c r="Z109" i="14"/>
  <c r="W109" i="14"/>
  <c r="M109" i="14"/>
  <c r="K109" i="14"/>
  <c r="V109" i="14"/>
  <c r="N109" i="14"/>
  <c r="AC109" i="14"/>
  <c r="P109" i="14"/>
  <c r="AB101" i="14"/>
  <c r="Y101" i="14"/>
  <c r="Z101" i="14"/>
  <c r="AA101" i="14"/>
  <c r="W101" i="14"/>
  <c r="M101" i="14"/>
  <c r="K101" i="14"/>
  <c r="V101" i="14"/>
  <c r="N101" i="14"/>
  <c r="AC101" i="14"/>
  <c r="P101" i="14"/>
  <c r="AB93" i="14"/>
  <c r="AA93" i="14"/>
  <c r="Y93" i="14"/>
  <c r="Z93" i="14"/>
  <c r="W93" i="14"/>
  <c r="M93" i="14"/>
  <c r="K93" i="14"/>
  <c r="V93" i="14"/>
  <c r="AC93" i="14"/>
  <c r="N93" i="14"/>
  <c r="P93" i="14"/>
  <c r="Z122" i="14"/>
  <c r="Y122" i="14"/>
  <c r="AB122" i="14"/>
  <c r="AA122" i="14"/>
  <c r="W122" i="14"/>
  <c r="M122" i="14"/>
  <c r="K122" i="14"/>
  <c r="V122" i="14"/>
  <c r="AC122" i="14"/>
  <c r="N122" i="14"/>
  <c r="P122" i="14"/>
  <c r="Y115" i="14"/>
  <c r="AB115" i="14"/>
  <c r="Z115" i="14"/>
  <c r="AA115" i="14"/>
  <c r="W115" i="14"/>
  <c r="M115" i="14"/>
  <c r="K115" i="14"/>
  <c r="V115" i="14"/>
  <c r="N115" i="14"/>
  <c r="AC115" i="14"/>
  <c r="P115" i="14"/>
  <c r="Z121" i="14"/>
  <c r="Y121" i="14"/>
  <c r="AA121" i="14"/>
  <c r="AB121" i="14"/>
  <c r="W121" i="14"/>
  <c r="K121" i="14"/>
  <c r="M121" i="14"/>
  <c r="V121" i="14"/>
  <c r="N121" i="14"/>
  <c r="AC121" i="14"/>
  <c r="P121" i="14"/>
  <c r="Z89" i="14"/>
  <c r="AA89" i="14"/>
  <c r="AB89" i="14"/>
  <c r="Y89" i="14"/>
  <c r="K89" i="14"/>
  <c r="W89" i="14"/>
  <c r="M89" i="14"/>
  <c r="V89" i="14"/>
  <c r="AC89" i="14"/>
  <c r="N89" i="14"/>
  <c r="P89" i="14"/>
  <c r="AA103" i="14"/>
  <c r="AB103" i="14"/>
  <c r="Z103" i="14"/>
  <c r="Y103" i="14"/>
  <c r="W103" i="14"/>
  <c r="K103" i="14"/>
  <c r="M103" i="14"/>
  <c r="V103" i="14"/>
  <c r="AC103" i="14"/>
  <c r="N103" i="14"/>
  <c r="P103" i="14"/>
  <c r="AB116" i="14"/>
  <c r="Y116" i="14"/>
  <c r="AA116" i="14"/>
  <c r="Z116" i="14"/>
  <c r="W116" i="14"/>
  <c r="K116" i="14"/>
  <c r="M116" i="14"/>
  <c r="V116" i="14"/>
  <c r="AC116" i="14"/>
  <c r="N116" i="14"/>
  <c r="P116" i="14"/>
  <c r="Y108" i="14"/>
  <c r="Z108" i="14"/>
  <c r="AB108" i="14"/>
  <c r="AA108" i="14"/>
  <c r="W108" i="14"/>
  <c r="M108" i="14"/>
  <c r="K108" i="14"/>
  <c r="V108" i="14"/>
  <c r="AC108" i="14"/>
  <c r="N108" i="14"/>
  <c r="P108" i="14"/>
  <c r="Y100" i="14"/>
  <c r="AA100" i="14"/>
  <c r="AB100" i="14"/>
  <c r="Z100" i="14"/>
  <c r="W100" i="14"/>
  <c r="K100" i="14"/>
  <c r="M100" i="14"/>
  <c r="V100" i="14"/>
  <c r="N100" i="14"/>
  <c r="AC100" i="14"/>
  <c r="P100" i="14"/>
  <c r="Y92" i="14"/>
  <c r="Z92" i="14"/>
  <c r="AA92" i="14"/>
  <c r="AB92" i="14"/>
  <c r="W92" i="14"/>
  <c r="K92" i="14"/>
  <c r="M92" i="14"/>
  <c r="V92" i="14"/>
  <c r="AC92" i="14"/>
  <c r="N92" i="14"/>
  <c r="P92" i="14"/>
  <c r="Y123" i="14"/>
  <c r="Z123" i="14"/>
  <c r="AB123" i="14"/>
  <c r="AA123" i="14"/>
  <c r="W123" i="14"/>
  <c r="K123" i="14"/>
  <c r="M123" i="14"/>
  <c r="V123" i="14"/>
  <c r="AC123" i="14"/>
  <c r="N123" i="14"/>
  <c r="P123" i="14"/>
  <c r="H124" i="14"/>
  <c r="X124" i="14" s="1"/>
  <c r="H128" i="14"/>
  <c r="X128" i="14" s="1"/>
  <c r="H129" i="14"/>
  <c r="X129" i="14" s="1"/>
  <c r="H125" i="14"/>
  <c r="X125" i="14" s="1"/>
  <c r="H130" i="14"/>
  <c r="X130" i="14" s="1"/>
  <c r="H126" i="14"/>
  <c r="X126" i="14" s="1"/>
  <c r="J108" i="14"/>
  <c r="L108" i="14"/>
  <c r="H108" i="14"/>
  <c r="G108" i="14"/>
  <c r="O108" i="14"/>
  <c r="J92" i="14"/>
  <c r="L92" i="14"/>
  <c r="H92" i="14"/>
  <c r="G92" i="14"/>
  <c r="O92" i="14"/>
  <c r="L99" i="14"/>
  <c r="G99" i="14"/>
  <c r="J99" i="14"/>
  <c r="H99" i="14"/>
  <c r="O99" i="14"/>
  <c r="J85" i="14"/>
  <c r="L85" i="14"/>
  <c r="G85" i="14"/>
  <c r="H85" i="14"/>
  <c r="O85" i="14"/>
  <c r="L106" i="14"/>
  <c r="G106" i="14"/>
  <c r="H106" i="14"/>
  <c r="J106" i="14"/>
  <c r="O106" i="14"/>
  <c r="L90" i="14"/>
  <c r="G90" i="14"/>
  <c r="H90" i="14"/>
  <c r="J90" i="14"/>
  <c r="O90" i="14"/>
  <c r="G121" i="14"/>
  <c r="H121" i="14"/>
  <c r="J121" i="14"/>
  <c r="L121" i="14"/>
  <c r="O121" i="14"/>
  <c r="G113" i="14"/>
  <c r="H113" i="14"/>
  <c r="L113" i="14"/>
  <c r="J113" i="14"/>
  <c r="O113" i="14"/>
  <c r="G105" i="14"/>
  <c r="H105" i="14"/>
  <c r="J105" i="14"/>
  <c r="L105" i="14"/>
  <c r="O105" i="14"/>
  <c r="G97" i="14"/>
  <c r="H97" i="14"/>
  <c r="L97" i="14"/>
  <c r="J97" i="14"/>
  <c r="O97" i="14"/>
  <c r="G89" i="14"/>
  <c r="H89" i="14"/>
  <c r="L89" i="14"/>
  <c r="J89" i="14"/>
  <c r="O89" i="14"/>
  <c r="G120" i="14"/>
  <c r="H120" i="14"/>
  <c r="J120" i="14"/>
  <c r="L120" i="14"/>
  <c r="O120" i="14"/>
  <c r="G112" i="14"/>
  <c r="H112" i="14"/>
  <c r="J112" i="14"/>
  <c r="L112" i="14"/>
  <c r="O112" i="14"/>
  <c r="G104" i="14"/>
  <c r="H104" i="14"/>
  <c r="J104" i="14"/>
  <c r="L104" i="14"/>
  <c r="O104" i="14"/>
  <c r="G96" i="14"/>
  <c r="H96" i="14"/>
  <c r="J96" i="14"/>
  <c r="L96" i="14"/>
  <c r="O96" i="14"/>
  <c r="G88" i="14"/>
  <c r="H88" i="14"/>
  <c r="J88" i="14"/>
  <c r="L88" i="14"/>
  <c r="O88" i="14"/>
  <c r="H127" i="14"/>
  <c r="X127" i="14" s="1"/>
  <c r="J116" i="14"/>
  <c r="L116" i="14"/>
  <c r="H116" i="14"/>
  <c r="G116" i="14"/>
  <c r="O116" i="14"/>
  <c r="L115" i="14"/>
  <c r="G115" i="14"/>
  <c r="H115" i="14"/>
  <c r="J115" i="14"/>
  <c r="O115" i="14"/>
  <c r="L114" i="14"/>
  <c r="G114" i="14"/>
  <c r="H114" i="14"/>
  <c r="J114" i="14"/>
  <c r="O114" i="14"/>
  <c r="L98" i="14"/>
  <c r="G98" i="14"/>
  <c r="H98" i="14"/>
  <c r="J98" i="14"/>
  <c r="O98" i="14"/>
  <c r="G119" i="14"/>
  <c r="H119" i="14"/>
  <c r="J119" i="14"/>
  <c r="L119" i="14"/>
  <c r="O119" i="14"/>
  <c r="G111" i="14"/>
  <c r="H111" i="14"/>
  <c r="J111" i="14"/>
  <c r="L111" i="14"/>
  <c r="O111" i="14"/>
  <c r="G103" i="14"/>
  <c r="H103" i="14"/>
  <c r="J103" i="14"/>
  <c r="L103" i="14"/>
  <c r="O103" i="14"/>
  <c r="G95" i="14"/>
  <c r="H95" i="14"/>
  <c r="J95" i="14"/>
  <c r="L95" i="14"/>
  <c r="O95" i="14"/>
  <c r="G87" i="14"/>
  <c r="H87" i="14"/>
  <c r="J87" i="14"/>
  <c r="L87" i="14"/>
  <c r="O87" i="14"/>
  <c r="H118" i="14"/>
  <c r="J118" i="14"/>
  <c r="L118" i="14"/>
  <c r="G118" i="14"/>
  <c r="O118" i="14"/>
  <c r="H110" i="14"/>
  <c r="J110" i="14"/>
  <c r="L110" i="14"/>
  <c r="G110" i="14"/>
  <c r="O110" i="14"/>
  <c r="H102" i="14"/>
  <c r="J102" i="14"/>
  <c r="L102" i="14"/>
  <c r="G102" i="14"/>
  <c r="O102" i="14"/>
  <c r="H94" i="14"/>
  <c r="J94" i="14"/>
  <c r="L94" i="14"/>
  <c r="G94" i="14"/>
  <c r="O94" i="14"/>
  <c r="H86" i="14"/>
  <c r="J86" i="14"/>
  <c r="L86" i="14"/>
  <c r="G86" i="14"/>
  <c r="O86" i="14"/>
  <c r="J100" i="14"/>
  <c r="L100" i="14"/>
  <c r="H100" i="14"/>
  <c r="G100" i="14"/>
  <c r="O100" i="14"/>
  <c r="L123" i="14"/>
  <c r="G123" i="14"/>
  <c r="J123" i="14"/>
  <c r="H123" i="14"/>
  <c r="O123" i="14"/>
  <c r="L107" i="14"/>
  <c r="G107" i="14"/>
  <c r="J107" i="14"/>
  <c r="H107" i="14"/>
  <c r="O107" i="14"/>
  <c r="L91" i="14"/>
  <c r="G91" i="14"/>
  <c r="J91" i="14"/>
  <c r="H91" i="14"/>
  <c r="O91" i="14"/>
  <c r="J117" i="14"/>
  <c r="L117" i="14"/>
  <c r="G117" i="14"/>
  <c r="H117" i="14"/>
  <c r="O117" i="14"/>
  <c r="J109" i="14"/>
  <c r="L109" i="14"/>
  <c r="G109" i="14"/>
  <c r="H109" i="14"/>
  <c r="O109" i="14"/>
  <c r="J101" i="14"/>
  <c r="L101" i="14"/>
  <c r="H101" i="14"/>
  <c r="G101" i="14"/>
  <c r="O101" i="14"/>
  <c r="J93" i="14"/>
  <c r="L93" i="14"/>
  <c r="H93" i="14"/>
  <c r="G93" i="14"/>
  <c r="O93" i="14"/>
  <c r="L122" i="14"/>
  <c r="G122" i="14"/>
  <c r="H122" i="14"/>
  <c r="J122" i="14"/>
  <c r="O122" i="14"/>
  <c r="B52" i="14"/>
  <c r="B73" i="14"/>
  <c r="B18" i="12"/>
  <c r="B79" i="9" s="1"/>
  <c r="C20" i="9" s="1"/>
  <c r="B22" i="12"/>
  <c r="B81" i="9" s="1"/>
  <c r="AD130" i="14" l="1"/>
  <c r="AK130" i="14" s="1"/>
  <c r="Q124" i="14"/>
  <c r="AJ124" i="14" s="1"/>
  <c r="Q126" i="14"/>
  <c r="AJ126" i="14" s="1"/>
  <c r="Q127" i="14"/>
  <c r="AJ127" i="14" s="1"/>
  <c r="Q129" i="14"/>
  <c r="AJ129" i="14" s="1"/>
  <c r="Q128" i="14"/>
  <c r="AJ128" i="14" s="1"/>
  <c r="AD101" i="14"/>
  <c r="AK101" i="14" s="1"/>
  <c r="AD115" i="14"/>
  <c r="AK115" i="14" s="1"/>
  <c r="AD86" i="14"/>
  <c r="AK86" i="14" s="1"/>
  <c r="AD104" i="14"/>
  <c r="AK104" i="14" s="1"/>
  <c r="AD118" i="14"/>
  <c r="AK118" i="14" s="1"/>
  <c r="X95" i="14"/>
  <c r="X88" i="14"/>
  <c r="X120" i="14"/>
  <c r="X113" i="14"/>
  <c r="AD102" i="14"/>
  <c r="AK102" i="14" s="1"/>
  <c r="AD98" i="14"/>
  <c r="AK98" i="14" s="1"/>
  <c r="AD107" i="14"/>
  <c r="AK107" i="14" s="1"/>
  <c r="AD109" i="14"/>
  <c r="AK109" i="14" s="1"/>
  <c r="AD87" i="14"/>
  <c r="AK87" i="14" s="1"/>
  <c r="AD119" i="14"/>
  <c r="AK119" i="14" s="1"/>
  <c r="AD116" i="14"/>
  <c r="AK116" i="14" s="1"/>
  <c r="AD120" i="14"/>
  <c r="AK120" i="14" s="1"/>
  <c r="AD112" i="14"/>
  <c r="AK112" i="14" s="1"/>
  <c r="AD111" i="14"/>
  <c r="AK111" i="14" s="1"/>
  <c r="AD100" i="14"/>
  <c r="AK100" i="14" s="1"/>
  <c r="AD90" i="14"/>
  <c r="AK90" i="14" s="1"/>
  <c r="AD91" i="14"/>
  <c r="AK91" i="14" s="1"/>
  <c r="X117" i="14"/>
  <c r="AD110" i="14"/>
  <c r="AK110" i="14" s="1"/>
  <c r="AD114" i="14"/>
  <c r="AK114" i="14" s="1"/>
  <c r="AD123" i="14"/>
  <c r="AK123" i="14" s="1"/>
  <c r="AD121" i="14"/>
  <c r="AK121" i="14" s="1"/>
  <c r="X90" i="14"/>
  <c r="AD99" i="14"/>
  <c r="AK99" i="14" s="1"/>
  <c r="AD88" i="14"/>
  <c r="AK88" i="14" s="1"/>
  <c r="AD113" i="14"/>
  <c r="AK113" i="14" s="1"/>
  <c r="AD85" i="14"/>
  <c r="AK85" i="14" s="1"/>
  <c r="AD94" i="14"/>
  <c r="AK94" i="14" s="1"/>
  <c r="AD93" i="14"/>
  <c r="AK93" i="14" s="1"/>
  <c r="AD108" i="14"/>
  <c r="AK108" i="14" s="1"/>
  <c r="AD103" i="14"/>
  <c r="AK103" i="14" s="1"/>
  <c r="AD122" i="14"/>
  <c r="AK122" i="14" s="1"/>
  <c r="AD117" i="14"/>
  <c r="AK117" i="14" s="1"/>
  <c r="AD97" i="14"/>
  <c r="AK97" i="14" s="1"/>
  <c r="AD92" i="14"/>
  <c r="AK92" i="14" s="1"/>
  <c r="AD96" i="14"/>
  <c r="AK96" i="14" s="1"/>
  <c r="AD89" i="14"/>
  <c r="AK89" i="14" s="1"/>
  <c r="AD95" i="14"/>
  <c r="AK95" i="14" s="1"/>
  <c r="AD105" i="14"/>
  <c r="AK105" i="14" s="1"/>
  <c r="AD106" i="14"/>
  <c r="AK106" i="14" s="1"/>
  <c r="X85" i="14"/>
  <c r="X87" i="14"/>
  <c r="X109" i="14"/>
  <c r="X123" i="14"/>
  <c r="X119" i="14"/>
  <c r="X86" i="14"/>
  <c r="X118" i="14"/>
  <c r="X116" i="14"/>
  <c r="X107" i="14"/>
  <c r="X103" i="14"/>
  <c r="X98" i="14"/>
  <c r="X96" i="14"/>
  <c r="X89" i="14"/>
  <c r="X93" i="14"/>
  <c r="X115" i="14"/>
  <c r="X92" i="14"/>
  <c r="X121" i="14"/>
  <c r="X101" i="14"/>
  <c r="X110" i="14"/>
  <c r="X91" i="14"/>
  <c r="X102" i="14"/>
  <c r="X106" i="14"/>
  <c r="X108" i="14"/>
  <c r="X112" i="14"/>
  <c r="X105" i="14"/>
  <c r="X122" i="14"/>
  <c r="X100" i="14"/>
  <c r="X94" i="14"/>
  <c r="X111" i="14"/>
  <c r="X114" i="14"/>
  <c r="X104" i="14"/>
  <c r="X97" i="14"/>
  <c r="X99" i="14"/>
  <c r="I127" i="14"/>
  <c r="I86" i="14"/>
  <c r="I126" i="14"/>
  <c r="I128" i="14"/>
  <c r="I124" i="14"/>
  <c r="I129" i="14"/>
  <c r="I92" i="14"/>
  <c r="I116" i="14"/>
  <c r="I94" i="14"/>
  <c r="Q108" i="14"/>
  <c r="AJ108" i="14" s="1"/>
  <c r="Q86" i="14"/>
  <c r="AJ86" i="14" s="1"/>
  <c r="Q114" i="14"/>
  <c r="AJ114" i="14" s="1"/>
  <c r="Q92" i="14"/>
  <c r="AJ92" i="14" s="1"/>
  <c r="Q111" i="14"/>
  <c r="AJ111" i="14" s="1"/>
  <c r="Q120" i="14"/>
  <c r="AJ120" i="14" s="1"/>
  <c r="Q112" i="14"/>
  <c r="AJ112" i="14" s="1"/>
  <c r="Q95" i="14"/>
  <c r="AJ95" i="14" s="1"/>
  <c r="Q109" i="14"/>
  <c r="AJ109" i="14" s="1"/>
  <c r="Q87" i="14"/>
  <c r="AJ87" i="14" s="1"/>
  <c r="I114" i="14"/>
  <c r="I125" i="14"/>
  <c r="I97" i="14"/>
  <c r="I122" i="14"/>
  <c r="D108" i="14"/>
  <c r="U87" i="14"/>
  <c r="U95" i="14"/>
  <c r="U103" i="14"/>
  <c r="U111" i="14"/>
  <c r="U119" i="14"/>
  <c r="U127" i="14"/>
  <c r="U98" i="14"/>
  <c r="U122" i="14"/>
  <c r="U115" i="14"/>
  <c r="U88" i="14"/>
  <c r="U96" i="14"/>
  <c r="AH96" i="14" s="1"/>
  <c r="U104" i="14"/>
  <c r="U112" i="14"/>
  <c r="U120" i="14"/>
  <c r="U128" i="14"/>
  <c r="U90" i="14"/>
  <c r="U114" i="14"/>
  <c r="U99" i="14"/>
  <c r="U89" i="14"/>
  <c r="U97" i="14"/>
  <c r="U105" i="14"/>
  <c r="U113" i="14"/>
  <c r="U121" i="14"/>
  <c r="U129" i="14"/>
  <c r="U106" i="14"/>
  <c r="U130" i="14"/>
  <c r="AH130" i="14" s="1"/>
  <c r="U91" i="14"/>
  <c r="U92" i="14"/>
  <c r="U100" i="14"/>
  <c r="U108" i="14"/>
  <c r="U116" i="14"/>
  <c r="U124" i="14"/>
  <c r="U94" i="14"/>
  <c r="U102" i="14"/>
  <c r="U126" i="14"/>
  <c r="U107" i="14"/>
  <c r="U93" i="14"/>
  <c r="U101" i="14"/>
  <c r="U109" i="14"/>
  <c r="U117" i="14"/>
  <c r="U125" i="14"/>
  <c r="AH125" i="14" s="1"/>
  <c r="U85" i="14"/>
  <c r="U86" i="14"/>
  <c r="U110" i="14"/>
  <c r="U118" i="14"/>
  <c r="U123" i="14"/>
  <c r="I108" i="14"/>
  <c r="I130" i="14"/>
  <c r="Q93" i="14"/>
  <c r="AJ93" i="14" s="1"/>
  <c r="I117" i="14"/>
  <c r="Q110" i="14"/>
  <c r="AJ110" i="14" s="1"/>
  <c r="Q94" i="14"/>
  <c r="AJ94" i="14" s="1"/>
  <c r="Q119" i="14"/>
  <c r="AJ119" i="14" s="1"/>
  <c r="Q105" i="14"/>
  <c r="AJ105" i="14" s="1"/>
  <c r="I104" i="14"/>
  <c r="Q103" i="14"/>
  <c r="AJ103" i="14" s="1"/>
  <c r="I109" i="14"/>
  <c r="Q102" i="14"/>
  <c r="AJ102" i="14" s="1"/>
  <c r="I110" i="14"/>
  <c r="Q118" i="14"/>
  <c r="AJ118" i="14" s="1"/>
  <c r="I111" i="14"/>
  <c r="I120" i="14"/>
  <c r="I105" i="14"/>
  <c r="D95" i="14"/>
  <c r="I95" i="14"/>
  <c r="I98" i="14"/>
  <c r="Q115" i="14"/>
  <c r="AJ115" i="14" s="1"/>
  <c r="Q88" i="14"/>
  <c r="AJ88" i="14" s="1"/>
  <c r="I89" i="14"/>
  <c r="I99" i="14"/>
  <c r="Q122" i="14"/>
  <c r="AJ122" i="14" s="1"/>
  <c r="Q91" i="14"/>
  <c r="AJ91" i="14" s="1"/>
  <c r="I107" i="14"/>
  <c r="I118" i="14"/>
  <c r="D88" i="14"/>
  <c r="I88" i="14"/>
  <c r="I113" i="14"/>
  <c r="Q98" i="14"/>
  <c r="AJ98" i="14" s="1"/>
  <c r="D90" i="14"/>
  <c r="Q104" i="14"/>
  <c r="AJ104" i="14" s="1"/>
  <c r="D94" i="14"/>
  <c r="D102" i="14"/>
  <c r="D110" i="14"/>
  <c r="Q116" i="14"/>
  <c r="AJ116" i="14" s="1"/>
  <c r="D120" i="14"/>
  <c r="Q96" i="14"/>
  <c r="AJ96" i="14" s="1"/>
  <c r="Q106" i="14"/>
  <c r="AJ106" i="14" s="1"/>
  <c r="I106" i="14"/>
  <c r="I93" i="14"/>
  <c r="Q123" i="14"/>
  <c r="AJ123" i="14" s="1"/>
  <c r="I115" i="14"/>
  <c r="D104" i="14"/>
  <c r="C73" i="14"/>
  <c r="D130" i="14"/>
  <c r="D127" i="14"/>
  <c r="D126" i="14"/>
  <c r="D125" i="14"/>
  <c r="D128" i="14"/>
  <c r="D124" i="14"/>
  <c r="D129" i="14"/>
  <c r="D101" i="14"/>
  <c r="D117" i="14"/>
  <c r="D91" i="14"/>
  <c r="D123" i="14"/>
  <c r="D114" i="14"/>
  <c r="Q89" i="14"/>
  <c r="AJ89" i="14" s="1"/>
  <c r="Q121" i="14"/>
  <c r="AJ121" i="14" s="1"/>
  <c r="I121" i="14"/>
  <c r="I85" i="14"/>
  <c r="D100" i="14"/>
  <c r="I87" i="14"/>
  <c r="I103" i="14"/>
  <c r="I119" i="14"/>
  <c r="I96" i="14"/>
  <c r="I112" i="14"/>
  <c r="D89" i="14"/>
  <c r="D105" i="14"/>
  <c r="Q99" i="14"/>
  <c r="AJ99" i="14" s="1"/>
  <c r="D103" i="14"/>
  <c r="D97" i="14"/>
  <c r="D113" i="14"/>
  <c r="I90" i="14"/>
  <c r="D106" i="14"/>
  <c r="D85" i="14"/>
  <c r="D99" i="14"/>
  <c r="Q101" i="14"/>
  <c r="AJ101" i="14" s="1"/>
  <c r="Q117" i="14"/>
  <c r="AJ117" i="14" s="1"/>
  <c r="D87" i="14"/>
  <c r="I101" i="14"/>
  <c r="Q107" i="14"/>
  <c r="AJ107" i="14" s="1"/>
  <c r="Q100" i="14"/>
  <c r="AJ100" i="14" s="1"/>
  <c r="D86" i="14"/>
  <c r="I102" i="14"/>
  <c r="D118" i="14"/>
  <c r="D111" i="14"/>
  <c r="D115" i="14"/>
  <c r="D112" i="14"/>
  <c r="D121" i="14"/>
  <c r="D92" i="14"/>
  <c r="D119" i="14"/>
  <c r="D122" i="14"/>
  <c r="D93" i="14"/>
  <c r="D109" i="14"/>
  <c r="I91" i="14"/>
  <c r="D107" i="14"/>
  <c r="I123" i="14"/>
  <c r="I100" i="14"/>
  <c r="D98" i="14"/>
  <c r="D116" i="14"/>
  <c r="D96" i="14"/>
  <c r="Q97" i="14"/>
  <c r="AJ97" i="14" s="1"/>
  <c r="Q113" i="14"/>
  <c r="AJ113" i="14" s="1"/>
  <c r="Q90" i="14"/>
  <c r="AJ90" i="14" s="1"/>
  <c r="Q85" i="14"/>
  <c r="AJ85" i="14" s="1"/>
  <c r="C52" i="14"/>
  <c r="B72" i="14"/>
  <c r="C72" i="14" s="1"/>
  <c r="B13" i="8"/>
  <c r="B60" i="10"/>
  <c r="AH93" i="14" l="1"/>
  <c r="AG107" i="14"/>
  <c r="AH108" i="14"/>
  <c r="AH116" i="14"/>
  <c r="AG94" i="14"/>
  <c r="AH87" i="14"/>
  <c r="AG110" i="14"/>
  <c r="AH95" i="14"/>
  <c r="AH88" i="14"/>
  <c r="AH117" i="14"/>
  <c r="AH113" i="14"/>
  <c r="AH120" i="14"/>
  <c r="AG122" i="14"/>
  <c r="AH112" i="14"/>
  <c r="AH92" i="14"/>
  <c r="AG92" i="14"/>
  <c r="AG105" i="14"/>
  <c r="AG104" i="14"/>
  <c r="AH97" i="14"/>
  <c r="AH85" i="14"/>
  <c r="AG87" i="14"/>
  <c r="AH123" i="14"/>
  <c r="AH90" i="14"/>
  <c r="AG113" i="14"/>
  <c r="AG125" i="14"/>
  <c r="AH114" i="14"/>
  <c r="AG88" i="14"/>
  <c r="AH89" i="14"/>
  <c r="AG114" i="14"/>
  <c r="AH102" i="14"/>
  <c r="AG128" i="14"/>
  <c r="AG121" i="14"/>
  <c r="AG97" i="14"/>
  <c r="AH122" i="14"/>
  <c r="AG109" i="14"/>
  <c r="AG111" i="14"/>
  <c r="AG127" i="14"/>
  <c r="AG93" i="14"/>
  <c r="AH101" i="14"/>
  <c r="AG85" i="14"/>
  <c r="AG89" i="14"/>
  <c r="AG124" i="14"/>
  <c r="AH86" i="14"/>
  <c r="AH103" i="14"/>
  <c r="AG130" i="14"/>
  <c r="AG103" i="14"/>
  <c r="AG116" i="14"/>
  <c r="AG99" i="14"/>
  <c r="AG120" i="14"/>
  <c r="AH118" i="14"/>
  <c r="AG119" i="14"/>
  <c r="AG129" i="14"/>
  <c r="AG106" i="14"/>
  <c r="AH99" i="14"/>
  <c r="AH98" i="14"/>
  <c r="AG96" i="14"/>
  <c r="AG118" i="14"/>
  <c r="AG117" i="14"/>
  <c r="AH100" i="14"/>
  <c r="AG98" i="14"/>
  <c r="AG86" i="14"/>
  <c r="AH110" i="14"/>
  <c r="AH94" i="14"/>
  <c r="AG112" i="14"/>
  <c r="AG115" i="14"/>
  <c r="AG126" i="14"/>
  <c r="AE126" i="14"/>
  <c r="AH126" i="14"/>
  <c r="AE91" i="14"/>
  <c r="AH91" i="14"/>
  <c r="AG102" i="14"/>
  <c r="AE106" i="14"/>
  <c r="AH106" i="14"/>
  <c r="AE115" i="14"/>
  <c r="AH115" i="14"/>
  <c r="AG123" i="14"/>
  <c r="AG95" i="14"/>
  <c r="AE124" i="14"/>
  <c r="AH124" i="14"/>
  <c r="AE129" i="14"/>
  <c r="AH129" i="14"/>
  <c r="AG108" i="14"/>
  <c r="AG91" i="14"/>
  <c r="AG90" i="14"/>
  <c r="AE109" i="14"/>
  <c r="AH109" i="14"/>
  <c r="AE121" i="14"/>
  <c r="AH121" i="14"/>
  <c r="AE128" i="14"/>
  <c r="AH128" i="14"/>
  <c r="AG100" i="14"/>
  <c r="AE127" i="14"/>
  <c r="AH127" i="14"/>
  <c r="AG101" i="14"/>
  <c r="AE105" i="14"/>
  <c r="AH105" i="14"/>
  <c r="AE119" i="14"/>
  <c r="AH119" i="14"/>
  <c r="AE107" i="14"/>
  <c r="AH107" i="14"/>
  <c r="AE104" i="14"/>
  <c r="AH104" i="14"/>
  <c r="AE111" i="14"/>
  <c r="AH111" i="14"/>
  <c r="AE94" i="14"/>
  <c r="AE110" i="14"/>
  <c r="AE122" i="14"/>
  <c r="AE98" i="14"/>
  <c r="AE101" i="14"/>
  <c r="AE100" i="14"/>
  <c r="AE97" i="14"/>
  <c r="AE108" i="14"/>
  <c r="AE85" i="14"/>
  <c r="AE90" i="14"/>
  <c r="AE118" i="14"/>
  <c r="AE102" i="14"/>
  <c r="AE103" i="14"/>
  <c r="AE99" i="14"/>
  <c r="AE123" i="14"/>
  <c r="AE92" i="14"/>
  <c r="AE89" i="14"/>
  <c r="AE125" i="14"/>
  <c r="AE88" i="14"/>
  <c r="AE117" i="14"/>
  <c r="AE116" i="14"/>
  <c r="AE113" i="14"/>
  <c r="AE86" i="14"/>
  <c r="AE114" i="14"/>
  <c r="AE87" i="14"/>
  <c r="AE96" i="14"/>
  <c r="AE95" i="14"/>
  <c r="AE93" i="14"/>
  <c r="AE120" i="14"/>
  <c r="AE112" i="14"/>
  <c r="AE130" i="14"/>
  <c r="C91" i="14"/>
  <c r="S91" i="14" s="1"/>
  <c r="C99" i="14"/>
  <c r="S99" i="14" s="1"/>
  <c r="C92" i="14"/>
  <c r="S92" i="14" s="1"/>
  <c r="C100" i="14"/>
  <c r="S100" i="14" s="1"/>
  <c r="C93" i="14"/>
  <c r="S93" i="14" s="1"/>
  <c r="C101" i="14"/>
  <c r="S101" i="14" s="1"/>
  <c r="C86" i="14"/>
  <c r="S86" i="14" s="1"/>
  <c r="C94" i="14"/>
  <c r="S94" i="14" s="1"/>
  <c r="C102" i="14"/>
  <c r="S102" i="14" s="1"/>
  <c r="C97" i="14"/>
  <c r="S97" i="14" s="1"/>
  <c r="C109" i="14"/>
  <c r="S109" i="14" s="1"/>
  <c r="C117" i="14"/>
  <c r="S117" i="14" s="1"/>
  <c r="C125" i="14"/>
  <c r="S125" i="14" s="1"/>
  <c r="C133" i="14"/>
  <c r="C98" i="14"/>
  <c r="S98" i="14" s="1"/>
  <c r="C110" i="14"/>
  <c r="S110" i="14" s="1"/>
  <c r="C118" i="14"/>
  <c r="S118" i="14" s="1"/>
  <c r="C126" i="14"/>
  <c r="S126" i="14" s="1"/>
  <c r="C85" i="14"/>
  <c r="S85" i="14" s="1"/>
  <c r="C103" i="14"/>
  <c r="S103" i="14" s="1"/>
  <c r="C127" i="14"/>
  <c r="S127" i="14" s="1"/>
  <c r="C88" i="14"/>
  <c r="S88" i="14" s="1"/>
  <c r="C104" i="14"/>
  <c r="S104" i="14" s="1"/>
  <c r="C112" i="14"/>
  <c r="S112" i="14" s="1"/>
  <c r="C120" i="14"/>
  <c r="S120" i="14" s="1"/>
  <c r="C128" i="14"/>
  <c r="S128" i="14" s="1"/>
  <c r="C129" i="14"/>
  <c r="S129" i="14" s="1"/>
  <c r="C115" i="14"/>
  <c r="S115" i="14" s="1"/>
  <c r="C116" i="14"/>
  <c r="S116" i="14" s="1"/>
  <c r="C111" i="14"/>
  <c r="S111" i="14" s="1"/>
  <c r="C89" i="14"/>
  <c r="S89" i="14" s="1"/>
  <c r="C105" i="14"/>
  <c r="S105" i="14" s="1"/>
  <c r="C113" i="14"/>
  <c r="S113" i="14" s="1"/>
  <c r="C121" i="14"/>
  <c r="S121" i="14" s="1"/>
  <c r="C107" i="14"/>
  <c r="S107" i="14" s="1"/>
  <c r="C96" i="14"/>
  <c r="S96" i="14" s="1"/>
  <c r="C124" i="14"/>
  <c r="S124" i="14" s="1"/>
  <c r="C119" i="14"/>
  <c r="S119" i="14" s="1"/>
  <c r="C90" i="14"/>
  <c r="S90" i="14" s="1"/>
  <c r="C106" i="14"/>
  <c r="S106" i="14" s="1"/>
  <c r="C114" i="14"/>
  <c r="S114" i="14" s="1"/>
  <c r="C122" i="14"/>
  <c r="S122" i="14" s="1"/>
  <c r="C130" i="14"/>
  <c r="S130" i="14" s="1"/>
  <c r="C95" i="14"/>
  <c r="S95" i="14" s="1"/>
  <c r="C123" i="14"/>
  <c r="S123" i="14" s="1"/>
  <c r="C108" i="14"/>
  <c r="S108" i="14" s="1"/>
  <c r="C132" i="14"/>
  <c r="C87" i="14"/>
  <c r="S87" i="14" s="1"/>
  <c r="B61" i="10"/>
  <c r="C61" i="10" s="1"/>
  <c r="B17" i="8" l="1"/>
  <c r="B34" i="10" s="1"/>
  <c r="C34" i="10" s="1"/>
  <c r="B28" i="9" s="1"/>
  <c r="B18" i="8" l="1"/>
  <c r="B29" i="9" s="1"/>
  <c r="B19" i="7"/>
  <c r="B20" i="7" s="1"/>
  <c r="B21" i="7" l="1"/>
  <c r="B23" i="7" s="1"/>
  <c r="B24" i="7" s="1"/>
  <c r="B18" i="5"/>
  <c r="B19" i="5" s="1"/>
  <c r="B18" i="4"/>
  <c r="B19" i="4" s="1"/>
  <c r="B25" i="7" l="1"/>
  <c r="C25" i="7" s="1"/>
  <c r="C20" i="5"/>
  <c r="C18" i="5"/>
  <c r="B28" i="4"/>
  <c r="B20" i="5"/>
  <c r="B22" i="5" s="1"/>
  <c r="B21" i="4"/>
  <c r="B35" i="3"/>
  <c r="B36" i="3" s="1"/>
  <c r="B15" i="3"/>
  <c r="B18" i="3"/>
  <c r="B19" i="3" l="1"/>
  <c r="B21" i="3" s="1"/>
  <c r="B22" i="3" s="1"/>
  <c r="B28" i="3" s="1"/>
  <c r="B27" i="7"/>
  <c r="B28" i="7" s="1"/>
  <c r="B29" i="7" s="1"/>
  <c r="B24" i="3"/>
  <c r="B25" i="3" s="1"/>
  <c r="B23" i="5"/>
  <c r="C24" i="5" s="1"/>
  <c r="B22" i="4"/>
  <c r="B25" i="4" s="1"/>
  <c r="B29" i="4"/>
  <c r="B30" i="4" s="1"/>
  <c r="B37" i="3"/>
  <c r="C37" i="3" s="1"/>
  <c r="B31" i="7" l="1"/>
  <c r="B35" i="7" s="1"/>
  <c r="C29" i="7"/>
  <c r="B32" i="7"/>
  <c r="B24" i="5"/>
  <c r="B29" i="5" s="1"/>
  <c r="B26" i="5"/>
  <c r="C22" i="5"/>
  <c r="B38" i="3"/>
  <c r="B39" i="3" s="1"/>
  <c r="B150" i="14" l="1"/>
  <c r="B149" i="14"/>
  <c r="B152" i="14"/>
  <c r="B151" i="14"/>
  <c r="B140" i="14"/>
  <c r="B141" i="14"/>
  <c r="B139" i="14"/>
  <c r="B138" i="14"/>
  <c r="B154" i="14" l="1"/>
  <c r="A133" i="14" s="1"/>
  <c r="B133" i="14" s="1"/>
  <c r="E133" i="14" s="1"/>
  <c r="B143" i="14"/>
  <c r="F133" i="14" l="1"/>
  <c r="B161" i="14"/>
  <c r="C161" i="14" s="1"/>
  <c r="B48" i="9" s="1"/>
  <c r="AC133" i="14"/>
  <c r="P133" i="14"/>
  <c r="AA133" i="14"/>
  <c r="AB133" i="14"/>
  <c r="Z133" i="14"/>
  <c r="W133" i="14"/>
  <c r="Y133" i="14"/>
  <c r="U133" i="14"/>
  <c r="V133" i="14"/>
  <c r="M133" i="14"/>
  <c r="N133" i="14"/>
  <c r="K133" i="14"/>
  <c r="O133" i="14"/>
  <c r="L133" i="14"/>
  <c r="H133" i="14"/>
  <c r="J133" i="14"/>
  <c r="G133" i="14"/>
  <c r="D133" i="14"/>
  <c r="A132" i="14"/>
  <c r="B132" i="14" s="1"/>
  <c r="E132" i="14" s="1"/>
  <c r="B85" i="9"/>
  <c r="F132" i="14" l="1"/>
  <c r="P132" i="14"/>
  <c r="AD133" i="14"/>
  <c r="X133" i="14"/>
  <c r="AC132" i="14"/>
  <c r="AB132" i="14"/>
  <c r="AA132" i="14"/>
  <c r="Z132" i="14"/>
  <c r="Y132" i="14"/>
  <c r="W132" i="14"/>
  <c r="V132" i="14"/>
  <c r="U132" i="14"/>
  <c r="M132" i="14"/>
  <c r="N132" i="14"/>
  <c r="K132" i="14"/>
  <c r="O132" i="14"/>
  <c r="Q133" i="14"/>
  <c r="L132" i="14"/>
  <c r="I133" i="14"/>
  <c r="H132" i="14"/>
  <c r="J132" i="14"/>
  <c r="G132" i="14"/>
  <c r="D132" i="14"/>
  <c r="AD132" i="14" l="1"/>
  <c r="AE133" i="14"/>
  <c r="X132" i="14"/>
  <c r="S133" i="14"/>
  <c r="B155" i="14" s="1"/>
  <c r="B87" i="9" s="1"/>
  <c r="Q132" i="14"/>
  <c r="I132" i="14"/>
  <c r="AE132" i="14" l="1"/>
  <c r="B144" i="14" s="1"/>
  <c r="B86" i="9" s="1"/>
  <c r="S132" i="14"/>
</calcChain>
</file>

<file path=xl/sharedStrings.xml><?xml version="1.0" encoding="utf-8"?>
<sst xmlns="http://schemas.openxmlformats.org/spreadsheetml/2006/main" count="530" uniqueCount="375">
  <si>
    <t>Fsw</t>
  </si>
  <si>
    <t>Vout</t>
  </si>
  <si>
    <t>L</t>
  </si>
  <si>
    <t>Vin</t>
  </si>
  <si>
    <t>D</t>
  </si>
  <si>
    <t>A</t>
  </si>
  <si>
    <t>B</t>
  </si>
  <si>
    <t>****************************************</t>
  </si>
  <si>
    <t>Rpara</t>
  </si>
  <si>
    <t>Cpara</t>
  </si>
  <si>
    <t>Tpara</t>
  </si>
  <si>
    <t>Reo</t>
  </si>
  <si>
    <t>A0</t>
  </si>
  <si>
    <t>Tz</t>
  </si>
  <si>
    <t>GBP</t>
  </si>
  <si>
    <t>Ils</t>
  </si>
  <si>
    <t>Rls</t>
  </si>
  <si>
    <t>Rhs</t>
  </si>
  <si>
    <t>Rl</t>
  </si>
  <si>
    <t>k</t>
  </si>
  <si>
    <t>Vo</t>
  </si>
  <si>
    <t>Io1</t>
  </si>
  <si>
    <t>*****************************</t>
  </si>
  <si>
    <t>D1</t>
  </si>
  <si>
    <t>D2</t>
  </si>
  <si>
    <t>Io2</t>
  </si>
  <si>
    <t>Io3</t>
  </si>
  <si>
    <t>Ipk</t>
  </si>
  <si>
    <t>DI</t>
  </si>
  <si>
    <t>****************************</t>
  </si>
  <si>
    <t>RL1</t>
  </si>
  <si>
    <t>F1</t>
  </si>
  <si>
    <t>Imax</t>
  </si>
  <si>
    <t>Ix</t>
  </si>
  <si>
    <t>Ihis</t>
  </si>
  <si>
    <t>Iv</t>
  </si>
  <si>
    <t>mci</t>
  </si>
  <si>
    <t>F2</t>
  </si>
  <si>
    <t>Iosc1</t>
  </si>
  <si>
    <t>Dsc1</t>
  </si>
  <si>
    <t>Fsc1</t>
  </si>
  <si>
    <t>Iosc2</t>
  </si>
  <si>
    <t>Dsc2</t>
  </si>
  <si>
    <t>Fsc2</t>
  </si>
  <si>
    <t>Iosc3</t>
  </si>
  <si>
    <t>Dsc3</t>
  </si>
  <si>
    <t>Fsc3</t>
  </si>
  <si>
    <t>Iosc4</t>
  </si>
  <si>
    <t>Lmin</t>
  </si>
  <si>
    <t>Lmin uH</t>
  </si>
  <si>
    <t>Iout mode = 1</t>
  </si>
  <si>
    <t>************************************</t>
  </si>
  <si>
    <t>Iout mode = 3</t>
  </si>
  <si>
    <t>******************************</t>
  </si>
  <si>
    <t>*************************************</t>
  </si>
  <si>
    <t>Iout mode = 2</t>
  </si>
  <si>
    <t>*****************************************</t>
  </si>
  <si>
    <t>**************************************</t>
  </si>
  <si>
    <t>Iout short</t>
  </si>
  <si>
    <t>Input Cells</t>
  </si>
  <si>
    <t>Results</t>
  </si>
  <si>
    <t>Input Specifications</t>
  </si>
  <si>
    <t>Device Number</t>
  </si>
  <si>
    <t>Nominal Input Voltage</t>
  </si>
  <si>
    <t>Output Voltage</t>
  </si>
  <si>
    <t>Output Current</t>
  </si>
  <si>
    <t>Switching Frequency (kHz)</t>
  </si>
  <si>
    <t>Inductor Current Ripple Factor</t>
  </si>
  <si>
    <t>Inductor Calculations</t>
  </si>
  <si>
    <t xml:space="preserve">Calculated Inductance  (µH)  </t>
  </si>
  <si>
    <t>Calculated Minimum Inductance  (µH)</t>
  </si>
  <si>
    <t>Actual Inductance used  (µH)</t>
  </si>
  <si>
    <t>UPDATE BASED ON CALCULATED INDUCTANCE</t>
  </si>
  <si>
    <t>Actual Output Capacitance used  (µF)</t>
  </si>
  <si>
    <t>Al. Electrolytic Output Capacitance (if used)  (µF)</t>
  </si>
  <si>
    <t>Al. Electrolytic ESR (if used)  (mΩ)</t>
  </si>
  <si>
    <t>Feed-back Divider Resistors</t>
  </si>
  <si>
    <t>RFBT  (kΩ)</t>
  </si>
  <si>
    <t>RFBB   (kΩ)</t>
  </si>
  <si>
    <t>Feed-forward Capacitor Calculations</t>
  </si>
  <si>
    <t>Calculated Feed-forward Capacitance  (pF)</t>
  </si>
  <si>
    <t>Actual Feed-forward capacitance (if used)  (pF)</t>
  </si>
  <si>
    <t>Input Voltage Range</t>
  </si>
  <si>
    <t>Inductor DC Resistance  (mΩ)</t>
  </si>
  <si>
    <t>Maximum Input for Full Frequency (V)</t>
  </si>
  <si>
    <t>This is the maximum input voltage before the switching frequency will drop because of minimum on-time restrictions.</t>
  </si>
  <si>
    <t>Minimum Input for Full Frequency (V)</t>
  </si>
  <si>
    <t>This is the minimum input voltage before the switching frequency will drop because of minimum off-time restrictions</t>
  </si>
  <si>
    <t>Minimum Input for Regulation (V)</t>
  </si>
  <si>
    <t>This is the minimum input voltage before the output voltage falls out of regulation. (drop-out)</t>
  </si>
  <si>
    <t>Auxiliary Components and Connections</t>
  </si>
  <si>
    <t>CVCC  (µF)</t>
  </si>
  <si>
    <t>CBOOT  (µF)</t>
  </si>
  <si>
    <t>Inductor Current Calculations</t>
  </si>
  <si>
    <t>Peak Inductor Current (A)</t>
  </si>
  <si>
    <t>Valley Inductor Current (A)</t>
  </si>
  <si>
    <t>Inductor Current Ripple (A)</t>
  </si>
  <si>
    <t>Current Limit Calculations</t>
  </si>
  <si>
    <t>Output Current Limit (A)</t>
  </si>
  <si>
    <t>Maximum output current before output drops out of regulation</t>
  </si>
  <si>
    <t>Short Circuit Output Current (A)</t>
  </si>
  <si>
    <t>Output current with output shorted</t>
  </si>
  <si>
    <t>Frequency Fold-back Output Current (A)</t>
  </si>
  <si>
    <t>Output current when frequency fold-back occurs</t>
  </si>
  <si>
    <t>Estimated Loop Performance</t>
  </si>
  <si>
    <t>Loop Gain Crossover Frequency (kHz)</t>
  </si>
  <si>
    <t>Phase Margin  (°)</t>
  </si>
  <si>
    <t>Gain Margin  (dB)</t>
  </si>
  <si>
    <t>Don’t remove</t>
  </si>
  <si>
    <t>Gm</t>
  </si>
  <si>
    <t>Ton-min</t>
  </si>
  <si>
    <t>Toff-min</t>
  </si>
  <si>
    <t>L_calc</t>
  </si>
  <si>
    <t>L_recomend</t>
  </si>
  <si>
    <t>L_used</t>
  </si>
  <si>
    <t>Rfbt</t>
  </si>
  <si>
    <t>Rfbb</t>
  </si>
  <si>
    <t>***********************************************************************</t>
  </si>
  <si>
    <t>****************************************************************************</t>
  </si>
  <si>
    <t>Vin max</t>
  </si>
  <si>
    <t>******* Drop out ***************</t>
  </si>
  <si>
    <t>Vin min drop</t>
  </si>
  <si>
    <t>Fmin</t>
  </si>
  <si>
    <t>Ton-max</t>
  </si>
  <si>
    <t>Delta I</t>
  </si>
  <si>
    <t>Ipeak</t>
  </si>
  <si>
    <t>Ivalley</t>
  </si>
  <si>
    <t>***************************************************************</t>
  </si>
  <si>
    <t>Isc</t>
  </si>
  <si>
    <t>** RT *****************</t>
  </si>
  <si>
    <t>RT</t>
  </si>
  <si>
    <t>*******************</t>
  </si>
  <si>
    <r>
      <t>k</t>
    </r>
    <r>
      <rPr>
        <sz val="11"/>
        <color theme="1"/>
        <rFont val="Calibri"/>
        <family val="2"/>
      </rPr>
      <t>Ω</t>
    </r>
  </si>
  <si>
    <t>ro</t>
  </si>
  <si>
    <t>m2</t>
  </si>
  <si>
    <t>RL</t>
  </si>
  <si>
    <t>R</t>
  </si>
  <si>
    <t>wn</t>
  </si>
  <si>
    <t>Qn</t>
  </si>
  <si>
    <t>Co</t>
  </si>
  <si>
    <t>Cal</t>
  </si>
  <si>
    <t>ESR</t>
  </si>
  <si>
    <t>Tesr</t>
  </si>
  <si>
    <t>G(0)</t>
  </si>
  <si>
    <t>T(0)</t>
  </si>
  <si>
    <t>alpha</t>
  </si>
  <si>
    <t>X</t>
  </si>
  <si>
    <t>Y</t>
  </si>
  <si>
    <t>1/wn2</t>
  </si>
  <si>
    <t>1/(wn*Qn)</t>
  </si>
  <si>
    <t>To</t>
  </si>
  <si>
    <t>Freq</t>
  </si>
  <si>
    <t>w</t>
  </si>
  <si>
    <t>vat_real</t>
  </si>
  <si>
    <t>vat_im</t>
  </si>
  <si>
    <t>vat_mag</t>
  </si>
  <si>
    <t>To_mag</t>
  </si>
  <si>
    <t>Tesr_mag</t>
  </si>
  <si>
    <t>**</t>
  </si>
  <si>
    <t>Tmag</t>
  </si>
  <si>
    <t>Tphase</t>
  </si>
  <si>
    <t>T1</t>
  </si>
  <si>
    <t>T2</t>
  </si>
  <si>
    <t>Fx</t>
  </si>
  <si>
    <t>Hz</t>
  </si>
  <si>
    <t>PM</t>
  </si>
  <si>
    <t>degrees</t>
  </si>
  <si>
    <t>P1</t>
  </si>
  <si>
    <t>P2</t>
  </si>
  <si>
    <t>GM</t>
  </si>
  <si>
    <t>Fgm</t>
  </si>
  <si>
    <t>dB</t>
  </si>
  <si>
    <t>**************************************************</t>
  </si>
  <si>
    <t>************************************************</t>
  </si>
  <si>
    <t>******* Cff calc ***********</t>
  </si>
  <si>
    <t>Cff_calc</t>
  </si>
  <si>
    <t>pF</t>
  </si>
  <si>
    <t>Revision</t>
  </si>
  <si>
    <t>Date</t>
  </si>
  <si>
    <t>Comments</t>
  </si>
  <si>
    <t>Initial release</t>
  </si>
  <si>
    <t>LM65625</t>
  </si>
  <si>
    <t>LM65635</t>
  </si>
  <si>
    <t>LM65645</t>
  </si>
  <si>
    <t>Current Rating</t>
  </si>
  <si>
    <t>IHS</t>
  </si>
  <si>
    <t>ILS</t>
  </si>
  <si>
    <t>RHS</t>
  </si>
  <si>
    <t>RLS</t>
  </si>
  <si>
    <t>Max operating</t>
  </si>
  <si>
    <t>ABS max</t>
  </si>
  <si>
    <t>Vin-min</t>
  </si>
  <si>
    <t>M</t>
  </si>
  <si>
    <t>D'</t>
  </si>
  <si>
    <t>uH</t>
  </si>
  <si>
    <t>******* Min Ton ******************</t>
  </si>
  <si>
    <t>Dmin</t>
  </si>
  <si>
    <t>Vin max actual</t>
  </si>
  <si>
    <t>Dfold</t>
  </si>
  <si>
    <t>Dmax</t>
  </si>
  <si>
    <t>Vin min fold</t>
  </si>
  <si>
    <t>Vin min fold actual</t>
  </si>
  <si>
    <t>Vin min drop actual</t>
  </si>
  <si>
    <t>Fsw (MHz)</t>
  </si>
  <si>
    <t>D*</t>
  </si>
  <si>
    <t>Duty cycle at rated current</t>
  </si>
  <si>
    <t>Ilimit</t>
  </si>
  <si>
    <t>Peak current at D*</t>
  </si>
  <si>
    <t>Imod</t>
  </si>
  <si>
    <t>Short circuit output current</t>
  </si>
  <si>
    <t>Output current if peak trips first</t>
  </si>
  <si>
    <t>Iout-limit</t>
  </si>
  <si>
    <t>Output current for output drop</t>
  </si>
  <si>
    <t>di</t>
  </si>
  <si>
    <t xml:space="preserve">1/2 delta I for checking mode </t>
  </si>
  <si>
    <t>Fold-back current if valley trips first</t>
  </si>
  <si>
    <t>Iout-fold</t>
  </si>
  <si>
    <t>Output current for frequency fold</t>
  </si>
  <si>
    <t>Rfbt*</t>
  </si>
  <si>
    <t>Selected Rfbt</t>
  </si>
  <si>
    <t>Rp</t>
  </si>
  <si>
    <t>OK?</t>
  </si>
  <si>
    <t>Rfbb actual</t>
  </si>
  <si>
    <r>
      <rPr>
        <i/>
        <sz val="11"/>
        <color rgb="FF0070C0"/>
        <rFont val="Calibri"/>
        <family val="2"/>
        <scheme val="minor"/>
      </rPr>
      <t>k</t>
    </r>
    <r>
      <rPr>
        <i/>
        <sz val="11"/>
        <color rgb="FF0070C0"/>
        <rFont val="Calibri"/>
        <family val="2"/>
      </rPr>
      <t>Ω</t>
    </r>
  </si>
  <si>
    <t>Gme</t>
  </si>
  <si>
    <t>Rc</t>
  </si>
  <si>
    <t>Chf</t>
  </si>
  <si>
    <t>Cc</t>
  </si>
  <si>
    <t>β</t>
  </si>
  <si>
    <t>Ao</t>
  </si>
  <si>
    <t>Eamp D.C. Gain</t>
  </si>
  <si>
    <t>Eamp L.F. pole</t>
  </si>
  <si>
    <t>Eamp zero</t>
  </si>
  <si>
    <t>Parasitic pole</t>
  </si>
  <si>
    <t>Eamp GBP w/o β</t>
  </si>
  <si>
    <t>Alpha</t>
  </si>
  <si>
    <t>Zf</t>
  </si>
  <si>
    <t>C</t>
  </si>
  <si>
    <t>ADJ</t>
  </si>
  <si>
    <t>1Vout</t>
  </si>
  <si>
    <t>fixed_5v</t>
  </si>
  <si>
    <t>fixed_3.3v</t>
  </si>
  <si>
    <t>RFBT</t>
  </si>
  <si>
    <t>RFBB</t>
  </si>
  <si>
    <t>CFF</t>
  </si>
  <si>
    <t>R1</t>
  </si>
  <si>
    <t>C1</t>
  </si>
  <si>
    <t>C2</t>
  </si>
  <si>
    <t>Thf</t>
  </si>
  <si>
    <t>HF pole</t>
  </si>
  <si>
    <t>**************************************************************************</t>
  </si>
  <si>
    <t>FB_mode</t>
  </si>
  <si>
    <t>0 = ADJ, 1 = 1Vout, etc.</t>
  </si>
  <si>
    <t>Selection</t>
  </si>
  <si>
    <t>*******************************************************************************</t>
  </si>
  <si>
    <t>*****************************************************************************</t>
  </si>
  <si>
    <t>Al. Cout</t>
  </si>
  <si>
    <t>Al. ESR</t>
  </si>
  <si>
    <t>ro||RL</t>
  </si>
  <si>
    <t>Tbeta</t>
  </si>
  <si>
    <t>Ao*beta</t>
  </si>
  <si>
    <t>***************************************************************************</t>
  </si>
  <si>
    <t>TL</t>
  </si>
  <si>
    <t>Tcesr</t>
  </si>
  <si>
    <t>Cerm</t>
  </si>
  <si>
    <t>*************************************************************************</t>
  </si>
  <si>
    <t>TL_mag</t>
  </si>
  <si>
    <t>Tcesr_mag</t>
  </si>
  <si>
    <t>FB_real</t>
  </si>
  <si>
    <t>FB_im</t>
  </si>
  <si>
    <t>FB_mag</t>
  </si>
  <si>
    <t>Power Stage</t>
  </si>
  <si>
    <t>mag</t>
  </si>
  <si>
    <t>phase</t>
  </si>
  <si>
    <t>Eamp_FB</t>
  </si>
  <si>
    <t>Power stage Gm</t>
  </si>
  <si>
    <t>Slope ramp</t>
  </si>
  <si>
    <t>Down slope</t>
  </si>
  <si>
    <t>Ceramic Cout</t>
  </si>
  <si>
    <t>Total Cout</t>
  </si>
  <si>
    <t>Power stage Q</t>
  </si>
  <si>
    <t>Power stage Fo</t>
  </si>
  <si>
    <t>Eamp gain</t>
  </si>
  <si>
    <t>Eamp LF pole</t>
  </si>
  <si>
    <t>Eamp para pole</t>
  </si>
  <si>
    <t>Eamp HF pole</t>
  </si>
  <si>
    <t>FB div ratio</t>
  </si>
  <si>
    <t>Zero from FB div</t>
  </si>
  <si>
    <t>FB dive param</t>
  </si>
  <si>
    <t>DC Loop Gain</t>
  </si>
  <si>
    <t>Load pole</t>
  </si>
  <si>
    <t>Mixed cap pole</t>
  </si>
  <si>
    <t>Al cap ESR</t>
  </si>
  <si>
    <t>Power stage param</t>
  </si>
  <si>
    <t>Load R</t>
  </si>
  <si>
    <t>Tz-mag</t>
  </si>
  <si>
    <t>Tbeta_mag</t>
  </si>
  <si>
    <t>Thf_mag</t>
  </si>
  <si>
    <t>Zf_mag</t>
  </si>
  <si>
    <t>TL_phase</t>
  </si>
  <si>
    <t>Tcesr_phase</t>
  </si>
  <si>
    <t>Tesr_phase</t>
  </si>
  <si>
    <t>vat_phase</t>
  </si>
  <si>
    <t>To_phase</t>
  </si>
  <si>
    <t>Tz_phase</t>
  </si>
  <si>
    <t>Tbeta_phase</t>
  </si>
  <si>
    <t>Zf_phase</t>
  </si>
  <si>
    <t>FB_phase</t>
  </si>
  <si>
    <t>Thf_phase</t>
  </si>
  <si>
    <t>FB</t>
  </si>
  <si>
    <t>BIAS</t>
  </si>
  <si>
    <t xml:space="preserve">RT   </t>
  </si>
  <si>
    <t>2x CIN-HF  (µF)</t>
  </si>
  <si>
    <t>2x CIN  (µF)</t>
  </si>
  <si>
    <t>RT_mode</t>
  </si>
  <si>
    <t>BIAS_mode</t>
  </si>
  <si>
    <t>FB_mode_main</t>
  </si>
  <si>
    <t>kΩ</t>
  </si>
  <si>
    <t>Rate</t>
  </si>
  <si>
    <t>V</t>
  </si>
  <si>
    <t>F</t>
  </si>
  <si>
    <t>Frate</t>
  </si>
  <si>
    <t>V'</t>
  </si>
  <si>
    <t>F'</t>
  </si>
  <si>
    <t>Cout</t>
  </si>
  <si>
    <t>Vout = 0.8V</t>
  </si>
  <si>
    <t>Adjust for Bandwidth &lt; 0.1Fsw and &lt; 100kHz</t>
  </si>
  <si>
    <t>Output Capacitor(s)</t>
  </si>
  <si>
    <t>Estimated Output Capacitor  (µF)</t>
  </si>
  <si>
    <t>Iout</t>
  </si>
  <si>
    <t>%dVout</t>
  </si>
  <si>
    <t>Fx/Fsw</t>
  </si>
  <si>
    <t>Fx (Hz)</t>
  </si>
  <si>
    <t>%Vro</t>
  </si>
  <si>
    <t>Roe</t>
  </si>
  <si>
    <t>Vref</t>
  </si>
  <si>
    <t>Fz</t>
  </si>
  <si>
    <t>Tr</t>
  </si>
  <si>
    <t>Fc</t>
  </si>
  <si>
    <t>dIL</t>
  </si>
  <si>
    <t>Co1</t>
  </si>
  <si>
    <t>uF</t>
  </si>
  <si>
    <t>Co2a</t>
  </si>
  <si>
    <t>Co2b</t>
  </si>
  <si>
    <t>Co3</t>
  </si>
  <si>
    <t>Cout (uF)</t>
  </si>
  <si>
    <t>*******************************************************************</t>
  </si>
  <si>
    <t>Vro</t>
  </si>
  <si>
    <t>dVout</t>
  </si>
  <si>
    <t>********************************************************************</t>
  </si>
  <si>
    <t>Fmax</t>
  </si>
  <si>
    <t>Cout1</t>
  </si>
  <si>
    <t>Cout2</t>
  </si>
  <si>
    <t>Less than 10uF ?</t>
  </si>
  <si>
    <t>Fudge ?</t>
  </si>
  <si>
    <t>Y/N</t>
  </si>
  <si>
    <t>2.5A</t>
  </si>
  <si>
    <t>3.5A</t>
  </si>
  <si>
    <t>4.5A</t>
  </si>
  <si>
    <t>400k</t>
  </si>
  <si>
    <t>1000k</t>
  </si>
  <si>
    <t>2200k</t>
  </si>
  <si>
    <t>n</t>
  </si>
  <si>
    <t>Slope comp at inductor = Ix*Fsw</t>
  </si>
  <si>
    <t>Used for Lmin see tab Min_L</t>
  </si>
  <si>
    <t>Inductor DCR</t>
  </si>
  <si>
    <t>Output ripple</t>
  </si>
  <si>
    <t>Vout transient</t>
  </si>
  <si>
    <t>Inductance limited</t>
  </si>
  <si>
    <t>Based on loop response time</t>
  </si>
  <si>
    <t>Based on loop bandwidth</t>
  </si>
  <si>
    <t>Vout tran with Cout (line 40)</t>
  </si>
  <si>
    <t>Output ripple with Cout (line 40)</t>
  </si>
  <si>
    <t>Current loop crossover</t>
  </si>
  <si>
    <t>13Aug2024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</si>
</sst>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00E+00"/>
    <numFmt numFmtId="165" formatCode="#,##0.0"/>
    <numFmt numFmtId="166" formatCode="0.0"/>
    <numFmt numFmtId="167" formatCode="0.00000E+00"/>
    <numFmt numFmtId="168" formatCode="0.000E+00"/>
    <numFmt numFmtId="169" formatCode="0.0000"/>
    <numFmt numFmtId="170" formatCode="#,##0.000"/>
    <numFmt numFmtId="171" formatCode="0.000"/>
  </numFmts>
  <fonts count="24" x14ac:knownFonts="1">
    <font>
      <sz val="11"/>
      <color theme="1"/>
      <name val="Calibri"/>
      <family val="2"/>
      <scheme val="minor"/>
    </font>
    <font>
      <b/>
      <sz val="11"/>
      <color theme="1"/>
      <name val="Calibri"/>
      <family val="2"/>
      <scheme val="minor"/>
    </font>
    <font>
      <i/>
      <sz val="11"/>
      <color theme="1"/>
      <name val="Calibri"/>
      <family val="2"/>
      <scheme val="minor"/>
    </font>
    <font>
      <sz val="12"/>
      <color theme="1"/>
      <name val="Times New Roman"/>
      <family val="2"/>
    </font>
    <font>
      <b/>
      <sz val="12"/>
      <color theme="1"/>
      <name val="Times New Roman"/>
      <family val="1"/>
    </font>
    <font>
      <sz val="11"/>
      <name val="Calibri"/>
      <family val="2"/>
      <scheme val="minor"/>
    </font>
    <font>
      <b/>
      <sz val="12"/>
      <color theme="1"/>
      <name val="Arial"/>
      <family val="2"/>
    </font>
    <font>
      <b/>
      <sz val="14"/>
      <color rgb="FF0070C0"/>
      <name val="Arial"/>
      <family val="2"/>
    </font>
    <font>
      <sz val="12"/>
      <color theme="1"/>
      <name val="Arial"/>
      <family val="2"/>
    </font>
    <font>
      <i/>
      <sz val="12"/>
      <color theme="1"/>
      <name val="Arial"/>
      <family val="2"/>
    </font>
    <font>
      <sz val="11"/>
      <color theme="1"/>
      <name val="Calibri"/>
      <family val="2"/>
    </font>
    <font>
      <b/>
      <sz val="11"/>
      <name val="Calibri"/>
      <family val="2"/>
      <scheme val="minor"/>
    </font>
    <font>
      <sz val="18"/>
      <color theme="1"/>
      <name val="Times New Roman"/>
      <family val="2"/>
    </font>
    <font>
      <sz val="16"/>
      <color theme="1"/>
      <name val="Times New Roman"/>
      <family val="2"/>
    </font>
    <font>
      <b/>
      <sz val="12"/>
      <color rgb="FFFF0000"/>
      <name val="Calibri"/>
      <family val="2"/>
      <scheme val="minor"/>
    </font>
    <font>
      <b/>
      <sz val="14"/>
      <color theme="1"/>
      <name val="Calibri"/>
      <family val="2"/>
      <scheme val="minor"/>
    </font>
    <font>
      <sz val="11"/>
      <color rgb="FF0070C0"/>
      <name val="Calibri"/>
      <family val="2"/>
      <scheme val="minor"/>
    </font>
    <font>
      <b/>
      <sz val="11"/>
      <color rgb="FFFF0000"/>
      <name val="Calibri"/>
      <family val="2"/>
      <scheme val="minor"/>
    </font>
    <font>
      <i/>
      <sz val="11"/>
      <color rgb="FF0070C0"/>
      <name val="Calibri"/>
      <family val="2"/>
      <scheme val="minor"/>
    </font>
    <font>
      <i/>
      <sz val="11"/>
      <color rgb="FF0070C0"/>
      <name val="Calibri"/>
      <family val="2"/>
    </font>
    <font>
      <b/>
      <sz val="14"/>
      <color rgb="FFFF0000"/>
      <name val="Calibri"/>
      <family val="2"/>
      <scheme val="minor"/>
    </font>
    <font>
      <sz val="11"/>
      <color rgb="FFFF0000"/>
      <name val="Calibri"/>
      <family val="2"/>
      <scheme val="minor"/>
    </font>
    <font>
      <b/>
      <sz val="11"/>
      <color rgb="FF00B050"/>
      <name val="Calibri"/>
      <family val="2"/>
      <scheme val="minor"/>
    </font>
    <font>
      <b/>
      <sz val="11"/>
      <color rgb="FF0070C0"/>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rgb="FF92D050"/>
        <bgColor indexed="64"/>
      </patternFill>
    </fill>
    <fill>
      <patternFill patternType="solid">
        <fgColor rgb="FFFFC000"/>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top/>
      <bottom/>
      <diagonal/>
    </border>
    <border>
      <left/>
      <right style="medium">
        <color indexed="64"/>
      </right>
      <top/>
      <bottom/>
      <diagonal/>
    </border>
    <border>
      <left style="thin">
        <color auto="1"/>
      </left>
      <right style="medium">
        <color indexed="64"/>
      </right>
      <top style="thin">
        <color auto="1"/>
      </top>
      <bottom style="thin">
        <color auto="1"/>
      </bottom>
      <diagonal/>
    </border>
    <border>
      <left style="medium">
        <color indexed="64"/>
      </left>
      <right/>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medium">
        <color indexed="64"/>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thin">
        <color auto="1"/>
      </top>
      <bottom style="medium">
        <color indexed="64"/>
      </bottom>
      <diagonal/>
    </border>
    <border>
      <left/>
      <right style="medium">
        <color indexed="64"/>
      </right>
      <top style="thin">
        <color auto="1"/>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3" fillId="0" borderId="0"/>
  </cellStyleXfs>
  <cellXfs count="140">
    <xf numFmtId="0" fontId="0" fillId="0" borderId="0" xfId="0"/>
    <xf numFmtId="0" fontId="1" fillId="0" borderId="0" xfId="0" applyFont="1"/>
    <xf numFmtId="2" fontId="0" fillId="0" borderId="0" xfId="0" applyNumberFormat="1"/>
    <xf numFmtId="0" fontId="0" fillId="2" borderId="1" xfId="0" applyFill="1" applyBorder="1"/>
    <xf numFmtId="0" fontId="2" fillId="0" borderId="0" xfId="0" applyFont="1"/>
    <xf numFmtId="2" fontId="0" fillId="3" borderId="1" xfId="0" applyNumberFormat="1" applyFill="1" applyBorder="1"/>
    <xf numFmtId="14" fontId="0" fillId="0" borderId="0" xfId="0" applyNumberFormat="1"/>
    <xf numFmtId="0" fontId="3" fillId="0" borderId="0" xfId="1"/>
    <xf numFmtId="11" fontId="0" fillId="2" borderId="1" xfId="0" applyNumberFormat="1" applyFill="1" applyBorder="1"/>
    <xf numFmtId="4" fontId="0" fillId="3" borderId="1" xfId="0" applyNumberFormat="1" applyFill="1" applyBorder="1"/>
    <xf numFmtId="164" fontId="0" fillId="3" borderId="1" xfId="0" applyNumberFormat="1" applyFill="1" applyBorder="1"/>
    <xf numFmtId="0" fontId="0" fillId="4" borderId="1" xfId="0" applyFill="1" applyBorder="1"/>
    <xf numFmtId="11" fontId="0" fillId="0" borderId="0" xfId="0" applyNumberFormat="1"/>
    <xf numFmtId="3" fontId="0" fillId="0" borderId="0" xfId="0" applyNumberFormat="1"/>
    <xf numFmtId="165" fontId="0" fillId="0" borderId="0" xfId="0" applyNumberFormat="1"/>
    <xf numFmtId="0" fontId="5" fillId="0" borderId="0" xfId="0" applyFont="1"/>
    <xf numFmtId="0" fontId="5" fillId="4" borderId="1" xfId="0" applyFont="1" applyFill="1" applyBorder="1"/>
    <xf numFmtId="11" fontId="5" fillId="4" borderId="1" xfId="0" applyNumberFormat="1" applyFont="1" applyFill="1" applyBorder="1"/>
    <xf numFmtId="11" fontId="0" fillId="4" borderId="1" xfId="0" applyNumberFormat="1" applyFill="1" applyBorder="1"/>
    <xf numFmtId="0" fontId="0" fillId="3" borderId="1" xfId="0" applyFill="1" applyBorder="1"/>
    <xf numFmtId="0" fontId="8" fillId="2" borderId="6" xfId="1" applyFont="1" applyFill="1" applyBorder="1" applyAlignment="1" applyProtection="1">
      <alignment vertical="center"/>
      <protection locked="0"/>
    </xf>
    <xf numFmtId="0" fontId="8" fillId="2" borderId="8" xfId="1" applyFont="1" applyFill="1" applyBorder="1" applyAlignment="1" applyProtection="1">
      <alignment vertical="center"/>
      <protection locked="0"/>
    </xf>
    <xf numFmtId="166" fontId="8" fillId="2" borderId="11" xfId="1" applyNumberFormat="1" applyFont="1" applyFill="1" applyBorder="1" applyAlignment="1" applyProtection="1">
      <alignment vertical="center"/>
      <protection locked="0"/>
    </xf>
    <xf numFmtId="1" fontId="8" fillId="2" borderId="1" xfId="1" applyNumberFormat="1" applyFont="1" applyFill="1" applyBorder="1" applyAlignment="1" applyProtection="1">
      <alignment vertical="center"/>
      <protection locked="0"/>
    </xf>
    <xf numFmtId="0" fontId="8" fillId="2" borderId="3" xfId="1" applyFont="1" applyFill="1" applyBorder="1" applyProtection="1">
      <protection locked="0"/>
    </xf>
    <xf numFmtId="0" fontId="0" fillId="0" borderId="14" xfId="0" applyBorder="1"/>
    <xf numFmtId="0" fontId="0" fillId="0" borderId="18" xfId="0" applyBorder="1"/>
    <xf numFmtId="168" fontId="0" fillId="0" borderId="0" xfId="0" applyNumberFormat="1"/>
    <xf numFmtId="168" fontId="0" fillId="3" borderId="1" xfId="0" applyNumberFormat="1" applyFill="1" applyBorder="1"/>
    <xf numFmtId="166" fontId="0" fillId="0" borderId="0" xfId="0" applyNumberFormat="1"/>
    <xf numFmtId="0" fontId="0" fillId="0" borderId="15" xfId="0" applyBorder="1"/>
    <xf numFmtId="0" fontId="0" fillId="0" borderId="19" xfId="0" applyBorder="1"/>
    <xf numFmtId="0" fontId="0" fillId="5" borderId="0" xfId="0" applyFill="1"/>
    <xf numFmtId="3" fontId="0" fillId="3" borderId="1" xfId="0" applyNumberFormat="1" applyFill="1" applyBorder="1"/>
    <xf numFmtId="3" fontId="0" fillId="7" borderId="0" xfId="0" applyNumberFormat="1" applyFill="1"/>
    <xf numFmtId="0" fontId="0" fillId="7" borderId="0" xfId="0" applyFill="1"/>
    <xf numFmtId="166" fontId="0" fillId="3" borderId="1" xfId="0" applyNumberFormat="1" applyFill="1" applyBorder="1"/>
    <xf numFmtId="0" fontId="1" fillId="6" borderId="0" xfId="0" applyFont="1" applyFill="1"/>
    <xf numFmtId="0" fontId="11" fillId="6" borderId="0" xfId="0" applyFont="1" applyFill="1"/>
    <xf numFmtId="164" fontId="0" fillId="5" borderId="0" xfId="0" applyNumberFormat="1" applyFill="1"/>
    <xf numFmtId="164" fontId="0" fillId="0" borderId="0" xfId="0" applyNumberFormat="1"/>
    <xf numFmtId="0" fontId="12" fillId="2" borderId="12" xfId="1" applyFont="1" applyFill="1" applyBorder="1" applyAlignment="1">
      <alignment horizontal="center" vertical="center"/>
    </xf>
    <xf numFmtId="0" fontId="12" fillId="2" borderId="22" xfId="1" applyFont="1" applyFill="1" applyBorder="1" applyAlignment="1">
      <alignment horizontal="center" vertical="center"/>
    </xf>
    <xf numFmtId="0" fontId="12" fillId="2" borderId="3" xfId="1" applyFont="1" applyFill="1" applyBorder="1" applyAlignment="1">
      <alignment horizontal="center" vertical="center"/>
    </xf>
    <xf numFmtId="0" fontId="3" fillId="0" borderId="4" xfId="1" applyBorder="1"/>
    <xf numFmtId="0" fontId="3" fillId="0" borderId="5" xfId="1" applyBorder="1"/>
    <xf numFmtId="0" fontId="13" fillId="0" borderId="12" xfId="1" applyFont="1" applyBorder="1"/>
    <xf numFmtId="49" fontId="13" fillId="0" borderId="22" xfId="1" quotePrefix="1" applyNumberFormat="1" applyFont="1" applyBorder="1"/>
    <xf numFmtId="0" fontId="13" fillId="0" borderId="3" xfId="1" applyFont="1" applyBorder="1" applyAlignment="1">
      <alignment vertical="top" wrapText="1"/>
    </xf>
    <xf numFmtId="0" fontId="13" fillId="0" borderId="13" xfId="1" applyFont="1" applyBorder="1"/>
    <xf numFmtId="49" fontId="13" fillId="0" borderId="1" xfId="1" quotePrefix="1" applyNumberFormat="1" applyFont="1" applyBorder="1"/>
    <xf numFmtId="0" fontId="13" fillId="0" borderId="6" xfId="1" applyFont="1" applyBorder="1" applyAlignment="1">
      <alignment vertical="top" wrapText="1"/>
    </xf>
    <xf numFmtId="49" fontId="13" fillId="0" borderId="1" xfId="1" applyNumberFormat="1" applyFont="1" applyBorder="1"/>
    <xf numFmtId="0" fontId="13" fillId="0" borderId="6" xfId="1" applyFont="1" applyBorder="1" applyAlignment="1">
      <alignment wrapText="1"/>
    </xf>
    <xf numFmtId="0" fontId="0" fillId="0" borderId="16" xfId="0" applyBorder="1"/>
    <xf numFmtId="0" fontId="1" fillId="0" borderId="23" xfId="0" applyFont="1" applyBorder="1"/>
    <xf numFmtId="0" fontId="16" fillId="0" borderId="18" xfId="0" applyFont="1" applyBorder="1"/>
    <xf numFmtId="0" fontId="16" fillId="0" borderId="16" xfId="0" applyFont="1" applyBorder="1"/>
    <xf numFmtId="0" fontId="17" fillId="0" borderId="1" xfId="0" applyFont="1" applyBorder="1"/>
    <xf numFmtId="169" fontId="0" fillId="3" borderId="1" xfId="0" applyNumberFormat="1" applyFill="1" applyBorder="1"/>
    <xf numFmtId="0" fontId="18" fillId="0" borderId="0" xfId="0" applyFont="1"/>
    <xf numFmtId="0" fontId="0" fillId="2" borderId="24" xfId="0" applyFill="1" applyBorder="1"/>
    <xf numFmtId="0" fontId="1" fillId="0" borderId="1" xfId="0" applyFont="1" applyBorder="1"/>
    <xf numFmtId="4" fontId="0" fillId="0" borderId="1" xfId="0" applyNumberFormat="1" applyBorder="1"/>
    <xf numFmtId="0" fontId="10" fillId="0" borderId="0" xfId="0" applyFont="1"/>
    <xf numFmtId="166" fontId="0" fillId="0" borderId="1" xfId="0" applyNumberFormat="1" applyBorder="1"/>
    <xf numFmtId="166" fontId="0" fillId="8" borderId="1" xfId="0" applyNumberFormat="1" applyFill="1" applyBorder="1"/>
    <xf numFmtId="11" fontId="0" fillId="3" borderId="1" xfId="0" applyNumberFormat="1" applyFill="1" applyBorder="1"/>
    <xf numFmtId="165" fontId="0" fillId="0" borderId="1" xfId="0" applyNumberFormat="1" applyBorder="1"/>
    <xf numFmtId="166" fontId="16" fillId="0" borderId="0" xfId="0" applyNumberFormat="1" applyFont="1"/>
    <xf numFmtId="4" fontId="0" fillId="0" borderId="0" xfId="0" applyNumberFormat="1"/>
    <xf numFmtId="165" fontId="16" fillId="0" borderId="0" xfId="0" applyNumberFormat="1" applyFont="1"/>
    <xf numFmtId="165" fontId="0" fillId="5" borderId="0" xfId="0" applyNumberFormat="1" applyFill="1"/>
    <xf numFmtId="0" fontId="22" fillId="0" borderId="0" xfId="0" applyFont="1"/>
    <xf numFmtId="0" fontId="1" fillId="7" borderId="0" xfId="0" applyFont="1" applyFill="1"/>
    <xf numFmtId="166" fontId="21" fillId="0" borderId="0" xfId="0" applyNumberFormat="1" applyFont="1"/>
    <xf numFmtId="165" fontId="21" fillId="0" borderId="0" xfId="0" applyNumberFormat="1" applyFont="1"/>
    <xf numFmtId="0" fontId="0" fillId="3" borderId="0" xfId="0" applyFill="1"/>
    <xf numFmtId="0" fontId="8" fillId="0" borderId="0" xfId="0" applyFont="1"/>
    <xf numFmtId="0" fontId="23" fillId="0" borderId="0" xfId="0" applyFont="1"/>
    <xf numFmtId="166" fontId="8" fillId="2" borderId="1" xfId="1" applyNumberFormat="1" applyFont="1" applyFill="1" applyBorder="1" applyAlignment="1" applyProtection="1">
      <alignment vertical="center"/>
      <protection locked="0"/>
    </xf>
    <xf numFmtId="170" fontId="0" fillId="2" borderId="1" xfId="0" applyNumberFormat="1" applyFill="1" applyBorder="1"/>
    <xf numFmtId="165" fontId="0" fillId="3" borderId="1" xfId="0" applyNumberFormat="1" applyFill="1" applyBorder="1"/>
    <xf numFmtId="171" fontId="0" fillId="3" borderId="1" xfId="0" applyNumberFormat="1" applyFill="1" applyBorder="1"/>
    <xf numFmtId="2" fontId="0" fillId="7" borderId="1" xfId="0" applyNumberFormat="1" applyFill="1" applyBorder="1"/>
    <xf numFmtId="0" fontId="0" fillId="0" borderId="1" xfId="0" applyBorder="1" applyAlignment="1">
      <alignment horizontal="center" vertical="center"/>
    </xf>
    <xf numFmtId="0" fontId="6" fillId="2" borderId="1" xfId="1" applyFont="1" applyFill="1" applyBorder="1" applyAlignment="1">
      <alignment horizontal="center" vertical="center"/>
    </xf>
    <xf numFmtId="0" fontId="3" fillId="0" borderId="0" xfId="1" applyAlignment="1">
      <alignment vertical="center"/>
    </xf>
    <xf numFmtId="0" fontId="6" fillId="3" borderId="1" xfId="1" applyFont="1" applyFill="1" applyBorder="1" applyAlignment="1">
      <alignment horizontal="center" vertical="center"/>
    </xf>
    <xf numFmtId="14" fontId="4" fillId="0" borderId="0" xfId="1" applyNumberFormat="1" applyFont="1" applyAlignment="1">
      <alignment vertical="center"/>
    </xf>
    <xf numFmtId="0" fontId="7" fillId="0" borderId="0" xfId="1" applyFont="1" applyAlignment="1">
      <alignment vertical="center"/>
    </xf>
    <xf numFmtId="0" fontId="8" fillId="0" borderId="0" xfId="1" applyFont="1" applyAlignment="1">
      <alignment vertical="center"/>
    </xf>
    <xf numFmtId="0" fontId="6" fillId="0" borderId="2" xfId="1" applyFont="1" applyBorder="1" applyAlignment="1">
      <alignment vertical="center"/>
    </xf>
    <xf numFmtId="0" fontId="6" fillId="0" borderId="4" xfId="1" applyFont="1" applyBorder="1"/>
    <xf numFmtId="0" fontId="8" fillId="0" borderId="5" xfId="1" applyFont="1" applyBorder="1"/>
    <xf numFmtId="0" fontId="6" fillId="0" borderId="4" xfId="1" applyFont="1" applyBorder="1" applyAlignment="1">
      <alignment vertical="center"/>
    </xf>
    <xf numFmtId="0" fontId="14" fillId="0" borderId="0" xfId="0" applyFont="1"/>
    <xf numFmtId="0" fontId="8" fillId="0" borderId="5" xfId="1" applyFont="1" applyBorder="1" applyAlignment="1">
      <alignment vertical="center"/>
    </xf>
    <xf numFmtId="0" fontId="6" fillId="0" borderId="7" xfId="1" applyFont="1" applyBorder="1" applyAlignment="1">
      <alignment vertical="center"/>
    </xf>
    <xf numFmtId="0" fontId="8" fillId="0" borderId="0" xfId="1" applyFont="1"/>
    <xf numFmtId="2" fontId="8" fillId="3" borderId="22" xfId="0" applyNumberFormat="1" applyFont="1" applyFill="1" applyBorder="1" applyAlignment="1">
      <alignment vertical="center"/>
    </xf>
    <xf numFmtId="0" fontId="8" fillId="0" borderId="9" xfId="1" applyFont="1" applyBorder="1" applyAlignment="1">
      <alignment vertical="center"/>
    </xf>
    <xf numFmtId="2" fontId="8" fillId="3" borderId="1" xfId="0" applyNumberFormat="1" applyFont="1" applyFill="1" applyBorder="1"/>
    <xf numFmtId="0" fontId="6" fillId="4" borderId="20" xfId="1" applyFont="1" applyFill="1" applyBorder="1" applyAlignment="1">
      <alignment vertical="center"/>
    </xf>
    <xf numFmtId="0" fontId="6" fillId="4" borderId="21" xfId="1" applyFont="1" applyFill="1" applyBorder="1" applyAlignment="1">
      <alignment vertical="center"/>
    </xf>
    <xf numFmtId="2" fontId="8" fillId="0" borderId="0" xfId="1" applyNumberFormat="1" applyFont="1" applyAlignment="1">
      <alignment vertical="center"/>
    </xf>
    <xf numFmtId="0" fontId="6" fillId="4" borderId="12" xfId="1" applyFont="1" applyFill="1" applyBorder="1" applyAlignment="1">
      <alignment vertical="center"/>
    </xf>
    <xf numFmtId="166" fontId="8" fillId="3" borderId="22" xfId="1" applyNumberFormat="1" applyFont="1" applyFill="1" applyBorder="1" applyAlignment="1">
      <alignment vertical="center"/>
    </xf>
    <xf numFmtId="0" fontId="8" fillId="0" borderId="3" xfId="1" applyFont="1" applyBorder="1" applyAlignment="1">
      <alignment vertical="center"/>
    </xf>
    <xf numFmtId="0" fontId="6" fillId="4" borderId="13" xfId="1" applyFont="1" applyFill="1" applyBorder="1" applyAlignment="1">
      <alignment vertical="center"/>
    </xf>
    <xf numFmtId="0" fontId="6" fillId="4" borderId="6" xfId="1" applyFont="1" applyFill="1" applyBorder="1" applyAlignment="1">
      <alignment vertical="center"/>
    </xf>
    <xf numFmtId="0" fontId="6" fillId="0" borderId="13" xfId="1" applyFont="1" applyBorder="1" applyAlignment="1">
      <alignment vertical="center"/>
    </xf>
    <xf numFmtId="0" fontId="8" fillId="0" borderId="6" xfId="1" applyFont="1" applyBorder="1" applyAlignment="1">
      <alignment vertical="center"/>
    </xf>
    <xf numFmtId="0" fontId="6" fillId="0" borderId="10" xfId="1" applyFont="1" applyBorder="1" applyAlignment="1">
      <alignment vertical="center"/>
    </xf>
    <xf numFmtId="0" fontId="8" fillId="0" borderId="8" xfId="1" applyFont="1" applyBorder="1" applyAlignment="1">
      <alignment vertical="center"/>
    </xf>
    <xf numFmtId="0" fontId="6" fillId="0" borderId="0" xfId="1" applyFont="1" applyAlignment="1">
      <alignment vertical="center"/>
    </xf>
    <xf numFmtId="0" fontId="20" fillId="0" borderId="0" xfId="0" applyFont="1" applyAlignment="1">
      <alignment vertical="center"/>
    </xf>
    <xf numFmtId="2" fontId="8" fillId="3" borderId="1" xfId="0" applyNumberFormat="1" applyFont="1" applyFill="1" applyBorder="1" applyAlignment="1">
      <alignment vertical="center"/>
    </xf>
    <xf numFmtId="166" fontId="8" fillId="3" borderId="3" xfId="0" applyNumberFormat="1" applyFont="1" applyFill="1" applyBorder="1" applyAlignment="1">
      <alignment vertical="center"/>
    </xf>
    <xf numFmtId="0" fontId="6" fillId="0" borderId="12" xfId="1" applyFont="1" applyBorder="1" applyAlignment="1">
      <alignment vertical="center"/>
    </xf>
    <xf numFmtId="166" fontId="8" fillId="3" borderId="5" xfId="0" applyNumberFormat="1" applyFont="1" applyFill="1" applyBorder="1" applyAlignment="1">
      <alignment vertical="center"/>
    </xf>
    <xf numFmtId="0" fontId="9" fillId="0" borderId="0" xfId="1" applyFont="1" applyAlignment="1">
      <alignment vertical="center" wrapText="1"/>
    </xf>
    <xf numFmtId="2" fontId="8" fillId="3" borderId="6" xfId="0" applyNumberFormat="1" applyFont="1" applyFill="1" applyBorder="1" applyAlignment="1">
      <alignment vertical="center"/>
    </xf>
    <xf numFmtId="2" fontId="8" fillId="3" borderId="8" xfId="0" applyNumberFormat="1" applyFont="1" applyFill="1" applyBorder="1" applyAlignment="1">
      <alignment vertical="center"/>
    </xf>
    <xf numFmtId="166" fontId="8" fillId="3" borderId="3" xfId="0" applyNumberFormat="1" applyFont="1" applyFill="1" applyBorder="1" applyAlignment="1">
      <alignment horizontal="right" vertical="center"/>
    </xf>
    <xf numFmtId="0" fontId="8" fillId="3" borderId="6" xfId="0" applyFont="1" applyFill="1" applyBorder="1" applyAlignment="1">
      <alignment horizontal="right" vertical="center"/>
    </xf>
    <xf numFmtId="0" fontId="8" fillId="3" borderId="8" xfId="0" applyFont="1" applyFill="1" applyBorder="1" applyAlignment="1">
      <alignment horizontal="right" vertical="center"/>
    </xf>
    <xf numFmtId="166" fontId="8" fillId="3" borderId="6" xfId="0" applyNumberFormat="1" applyFont="1" applyFill="1" applyBorder="1" applyAlignment="1">
      <alignment vertical="center"/>
    </xf>
    <xf numFmtId="166" fontId="8" fillId="3" borderId="8" xfId="0" applyNumberFormat="1" applyFont="1" applyFill="1" applyBorder="1" applyAlignment="1">
      <alignment vertical="center"/>
    </xf>
    <xf numFmtId="2" fontId="8" fillId="3" borderId="3" xfId="0" applyNumberFormat="1" applyFont="1" applyFill="1" applyBorder="1" applyAlignment="1">
      <alignment vertical="center"/>
    </xf>
    <xf numFmtId="166" fontId="8" fillId="3" borderId="1" xfId="0" applyNumberFormat="1" applyFont="1" applyFill="1" applyBorder="1" applyAlignment="1">
      <alignment vertical="center"/>
    </xf>
    <xf numFmtId="11" fontId="3" fillId="0" borderId="0" xfId="1" applyNumberFormat="1" applyAlignment="1">
      <alignment vertical="center"/>
    </xf>
    <xf numFmtId="164" fontId="3" fillId="0" borderId="0" xfId="1" applyNumberFormat="1" applyAlignment="1">
      <alignment vertical="center"/>
    </xf>
    <xf numFmtId="167" fontId="3" fillId="0" borderId="0" xfId="1" applyNumberFormat="1" applyAlignment="1">
      <alignment vertical="center"/>
    </xf>
    <xf numFmtId="0" fontId="15" fillId="2" borderId="3" xfId="0" applyFont="1" applyFill="1" applyBorder="1" applyAlignment="1" applyProtection="1">
      <alignment horizontal="center" vertical="center"/>
      <protection locked="0"/>
    </xf>
    <xf numFmtId="0" fontId="8" fillId="2" borderId="1" xfId="0" applyFont="1" applyFill="1" applyBorder="1" applyAlignment="1" applyProtection="1">
      <alignment vertical="center"/>
      <protection locked="0"/>
    </xf>
    <xf numFmtId="166" fontId="8" fillId="2" borderId="8" xfId="0" applyNumberFormat="1" applyFont="1" applyFill="1" applyBorder="1" applyAlignment="1" applyProtection="1">
      <alignment vertical="center"/>
      <protection locked="0"/>
    </xf>
    <xf numFmtId="0" fontId="0" fillId="0" borderId="19" xfId="0" applyBorder="1" applyAlignment="1">
      <alignment vertical="center"/>
    </xf>
    <xf numFmtId="0" fontId="0" fillId="0" borderId="17" xfId="0" applyBorder="1" applyAlignment="1">
      <alignment vertical="center"/>
    </xf>
    <xf numFmtId="0" fontId="0" fillId="0" borderId="1" xfId="0" applyBorder="1" applyAlignment="1">
      <alignment horizontal="center"/>
    </xf>
  </cellXfs>
  <cellStyles count="2">
    <cellStyle name="Normal" xfId="0" builtinId="0"/>
    <cellStyle name="Normal 2" xfId="1" xr:uid="{3B515A80-AAFE-4D76-B531-A5F0554673A7}"/>
  </cellStyles>
  <dxfs count="6">
    <dxf>
      <fill>
        <patternFill>
          <bgColor theme="1"/>
        </patternFill>
      </fill>
    </dxf>
    <dxf>
      <fill>
        <patternFill>
          <bgColor theme="1"/>
        </patternFill>
      </fill>
    </dxf>
    <dxf>
      <fill>
        <patternFill>
          <bgColor theme="1"/>
        </patternFill>
      </fill>
    </dxf>
    <dxf>
      <font>
        <color rgb="FF9C0006"/>
      </font>
    </dxf>
    <dxf>
      <font>
        <b/>
        <i val="0"/>
        <color rgb="FFFF0000"/>
      </font>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Bode Plot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v>Loop Gain</c:v>
          </c:tx>
          <c:spPr>
            <a:ln w="19050" cap="rnd">
              <a:solidFill>
                <a:schemeClr val="tx1"/>
              </a:solidFill>
              <a:round/>
            </a:ln>
            <a:effectLst/>
          </c:spPr>
          <c:marker>
            <c:symbol val="none"/>
          </c:marker>
          <c:xVal>
            <c:numRef>
              <c:f>Loop_gain!$A$85:$A$130</c:f>
              <c:numCache>
                <c:formatCode>#,##0</c:formatCode>
                <c:ptCount val="46"/>
                <c:pt idx="0">
                  <c:v>10</c:v>
                </c:pt>
                <c:pt idx="1">
                  <c:v>20</c:v>
                </c:pt>
                <c:pt idx="2">
                  <c:v>30</c:v>
                </c:pt>
                <c:pt idx="3">
                  <c:v>40</c:v>
                </c:pt>
                <c:pt idx="4">
                  <c:v>50</c:v>
                </c:pt>
                <c:pt idx="5">
                  <c:v>60</c:v>
                </c:pt>
                <c:pt idx="6">
                  <c:v>70</c:v>
                </c:pt>
                <c:pt idx="7">
                  <c:v>80</c:v>
                </c:pt>
                <c:pt idx="8">
                  <c:v>90</c:v>
                </c:pt>
                <c:pt idx="9">
                  <c:v>100</c:v>
                </c:pt>
                <c:pt idx="10">
                  <c:v>200</c:v>
                </c:pt>
                <c:pt idx="11">
                  <c:v>300</c:v>
                </c:pt>
                <c:pt idx="12">
                  <c:v>400</c:v>
                </c:pt>
                <c:pt idx="13">
                  <c:v>500</c:v>
                </c:pt>
                <c:pt idx="14">
                  <c:v>600</c:v>
                </c:pt>
                <c:pt idx="15">
                  <c:v>700</c:v>
                </c:pt>
                <c:pt idx="16">
                  <c:v>800</c:v>
                </c:pt>
                <c:pt idx="17">
                  <c:v>900</c:v>
                </c:pt>
                <c:pt idx="18">
                  <c:v>1000</c:v>
                </c:pt>
                <c:pt idx="19">
                  <c:v>2000</c:v>
                </c:pt>
                <c:pt idx="20">
                  <c:v>3000</c:v>
                </c:pt>
                <c:pt idx="21">
                  <c:v>4000</c:v>
                </c:pt>
                <c:pt idx="22">
                  <c:v>5000</c:v>
                </c:pt>
                <c:pt idx="23">
                  <c:v>6000</c:v>
                </c:pt>
                <c:pt idx="24">
                  <c:v>7000</c:v>
                </c:pt>
                <c:pt idx="25">
                  <c:v>8000</c:v>
                </c:pt>
                <c:pt idx="26">
                  <c:v>9000</c:v>
                </c:pt>
                <c:pt idx="27">
                  <c:v>10000</c:v>
                </c:pt>
                <c:pt idx="28">
                  <c:v>20000</c:v>
                </c:pt>
                <c:pt idx="29">
                  <c:v>30000</c:v>
                </c:pt>
                <c:pt idx="30">
                  <c:v>40000</c:v>
                </c:pt>
                <c:pt idx="31">
                  <c:v>50000</c:v>
                </c:pt>
                <c:pt idx="32">
                  <c:v>60000</c:v>
                </c:pt>
                <c:pt idx="33">
                  <c:v>70000</c:v>
                </c:pt>
                <c:pt idx="34">
                  <c:v>80000</c:v>
                </c:pt>
                <c:pt idx="35">
                  <c:v>90000</c:v>
                </c:pt>
                <c:pt idx="36">
                  <c:v>100000</c:v>
                </c:pt>
                <c:pt idx="37">
                  <c:v>200000</c:v>
                </c:pt>
                <c:pt idx="38">
                  <c:v>300000</c:v>
                </c:pt>
                <c:pt idx="39">
                  <c:v>400000</c:v>
                </c:pt>
                <c:pt idx="40">
                  <c:v>500000</c:v>
                </c:pt>
                <c:pt idx="41">
                  <c:v>600000</c:v>
                </c:pt>
                <c:pt idx="42">
                  <c:v>700000</c:v>
                </c:pt>
                <c:pt idx="43">
                  <c:v>800000</c:v>
                </c:pt>
                <c:pt idx="44">
                  <c:v>900000</c:v>
                </c:pt>
                <c:pt idx="45">
                  <c:v>1000000</c:v>
                </c:pt>
              </c:numCache>
            </c:numRef>
          </c:xVal>
          <c:yVal>
            <c:numRef>
              <c:f>Loop_gain!$S$85:$S$130</c:f>
              <c:numCache>
                <c:formatCode>0.0</c:formatCode>
                <c:ptCount val="46"/>
                <c:pt idx="0">
                  <c:v>72.664541977848828</c:v>
                </c:pt>
                <c:pt idx="1">
                  <c:v>72.493250369403754</c:v>
                </c:pt>
                <c:pt idx="2">
                  <c:v>72.221922979540466</c:v>
                </c:pt>
                <c:pt idx="3">
                  <c:v>71.86837221010947</c:v>
                </c:pt>
                <c:pt idx="4">
                  <c:v>71.452240981502101</c:v>
                </c:pt>
                <c:pt idx="5">
                  <c:v>70.992256480302473</c:v>
                </c:pt>
                <c:pt idx="6">
                  <c:v>70.504579867225303</c:v>
                </c:pt>
                <c:pt idx="7">
                  <c:v>70.002180363308042</c:v>
                </c:pt>
                <c:pt idx="8">
                  <c:v>69.49490217909009</c:v>
                </c:pt>
                <c:pt idx="9">
                  <c:v>68.989884175925582</c:v>
                </c:pt>
                <c:pt idx="10">
                  <c:v>64.602297210864648</c:v>
                </c:pt>
                <c:pt idx="11">
                  <c:v>61.42246524416425</c:v>
                </c:pt>
                <c:pt idx="12">
                  <c:v>59.000086649553559</c:v>
                </c:pt>
                <c:pt idx="13">
                  <c:v>57.043199428666462</c:v>
                </c:pt>
                <c:pt idx="14">
                  <c:v>55.392630280737684</c:v>
                </c:pt>
                <c:pt idx="15">
                  <c:v>53.956088778018682</c:v>
                </c:pt>
                <c:pt idx="16">
                  <c:v>52.676367516618996</c:v>
                </c:pt>
                <c:pt idx="17">
                  <c:v>51.516026324267081</c:v>
                </c:pt>
                <c:pt idx="18">
                  <c:v>50.449489678584797</c:v>
                </c:pt>
                <c:pt idx="19">
                  <c:v>42.544560129437222</c:v>
                </c:pt>
                <c:pt idx="20">
                  <c:v>37.112309663004829</c:v>
                </c:pt>
                <c:pt idx="21">
                  <c:v>32.992325616703539</c:v>
                </c:pt>
                <c:pt idx="22">
                  <c:v>29.737089497115157</c:v>
                </c:pt>
                <c:pt idx="23">
                  <c:v>27.09263349831016</c:v>
                </c:pt>
                <c:pt idx="24">
                  <c:v>24.897886225078764</c:v>
                </c:pt>
                <c:pt idx="25">
                  <c:v>23.044487389566932</c:v>
                </c:pt>
                <c:pt idx="26">
                  <c:v>21.456392892064695</c:v>
                </c:pt>
                <c:pt idx="27">
                  <c:v>20.078486592079347</c:v>
                </c:pt>
                <c:pt idx="28">
                  <c:v>12.163162895480147</c:v>
                </c:pt>
                <c:pt idx="29">
                  <c:v>8.4326936276973647</c:v>
                </c:pt>
                <c:pt idx="30">
                  <c:v>6.1614121082335416</c:v>
                </c:pt>
                <c:pt idx="31">
                  <c:v>4.6232252560565827</c:v>
                </c:pt>
                <c:pt idx="32">
                  <c:v>3.51895428710464</c:v>
                </c:pt>
                <c:pt idx="33">
                  <c:v>2.6933824119109278</c:v>
                </c:pt>
                <c:pt idx="34">
                  <c:v>2.0552288057025092</c:v>
                </c:pt>
                <c:pt idx="35">
                  <c:v>1.5468229345098046</c:v>
                </c:pt>
                <c:pt idx="36">
                  <c:v>1.1300648411070346</c:v>
                </c:pt>
                <c:pt idx="37">
                  <c:v>-1.2481764028080262</c:v>
                </c:pt>
                <c:pt idx="38">
                  <c:v>-3.1565550751936833</c:v>
                </c:pt>
                <c:pt idx="39">
                  <c:v>-5.3043837965986302</c:v>
                </c:pt>
                <c:pt idx="40">
                  <c:v>-7.6973278072010025</c:v>
                </c:pt>
                <c:pt idx="41">
                  <c:v>-10.274155266163953</c:v>
                </c:pt>
                <c:pt idx="42">
                  <c:v>-12.978441244076988</c:v>
                </c:pt>
                <c:pt idx="43">
                  <c:v>-15.765537212088484</c:v>
                </c:pt>
                <c:pt idx="44">
                  <c:v>-18.599292981312807</c:v>
                </c:pt>
                <c:pt idx="45">
                  <c:v>-21.449059323062578</c:v>
                </c:pt>
              </c:numCache>
            </c:numRef>
          </c:yVal>
          <c:smooth val="1"/>
          <c:extLst>
            <c:ext xmlns:c16="http://schemas.microsoft.com/office/drawing/2014/chart" uri="{C3380CC4-5D6E-409C-BE32-E72D297353CC}">
              <c16:uniqueId val="{00000000-8230-417D-9A41-677F91B36B7D}"/>
            </c:ext>
          </c:extLst>
        </c:ser>
        <c:dLbls>
          <c:showLegendKey val="0"/>
          <c:showVal val="0"/>
          <c:showCatName val="0"/>
          <c:showSerName val="0"/>
          <c:showPercent val="0"/>
          <c:showBubbleSize val="0"/>
        </c:dLbls>
        <c:axId val="460882975"/>
        <c:axId val="1010908687"/>
      </c:scatterChart>
      <c:scatterChart>
        <c:scatterStyle val="smoothMarker"/>
        <c:varyColors val="0"/>
        <c:ser>
          <c:idx val="1"/>
          <c:order val="1"/>
          <c:tx>
            <c:v>Loop Phase</c:v>
          </c:tx>
          <c:spPr>
            <a:ln w="19050" cap="rnd">
              <a:solidFill>
                <a:schemeClr val="tx1"/>
              </a:solidFill>
              <a:prstDash val="sysDot"/>
              <a:round/>
            </a:ln>
            <a:effectLst/>
          </c:spPr>
          <c:marker>
            <c:symbol val="none"/>
          </c:marker>
          <c:xVal>
            <c:numRef>
              <c:f>Loop_gain!$A$85:$A$130</c:f>
              <c:numCache>
                <c:formatCode>#,##0</c:formatCode>
                <c:ptCount val="46"/>
                <c:pt idx="0">
                  <c:v>10</c:v>
                </c:pt>
                <c:pt idx="1">
                  <c:v>20</c:v>
                </c:pt>
                <c:pt idx="2">
                  <c:v>30</c:v>
                </c:pt>
                <c:pt idx="3">
                  <c:v>40</c:v>
                </c:pt>
                <c:pt idx="4">
                  <c:v>50</c:v>
                </c:pt>
                <c:pt idx="5">
                  <c:v>60</c:v>
                </c:pt>
                <c:pt idx="6">
                  <c:v>70</c:v>
                </c:pt>
                <c:pt idx="7">
                  <c:v>80</c:v>
                </c:pt>
                <c:pt idx="8">
                  <c:v>90</c:v>
                </c:pt>
                <c:pt idx="9">
                  <c:v>100</c:v>
                </c:pt>
                <c:pt idx="10">
                  <c:v>200</c:v>
                </c:pt>
                <c:pt idx="11">
                  <c:v>300</c:v>
                </c:pt>
                <c:pt idx="12">
                  <c:v>400</c:v>
                </c:pt>
                <c:pt idx="13">
                  <c:v>500</c:v>
                </c:pt>
                <c:pt idx="14">
                  <c:v>600</c:v>
                </c:pt>
                <c:pt idx="15">
                  <c:v>700</c:v>
                </c:pt>
                <c:pt idx="16">
                  <c:v>800</c:v>
                </c:pt>
                <c:pt idx="17">
                  <c:v>900</c:v>
                </c:pt>
                <c:pt idx="18">
                  <c:v>1000</c:v>
                </c:pt>
                <c:pt idx="19">
                  <c:v>2000</c:v>
                </c:pt>
                <c:pt idx="20">
                  <c:v>3000</c:v>
                </c:pt>
                <c:pt idx="21">
                  <c:v>4000</c:v>
                </c:pt>
                <c:pt idx="22">
                  <c:v>5000</c:v>
                </c:pt>
                <c:pt idx="23">
                  <c:v>6000</c:v>
                </c:pt>
                <c:pt idx="24">
                  <c:v>7000</c:v>
                </c:pt>
                <c:pt idx="25">
                  <c:v>8000</c:v>
                </c:pt>
                <c:pt idx="26">
                  <c:v>9000</c:v>
                </c:pt>
                <c:pt idx="27">
                  <c:v>10000</c:v>
                </c:pt>
                <c:pt idx="28">
                  <c:v>20000</c:v>
                </c:pt>
                <c:pt idx="29">
                  <c:v>30000</c:v>
                </c:pt>
                <c:pt idx="30">
                  <c:v>40000</c:v>
                </c:pt>
                <c:pt idx="31">
                  <c:v>50000</c:v>
                </c:pt>
                <c:pt idx="32">
                  <c:v>60000</c:v>
                </c:pt>
                <c:pt idx="33">
                  <c:v>70000</c:v>
                </c:pt>
                <c:pt idx="34">
                  <c:v>80000</c:v>
                </c:pt>
                <c:pt idx="35">
                  <c:v>90000</c:v>
                </c:pt>
                <c:pt idx="36">
                  <c:v>100000</c:v>
                </c:pt>
                <c:pt idx="37">
                  <c:v>200000</c:v>
                </c:pt>
                <c:pt idx="38">
                  <c:v>300000</c:v>
                </c:pt>
                <c:pt idx="39">
                  <c:v>400000</c:v>
                </c:pt>
                <c:pt idx="40">
                  <c:v>500000</c:v>
                </c:pt>
                <c:pt idx="41">
                  <c:v>600000</c:v>
                </c:pt>
                <c:pt idx="42">
                  <c:v>700000</c:v>
                </c:pt>
                <c:pt idx="43">
                  <c:v>800000</c:v>
                </c:pt>
                <c:pt idx="44">
                  <c:v>900000</c:v>
                </c:pt>
                <c:pt idx="45">
                  <c:v>1000000</c:v>
                </c:pt>
              </c:numCache>
            </c:numRef>
          </c:xVal>
          <c:yVal>
            <c:numRef>
              <c:f>Loop_gain!$AE$85:$AE$130</c:f>
              <c:numCache>
                <c:formatCode>0.00</c:formatCode>
                <c:ptCount val="46"/>
                <c:pt idx="0">
                  <c:v>-6.8743031186473438</c:v>
                </c:pt>
                <c:pt idx="1">
                  <c:v>-13.574507953180808</c:v>
                </c:pt>
                <c:pt idx="2">
                  <c:v>-19.952410182216195</c:v>
                </c:pt>
                <c:pt idx="3">
                  <c:v>-25.902661103888111</c:v>
                </c:pt>
                <c:pt idx="4">
                  <c:v>-31.3671168746611</c:v>
                </c:pt>
                <c:pt idx="5">
                  <c:v>-36.328918514964478</c:v>
                </c:pt>
                <c:pt idx="6">
                  <c:v>-40.801502985188868</c:v>
                </c:pt>
                <c:pt idx="7">
                  <c:v>-44.817160507650968</c:v>
                </c:pt>
                <c:pt idx="8">
                  <c:v>-48.417689626908015</c:v>
                </c:pt>
                <c:pt idx="9">
                  <c:v>-51.647866353028903</c:v>
                </c:pt>
                <c:pt idx="10">
                  <c:v>-71.328291939438856</c:v>
                </c:pt>
                <c:pt idx="11">
                  <c:v>-80.823713671981309</c:v>
                </c:pt>
                <c:pt idx="12">
                  <c:v>-86.871463818231007</c:v>
                </c:pt>
                <c:pt idx="13">
                  <c:v>-91.381756296787003</c:v>
                </c:pt>
                <c:pt idx="14">
                  <c:v>-95.059397443166532</c:v>
                </c:pt>
                <c:pt idx="15">
                  <c:v>-98.217598158998058</c:v>
                </c:pt>
                <c:pt idx="16">
                  <c:v>-101.01455518904955</c:v>
                </c:pt>
                <c:pt idx="17">
                  <c:v>-103.53809865382355</c:v>
                </c:pt>
                <c:pt idx="18">
                  <c:v>-105.84086950284653</c:v>
                </c:pt>
                <c:pt idx="19">
                  <c:v>-121.09212316663508</c:v>
                </c:pt>
                <c:pt idx="20">
                  <c:v>-127.81837500864276</c:v>
                </c:pt>
                <c:pt idx="21">
                  <c:v>-130.1930681800487</c:v>
                </c:pt>
                <c:pt idx="22">
                  <c:v>-130.31834424200721</c:v>
                </c:pt>
                <c:pt idx="23">
                  <c:v>-129.26640691563324</c:v>
                </c:pt>
                <c:pt idx="24">
                  <c:v>-127.6044841130071</c:v>
                </c:pt>
                <c:pt idx="25">
                  <c:v>-125.64551760515032</c:v>
                </c:pt>
                <c:pt idx="26">
                  <c:v>-123.56721106653256</c:v>
                </c:pt>
                <c:pt idx="27">
                  <c:v>-121.47160859229582</c:v>
                </c:pt>
                <c:pt idx="28">
                  <c:v>-104.85088657177518</c:v>
                </c:pt>
                <c:pt idx="29">
                  <c:v>-95.110599052468501</c:v>
                </c:pt>
                <c:pt idx="30">
                  <c:v>-88.911021029286402</c:v>
                </c:pt>
                <c:pt idx="31">
                  <c:v>-84.781819424283455</c:v>
                </c:pt>
                <c:pt idx="32">
                  <c:v>-82.073160164515542</c:v>
                </c:pt>
                <c:pt idx="33">
                  <c:v>-80.430255704937409</c:v>
                </c:pt>
                <c:pt idx="34">
                  <c:v>-79.62272090802216</c:v>
                </c:pt>
                <c:pt idx="35">
                  <c:v>-79.484277347161608</c:v>
                </c:pt>
                <c:pt idx="36">
                  <c:v>-79.888131849350671</c:v>
                </c:pt>
                <c:pt idx="37">
                  <c:v>-99.116611839721287</c:v>
                </c:pt>
                <c:pt idx="38">
                  <c:v>-127.44426279018489</c:v>
                </c:pt>
                <c:pt idx="39">
                  <c:v>-156.52010929638766</c:v>
                </c:pt>
                <c:pt idx="40">
                  <c:v>-184.26461338714989</c:v>
                </c:pt>
                <c:pt idx="41">
                  <c:v>-210.0774022896982</c:v>
                </c:pt>
                <c:pt idx="42">
                  <c:v>-233.8258661008108</c:v>
                </c:pt>
                <c:pt idx="43">
                  <c:v>-255.53586579684327</c:v>
                </c:pt>
                <c:pt idx="44">
                  <c:v>-275.28873813670799</c:v>
                </c:pt>
                <c:pt idx="45">
                  <c:v>-293.19124337515314</c:v>
                </c:pt>
              </c:numCache>
            </c:numRef>
          </c:yVal>
          <c:smooth val="1"/>
          <c:extLst>
            <c:ext xmlns:c16="http://schemas.microsoft.com/office/drawing/2014/chart" uri="{C3380CC4-5D6E-409C-BE32-E72D297353CC}">
              <c16:uniqueId val="{00000001-8230-417D-9A41-677F91B36B7D}"/>
            </c:ext>
          </c:extLst>
        </c:ser>
        <c:dLbls>
          <c:showLegendKey val="0"/>
          <c:showVal val="0"/>
          <c:showCatName val="0"/>
          <c:showSerName val="0"/>
          <c:showPercent val="0"/>
          <c:showBubbleSize val="0"/>
        </c:dLbls>
        <c:axId val="1239312943"/>
        <c:axId val="1239312527"/>
      </c:scatterChart>
      <c:valAx>
        <c:axId val="460882975"/>
        <c:scaling>
          <c:logBase val="10"/>
          <c:orientation val="minMax"/>
          <c:min val="1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0908687"/>
        <c:crossesAt val="-80"/>
        <c:crossBetween val="midCat"/>
      </c:valAx>
      <c:valAx>
        <c:axId val="101090868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Loop Gain (dB)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0882975"/>
        <c:crosses val="autoZero"/>
        <c:crossBetween val="midCat"/>
      </c:valAx>
      <c:valAx>
        <c:axId val="1239312527"/>
        <c:scaling>
          <c:orientation val="minMax"/>
          <c:max val="180"/>
          <c:min val="-18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Phase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39312943"/>
        <c:crosses val="max"/>
        <c:crossBetween val="midCat"/>
        <c:majorUnit val="45"/>
      </c:valAx>
      <c:valAx>
        <c:axId val="1239312943"/>
        <c:scaling>
          <c:logBase val="10"/>
          <c:orientation val="minMax"/>
        </c:scaling>
        <c:delete val="1"/>
        <c:axPos val="b"/>
        <c:numFmt formatCode="#,##0" sourceLinked="1"/>
        <c:majorTickMark val="out"/>
        <c:minorTickMark val="none"/>
        <c:tickLblPos val="nextTo"/>
        <c:crossAx val="1239312527"/>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landscape" horizontalDpi="-3"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Bode Plot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v>Loop Gain</c:v>
          </c:tx>
          <c:spPr>
            <a:ln w="19050" cap="rnd">
              <a:solidFill>
                <a:schemeClr val="tx1"/>
              </a:solidFill>
              <a:round/>
            </a:ln>
            <a:effectLst/>
          </c:spPr>
          <c:marker>
            <c:symbol val="none"/>
          </c:marker>
          <c:xVal>
            <c:numRef>
              <c:f>Loop_gain!$A$85:$A$130</c:f>
              <c:numCache>
                <c:formatCode>#,##0</c:formatCode>
                <c:ptCount val="46"/>
                <c:pt idx="0">
                  <c:v>10</c:v>
                </c:pt>
                <c:pt idx="1">
                  <c:v>20</c:v>
                </c:pt>
                <c:pt idx="2">
                  <c:v>30</c:v>
                </c:pt>
                <c:pt idx="3">
                  <c:v>40</c:v>
                </c:pt>
                <c:pt idx="4">
                  <c:v>50</c:v>
                </c:pt>
                <c:pt idx="5">
                  <c:v>60</c:v>
                </c:pt>
                <c:pt idx="6">
                  <c:v>70</c:v>
                </c:pt>
                <c:pt idx="7">
                  <c:v>80</c:v>
                </c:pt>
                <c:pt idx="8">
                  <c:v>90</c:v>
                </c:pt>
                <c:pt idx="9">
                  <c:v>100</c:v>
                </c:pt>
                <c:pt idx="10">
                  <c:v>200</c:v>
                </c:pt>
                <c:pt idx="11">
                  <c:v>300</c:v>
                </c:pt>
                <c:pt idx="12">
                  <c:v>400</c:v>
                </c:pt>
                <c:pt idx="13">
                  <c:v>500</c:v>
                </c:pt>
                <c:pt idx="14">
                  <c:v>600</c:v>
                </c:pt>
                <c:pt idx="15">
                  <c:v>700</c:v>
                </c:pt>
                <c:pt idx="16">
                  <c:v>800</c:v>
                </c:pt>
                <c:pt idx="17">
                  <c:v>900</c:v>
                </c:pt>
                <c:pt idx="18">
                  <c:v>1000</c:v>
                </c:pt>
                <c:pt idx="19">
                  <c:v>2000</c:v>
                </c:pt>
                <c:pt idx="20">
                  <c:v>3000</c:v>
                </c:pt>
                <c:pt idx="21">
                  <c:v>4000</c:v>
                </c:pt>
                <c:pt idx="22">
                  <c:v>5000</c:v>
                </c:pt>
                <c:pt idx="23">
                  <c:v>6000</c:v>
                </c:pt>
                <c:pt idx="24">
                  <c:v>7000</c:v>
                </c:pt>
                <c:pt idx="25">
                  <c:v>8000</c:v>
                </c:pt>
                <c:pt idx="26">
                  <c:v>9000</c:v>
                </c:pt>
                <c:pt idx="27">
                  <c:v>10000</c:v>
                </c:pt>
                <c:pt idx="28">
                  <c:v>20000</c:v>
                </c:pt>
                <c:pt idx="29">
                  <c:v>30000</c:v>
                </c:pt>
                <c:pt idx="30">
                  <c:v>40000</c:v>
                </c:pt>
                <c:pt idx="31">
                  <c:v>50000</c:v>
                </c:pt>
                <c:pt idx="32">
                  <c:v>60000</c:v>
                </c:pt>
                <c:pt idx="33">
                  <c:v>70000</c:v>
                </c:pt>
                <c:pt idx="34">
                  <c:v>80000</c:v>
                </c:pt>
                <c:pt idx="35">
                  <c:v>90000</c:v>
                </c:pt>
                <c:pt idx="36">
                  <c:v>100000</c:v>
                </c:pt>
                <c:pt idx="37">
                  <c:v>200000</c:v>
                </c:pt>
                <c:pt idx="38">
                  <c:v>300000</c:v>
                </c:pt>
                <c:pt idx="39">
                  <c:v>400000</c:v>
                </c:pt>
                <c:pt idx="40">
                  <c:v>500000</c:v>
                </c:pt>
                <c:pt idx="41">
                  <c:v>600000</c:v>
                </c:pt>
                <c:pt idx="42">
                  <c:v>700000</c:v>
                </c:pt>
                <c:pt idx="43">
                  <c:v>800000</c:v>
                </c:pt>
                <c:pt idx="44">
                  <c:v>900000</c:v>
                </c:pt>
                <c:pt idx="45">
                  <c:v>1000000</c:v>
                </c:pt>
              </c:numCache>
            </c:numRef>
          </c:xVal>
          <c:yVal>
            <c:numRef>
              <c:f>Loop_gain!$S$85:$S$130</c:f>
              <c:numCache>
                <c:formatCode>0.0</c:formatCode>
                <c:ptCount val="46"/>
                <c:pt idx="0">
                  <c:v>72.664541977848828</c:v>
                </c:pt>
                <c:pt idx="1">
                  <c:v>72.493250369403754</c:v>
                </c:pt>
                <c:pt idx="2">
                  <c:v>72.221922979540466</c:v>
                </c:pt>
                <c:pt idx="3">
                  <c:v>71.86837221010947</c:v>
                </c:pt>
                <c:pt idx="4">
                  <c:v>71.452240981502101</c:v>
                </c:pt>
                <c:pt idx="5">
                  <c:v>70.992256480302473</c:v>
                </c:pt>
                <c:pt idx="6">
                  <c:v>70.504579867225303</c:v>
                </c:pt>
                <c:pt idx="7">
                  <c:v>70.002180363308042</c:v>
                </c:pt>
                <c:pt idx="8">
                  <c:v>69.49490217909009</c:v>
                </c:pt>
                <c:pt idx="9">
                  <c:v>68.989884175925582</c:v>
                </c:pt>
                <c:pt idx="10">
                  <c:v>64.602297210864648</c:v>
                </c:pt>
                <c:pt idx="11">
                  <c:v>61.42246524416425</c:v>
                </c:pt>
                <c:pt idx="12">
                  <c:v>59.000086649553559</c:v>
                </c:pt>
                <c:pt idx="13">
                  <c:v>57.043199428666462</c:v>
                </c:pt>
                <c:pt idx="14">
                  <c:v>55.392630280737684</c:v>
                </c:pt>
                <c:pt idx="15">
                  <c:v>53.956088778018682</c:v>
                </c:pt>
                <c:pt idx="16">
                  <c:v>52.676367516618996</c:v>
                </c:pt>
                <c:pt idx="17">
                  <c:v>51.516026324267081</c:v>
                </c:pt>
                <c:pt idx="18">
                  <c:v>50.449489678584797</c:v>
                </c:pt>
                <c:pt idx="19">
                  <c:v>42.544560129437222</c:v>
                </c:pt>
                <c:pt idx="20">
                  <c:v>37.112309663004829</c:v>
                </c:pt>
                <c:pt idx="21">
                  <c:v>32.992325616703539</c:v>
                </c:pt>
                <c:pt idx="22">
                  <c:v>29.737089497115157</c:v>
                </c:pt>
                <c:pt idx="23">
                  <c:v>27.09263349831016</c:v>
                </c:pt>
                <c:pt idx="24">
                  <c:v>24.897886225078764</c:v>
                </c:pt>
                <c:pt idx="25">
                  <c:v>23.044487389566932</c:v>
                </c:pt>
                <c:pt idx="26">
                  <c:v>21.456392892064695</c:v>
                </c:pt>
                <c:pt idx="27">
                  <c:v>20.078486592079347</c:v>
                </c:pt>
                <c:pt idx="28">
                  <c:v>12.163162895480147</c:v>
                </c:pt>
                <c:pt idx="29">
                  <c:v>8.4326936276973647</c:v>
                </c:pt>
                <c:pt idx="30">
                  <c:v>6.1614121082335416</c:v>
                </c:pt>
                <c:pt idx="31">
                  <c:v>4.6232252560565827</c:v>
                </c:pt>
                <c:pt idx="32">
                  <c:v>3.51895428710464</c:v>
                </c:pt>
                <c:pt idx="33">
                  <c:v>2.6933824119109278</c:v>
                </c:pt>
                <c:pt idx="34">
                  <c:v>2.0552288057025092</c:v>
                </c:pt>
                <c:pt idx="35">
                  <c:v>1.5468229345098046</c:v>
                </c:pt>
                <c:pt idx="36">
                  <c:v>1.1300648411070346</c:v>
                </c:pt>
                <c:pt idx="37">
                  <c:v>-1.2481764028080262</c:v>
                </c:pt>
                <c:pt idx="38">
                  <c:v>-3.1565550751936833</c:v>
                </c:pt>
                <c:pt idx="39">
                  <c:v>-5.3043837965986302</c:v>
                </c:pt>
                <c:pt idx="40">
                  <c:v>-7.6973278072010025</c:v>
                </c:pt>
                <c:pt idx="41">
                  <c:v>-10.274155266163953</c:v>
                </c:pt>
                <c:pt idx="42">
                  <c:v>-12.978441244076988</c:v>
                </c:pt>
                <c:pt idx="43">
                  <c:v>-15.765537212088484</c:v>
                </c:pt>
                <c:pt idx="44">
                  <c:v>-18.599292981312807</c:v>
                </c:pt>
                <c:pt idx="45">
                  <c:v>-21.449059323062578</c:v>
                </c:pt>
              </c:numCache>
            </c:numRef>
          </c:yVal>
          <c:smooth val="1"/>
          <c:extLst>
            <c:ext xmlns:c16="http://schemas.microsoft.com/office/drawing/2014/chart" uri="{C3380CC4-5D6E-409C-BE32-E72D297353CC}">
              <c16:uniqueId val="{00000000-C069-4B1D-87E5-5532CA980984}"/>
            </c:ext>
          </c:extLst>
        </c:ser>
        <c:dLbls>
          <c:showLegendKey val="0"/>
          <c:showVal val="0"/>
          <c:showCatName val="0"/>
          <c:showSerName val="0"/>
          <c:showPercent val="0"/>
          <c:showBubbleSize val="0"/>
        </c:dLbls>
        <c:axId val="460882975"/>
        <c:axId val="1010908687"/>
      </c:scatterChart>
      <c:scatterChart>
        <c:scatterStyle val="smoothMarker"/>
        <c:varyColors val="0"/>
        <c:ser>
          <c:idx val="1"/>
          <c:order val="1"/>
          <c:tx>
            <c:v>Loop Phase</c:v>
          </c:tx>
          <c:spPr>
            <a:ln w="19050" cap="rnd">
              <a:solidFill>
                <a:schemeClr val="tx1"/>
              </a:solidFill>
              <a:prstDash val="sysDot"/>
              <a:round/>
            </a:ln>
            <a:effectLst/>
          </c:spPr>
          <c:marker>
            <c:symbol val="none"/>
          </c:marker>
          <c:xVal>
            <c:numRef>
              <c:f>Loop_gain!$A$85:$A$130</c:f>
              <c:numCache>
                <c:formatCode>#,##0</c:formatCode>
                <c:ptCount val="46"/>
                <c:pt idx="0">
                  <c:v>10</c:v>
                </c:pt>
                <c:pt idx="1">
                  <c:v>20</c:v>
                </c:pt>
                <c:pt idx="2">
                  <c:v>30</c:v>
                </c:pt>
                <c:pt idx="3">
                  <c:v>40</c:v>
                </c:pt>
                <c:pt idx="4">
                  <c:v>50</c:v>
                </c:pt>
                <c:pt idx="5">
                  <c:v>60</c:v>
                </c:pt>
                <c:pt idx="6">
                  <c:v>70</c:v>
                </c:pt>
                <c:pt idx="7">
                  <c:v>80</c:v>
                </c:pt>
                <c:pt idx="8">
                  <c:v>90</c:v>
                </c:pt>
                <c:pt idx="9">
                  <c:v>100</c:v>
                </c:pt>
                <c:pt idx="10">
                  <c:v>200</c:v>
                </c:pt>
                <c:pt idx="11">
                  <c:v>300</c:v>
                </c:pt>
                <c:pt idx="12">
                  <c:v>400</c:v>
                </c:pt>
                <c:pt idx="13">
                  <c:v>500</c:v>
                </c:pt>
                <c:pt idx="14">
                  <c:v>600</c:v>
                </c:pt>
                <c:pt idx="15">
                  <c:v>700</c:v>
                </c:pt>
                <c:pt idx="16">
                  <c:v>800</c:v>
                </c:pt>
                <c:pt idx="17">
                  <c:v>900</c:v>
                </c:pt>
                <c:pt idx="18">
                  <c:v>1000</c:v>
                </c:pt>
                <c:pt idx="19">
                  <c:v>2000</c:v>
                </c:pt>
                <c:pt idx="20">
                  <c:v>3000</c:v>
                </c:pt>
                <c:pt idx="21">
                  <c:v>4000</c:v>
                </c:pt>
                <c:pt idx="22">
                  <c:v>5000</c:v>
                </c:pt>
                <c:pt idx="23">
                  <c:v>6000</c:v>
                </c:pt>
                <c:pt idx="24">
                  <c:v>7000</c:v>
                </c:pt>
                <c:pt idx="25">
                  <c:v>8000</c:v>
                </c:pt>
                <c:pt idx="26">
                  <c:v>9000</c:v>
                </c:pt>
                <c:pt idx="27">
                  <c:v>10000</c:v>
                </c:pt>
                <c:pt idx="28">
                  <c:v>20000</c:v>
                </c:pt>
                <c:pt idx="29">
                  <c:v>30000</c:v>
                </c:pt>
                <c:pt idx="30">
                  <c:v>40000</c:v>
                </c:pt>
                <c:pt idx="31">
                  <c:v>50000</c:v>
                </c:pt>
                <c:pt idx="32">
                  <c:v>60000</c:v>
                </c:pt>
                <c:pt idx="33">
                  <c:v>70000</c:v>
                </c:pt>
                <c:pt idx="34">
                  <c:v>80000</c:v>
                </c:pt>
                <c:pt idx="35">
                  <c:v>90000</c:v>
                </c:pt>
                <c:pt idx="36">
                  <c:v>100000</c:v>
                </c:pt>
                <c:pt idx="37">
                  <c:v>200000</c:v>
                </c:pt>
                <c:pt idx="38">
                  <c:v>300000</c:v>
                </c:pt>
                <c:pt idx="39">
                  <c:v>400000</c:v>
                </c:pt>
                <c:pt idx="40">
                  <c:v>500000</c:v>
                </c:pt>
                <c:pt idx="41">
                  <c:v>600000</c:v>
                </c:pt>
                <c:pt idx="42">
                  <c:v>700000</c:v>
                </c:pt>
                <c:pt idx="43">
                  <c:v>800000</c:v>
                </c:pt>
                <c:pt idx="44">
                  <c:v>900000</c:v>
                </c:pt>
                <c:pt idx="45">
                  <c:v>1000000</c:v>
                </c:pt>
              </c:numCache>
            </c:numRef>
          </c:xVal>
          <c:yVal>
            <c:numRef>
              <c:f>Loop_gain!$AE$85:$AE$130</c:f>
              <c:numCache>
                <c:formatCode>0.00</c:formatCode>
                <c:ptCount val="46"/>
                <c:pt idx="0">
                  <c:v>-6.8743031186473438</c:v>
                </c:pt>
                <c:pt idx="1">
                  <c:v>-13.574507953180808</c:v>
                </c:pt>
                <c:pt idx="2">
                  <c:v>-19.952410182216195</c:v>
                </c:pt>
                <c:pt idx="3">
                  <c:v>-25.902661103888111</c:v>
                </c:pt>
                <c:pt idx="4">
                  <c:v>-31.3671168746611</c:v>
                </c:pt>
                <c:pt idx="5">
                  <c:v>-36.328918514964478</c:v>
                </c:pt>
                <c:pt idx="6">
                  <c:v>-40.801502985188868</c:v>
                </c:pt>
                <c:pt idx="7">
                  <c:v>-44.817160507650968</c:v>
                </c:pt>
                <c:pt idx="8">
                  <c:v>-48.417689626908015</c:v>
                </c:pt>
                <c:pt idx="9">
                  <c:v>-51.647866353028903</c:v>
                </c:pt>
                <c:pt idx="10">
                  <c:v>-71.328291939438856</c:v>
                </c:pt>
                <c:pt idx="11">
                  <c:v>-80.823713671981309</c:v>
                </c:pt>
                <c:pt idx="12">
                  <c:v>-86.871463818231007</c:v>
                </c:pt>
                <c:pt idx="13">
                  <c:v>-91.381756296787003</c:v>
                </c:pt>
                <c:pt idx="14">
                  <c:v>-95.059397443166532</c:v>
                </c:pt>
                <c:pt idx="15">
                  <c:v>-98.217598158998058</c:v>
                </c:pt>
                <c:pt idx="16">
                  <c:v>-101.01455518904955</c:v>
                </c:pt>
                <c:pt idx="17">
                  <c:v>-103.53809865382355</c:v>
                </c:pt>
                <c:pt idx="18">
                  <c:v>-105.84086950284653</c:v>
                </c:pt>
                <c:pt idx="19">
                  <c:v>-121.09212316663508</c:v>
                </c:pt>
                <c:pt idx="20">
                  <c:v>-127.81837500864276</c:v>
                </c:pt>
                <c:pt idx="21">
                  <c:v>-130.1930681800487</c:v>
                </c:pt>
                <c:pt idx="22">
                  <c:v>-130.31834424200721</c:v>
                </c:pt>
                <c:pt idx="23">
                  <c:v>-129.26640691563324</c:v>
                </c:pt>
                <c:pt idx="24">
                  <c:v>-127.6044841130071</c:v>
                </c:pt>
                <c:pt idx="25">
                  <c:v>-125.64551760515032</c:v>
                </c:pt>
                <c:pt idx="26">
                  <c:v>-123.56721106653256</c:v>
                </c:pt>
                <c:pt idx="27">
                  <c:v>-121.47160859229582</c:v>
                </c:pt>
                <c:pt idx="28">
                  <c:v>-104.85088657177518</c:v>
                </c:pt>
                <c:pt idx="29">
                  <c:v>-95.110599052468501</c:v>
                </c:pt>
                <c:pt idx="30">
                  <c:v>-88.911021029286402</c:v>
                </c:pt>
                <c:pt idx="31">
                  <c:v>-84.781819424283455</c:v>
                </c:pt>
                <c:pt idx="32">
                  <c:v>-82.073160164515542</c:v>
                </c:pt>
                <c:pt idx="33">
                  <c:v>-80.430255704937409</c:v>
                </c:pt>
                <c:pt idx="34">
                  <c:v>-79.62272090802216</c:v>
                </c:pt>
                <c:pt idx="35">
                  <c:v>-79.484277347161608</c:v>
                </c:pt>
                <c:pt idx="36">
                  <c:v>-79.888131849350671</c:v>
                </c:pt>
                <c:pt idx="37">
                  <c:v>-99.116611839721287</c:v>
                </c:pt>
                <c:pt idx="38">
                  <c:v>-127.44426279018489</c:v>
                </c:pt>
                <c:pt idx="39">
                  <c:v>-156.52010929638766</c:v>
                </c:pt>
                <c:pt idx="40">
                  <c:v>-184.26461338714989</c:v>
                </c:pt>
                <c:pt idx="41">
                  <c:v>-210.0774022896982</c:v>
                </c:pt>
                <c:pt idx="42">
                  <c:v>-233.8258661008108</c:v>
                </c:pt>
                <c:pt idx="43">
                  <c:v>-255.53586579684327</c:v>
                </c:pt>
                <c:pt idx="44">
                  <c:v>-275.28873813670799</c:v>
                </c:pt>
                <c:pt idx="45">
                  <c:v>-293.19124337515314</c:v>
                </c:pt>
              </c:numCache>
            </c:numRef>
          </c:yVal>
          <c:smooth val="1"/>
          <c:extLst>
            <c:ext xmlns:c16="http://schemas.microsoft.com/office/drawing/2014/chart" uri="{C3380CC4-5D6E-409C-BE32-E72D297353CC}">
              <c16:uniqueId val="{00000001-C069-4B1D-87E5-5532CA980984}"/>
            </c:ext>
          </c:extLst>
        </c:ser>
        <c:dLbls>
          <c:showLegendKey val="0"/>
          <c:showVal val="0"/>
          <c:showCatName val="0"/>
          <c:showSerName val="0"/>
          <c:showPercent val="0"/>
          <c:showBubbleSize val="0"/>
        </c:dLbls>
        <c:axId val="1239312943"/>
        <c:axId val="1239312527"/>
      </c:scatterChart>
      <c:valAx>
        <c:axId val="460882975"/>
        <c:scaling>
          <c:logBase val="10"/>
          <c:orientation val="minMax"/>
          <c:min val="1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10908687"/>
        <c:crossesAt val="-80"/>
        <c:crossBetween val="midCat"/>
      </c:valAx>
      <c:valAx>
        <c:axId val="101090868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Loop Gain (dB)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0882975"/>
        <c:crosses val="autoZero"/>
        <c:crossBetween val="midCat"/>
      </c:valAx>
      <c:valAx>
        <c:axId val="1239312527"/>
        <c:scaling>
          <c:orientation val="minMax"/>
          <c:max val="180"/>
          <c:min val="-18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Phase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39312943"/>
        <c:crosses val="max"/>
        <c:crossBetween val="midCat"/>
        <c:majorUnit val="45"/>
      </c:valAx>
      <c:valAx>
        <c:axId val="1239312943"/>
        <c:scaling>
          <c:logBase val="10"/>
          <c:orientation val="minMax"/>
        </c:scaling>
        <c:delete val="1"/>
        <c:axPos val="b"/>
        <c:numFmt formatCode="#,##0" sourceLinked="1"/>
        <c:majorTickMark val="out"/>
        <c:minorTickMark val="none"/>
        <c:tickLblPos val="nextTo"/>
        <c:crossAx val="1239312527"/>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landscape" horizontalDpi="-3" verticalDpi="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9.jpeg"/><Relationship Id="rId2" Type="http://schemas.openxmlformats.org/officeDocument/2006/relationships/image" Target="../media/image4.png"/><Relationship Id="rId1" Type="http://schemas.openxmlformats.org/officeDocument/2006/relationships/image" Target="../media/image3.jpeg"/><Relationship Id="rId6" Type="http://schemas.openxmlformats.org/officeDocument/2006/relationships/image" Target="../media/image8.jpeg"/><Relationship Id="rId5" Type="http://schemas.openxmlformats.org/officeDocument/2006/relationships/image" Target="../media/image7.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jpeg"/></Relationships>
</file>

<file path=xl/drawings/_rels/drawing6.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3.png"/></Relationships>
</file>

<file path=xl/drawings/_rels/drawing7.xml.rels><?xml version="1.0" encoding="UTF-8" standalone="yes"?>
<Relationships xmlns="http://schemas.openxmlformats.org/package/2006/relationships"><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0</xdr:col>
      <xdr:colOff>209549</xdr:colOff>
      <xdr:row>3</xdr:row>
      <xdr:rowOff>171450</xdr:rowOff>
    </xdr:from>
    <xdr:to>
      <xdr:col>1</xdr:col>
      <xdr:colOff>609599</xdr:colOff>
      <xdr:row>7</xdr:row>
      <xdr:rowOff>142875</xdr:rowOff>
    </xdr:to>
    <xdr:sp macro="" textlink="">
      <xdr:nvSpPr>
        <xdr:cNvPr id="3" name="TextBox 2">
          <a:extLst>
            <a:ext uri="{FF2B5EF4-FFF2-40B4-BE49-F238E27FC236}">
              <a16:creationId xmlns:a16="http://schemas.microsoft.com/office/drawing/2014/main" id="{56FA3E86-7993-4543-9068-48863AA55B3A}"/>
            </a:ext>
          </a:extLst>
        </xdr:cNvPr>
        <xdr:cNvSpPr txBox="1"/>
      </xdr:nvSpPr>
      <xdr:spPr>
        <a:xfrm>
          <a:off x="209549" y="771525"/>
          <a:ext cx="4362450" cy="77152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1">
              <a:solidFill>
                <a:srgbClr val="0070C0"/>
              </a:solidFill>
              <a:latin typeface="+mn-lt"/>
            </a:rPr>
            <a:t>LM656x5 Component Calculator</a:t>
          </a:r>
        </a:p>
        <a:p>
          <a:r>
            <a:rPr lang="en-US" sz="2000" b="1">
              <a:solidFill>
                <a:srgbClr val="0070C0"/>
              </a:solidFill>
              <a:latin typeface="+mn-lt"/>
            </a:rPr>
            <a:t>Rev A0</a:t>
          </a:r>
        </a:p>
      </xdr:txBody>
    </xdr:sp>
    <xdr:clientData/>
  </xdr:twoCellAnchor>
  <xdr:twoCellAnchor>
    <xdr:from>
      <xdr:col>0</xdr:col>
      <xdr:colOff>273326</xdr:colOff>
      <xdr:row>89</xdr:row>
      <xdr:rowOff>24848</xdr:rowOff>
    </xdr:from>
    <xdr:to>
      <xdr:col>3</xdr:col>
      <xdr:colOff>112930</xdr:colOff>
      <xdr:row>113</xdr:row>
      <xdr:rowOff>135262</xdr:rowOff>
    </xdr:to>
    <xdr:graphicFrame macro="">
      <xdr:nvGraphicFramePr>
        <xdr:cNvPr id="4" name="Chart 3">
          <a:extLst>
            <a:ext uri="{FF2B5EF4-FFF2-40B4-BE49-F238E27FC236}">
              <a16:creationId xmlns:a16="http://schemas.microsoft.com/office/drawing/2014/main" id="{9F90B6B4-A66F-4BA6-8CC8-312822ECD8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157369</xdr:colOff>
      <xdr:row>10</xdr:row>
      <xdr:rowOff>74543</xdr:rowOff>
    </xdr:from>
    <xdr:to>
      <xdr:col>12</xdr:col>
      <xdr:colOff>639417</xdr:colOff>
      <xdr:row>24</xdr:row>
      <xdr:rowOff>53836</xdr:rowOff>
    </xdr:to>
    <xdr:pic>
      <xdr:nvPicPr>
        <xdr:cNvPr id="5" name="Picture 4">
          <a:extLst>
            <a:ext uri="{FF2B5EF4-FFF2-40B4-BE49-F238E27FC236}">
              <a16:creationId xmlns:a16="http://schemas.microsoft.com/office/drawing/2014/main" id="{7751B839-6BD9-44BC-9F96-2237AAB14B1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16717" y="2062369"/>
          <a:ext cx="6934200" cy="3714750"/>
        </a:xfrm>
        <a:prstGeom prst="rect">
          <a:avLst/>
        </a:prstGeom>
      </xdr:spPr>
    </xdr:pic>
    <xdr:clientData/>
  </xdr:twoCellAnchor>
  <xdr:twoCellAnchor editAs="oneCell">
    <xdr:from>
      <xdr:col>3</xdr:col>
      <xdr:colOff>372718</xdr:colOff>
      <xdr:row>25</xdr:row>
      <xdr:rowOff>149087</xdr:rowOff>
    </xdr:from>
    <xdr:to>
      <xdr:col>13</xdr:col>
      <xdr:colOff>391490</xdr:colOff>
      <xdr:row>37</xdr:row>
      <xdr:rowOff>8282</xdr:rowOff>
    </xdr:to>
    <xdr:pic>
      <xdr:nvPicPr>
        <xdr:cNvPr id="7" name="Picture 6">
          <a:extLst>
            <a:ext uri="{FF2B5EF4-FFF2-40B4-BE49-F238E27FC236}">
              <a16:creationId xmlns:a16="http://schemas.microsoft.com/office/drawing/2014/main" id="{8995C98E-B36B-4DFE-984B-CBFBC147622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732066" y="6071152"/>
          <a:ext cx="7158381" cy="38348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304799</xdr:colOff>
      <xdr:row>2</xdr:row>
      <xdr:rowOff>38100</xdr:rowOff>
    </xdr:from>
    <xdr:ext cx="6715125" cy="2536079"/>
    <xdr:sp macro="" textlink="">
      <xdr:nvSpPr>
        <xdr:cNvPr id="2" name="TextBox 1">
          <a:extLst>
            <a:ext uri="{FF2B5EF4-FFF2-40B4-BE49-F238E27FC236}">
              <a16:creationId xmlns:a16="http://schemas.microsoft.com/office/drawing/2014/main" id="{5E7E0B4A-FB54-4229-8A10-B118090FC3A0}"/>
            </a:ext>
          </a:extLst>
        </xdr:cNvPr>
        <xdr:cNvSpPr txBox="1"/>
      </xdr:nvSpPr>
      <xdr:spPr>
        <a:xfrm>
          <a:off x="304799" y="438150"/>
          <a:ext cx="6715125" cy="2536079"/>
        </a:xfrm>
        <a:prstGeom prst="rect">
          <a:avLst/>
        </a:prstGeom>
        <a:solidFill>
          <a:schemeClr val="bg1"/>
        </a:solid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solidFill>
                <a:srgbClr val="FF0000"/>
              </a:solidFill>
              <a:effectLst/>
              <a:latin typeface="Arial" panose="020B0604020202020204" pitchFamily="34" charset="0"/>
              <a:ea typeface="+mn-ea"/>
              <a:cs typeface="Arial" panose="020B0604020202020204" pitchFamily="34" charset="0"/>
            </a:rPr>
            <a:t>Texas Instruments:</a:t>
          </a:r>
          <a:endParaRPr lang="en-US" sz="1200" b="1">
            <a:solidFill>
              <a:srgbClr val="FF0000"/>
            </a:solidFill>
            <a:effectLst/>
            <a:latin typeface="Arial" panose="020B0604020202020204" pitchFamily="34" charset="0"/>
            <a:ea typeface="+mn-ea"/>
            <a:cs typeface="Arial" panose="020B0604020202020204" pitchFamily="34" charset="0"/>
          </a:endParaRPr>
        </a:p>
        <a:p>
          <a:r>
            <a:rPr lang="en-US" sz="1100" b="1">
              <a:solidFill>
                <a:schemeClr val="tx1"/>
              </a:solidFill>
              <a:effectLst/>
              <a:latin typeface="+mn-lt"/>
              <a:ea typeface="+mn-ea"/>
              <a:cs typeface="+mn-cs"/>
            </a:rPr>
            <a:t> </a:t>
          </a:r>
          <a:endParaRPr lang="en-US" sz="1100">
            <a:solidFill>
              <a:schemeClr val="tx1"/>
            </a:solidFill>
            <a:effectLst/>
            <a:latin typeface="+mn-lt"/>
            <a:ea typeface="+mn-ea"/>
            <a:cs typeface="+mn-cs"/>
          </a:endParaRPr>
        </a:p>
        <a:p>
          <a:r>
            <a:rPr lang="en-US" sz="1200" b="1">
              <a:solidFill>
                <a:schemeClr val="tx1"/>
              </a:solidFill>
              <a:effectLst/>
              <a:latin typeface="Arial" panose="020B0604020202020204" pitchFamily="34" charset="0"/>
              <a:ea typeface="+mn-ea"/>
              <a:cs typeface="Arial" panose="020B0604020202020204" pitchFamily="34" charset="0"/>
            </a:rPr>
            <a:t>Limited use policy</a:t>
          </a:r>
          <a:endParaRPr lang="en-US" sz="1200">
            <a:solidFill>
              <a:schemeClr val="tx1"/>
            </a:solidFill>
            <a:effectLst/>
            <a:latin typeface="Arial" panose="020B0604020202020204" pitchFamily="34" charset="0"/>
            <a:ea typeface="+mn-ea"/>
            <a:cs typeface="Arial" panose="020B0604020202020204" pitchFamily="34" charset="0"/>
          </a:endParaRPr>
        </a:p>
        <a:p>
          <a:r>
            <a:rPr lang="en-US" sz="1000">
              <a:solidFill>
                <a:schemeClr val="tx1"/>
              </a:solidFill>
              <a:effectLst/>
              <a:latin typeface="Arial" panose="020B0604020202020204" pitchFamily="34" charset="0"/>
              <a:ea typeface="+mn-ea"/>
              <a:cs typeface="Arial" panose="020B0604020202020204" pitchFamily="34" charset="0"/>
            </a:rPr>
            <a:t>You must treat this software and documentation like any other copyrighted material.</a:t>
          </a:r>
        </a:p>
        <a:p>
          <a:r>
            <a:rPr lang="en-US" sz="1100">
              <a:solidFill>
                <a:schemeClr val="tx1"/>
              </a:solidFill>
              <a:effectLst/>
              <a:latin typeface="Arial" panose="020B0604020202020204" pitchFamily="34" charset="0"/>
              <a:ea typeface="+mn-ea"/>
              <a:cs typeface="Arial" panose="020B0604020202020204" pitchFamily="34" charset="0"/>
            </a:rPr>
            <a:t> </a:t>
          </a:r>
        </a:p>
        <a:p>
          <a:r>
            <a:rPr lang="en-US" sz="1200" b="1">
              <a:solidFill>
                <a:schemeClr val="tx1"/>
              </a:solidFill>
              <a:effectLst/>
              <a:latin typeface="Arial" panose="020B0604020202020204" pitchFamily="34" charset="0"/>
              <a:ea typeface="+mn-ea"/>
              <a:cs typeface="Arial" panose="020B0604020202020204" pitchFamily="34" charset="0"/>
            </a:rPr>
            <a:t>You may not:</a:t>
          </a:r>
          <a:endParaRPr lang="en-US" sz="1200">
            <a:solidFill>
              <a:schemeClr val="tx1"/>
            </a:solidFill>
            <a:effectLst/>
            <a:latin typeface="Arial" panose="020B0604020202020204" pitchFamily="34" charset="0"/>
            <a:ea typeface="+mn-ea"/>
            <a:cs typeface="Arial" panose="020B0604020202020204" pitchFamily="34" charset="0"/>
          </a:endParaRPr>
        </a:p>
        <a:p>
          <a:r>
            <a:rPr lang="en-US" sz="1000">
              <a:solidFill>
                <a:schemeClr val="tx1"/>
              </a:solidFill>
              <a:effectLst/>
              <a:latin typeface="Arial" panose="020B0604020202020204" pitchFamily="34" charset="0"/>
              <a:ea typeface="+mn-ea"/>
              <a:cs typeface="Arial" panose="020B0604020202020204" pitchFamily="34" charset="0"/>
            </a:rPr>
            <a:t>-Copy documentation of the software.</a:t>
          </a:r>
        </a:p>
        <a:p>
          <a:r>
            <a:rPr lang="en-US" sz="1000">
              <a:solidFill>
                <a:schemeClr val="tx1"/>
              </a:solidFill>
              <a:effectLst/>
              <a:latin typeface="Arial" panose="020B0604020202020204" pitchFamily="34" charset="0"/>
              <a:ea typeface="+mn-ea"/>
              <a:cs typeface="Arial" panose="020B0604020202020204" pitchFamily="34" charset="0"/>
            </a:rPr>
            <a:t>-Copy this software except to make archival or backup copies.</a:t>
          </a:r>
        </a:p>
        <a:p>
          <a:r>
            <a:rPr lang="en-US" sz="1000">
              <a:solidFill>
                <a:schemeClr val="tx1"/>
              </a:solidFill>
              <a:effectLst/>
              <a:latin typeface="Arial" panose="020B0604020202020204" pitchFamily="34" charset="0"/>
              <a:ea typeface="+mn-ea"/>
              <a:cs typeface="Arial" panose="020B0604020202020204" pitchFamily="34" charset="0"/>
            </a:rPr>
            <a:t>-Reverse engineer, decompile, disassemble, or make any attempt to discover the source code of the software.</a:t>
          </a:r>
        </a:p>
        <a:p>
          <a:r>
            <a:rPr lang="en-US" sz="1000">
              <a:solidFill>
                <a:schemeClr val="tx1"/>
              </a:solidFill>
              <a:effectLst/>
              <a:latin typeface="Arial" panose="020B0604020202020204" pitchFamily="34" charset="0"/>
              <a:ea typeface="+mn-ea"/>
              <a:cs typeface="Arial" panose="020B0604020202020204" pitchFamily="34" charset="0"/>
            </a:rPr>
            <a:t>-Place the software onto a server so that it is accessible via a public network suck as the internet.</a:t>
          </a:r>
        </a:p>
        <a:p>
          <a:r>
            <a:rPr lang="en-US" sz="1000">
              <a:solidFill>
                <a:schemeClr val="tx1"/>
              </a:solidFill>
              <a:effectLst/>
              <a:latin typeface="Arial" panose="020B0604020202020204" pitchFamily="34" charset="0"/>
              <a:ea typeface="+mn-ea"/>
              <a:cs typeface="Arial" panose="020B0604020202020204" pitchFamily="34" charset="0"/>
            </a:rPr>
            <a:t>-Sublicense, rent, lease, or lend any portion of the software or documentation.</a:t>
          </a:r>
        </a:p>
        <a:p>
          <a:r>
            <a:rPr lang="en-US" sz="1100">
              <a:solidFill>
                <a:schemeClr val="tx1"/>
              </a:solidFill>
              <a:effectLst/>
              <a:latin typeface="Arial" panose="020B0604020202020204" pitchFamily="34" charset="0"/>
              <a:ea typeface="+mn-ea"/>
              <a:cs typeface="Arial" panose="020B0604020202020204" pitchFamily="34" charset="0"/>
            </a:rPr>
            <a:t> </a:t>
          </a:r>
        </a:p>
        <a:p>
          <a:r>
            <a:rPr lang="en-US" sz="1200">
              <a:solidFill>
                <a:schemeClr val="tx1"/>
              </a:solidFill>
              <a:effectLst/>
              <a:latin typeface="Arial" panose="020B0604020202020204" pitchFamily="34" charset="0"/>
              <a:ea typeface="+mn-ea"/>
              <a:cs typeface="Arial" panose="020B0604020202020204" pitchFamily="34" charset="0"/>
            </a:rPr>
            <a:t>Texas instruments is not responsible for the validity of any design created with this software and urges all designs to be fully tested and carefully verified.  Refer to the LM656x5</a:t>
          </a:r>
          <a:r>
            <a:rPr lang="en-US" sz="1200" baseline="0">
              <a:solidFill>
                <a:schemeClr val="tx1"/>
              </a:solidFill>
              <a:effectLst/>
              <a:latin typeface="Arial" panose="020B0604020202020204" pitchFamily="34" charset="0"/>
              <a:ea typeface="+mn-ea"/>
              <a:cs typeface="Arial" panose="020B0604020202020204" pitchFamily="34" charset="0"/>
            </a:rPr>
            <a:t> </a:t>
          </a:r>
          <a:r>
            <a:rPr lang="en-US" sz="1200">
              <a:solidFill>
                <a:schemeClr val="tx1"/>
              </a:solidFill>
              <a:effectLst/>
              <a:latin typeface="Arial" panose="020B0604020202020204" pitchFamily="34" charset="0"/>
              <a:ea typeface="+mn-ea"/>
              <a:cs typeface="Arial" panose="020B0604020202020204" pitchFamily="34" charset="0"/>
            </a:rPr>
            <a:t>data sheet and EVM user's guide for more details.</a:t>
          </a:r>
        </a:p>
      </xdr:txBody>
    </xdr:sp>
    <xdr:clientData/>
  </xdr:oneCellAnchor>
  <xdr:oneCellAnchor>
    <xdr:from>
      <xdr:col>0</xdr:col>
      <xdr:colOff>314325</xdr:colOff>
      <xdr:row>16</xdr:row>
      <xdr:rowOff>19048</xdr:rowOff>
    </xdr:from>
    <xdr:ext cx="14230350" cy="12346887"/>
    <xdr:sp macro="" textlink="">
      <xdr:nvSpPr>
        <xdr:cNvPr id="3" name="TextBox 2">
          <a:extLst>
            <a:ext uri="{FF2B5EF4-FFF2-40B4-BE49-F238E27FC236}">
              <a16:creationId xmlns:a16="http://schemas.microsoft.com/office/drawing/2014/main" id="{E0F1C278-AC58-4642-B51C-2072BDBCA909}"/>
            </a:ext>
          </a:extLst>
        </xdr:cNvPr>
        <xdr:cNvSpPr txBox="1"/>
      </xdr:nvSpPr>
      <xdr:spPr>
        <a:xfrm>
          <a:off x="314325" y="3199570"/>
          <a:ext cx="14230350" cy="12346887"/>
        </a:xfrm>
        <a:prstGeom prst="rect">
          <a:avLst/>
        </a:prstGeom>
        <a:solidFill>
          <a:schemeClr val="bg1"/>
        </a:solid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b="1">
              <a:solidFill>
                <a:srgbClr val="FF0000"/>
              </a:solidFill>
              <a:latin typeface="Arial" panose="020B0604020202020204" pitchFamily="34" charset="0"/>
              <a:cs typeface="Arial" panose="020B0604020202020204" pitchFamily="34" charset="0"/>
            </a:rPr>
            <a:t>LM656x5 Quick Start Design Tool</a:t>
          </a:r>
        </a:p>
        <a:p>
          <a:endParaRPr lang="en-US" sz="1100"/>
        </a:p>
        <a:p>
          <a:r>
            <a:rPr lang="en-US" sz="1200">
              <a:latin typeface="Arial" panose="020B0604020202020204" pitchFamily="34" charset="0"/>
              <a:cs typeface="Arial" panose="020B0604020202020204" pitchFamily="34" charset="0"/>
            </a:rPr>
            <a:t>This</a:t>
          </a:r>
          <a:r>
            <a:rPr lang="en-US" sz="1200" baseline="0">
              <a:latin typeface="Arial" panose="020B0604020202020204" pitchFamily="34" charset="0"/>
              <a:cs typeface="Arial" panose="020B0604020202020204" pitchFamily="34" charset="0"/>
            </a:rPr>
            <a:t> calculator can be used to select typical component values for the LM656x5 family of DC/DC buck converters.  Unless otherwise noted, the mode is assumed to be FPWM regardless of output current.  The user is encouraged to check the results over the full input voltage and load current range of the application.   The results given are only typical.  As always, the final design must be tested on the bench before committing to production.  For more details about achieving  a successful design, see the LM656x5 data sheets. </a:t>
          </a:r>
        </a:p>
        <a:p>
          <a:endParaRPr lang="en-US" sz="1200" baseline="0">
            <a:latin typeface="Arial" panose="020B0604020202020204" pitchFamily="34" charset="0"/>
            <a:cs typeface="Arial" panose="020B0604020202020204" pitchFamily="34" charset="0"/>
          </a:endParaRPr>
        </a:p>
        <a:p>
          <a:endParaRPr lang="en-US" sz="1200" baseline="0">
            <a:latin typeface="Arial" panose="020B0604020202020204" pitchFamily="34" charset="0"/>
            <a:cs typeface="Arial" panose="020B0604020202020204" pitchFamily="34" charset="0"/>
          </a:endParaRPr>
        </a:p>
        <a:p>
          <a:r>
            <a:rPr lang="en-US" sz="1200" b="1">
              <a:solidFill>
                <a:srgbClr val="0070C0"/>
              </a:solidFill>
              <a:latin typeface="Arial" panose="020B0604020202020204" pitchFamily="34" charset="0"/>
              <a:cs typeface="Arial" panose="020B0604020202020204" pitchFamily="34" charset="0"/>
            </a:rPr>
            <a:t>Input Specifications</a:t>
          </a:r>
        </a:p>
        <a:p>
          <a:r>
            <a:rPr lang="en-US" sz="1200">
              <a:latin typeface="Arial" panose="020B0604020202020204" pitchFamily="34" charset="0"/>
              <a:cs typeface="Arial" panose="020B0604020202020204" pitchFamily="34" charset="0"/>
            </a:rPr>
            <a:t>Select</a:t>
          </a:r>
          <a:r>
            <a:rPr lang="en-US" sz="1200" baseline="0">
              <a:latin typeface="Arial" panose="020B0604020202020204" pitchFamily="34" charset="0"/>
              <a:cs typeface="Arial" panose="020B0604020202020204" pitchFamily="34" charset="0"/>
            </a:rPr>
            <a:t> the device type from the pull-down menu and then enter values for  input voltage, output voltage, load current and switching frequency.  The inductor current ripple factor is multiplied by the device </a:t>
          </a:r>
          <a:r>
            <a:rPr lang="en-US" sz="1200" i="1" baseline="0">
              <a:latin typeface="Arial" panose="020B0604020202020204" pitchFamily="34" charset="0"/>
              <a:cs typeface="Arial" panose="020B0604020202020204" pitchFamily="34" charset="0"/>
            </a:rPr>
            <a:t>current rating </a:t>
          </a:r>
          <a:r>
            <a:rPr lang="en-US" sz="1200" baseline="0">
              <a:latin typeface="Arial" panose="020B0604020202020204" pitchFamily="34" charset="0"/>
              <a:cs typeface="Arial" panose="020B0604020202020204" pitchFamily="34" charset="0"/>
            </a:rPr>
            <a:t>to give the inductor ripple current magnitude.  This factor should be in the range of 0.2 to 0.4; 0.3 being the typical value.</a:t>
          </a:r>
        </a:p>
        <a:p>
          <a:endParaRPr lang="en-US" sz="1200" baseline="0">
            <a:latin typeface="Arial" panose="020B0604020202020204" pitchFamily="34" charset="0"/>
            <a:cs typeface="Arial" panose="020B0604020202020204" pitchFamily="34" charset="0"/>
          </a:endParaRPr>
        </a:p>
        <a:p>
          <a:endParaRPr lang="en-US" sz="1200" baseline="0">
            <a:latin typeface="Arial" panose="020B0604020202020204" pitchFamily="34" charset="0"/>
            <a:cs typeface="Arial" panose="020B0604020202020204" pitchFamily="34" charset="0"/>
          </a:endParaRPr>
        </a:p>
        <a:p>
          <a:r>
            <a:rPr lang="en-US" sz="1200" b="1">
              <a:solidFill>
                <a:srgbClr val="0070C0"/>
              </a:solidFill>
              <a:latin typeface="Arial" panose="020B0604020202020204" pitchFamily="34" charset="0"/>
              <a:cs typeface="Arial" panose="020B0604020202020204" pitchFamily="34" charset="0"/>
            </a:rPr>
            <a:t>Inductor Calculations</a:t>
          </a:r>
        </a:p>
        <a:p>
          <a:r>
            <a:rPr lang="en-US" sz="1200">
              <a:latin typeface="Arial" panose="020B0604020202020204" pitchFamily="34" charset="0"/>
              <a:cs typeface="Arial" panose="020B0604020202020204" pitchFamily="34" charset="0"/>
            </a:rPr>
            <a:t>Typical</a:t>
          </a:r>
          <a:r>
            <a:rPr lang="en-US" sz="1200" baseline="0">
              <a:latin typeface="Arial" panose="020B0604020202020204" pitchFamily="34" charset="0"/>
              <a:cs typeface="Arial" panose="020B0604020202020204" pitchFamily="34" charset="0"/>
            </a:rPr>
            <a:t> and minimum values of power inductor are calculated.  The user must select the next standard value  and enter where shown.  The inductor must be selected to withstand the current limit of the device.  Check the calculation at typical input voltage and at maximum input voltage.</a:t>
          </a:r>
        </a:p>
        <a:p>
          <a:endParaRPr lang="en-US" sz="1200" baseline="0">
            <a:latin typeface="Arial" panose="020B0604020202020204" pitchFamily="34" charset="0"/>
            <a:cs typeface="Arial" panose="020B0604020202020204" pitchFamily="34" charset="0"/>
          </a:endParaRPr>
        </a:p>
        <a:p>
          <a:r>
            <a:rPr lang="en-US" sz="1200" b="1">
              <a:solidFill>
                <a:srgbClr val="0070C0"/>
              </a:solidFill>
              <a:latin typeface="Arial" panose="020B0604020202020204" pitchFamily="34" charset="0"/>
              <a:cs typeface="Arial" panose="020B0604020202020204" pitchFamily="34" charset="0"/>
            </a:rPr>
            <a:t>Output Capacitor Calculations</a:t>
          </a:r>
        </a:p>
        <a:p>
          <a:r>
            <a:rPr lang="en-US" sz="1200">
              <a:latin typeface="Arial" panose="020B0604020202020204" pitchFamily="34" charset="0"/>
              <a:cs typeface="Arial" panose="020B0604020202020204" pitchFamily="34" charset="0"/>
            </a:rPr>
            <a:t>Typical </a:t>
          </a:r>
          <a:r>
            <a:rPr lang="en-US" sz="1200" baseline="0">
              <a:latin typeface="Arial" panose="020B0604020202020204" pitchFamily="34" charset="0"/>
              <a:cs typeface="Arial" panose="020B0604020202020204" pitchFamily="34" charset="0"/>
            </a:rPr>
            <a:t>values of output capacitance are estimated.  The user then enters in the actual capacitance where shown.  The output capacitor(s) should be ceramic, with at least an  X7R dielectric or better.  The user must select a capacitor bank to give the calculated capacitance under all conditions of DC bias, temperature, and tolerance.   Aluminium electrolytic capacitors can also be used to build up to the required capacitance, if needed.  The value of output capacitance is critical to a stable regulator and also impacts the load transient performance.  Therefore, the user must adjust the value of output capacitance to ensure a stable regulator under all operating conditions.</a:t>
          </a:r>
        </a:p>
        <a:p>
          <a:endParaRPr lang="en-US" sz="1200" baseline="0">
            <a:latin typeface="Arial" panose="020B0604020202020204" pitchFamily="34" charset="0"/>
            <a:cs typeface="Arial" panose="020B0604020202020204" pitchFamily="34" charset="0"/>
          </a:endParaRPr>
        </a:p>
        <a:p>
          <a:endParaRPr lang="en-US" sz="1200" baseline="0">
            <a:latin typeface="Arial" panose="020B0604020202020204" pitchFamily="34" charset="0"/>
            <a:cs typeface="Arial" panose="020B0604020202020204" pitchFamily="34" charset="0"/>
          </a:endParaRPr>
        </a:p>
        <a:p>
          <a:r>
            <a:rPr lang="en-US" sz="1200" b="1">
              <a:solidFill>
                <a:srgbClr val="0070C0"/>
              </a:solidFill>
              <a:latin typeface="Arial" panose="020B0604020202020204" pitchFamily="34" charset="0"/>
              <a:cs typeface="Arial" panose="020B0604020202020204" pitchFamily="34" charset="0"/>
            </a:rPr>
            <a:t>Feed-back Divider Resistors</a:t>
          </a:r>
        </a:p>
        <a:p>
          <a:r>
            <a:rPr lang="en-US" sz="1200">
              <a:latin typeface="Arial" panose="020B0604020202020204" pitchFamily="34" charset="0"/>
              <a:cs typeface="Arial" panose="020B0604020202020204" pitchFamily="34" charset="0"/>
            </a:rPr>
            <a:t>For output voltages corresponding to one of the internally</a:t>
          </a:r>
          <a:r>
            <a:rPr lang="en-US" sz="1200" baseline="0">
              <a:latin typeface="Arial" panose="020B0604020202020204" pitchFamily="34" charset="0"/>
              <a:cs typeface="Arial" panose="020B0604020202020204" pitchFamily="34" charset="0"/>
            </a:rPr>
            <a:t> fixed values of 5-V or 3.3-V, no feed-back divider is needed; refer to the </a:t>
          </a:r>
          <a:r>
            <a:rPr lang="en-US" sz="1200" i="1" baseline="0">
              <a:latin typeface="Arial" panose="020B0604020202020204" pitchFamily="34" charset="0"/>
              <a:cs typeface="Arial" panose="020B0604020202020204" pitchFamily="34" charset="0"/>
            </a:rPr>
            <a:t>Auxiliary Components and Connections </a:t>
          </a:r>
          <a:r>
            <a:rPr lang="en-US" sz="1200" i="0" baseline="0">
              <a:latin typeface="Arial" panose="020B0604020202020204" pitchFamily="34" charset="0"/>
              <a:cs typeface="Arial" panose="020B0604020202020204" pitchFamily="34" charset="0"/>
            </a:rPr>
            <a:t>section</a:t>
          </a:r>
          <a:r>
            <a:rPr lang="en-US" sz="1200" i="1" baseline="0">
              <a:latin typeface="Arial" panose="020B0604020202020204" pitchFamily="34" charset="0"/>
              <a:cs typeface="Arial" panose="020B0604020202020204" pitchFamily="34" charset="0"/>
            </a:rPr>
            <a:t>.</a:t>
          </a:r>
        </a:p>
        <a:p>
          <a:r>
            <a:rPr lang="en-US" sz="1200">
              <a:latin typeface="Arial" panose="020B0604020202020204" pitchFamily="34" charset="0"/>
              <a:cs typeface="Arial" panose="020B0604020202020204" pitchFamily="34" charset="0"/>
            </a:rPr>
            <a:t>A </a:t>
          </a:r>
          <a:r>
            <a:rPr lang="en-US" sz="1200" baseline="0">
              <a:latin typeface="Arial" panose="020B0604020202020204" pitchFamily="34" charset="0"/>
              <a:cs typeface="Arial" panose="020B0604020202020204" pitchFamily="34" charset="0"/>
            </a:rPr>
            <a:t>feed-back divider is required for output voltages other than the internally fixed 5-V or 3.3-V.  Select the desired value of top feed-back resistor and the bottom resistor will be calculated.  </a:t>
          </a:r>
        </a:p>
        <a:p>
          <a:r>
            <a:rPr lang="en-US" sz="1200" baseline="0">
              <a:latin typeface="Arial" panose="020B0604020202020204" pitchFamily="34" charset="0"/>
              <a:cs typeface="Arial" panose="020B0604020202020204" pitchFamily="34" charset="0"/>
            </a:rPr>
            <a:t>Note that the parallel combination of feed-back divider resistors must be between 4k</a:t>
          </a:r>
          <a:r>
            <a:rPr lang="el-GR" sz="1200" baseline="0">
              <a:latin typeface="Arial" panose="020B0604020202020204" pitchFamily="34" charset="0"/>
              <a:cs typeface="Arial" panose="020B0604020202020204" pitchFamily="34" charset="0"/>
            </a:rPr>
            <a:t>Ω</a:t>
          </a:r>
          <a:r>
            <a:rPr lang="en-US" sz="1200" baseline="0">
              <a:latin typeface="Arial" panose="020B0604020202020204" pitchFamily="34" charset="0"/>
              <a:cs typeface="Arial" panose="020B0604020202020204" pitchFamily="34" charset="0"/>
            </a:rPr>
            <a:t> and 100k</a:t>
          </a:r>
          <a:r>
            <a:rPr lang="el-GR" sz="1200" baseline="0">
              <a:latin typeface="Arial" panose="020B0604020202020204" pitchFamily="34" charset="0"/>
              <a:cs typeface="Arial" panose="020B0604020202020204" pitchFamily="34" charset="0"/>
            </a:rPr>
            <a:t>Ω</a:t>
          </a:r>
          <a:r>
            <a:rPr lang="en-US" sz="1200" baseline="0">
              <a:latin typeface="Arial" panose="020B0604020202020204" pitchFamily="34" charset="0"/>
              <a:cs typeface="Arial" panose="020B0604020202020204" pitchFamily="34" charset="0"/>
            </a:rPr>
            <a:t>. </a:t>
          </a:r>
        </a:p>
        <a:p>
          <a:r>
            <a:rPr lang="en-US" sz="1200" baseline="0">
              <a:latin typeface="Arial" panose="020B0604020202020204" pitchFamily="34" charset="0"/>
              <a:cs typeface="Arial" panose="020B0604020202020204" pitchFamily="34" charset="0"/>
            </a:rPr>
            <a:t>The device can be used in the adjustable output voltage mode to provide either 5-V or 3.3-V using a feed-back divider, if desired.  This connection allows the use of a feed-forward capacitor across the top feed-back resistor to help tailor the loop frequency response.</a:t>
          </a:r>
        </a:p>
        <a:p>
          <a:endParaRPr lang="en-US" sz="1200" baseline="0">
            <a:latin typeface="Arial" panose="020B0604020202020204" pitchFamily="34" charset="0"/>
            <a:cs typeface="Arial" panose="020B0604020202020204" pitchFamily="34" charset="0"/>
          </a:endParaRPr>
        </a:p>
        <a:p>
          <a:endParaRPr lang="en-US" sz="1200" baseline="0">
            <a:latin typeface="Arial" panose="020B0604020202020204" pitchFamily="34" charset="0"/>
            <a:cs typeface="Arial" panose="020B0604020202020204" pitchFamily="34" charset="0"/>
          </a:endParaRPr>
        </a:p>
        <a:p>
          <a:r>
            <a:rPr lang="en-US" sz="1200" b="1">
              <a:solidFill>
                <a:srgbClr val="0070C0"/>
              </a:solidFill>
              <a:latin typeface="Arial" panose="020B0604020202020204" pitchFamily="34" charset="0"/>
              <a:cs typeface="Arial" panose="020B0604020202020204" pitchFamily="34" charset="0"/>
            </a:rPr>
            <a:t>Feed-forward Capacitor Calculations</a:t>
          </a:r>
        </a:p>
        <a:p>
          <a:r>
            <a:rPr lang="en-US" sz="1200" baseline="0">
              <a:latin typeface="Arial" panose="020B0604020202020204" pitchFamily="34" charset="0"/>
              <a:cs typeface="Arial" panose="020B0604020202020204" pitchFamily="34" charset="0"/>
            </a:rPr>
            <a:t>The user has the option to place a feed-forward capacitor across the top feed-back resistor, when using the device in the adjustable output voltage mode.  A starting point value is calculated.  The user can enter this value where shown.  The value of this capacitor can be adjusted to give the desired loop performance.  </a:t>
          </a:r>
        </a:p>
        <a:p>
          <a:endParaRPr lang="en-US" sz="1200" baseline="0">
            <a:latin typeface="Arial" panose="020B0604020202020204" pitchFamily="34" charset="0"/>
            <a:cs typeface="Arial" panose="020B0604020202020204" pitchFamily="34" charset="0"/>
          </a:endParaRPr>
        </a:p>
        <a:p>
          <a:endParaRPr lang="en-US" sz="1200" baseline="0">
            <a:latin typeface="Arial" panose="020B0604020202020204" pitchFamily="34" charset="0"/>
            <a:cs typeface="Arial" panose="020B0604020202020204" pitchFamily="34" charset="0"/>
          </a:endParaRPr>
        </a:p>
        <a:p>
          <a:r>
            <a:rPr lang="en-US" sz="1200" b="1">
              <a:solidFill>
                <a:srgbClr val="0070C0"/>
              </a:solidFill>
              <a:latin typeface="Arial" panose="020B0604020202020204" pitchFamily="34" charset="0"/>
              <a:cs typeface="Arial" panose="020B0604020202020204" pitchFamily="34" charset="0"/>
            </a:rPr>
            <a:t>Input Voltage Range</a:t>
          </a:r>
        </a:p>
        <a:p>
          <a:r>
            <a:rPr lang="en-US" sz="1200">
              <a:latin typeface="Arial" panose="020B0604020202020204" pitchFamily="34" charset="0"/>
              <a:cs typeface="Arial" panose="020B0604020202020204" pitchFamily="34" charset="0"/>
            </a:rPr>
            <a:t>This sections calculates</a:t>
          </a:r>
          <a:r>
            <a:rPr lang="en-US" sz="1200" baseline="0">
              <a:latin typeface="Arial" panose="020B0604020202020204" pitchFamily="34" charset="0"/>
              <a:cs typeface="Arial" panose="020B0604020202020204" pitchFamily="34" charset="0"/>
            </a:rPr>
            <a:t> the </a:t>
          </a:r>
          <a:r>
            <a:rPr lang="en-US" sz="1200" i="1" baseline="0">
              <a:latin typeface="Arial" panose="020B0604020202020204" pitchFamily="34" charset="0"/>
              <a:cs typeface="Arial" panose="020B0604020202020204" pitchFamily="34" charset="0"/>
            </a:rPr>
            <a:t>approximate</a:t>
          </a:r>
          <a:r>
            <a:rPr lang="en-US" sz="1200" baseline="0">
              <a:latin typeface="Arial" panose="020B0604020202020204" pitchFamily="34" charset="0"/>
              <a:cs typeface="Arial" panose="020B0604020202020204" pitchFamily="34" charset="0"/>
            </a:rPr>
            <a:t> input voltage range for full frequency operation and/or drop-out.  The D.C. resistance of the inductor must be entered where shown.</a:t>
          </a:r>
        </a:p>
        <a:p>
          <a:endParaRPr lang="en-US" sz="1200" baseline="0">
            <a:latin typeface="Arial" panose="020B0604020202020204" pitchFamily="34" charset="0"/>
            <a:cs typeface="Arial" panose="020B0604020202020204" pitchFamily="34" charset="0"/>
          </a:endParaRPr>
        </a:p>
        <a:p>
          <a:endParaRPr lang="en-US" sz="1200" baseline="0">
            <a:latin typeface="Arial" panose="020B0604020202020204" pitchFamily="34" charset="0"/>
            <a:cs typeface="Arial" panose="020B0604020202020204" pitchFamily="34" charset="0"/>
          </a:endParaRPr>
        </a:p>
        <a:p>
          <a:r>
            <a:rPr lang="en-US" sz="1200" b="1">
              <a:solidFill>
                <a:srgbClr val="0070C0"/>
              </a:solidFill>
              <a:latin typeface="Arial" panose="020B0604020202020204" pitchFamily="34" charset="0"/>
              <a:cs typeface="Arial" panose="020B0604020202020204" pitchFamily="34" charset="0"/>
            </a:rPr>
            <a:t>Auxiliary Components and Connections</a:t>
          </a:r>
        </a:p>
        <a:p>
          <a:r>
            <a:rPr lang="en-US" sz="1200">
              <a:latin typeface="Arial" panose="020B0604020202020204" pitchFamily="34" charset="0"/>
              <a:cs typeface="Arial" panose="020B0604020202020204" pitchFamily="34" charset="0"/>
            </a:rPr>
            <a:t>This section</a:t>
          </a:r>
          <a:r>
            <a:rPr lang="en-US" sz="1200" baseline="0">
              <a:latin typeface="Arial" panose="020B0604020202020204" pitchFamily="34" charset="0"/>
              <a:cs typeface="Arial" panose="020B0604020202020204" pitchFamily="34" charset="0"/>
            </a:rPr>
            <a:t> details the rest of the external components and connections required.  All capacitors should be ceramic.  The input capacitors must be rated for at least twice the maximum input voltage.  CIN-HF must be placed as close as possible to the device VIN and PGND pins.</a:t>
          </a:r>
        </a:p>
        <a:p>
          <a:endParaRPr lang="en-US" sz="1200" baseline="0">
            <a:latin typeface="Arial" panose="020B0604020202020204" pitchFamily="34" charset="0"/>
            <a:cs typeface="Arial" panose="020B0604020202020204" pitchFamily="34" charset="0"/>
          </a:endParaRPr>
        </a:p>
        <a:p>
          <a:endParaRPr lang="en-US" sz="1200" baseline="0">
            <a:latin typeface="Arial" panose="020B0604020202020204" pitchFamily="34" charset="0"/>
            <a:cs typeface="Arial" panose="020B0604020202020204" pitchFamily="34" charset="0"/>
          </a:endParaRPr>
        </a:p>
        <a:p>
          <a:r>
            <a:rPr lang="en-US" sz="1200" b="1">
              <a:solidFill>
                <a:srgbClr val="0070C0"/>
              </a:solidFill>
              <a:latin typeface="Arial" panose="020B0604020202020204" pitchFamily="34" charset="0"/>
              <a:cs typeface="Arial" panose="020B0604020202020204" pitchFamily="34" charset="0"/>
            </a:rPr>
            <a:t>Inductor Current Calculations</a:t>
          </a:r>
        </a:p>
        <a:p>
          <a:r>
            <a:rPr lang="en-US" sz="1200">
              <a:latin typeface="Arial" panose="020B0604020202020204" pitchFamily="34" charset="0"/>
              <a:cs typeface="Arial" panose="020B0604020202020204" pitchFamily="34" charset="0"/>
            </a:rPr>
            <a:t>This section calculates the peak, valley and ripple current</a:t>
          </a:r>
          <a:r>
            <a:rPr lang="en-US" sz="1200" baseline="0">
              <a:latin typeface="Arial" panose="020B0604020202020204" pitchFamily="34" charset="0"/>
              <a:cs typeface="Arial" panose="020B0604020202020204" pitchFamily="34" charset="0"/>
            </a:rPr>
            <a:t> in the inductor.</a:t>
          </a:r>
        </a:p>
        <a:p>
          <a:endParaRPr lang="en-US" sz="1200" baseline="0">
            <a:latin typeface="Arial" panose="020B0604020202020204" pitchFamily="34" charset="0"/>
            <a:cs typeface="Arial" panose="020B0604020202020204" pitchFamily="34" charset="0"/>
          </a:endParaRPr>
        </a:p>
        <a:p>
          <a:endParaRPr lang="en-US" sz="1200" baseline="0">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rgbClr val="0070C0"/>
              </a:solidFill>
              <a:effectLst/>
              <a:uLnTx/>
              <a:uFillTx/>
              <a:latin typeface="Arial" panose="020B0604020202020204" pitchFamily="34" charset="0"/>
              <a:ea typeface="+mn-ea"/>
              <a:cs typeface="Arial" panose="020B0604020202020204" pitchFamily="34" charset="0"/>
            </a:rPr>
            <a:t>Current Limit Calculations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This device incorporates peak and valley current limit as well as "hiccup" mode.  When the load current exceeds the "Fold-back Current Limit" value, the switching frequency will drop, while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 output voltage remains in regulation.  When the load current exceeds the "Current Limit" value, the switching frequency will drop, and the output voltage will drop out of regulation.  In this mode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 maximum output current is limited to the value "Maximum Output Current".  When the output voltage falls below about 40% of the regulated value, hiccup mode is entered.  In this mode the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output current is greatly reduced.  Hiccup mode is not modeled in this spreadsheet.  The user is notified if the current limit is reached.</a:t>
          </a:r>
        </a:p>
        <a:p>
          <a:endParaRPr kumimoji="0" lang="en-US" sz="1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endParaRPr kumimoji="0" lang="en-US" sz="1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rgbClr val="0070C0"/>
              </a:solidFill>
              <a:effectLst/>
              <a:uLnTx/>
              <a:uFillTx/>
              <a:latin typeface="Arial" panose="020B0604020202020204" pitchFamily="34" charset="0"/>
              <a:ea typeface="+mn-ea"/>
              <a:cs typeface="Arial" panose="020B0604020202020204" pitchFamily="34" charset="0"/>
            </a:rPr>
            <a:t>Light Load Frequency Fold-back</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In auto-mode, this device incorporates PFM mode at reduced frequencies for light load operation.  Reduced frequency is also used in drop-out  mode and when the minimum switch on-time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is reached.  This performance is not represented in this tool. Bench testing is recommended.  See data sheet for more details.</a:t>
          </a:r>
        </a:p>
        <a:p>
          <a:endParaRPr lang="en-US" sz="1200" baseline="0">
            <a:latin typeface="Arial" panose="020B0604020202020204" pitchFamily="34" charset="0"/>
            <a:cs typeface="Arial" panose="020B0604020202020204" pitchFamily="34" charset="0"/>
          </a:endParaRPr>
        </a:p>
        <a:p>
          <a:r>
            <a:rPr lang="en-US" sz="1200" b="1">
              <a:solidFill>
                <a:srgbClr val="0070C0"/>
              </a:solidFill>
              <a:latin typeface="Arial" panose="020B0604020202020204" pitchFamily="34" charset="0"/>
              <a:cs typeface="Arial" panose="020B0604020202020204" pitchFamily="34" charset="0"/>
            </a:rPr>
            <a:t>Estimated Loop Performance</a:t>
          </a:r>
        </a:p>
        <a:p>
          <a:r>
            <a:rPr lang="en-US" sz="1200">
              <a:latin typeface="Arial" panose="020B0604020202020204" pitchFamily="34" charset="0"/>
              <a:cs typeface="Arial" panose="020B0604020202020204" pitchFamily="34" charset="0"/>
            </a:rPr>
            <a:t>This section gives the estimated</a:t>
          </a:r>
          <a:r>
            <a:rPr lang="en-US" sz="1200" baseline="0">
              <a:latin typeface="Arial" panose="020B0604020202020204" pitchFamily="34" charset="0"/>
              <a:cs typeface="Arial" panose="020B0604020202020204" pitchFamily="34" charset="0"/>
            </a:rPr>
            <a:t> loop cross-over frequency and phase margin for the design.  By adjusting the output capacitor, load, and feed-forward capacitor (if applicable) the user can see the results on the Bode plot.  Please note that the graph indicates the actual loop phase, and not the phase margin, as some frequency response analyzers give.  A Bode plot can not be taken on the bench when using the fixed output voltage mode.</a:t>
          </a:r>
        </a:p>
        <a:p>
          <a:endParaRPr lang="en-US" sz="1200" baseline="0">
            <a:latin typeface="Arial" panose="020B0604020202020204" pitchFamily="34" charset="0"/>
            <a:cs typeface="Arial" panose="020B0604020202020204" pitchFamily="34" charset="0"/>
          </a:endParaRPr>
        </a:p>
        <a:p>
          <a:endParaRPr lang="en-US" sz="1200">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a:solidFill>
                <a:srgbClr val="0070C0"/>
              </a:solidFill>
              <a:effectLst/>
              <a:latin typeface="Arial" panose="020B0604020202020204" pitchFamily="34" charset="0"/>
              <a:ea typeface="+mn-ea"/>
              <a:cs typeface="Arial" panose="020B0604020202020204" pitchFamily="34" charset="0"/>
            </a:rPr>
            <a:t>Combined Modes</a:t>
          </a:r>
        </a:p>
        <a:p>
          <a:pPr marL="0" marR="0" lvl="0" indent="0" defTabSz="914400" eaLnBrk="1" fontAlgn="auto" latinLnBrk="0" hangingPunct="1">
            <a:lnSpc>
              <a:spcPct val="100000"/>
            </a:lnSpc>
            <a:spcBef>
              <a:spcPts val="0"/>
            </a:spcBef>
            <a:spcAft>
              <a:spcPts val="0"/>
            </a:spcAft>
            <a:buClrTx/>
            <a:buSzTx/>
            <a:buFontTx/>
            <a:buNone/>
            <a:tabLst/>
            <a:defRPr/>
          </a:pPr>
          <a:r>
            <a:rPr lang="en-US" sz="1200" b="0">
              <a:solidFill>
                <a:sysClr val="windowText" lastClr="000000"/>
              </a:solidFill>
              <a:effectLst/>
              <a:latin typeface="Arial" panose="020B0604020202020204" pitchFamily="34" charset="0"/>
              <a:ea typeface="+mn-ea"/>
              <a:cs typeface="Arial" panose="020B0604020202020204" pitchFamily="34" charset="0"/>
            </a:rPr>
            <a:t>When two</a:t>
          </a:r>
          <a:r>
            <a:rPr lang="en-US" sz="1200" b="0" baseline="0">
              <a:solidFill>
                <a:sysClr val="windowText" lastClr="000000"/>
              </a:solidFill>
              <a:effectLst/>
              <a:latin typeface="Arial" panose="020B0604020202020204" pitchFamily="34" charset="0"/>
              <a:ea typeface="+mn-ea"/>
              <a:cs typeface="Arial" panose="020B0604020202020204" pitchFamily="34" charset="0"/>
            </a:rPr>
            <a:t> or more modes of operation are active at the same time, such as light load and drop-out, the calculations may not be accurate.  In this case, bench measurements are the only way</a:t>
          </a:r>
        </a:p>
        <a:p>
          <a:pPr marL="0" marR="0" lvl="0" indent="0" defTabSz="914400" eaLnBrk="1" fontAlgn="auto" latinLnBrk="0" hangingPunct="1">
            <a:lnSpc>
              <a:spcPct val="100000"/>
            </a:lnSpc>
            <a:spcBef>
              <a:spcPts val="0"/>
            </a:spcBef>
            <a:spcAft>
              <a:spcPts val="0"/>
            </a:spcAft>
            <a:buClrTx/>
            <a:buSzTx/>
            <a:buFontTx/>
            <a:buNone/>
            <a:tabLst/>
            <a:defRPr/>
          </a:pPr>
          <a:r>
            <a:rPr lang="en-US" sz="1200" b="0" baseline="0">
              <a:solidFill>
                <a:sysClr val="windowText" lastClr="000000"/>
              </a:solidFill>
              <a:effectLst/>
              <a:latin typeface="Arial" panose="020B0604020202020204" pitchFamily="34" charset="0"/>
              <a:ea typeface="+mn-ea"/>
              <a:cs typeface="Arial" panose="020B0604020202020204" pitchFamily="34" charset="0"/>
            </a:rPr>
            <a:t>to accurately determine the application performance.</a:t>
          </a:r>
          <a:endParaRPr lang="en-US" sz="1200" b="0">
            <a:solidFill>
              <a:sysClr val="windowText" lastClr="000000"/>
            </a:solidFill>
            <a:effectLst/>
            <a:latin typeface="Arial" panose="020B0604020202020204" pitchFamily="34" charset="0"/>
            <a:cs typeface="Arial" panose="020B0604020202020204" pitchFamily="34" charset="0"/>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554934</xdr:colOff>
      <xdr:row>2</xdr:row>
      <xdr:rowOff>33130</xdr:rowOff>
    </xdr:from>
    <xdr:to>
      <xdr:col>7</xdr:col>
      <xdr:colOff>258002</xdr:colOff>
      <xdr:row>22</xdr:row>
      <xdr:rowOff>99805</xdr:rowOff>
    </xdr:to>
    <xdr:pic>
      <xdr:nvPicPr>
        <xdr:cNvPr id="3" name="Picture 2">
          <a:extLst>
            <a:ext uri="{FF2B5EF4-FFF2-40B4-BE49-F238E27FC236}">
              <a16:creationId xmlns:a16="http://schemas.microsoft.com/office/drawing/2014/main" id="{D314E5A5-18E0-4CEE-9F1B-83B9E89252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4934" y="414130"/>
          <a:ext cx="6296025" cy="3876675"/>
        </a:xfrm>
        <a:prstGeom prst="rect">
          <a:avLst/>
        </a:prstGeom>
      </xdr:spPr>
    </xdr:pic>
    <xdr:clientData/>
  </xdr:twoCellAnchor>
  <xdr:twoCellAnchor editAs="oneCell">
    <xdr:from>
      <xdr:col>0</xdr:col>
      <xdr:colOff>323022</xdr:colOff>
      <xdr:row>23</xdr:row>
      <xdr:rowOff>66261</xdr:rowOff>
    </xdr:from>
    <xdr:to>
      <xdr:col>3</xdr:col>
      <xdr:colOff>1018761</xdr:colOff>
      <xdr:row>28</xdr:row>
      <xdr:rowOff>50713</xdr:rowOff>
    </xdr:to>
    <xdr:pic>
      <xdr:nvPicPr>
        <xdr:cNvPr id="6" name="Picture 5">
          <a:extLst>
            <a:ext uri="{FF2B5EF4-FFF2-40B4-BE49-F238E27FC236}">
              <a16:creationId xmlns:a16="http://schemas.microsoft.com/office/drawing/2014/main" id="{BD206275-C9B6-47A6-A7AE-2F5099B75C8C}"/>
            </a:ext>
          </a:extLst>
        </xdr:cNvPr>
        <xdr:cNvPicPr>
          <a:picLocks noChangeAspect="1"/>
        </xdr:cNvPicPr>
      </xdr:nvPicPr>
      <xdr:blipFill>
        <a:blip xmlns:r="http://schemas.openxmlformats.org/officeDocument/2006/relationships" r:embed="rId2"/>
        <a:stretch>
          <a:fillRect/>
        </a:stretch>
      </xdr:blipFill>
      <xdr:spPr>
        <a:xfrm>
          <a:off x="323022" y="4447761"/>
          <a:ext cx="3445565" cy="936952"/>
        </a:xfrm>
        <a:prstGeom prst="rect">
          <a:avLst/>
        </a:prstGeom>
      </xdr:spPr>
    </xdr:pic>
    <xdr:clientData/>
  </xdr:twoCellAnchor>
  <xdr:twoCellAnchor editAs="oneCell">
    <xdr:from>
      <xdr:col>8</xdr:col>
      <xdr:colOff>103531</xdr:colOff>
      <xdr:row>2</xdr:row>
      <xdr:rowOff>85784</xdr:rowOff>
    </xdr:from>
    <xdr:to>
      <xdr:col>11</xdr:col>
      <xdr:colOff>385141</xdr:colOff>
      <xdr:row>16</xdr:row>
      <xdr:rowOff>106250</xdr:rowOff>
    </xdr:to>
    <xdr:pic>
      <xdr:nvPicPr>
        <xdr:cNvPr id="7" name="Picture 6">
          <a:extLst>
            <a:ext uri="{FF2B5EF4-FFF2-40B4-BE49-F238E27FC236}">
              <a16:creationId xmlns:a16="http://schemas.microsoft.com/office/drawing/2014/main" id="{AFB26B1F-72A1-4091-B8DE-B1FDE93162ED}"/>
            </a:ext>
          </a:extLst>
        </xdr:cNvPr>
        <xdr:cNvPicPr>
          <a:picLocks noChangeAspect="1"/>
        </xdr:cNvPicPr>
      </xdr:nvPicPr>
      <xdr:blipFill>
        <a:blip xmlns:r="http://schemas.openxmlformats.org/officeDocument/2006/relationships" r:embed="rId3"/>
        <a:stretch>
          <a:fillRect/>
        </a:stretch>
      </xdr:blipFill>
      <xdr:spPr>
        <a:xfrm>
          <a:off x="7315317" y="466784"/>
          <a:ext cx="2118574" cy="2687466"/>
        </a:xfrm>
        <a:prstGeom prst="rect">
          <a:avLst/>
        </a:prstGeom>
      </xdr:spPr>
    </xdr:pic>
    <xdr:clientData/>
  </xdr:twoCellAnchor>
  <xdr:twoCellAnchor editAs="oneCell">
    <xdr:from>
      <xdr:col>8</xdr:col>
      <xdr:colOff>79275</xdr:colOff>
      <xdr:row>18</xdr:row>
      <xdr:rowOff>89334</xdr:rowOff>
    </xdr:from>
    <xdr:to>
      <xdr:col>9</xdr:col>
      <xdr:colOff>558132</xdr:colOff>
      <xdr:row>25</xdr:row>
      <xdr:rowOff>6508</xdr:rowOff>
    </xdr:to>
    <xdr:pic>
      <xdr:nvPicPr>
        <xdr:cNvPr id="8" name="Picture 7">
          <a:extLst>
            <a:ext uri="{FF2B5EF4-FFF2-40B4-BE49-F238E27FC236}">
              <a16:creationId xmlns:a16="http://schemas.microsoft.com/office/drawing/2014/main" id="{88675B58-F1B7-4D9B-9D42-3BE5899C3E19}"/>
            </a:ext>
          </a:extLst>
        </xdr:cNvPr>
        <xdr:cNvPicPr>
          <a:picLocks noChangeAspect="1"/>
        </xdr:cNvPicPr>
      </xdr:nvPicPr>
      <xdr:blipFill>
        <a:blip xmlns:r="http://schemas.openxmlformats.org/officeDocument/2006/relationships" r:embed="rId4"/>
        <a:stretch>
          <a:fillRect/>
        </a:stretch>
      </xdr:blipFill>
      <xdr:spPr>
        <a:xfrm>
          <a:off x="7291061" y="3518334"/>
          <a:ext cx="1091178" cy="1250674"/>
        </a:xfrm>
        <a:prstGeom prst="rect">
          <a:avLst/>
        </a:prstGeom>
      </xdr:spPr>
    </xdr:pic>
    <xdr:clientData/>
  </xdr:twoCellAnchor>
  <xdr:twoCellAnchor editAs="oneCell">
    <xdr:from>
      <xdr:col>10</xdr:col>
      <xdr:colOff>285749</xdr:colOff>
      <xdr:row>18</xdr:row>
      <xdr:rowOff>44962</xdr:rowOff>
    </xdr:from>
    <xdr:to>
      <xdr:col>12</xdr:col>
      <xdr:colOff>288519</xdr:colOff>
      <xdr:row>25</xdr:row>
      <xdr:rowOff>56801</xdr:rowOff>
    </xdr:to>
    <xdr:pic>
      <xdr:nvPicPr>
        <xdr:cNvPr id="9" name="Picture 8">
          <a:extLst>
            <a:ext uri="{FF2B5EF4-FFF2-40B4-BE49-F238E27FC236}">
              <a16:creationId xmlns:a16="http://schemas.microsoft.com/office/drawing/2014/main" id="{B264F160-1B70-4358-9C53-B5327D6A549A}"/>
            </a:ext>
          </a:extLst>
        </xdr:cNvPr>
        <xdr:cNvPicPr>
          <a:picLocks noChangeAspect="1"/>
        </xdr:cNvPicPr>
      </xdr:nvPicPr>
      <xdr:blipFill>
        <a:blip xmlns:r="http://schemas.openxmlformats.org/officeDocument/2006/relationships" r:embed="rId5"/>
        <a:stretch>
          <a:fillRect/>
        </a:stretch>
      </xdr:blipFill>
      <xdr:spPr>
        <a:xfrm>
          <a:off x="8722178" y="3473962"/>
          <a:ext cx="1227412" cy="1345339"/>
        </a:xfrm>
        <a:prstGeom prst="rect">
          <a:avLst/>
        </a:prstGeom>
      </xdr:spPr>
    </xdr:pic>
    <xdr:clientData/>
  </xdr:twoCellAnchor>
  <xdr:twoCellAnchor editAs="oneCell">
    <xdr:from>
      <xdr:col>13</xdr:col>
      <xdr:colOff>13607</xdr:colOff>
      <xdr:row>2</xdr:row>
      <xdr:rowOff>81643</xdr:rowOff>
    </xdr:from>
    <xdr:to>
      <xdr:col>21</xdr:col>
      <xdr:colOff>449036</xdr:colOff>
      <xdr:row>18</xdr:row>
      <xdr:rowOff>77421</xdr:rowOff>
    </xdr:to>
    <xdr:pic>
      <xdr:nvPicPr>
        <xdr:cNvPr id="4" name="Picture 3">
          <a:extLst>
            <a:ext uri="{FF2B5EF4-FFF2-40B4-BE49-F238E27FC236}">
              <a16:creationId xmlns:a16="http://schemas.microsoft.com/office/drawing/2014/main" id="{26449E83-8D53-4E4F-A34E-30FB9E50189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287000" y="462643"/>
          <a:ext cx="5334000" cy="3043778"/>
        </a:xfrm>
        <a:prstGeom prst="rect">
          <a:avLst/>
        </a:prstGeom>
      </xdr:spPr>
    </xdr:pic>
    <xdr:clientData/>
  </xdr:twoCellAnchor>
  <xdr:twoCellAnchor editAs="oneCell">
    <xdr:from>
      <xdr:col>13</xdr:col>
      <xdr:colOff>217716</xdr:colOff>
      <xdr:row>19</xdr:row>
      <xdr:rowOff>54428</xdr:rowOff>
    </xdr:from>
    <xdr:to>
      <xdr:col>20</xdr:col>
      <xdr:colOff>152624</xdr:colOff>
      <xdr:row>37</xdr:row>
      <xdr:rowOff>136071</xdr:rowOff>
    </xdr:to>
    <xdr:pic>
      <xdr:nvPicPr>
        <xdr:cNvPr id="10" name="Picture 9">
          <a:extLst>
            <a:ext uri="{FF2B5EF4-FFF2-40B4-BE49-F238E27FC236}">
              <a16:creationId xmlns:a16="http://schemas.microsoft.com/office/drawing/2014/main" id="{D765CDCD-06F4-40DF-9334-6E3B842D83B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0491109" y="3673928"/>
          <a:ext cx="4221158" cy="3510643"/>
        </a:xfrm>
        <a:prstGeom prst="rect">
          <a:avLst/>
        </a:prstGeom>
      </xdr:spPr>
    </xdr:pic>
    <xdr:clientData/>
  </xdr:twoCellAnchor>
  <xdr:oneCellAnchor>
    <xdr:from>
      <xdr:col>4</xdr:col>
      <xdr:colOff>389283</xdr:colOff>
      <xdr:row>24</xdr:row>
      <xdr:rowOff>140804</xdr:rowOff>
    </xdr:from>
    <xdr:ext cx="2600738" cy="623248"/>
    <xdr:sp macro="" textlink="">
      <xdr:nvSpPr>
        <xdr:cNvPr id="11" name="TextBox 10">
          <a:extLst>
            <a:ext uri="{FF2B5EF4-FFF2-40B4-BE49-F238E27FC236}">
              <a16:creationId xmlns:a16="http://schemas.microsoft.com/office/drawing/2014/main" id="{E65F8191-DB26-43A9-9BBF-28825FCE8CB7}"/>
            </a:ext>
          </a:extLst>
        </xdr:cNvPr>
        <xdr:cNvSpPr txBox="1"/>
      </xdr:nvSpPr>
      <xdr:spPr>
        <a:xfrm>
          <a:off x="4331805" y="4712804"/>
          <a:ext cx="2600738" cy="623248"/>
        </a:xfrm>
        <a:prstGeom prst="rect">
          <a:avLst/>
        </a:prstGeom>
        <a:solidFill>
          <a:schemeClr val="bg1"/>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a:latin typeface="Times New Roman" panose="02020603050405020304" pitchFamily="18" charset="0"/>
              <a:cs typeface="Times New Roman" panose="02020603050405020304" pitchFamily="18" charset="0"/>
            </a:rPr>
            <a:t>This transfer function is an approximation of what is in the Cobra SIMPLIS model from Systems.</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381000</xdr:colOff>
      <xdr:row>1</xdr:row>
      <xdr:rowOff>107674</xdr:rowOff>
    </xdr:from>
    <xdr:to>
      <xdr:col>5</xdr:col>
      <xdr:colOff>405848</xdr:colOff>
      <xdr:row>25</xdr:row>
      <xdr:rowOff>160823</xdr:rowOff>
    </xdr:to>
    <xdr:pic>
      <xdr:nvPicPr>
        <xdr:cNvPr id="2" name="Picture 1">
          <a:extLst>
            <a:ext uri="{FF2B5EF4-FFF2-40B4-BE49-F238E27FC236}">
              <a16:creationId xmlns:a16="http://schemas.microsoft.com/office/drawing/2014/main" id="{E2B7E478-739A-4577-A5DB-30C929C2A2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0" y="298174"/>
          <a:ext cx="4283766" cy="4625149"/>
        </a:xfrm>
        <a:prstGeom prst="rect">
          <a:avLst/>
        </a:prstGeom>
      </xdr:spPr>
    </xdr:pic>
    <xdr:clientData/>
  </xdr:twoCellAnchor>
  <xdr:twoCellAnchor editAs="oneCell">
    <xdr:from>
      <xdr:col>6</xdr:col>
      <xdr:colOff>273326</xdr:colOff>
      <xdr:row>13</xdr:row>
      <xdr:rowOff>99392</xdr:rowOff>
    </xdr:from>
    <xdr:to>
      <xdr:col>8</xdr:col>
      <xdr:colOff>530088</xdr:colOff>
      <xdr:row>22</xdr:row>
      <xdr:rowOff>139288</xdr:rowOff>
    </xdr:to>
    <xdr:pic>
      <xdr:nvPicPr>
        <xdr:cNvPr id="3" name="Picture 2">
          <a:extLst>
            <a:ext uri="{FF2B5EF4-FFF2-40B4-BE49-F238E27FC236}">
              <a16:creationId xmlns:a16="http://schemas.microsoft.com/office/drawing/2014/main" id="{669A6BEB-CC3C-4CC4-AC38-574283808EBA}"/>
            </a:ext>
          </a:extLst>
        </xdr:cNvPr>
        <xdr:cNvPicPr>
          <a:picLocks noChangeAspect="1"/>
        </xdr:cNvPicPr>
      </xdr:nvPicPr>
      <xdr:blipFill>
        <a:blip xmlns:r="http://schemas.openxmlformats.org/officeDocument/2006/relationships" r:embed="rId2"/>
        <a:stretch>
          <a:fillRect/>
        </a:stretch>
      </xdr:blipFill>
      <xdr:spPr>
        <a:xfrm>
          <a:off x="5168348" y="2575892"/>
          <a:ext cx="1482588" cy="1754396"/>
        </a:xfrm>
        <a:prstGeom prst="rect">
          <a:avLst/>
        </a:prstGeom>
      </xdr:spPr>
    </xdr:pic>
    <xdr:clientData/>
  </xdr:twoCellAnchor>
  <xdr:twoCellAnchor editAs="oneCell">
    <xdr:from>
      <xdr:col>6</xdr:col>
      <xdr:colOff>215348</xdr:colOff>
      <xdr:row>24</xdr:row>
      <xdr:rowOff>91109</xdr:rowOff>
    </xdr:from>
    <xdr:to>
      <xdr:col>14</xdr:col>
      <xdr:colOff>75209</xdr:colOff>
      <xdr:row>31</xdr:row>
      <xdr:rowOff>34137</xdr:rowOff>
    </xdr:to>
    <xdr:pic>
      <xdr:nvPicPr>
        <xdr:cNvPr id="6" name="Picture 5">
          <a:extLst>
            <a:ext uri="{FF2B5EF4-FFF2-40B4-BE49-F238E27FC236}">
              <a16:creationId xmlns:a16="http://schemas.microsoft.com/office/drawing/2014/main" id="{84D33E61-145C-4A5F-B347-F12A2A092551}"/>
            </a:ext>
          </a:extLst>
        </xdr:cNvPr>
        <xdr:cNvPicPr>
          <a:picLocks noChangeAspect="1"/>
        </xdr:cNvPicPr>
      </xdr:nvPicPr>
      <xdr:blipFill>
        <a:blip xmlns:r="http://schemas.openxmlformats.org/officeDocument/2006/relationships" r:embed="rId3"/>
        <a:stretch>
          <a:fillRect/>
        </a:stretch>
      </xdr:blipFill>
      <xdr:spPr>
        <a:xfrm>
          <a:off x="5110370" y="4663109"/>
          <a:ext cx="4763165" cy="127652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4</xdr:col>
      <xdr:colOff>778565</xdr:colOff>
      <xdr:row>20</xdr:row>
      <xdr:rowOff>115957</xdr:rowOff>
    </xdr:from>
    <xdr:ext cx="2244587" cy="623248"/>
    <xdr:sp macro="" textlink="">
      <xdr:nvSpPr>
        <xdr:cNvPr id="2" name="TextBox 1">
          <a:extLst>
            <a:ext uri="{FF2B5EF4-FFF2-40B4-BE49-F238E27FC236}">
              <a16:creationId xmlns:a16="http://schemas.microsoft.com/office/drawing/2014/main" id="{D65FB4E6-0C28-4052-9A72-896839DEB98D}"/>
            </a:ext>
          </a:extLst>
        </xdr:cNvPr>
        <xdr:cNvSpPr txBox="1"/>
      </xdr:nvSpPr>
      <xdr:spPr>
        <a:xfrm>
          <a:off x="5143500" y="3925957"/>
          <a:ext cx="2244587" cy="623248"/>
        </a:xfrm>
        <a:prstGeom prst="rect">
          <a:avLst/>
        </a:prstGeom>
        <a:solidFill>
          <a:schemeClr val="bg1"/>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a:latin typeface="Times New Roman" panose="02020603050405020304" pitchFamily="18" charset="0"/>
              <a:cs typeface="Times New Roman" panose="02020603050405020304" pitchFamily="18" charset="0"/>
            </a:rPr>
            <a:t>Ix =</a:t>
          </a:r>
          <a:r>
            <a:rPr lang="en-US" sz="1200" baseline="0">
              <a:latin typeface="Times New Roman" panose="02020603050405020304" pitchFamily="18" charset="0"/>
              <a:cs typeface="Times New Roman" panose="02020603050405020304" pitchFamily="18" charset="0"/>
            </a:rPr>
            <a:t> 0.26*IHS = 26% of HS current limit based on Systems/Design</a:t>
          </a: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124106</xdr:colOff>
      <xdr:row>0</xdr:row>
      <xdr:rowOff>109903</xdr:rowOff>
    </xdr:from>
    <xdr:to>
      <xdr:col>7</xdr:col>
      <xdr:colOff>530392</xdr:colOff>
      <xdr:row>27</xdr:row>
      <xdr:rowOff>150502</xdr:rowOff>
    </xdr:to>
    <xdr:pic>
      <xdr:nvPicPr>
        <xdr:cNvPr id="4" name="Picture 3">
          <a:extLst>
            <a:ext uri="{FF2B5EF4-FFF2-40B4-BE49-F238E27FC236}">
              <a16:creationId xmlns:a16="http://schemas.microsoft.com/office/drawing/2014/main" id="{A982C406-56AA-4E3A-B2E6-69CBA81F0753}"/>
            </a:ext>
          </a:extLst>
        </xdr:cNvPr>
        <xdr:cNvPicPr>
          <a:picLocks noChangeAspect="1"/>
        </xdr:cNvPicPr>
      </xdr:nvPicPr>
      <xdr:blipFill>
        <a:blip xmlns:r="http://schemas.openxmlformats.org/officeDocument/2006/relationships" r:embed="rId1"/>
        <a:stretch>
          <a:fillRect/>
        </a:stretch>
      </xdr:blipFill>
      <xdr:spPr>
        <a:xfrm>
          <a:off x="124106" y="109903"/>
          <a:ext cx="6956555" cy="5184099"/>
        </a:xfrm>
        <a:prstGeom prst="rect">
          <a:avLst/>
        </a:prstGeom>
      </xdr:spPr>
    </xdr:pic>
    <xdr:clientData/>
  </xdr:twoCellAnchor>
  <xdr:twoCellAnchor editAs="absolute">
    <xdr:from>
      <xdr:col>0</xdr:col>
      <xdr:colOff>531202</xdr:colOff>
      <xdr:row>165</xdr:row>
      <xdr:rowOff>57150</xdr:rowOff>
    </xdr:from>
    <xdr:to>
      <xdr:col>10</xdr:col>
      <xdr:colOff>212481</xdr:colOff>
      <xdr:row>190</xdr:row>
      <xdr:rowOff>175846</xdr:rowOff>
    </xdr:to>
    <xdr:graphicFrame macro="">
      <xdr:nvGraphicFramePr>
        <xdr:cNvPr id="3" name="Chart 2">
          <a:extLst>
            <a:ext uri="{FF2B5EF4-FFF2-40B4-BE49-F238E27FC236}">
              <a16:creationId xmlns:a16="http://schemas.microsoft.com/office/drawing/2014/main" id="{A92713C1-061A-43E0-A836-42E81E1B81C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oneCellAnchor>
    <xdr:from>
      <xdr:col>0</xdr:col>
      <xdr:colOff>306456</xdr:colOff>
      <xdr:row>6</xdr:row>
      <xdr:rowOff>74543</xdr:rowOff>
    </xdr:from>
    <xdr:ext cx="6385979" cy="311496"/>
    <xdr:sp macro="" textlink="">
      <xdr:nvSpPr>
        <xdr:cNvPr id="2" name="TextBox 1">
          <a:extLst>
            <a:ext uri="{FF2B5EF4-FFF2-40B4-BE49-F238E27FC236}">
              <a16:creationId xmlns:a16="http://schemas.microsoft.com/office/drawing/2014/main" id="{EEA00131-9E41-4D99-9003-428F6502145F}"/>
            </a:ext>
          </a:extLst>
        </xdr:cNvPr>
        <xdr:cNvSpPr txBox="1"/>
      </xdr:nvSpPr>
      <xdr:spPr>
        <a:xfrm>
          <a:off x="306456" y="1217543"/>
          <a:ext cx="6385979" cy="311496"/>
        </a:xfrm>
        <a:prstGeom prst="rect">
          <a:avLst/>
        </a:prstGeom>
        <a:solidFill>
          <a:schemeClr val="bg1"/>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400"/>
            <a:t>Minimum L is calculated based on providing</a:t>
          </a:r>
          <a:r>
            <a:rPr lang="en-US" sz="1400" baseline="0"/>
            <a:t> a minimum slope compensation of m</a:t>
          </a:r>
          <a:r>
            <a:rPr lang="en-US" sz="1400" baseline="-25000"/>
            <a:t>2</a:t>
          </a:r>
          <a:r>
            <a:rPr lang="en-US" sz="1400" baseline="0"/>
            <a:t>/2</a:t>
          </a:r>
          <a:endParaRPr lang="en-US" sz="1400"/>
        </a:p>
      </xdr:txBody>
    </xdr:sp>
    <xdr:clientData/>
  </xdr:oneCellAnchor>
  <xdr:twoCellAnchor editAs="oneCell">
    <xdr:from>
      <xdr:col>11</xdr:col>
      <xdr:colOff>215348</xdr:colOff>
      <xdr:row>5</xdr:row>
      <xdr:rowOff>149087</xdr:rowOff>
    </xdr:from>
    <xdr:to>
      <xdr:col>14</xdr:col>
      <xdr:colOff>358086</xdr:colOff>
      <xdr:row>28</xdr:row>
      <xdr:rowOff>178278</xdr:rowOff>
    </xdr:to>
    <xdr:pic>
      <xdr:nvPicPr>
        <xdr:cNvPr id="3" name="Picture 2">
          <a:extLst>
            <a:ext uri="{FF2B5EF4-FFF2-40B4-BE49-F238E27FC236}">
              <a16:creationId xmlns:a16="http://schemas.microsoft.com/office/drawing/2014/main" id="{DD94D119-72C9-4873-AE35-7D18C5AD2089}"/>
            </a:ext>
          </a:extLst>
        </xdr:cNvPr>
        <xdr:cNvPicPr>
          <a:picLocks noChangeAspect="1"/>
        </xdr:cNvPicPr>
      </xdr:nvPicPr>
      <xdr:blipFill>
        <a:blip xmlns:r="http://schemas.openxmlformats.org/officeDocument/2006/relationships" r:embed="rId1"/>
        <a:stretch>
          <a:fillRect/>
        </a:stretch>
      </xdr:blipFill>
      <xdr:spPr>
        <a:xfrm>
          <a:off x="7181022" y="1101587"/>
          <a:ext cx="1981477" cy="441069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4ACA4-2D16-4A1E-8E37-542496EF3A62}">
  <dimension ref="A11:E132"/>
  <sheetViews>
    <sheetView tabSelected="1" topLeftCell="A10" zoomScale="115" zoomScaleNormal="115" workbookViewId="0">
      <selection activeCell="B54" sqref="B54"/>
    </sheetView>
  </sheetViews>
  <sheetFormatPr defaultColWidth="10.33203125" defaultRowHeight="15.6" x14ac:dyDescent="0.3"/>
  <cols>
    <col min="1" max="1" width="59.44140625" style="87" customWidth="1"/>
    <col min="2" max="2" width="22.6640625" style="87" customWidth="1"/>
    <col min="3" max="3" width="58.33203125" style="87" customWidth="1"/>
    <col min="4" max="4" width="14.33203125" style="87" customWidth="1"/>
    <col min="5" max="16384" width="10.33203125" style="87"/>
  </cols>
  <sheetData>
    <row r="11" spans="1:5" ht="21.75" customHeight="1" x14ac:dyDescent="0.3">
      <c r="A11" s="7"/>
      <c r="B11" s="86" t="s">
        <v>59</v>
      </c>
    </row>
    <row r="12" spans="1:5" ht="21.75" customHeight="1" x14ac:dyDescent="0.3">
      <c r="B12" s="88" t="s">
        <v>60</v>
      </c>
    </row>
    <row r="14" spans="1:5" ht="15" customHeight="1" x14ac:dyDescent="0.3">
      <c r="A14" s="89"/>
    </row>
    <row r="15" spans="1:5" ht="30.75" customHeight="1" thickBot="1" x14ac:dyDescent="0.35">
      <c r="A15" s="90" t="s">
        <v>61</v>
      </c>
      <c r="B15" s="91"/>
      <c r="C15" s="91"/>
    </row>
    <row r="16" spans="1:5" ht="24.6" customHeight="1" x14ac:dyDescent="0.3">
      <c r="A16" s="92" t="s">
        <v>62</v>
      </c>
      <c r="B16" s="134" t="s">
        <v>183</v>
      </c>
      <c r="C16"/>
      <c r="D16"/>
      <c r="E16"/>
    </row>
    <row r="17" spans="1:5" s="7" customFormat="1" x14ac:dyDescent="0.3">
      <c r="A17" s="93"/>
      <c r="B17" s="94"/>
      <c r="C17"/>
      <c r="D17"/>
      <c r="E17"/>
    </row>
    <row r="18" spans="1:5" ht="26.25" customHeight="1" x14ac:dyDescent="0.3">
      <c r="A18" s="95" t="s">
        <v>63</v>
      </c>
      <c r="B18" s="20">
        <v>48</v>
      </c>
      <c r="C18" s="96" t="str">
        <f>IF(OR(B18&gt;Helper_clacs!L18,B18&lt;Helper_clacs!N18),"OUT OF RANGE","")</f>
        <v/>
      </c>
      <c r="D18"/>
      <c r="E18"/>
    </row>
    <row r="19" spans="1:5" ht="27" customHeight="1" x14ac:dyDescent="0.3">
      <c r="A19" s="95" t="s">
        <v>64</v>
      </c>
      <c r="B19" s="20">
        <v>12</v>
      </c>
      <c r="C19" s="96" t="str">
        <f>IF(OR(B19&gt;=B18,B19&lt;0.8),"OUT OF RANGE","")</f>
        <v/>
      </c>
      <c r="D19"/>
      <c r="E19"/>
    </row>
    <row r="20" spans="1:5" ht="24.75" customHeight="1" x14ac:dyDescent="0.3">
      <c r="A20" s="95" t="s">
        <v>65</v>
      </c>
      <c r="B20" s="20">
        <v>2.5</v>
      </c>
      <c r="C20" s="96" t="str">
        <f>IF(OR(B20&lt;0,B20&gt;Helper_clacs!B18),"OUT OF RANGE",IF(B20&gt;B79,"CURRENT LIMIT",""))</f>
        <v/>
      </c>
      <c r="D20"/>
      <c r="E20"/>
    </row>
    <row r="21" spans="1:5" ht="24.75" customHeight="1" x14ac:dyDescent="0.3">
      <c r="A21" s="95" t="s">
        <v>66</v>
      </c>
      <c r="B21" s="20">
        <v>2200</v>
      </c>
      <c r="C21" s="96" t="str">
        <f>IF(OR(B21&gt;2200,B21&lt;300),"OUT OF RANGE","")</f>
        <v/>
      </c>
      <c r="D21"/>
      <c r="E21"/>
    </row>
    <row r="22" spans="1:5" x14ac:dyDescent="0.3">
      <c r="A22" s="95"/>
      <c r="B22" s="97"/>
      <c r="C22"/>
      <c r="D22"/>
      <c r="E22"/>
    </row>
    <row r="23" spans="1:5" ht="16.2" thickBot="1" x14ac:dyDescent="0.35">
      <c r="A23" s="98" t="s">
        <v>67</v>
      </c>
      <c r="B23" s="21">
        <v>0.3</v>
      </c>
      <c r="C23"/>
      <c r="D23"/>
      <c r="E23"/>
    </row>
    <row r="24" spans="1:5" x14ac:dyDescent="0.25">
      <c r="A24" s="99"/>
      <c r="B24" s="99"/>
      <c r="C24" s="99"/>
    </row>
    <row r="25" spans="1:5" x14ac:dyDescent="0.25">
      <c r="A25" s="99"/>
      <c r="B25" s="99"/>
      <c r="C25" s="91"/>
    </row>
    <row r="26" spans="1:5" x14ac:dyDescent="0.3">
      <c r="A26" s="91"/>
      <c r="B26" s="91"/>
      <c r="C26" s="91"/>
    </row>
    <row r="27" spans="1:5" ht="33" customHeight="1" thickBot="1" x14ac:dyDescent="0.35">
      <c r="A27" s="90" t="s">
        <v>68</v>
      </c>
      <c r="B27" s="91"/>
      <c r="C27" s="91"/>
    </row>
    <row r="28" spans="1:5" ht="36" customHeight="1" x14ac:dyDescent="0.3">
      <c r="A28" s="92" t="s">
        <v>69</v>
      </c>
      <c r="B28" s="100">
        <f>Helper_clacs!C34</f>
        <v>3.0779308937107497</v>
      </c>
      <c r="C28" s="101"/>
    </row>
    <row r="29" spans="1:5" ht="27.75" customHeight="1" x14ac:dyDescent="0.25">
      <c r="A29" s="95" t="s">
        <v>70</v>
      </c>
      <c r="B29" s="102">
        <f>Min_L!B18</f>
        <v>1.5856236786469344</v>
      </c>
      <c r="C29" s="97"/>
    </row>
    <row r="30" spans="1:5" ht="32.25" customHeight="1" thickBot="1" x14ac:dyDescent="0.35">
      <c r="A30" s="103" t="s">
        <v>71</v>
      </c>
      <c r="B30" s="22">
        <v>3.3</v>
      </c>
      <c r="C30" s="104" t="s">
        <v>72</v>
      </c>
      <c r="D30" s="7"/>
    </row>
    <row r="31" spans="1:5" ht="17.25" customHeight="1" x14ac:dyDescent="0.3">
      <c r="A31" s="7"/>
      <c r="B31" s="7"/>
      <c r="C31" s="7"/>
      <c r="D31" s="7"/>
    </row>
    <row r="32" spans="1:5" ht="16.5" customHeight="1" x14ac:dyDescent="0.3">
      <c r="A32" s="7"/>
      <c r="B32" s="7"/>
      <c r="C32" s="7"/>
      <c r="D32" s="7"/>
    </row>
    <row r="33" spans="1:3" x14ac:dyDescent="0.3">
      <c r="A33" s="91"/>
      <c r="B33" s="105"/>
      <c r="C33" s="91"/>
    </row>
    <row r="34" spans="1:3" ht="32.25" customHeight="1" thickBot="1" x14ac:dyDescent="0.35">
      <c r="A34" s="90" t="s">
        <v>327</v>
      </c>
      <c r="B34" s="105"/>
      <c r="C34" s="91"/>
    </row>
    <row r="35" spans="1:3" ht="32.25" customHeight="1" x14ac:dyDescent="0.3">
      <c r="A35" s="106" t="s">
        <v>328</v>
      </c>
      <c r="B35" s="107">
        <f>Cout_select!B9</f>
        <v>10</v>
      </c>
      <c r="C35" s="108"/>
    </row>
    <row r="36" spans="1:3" ht="38.25" customHeight="1" x14ac:dyDescent="0.3">
      <c r="A36" s="109" t="s">
        <v>73</v>
      </c>
      <c r="B36" s="80">
        <v>22</v>
      </c>
      <c r="C36" s="110" t="s">
        <v>326</v>
      </c>
    </row>
    <row r="37" spans="1:3" ht="17.25" customHeight="1" x14ac:dyDescent="0.3">
      <c r="A37" s="93"/>
      <c r="B37" s="99"/>
      <c r="C37" s="94"/>
    </row>
    <row r="38" spans="1:3" ht="32.25" customHeight="1" x14ac:dyDescent="0.3">
      <c r="A38" s="111" t="s">
        <v>74</v>
      </c>
      <c r="B38" s="23">
        <v>0</v>
      </c>
      <c r="C38" s="112"/>
    </row>
    <row r="39" spans="1:3" ht="31.5" customHeight="1" thickBot="1" x14ac:dyDescent="0.35">
      <c r="A39" s="113" t="s">
        <v>75</v>
      </c>
      <c r="B39" s="22">
        <v>0</v>
      </c>
      <c r="C39" s="114"/>
    </row>
    <row r="40" spans="1:3" ht="17.25" customHeight="1" x14ac:dyDescent="0.3">
      <c r="A40" s="115"/>
      <c r="B40" s="7"/>
      <c r="C40" s="91"/>
    </row>
    <row r="41" spans="1:3" ht="17.25" customHeight="1" x14ac:dyDescent="0.25">
      <c r="A41" s="91"/>
      <c r="B41" s="99"/>
      <c r="C41" s="91"/>
    </row>
    <row r="42" spans="1:3" ht="31.5" customHeight="1" thickBot="1" x14ac:dyDescent="0.3">
      <c r="A42" s="90" t="s">
        <v>76</v>
      </c>
      <c r="B42" s="99"/>
      <c r="C42" s="99"/>
    </row>
    <row r="43" spans="1:3" ht="31.5" customHeight="1" x14ac:dyDescent="0.3">
      <c r="A43" s="92" t="s">
        <v>77</v>
      </c>
      <c r="B43" s="135">
        <v>100</v>
      </c>
      <c r="C43" s="116" t="str">
        <f>IF(FB_div_selector!B13="H","SELECT A SMALLER VALUE",IF(FB_div_selector!B13="L","SELECT A LARGER VALUE",IF(B19=0.8,"USE 5kΩ RFBT","")))</f>
        <v/>
      </c>
    </row>
    <row r="44" spans="1:3" ht="31.5" customHeight="1" thickBot="1" x14ac:dyDescent="0.35">
      <c r="A44" s="98" t="s">
        <v>78</v>
      </c>
      <c r="B44" s="117">
        <f>IF(B19=0.8,"OPEN",FB_div_selector!B15)</f>
        <v>7.1428571428571432</v>
      </c>
      <c r="C44"/>
    </row>
    <row r="45" spans="1:3" ht="13.5" customHeight="1" x14ac:dyDescent="0.25">
      <c r="A45" s="91"/>
      <c r="B45" s="99"/>
      <c r="C45" s="91"/>
    </row>
    <row r="46" spans="1:3" ht="16.5" customHeight="1" x14ac:dyDescent="0.25">
      <c r="A46" s="91"/>
      <c r="B46" s="99"/>
      <c r="C46" s="91"/>
    </row>
    <row r="47" spans="1:3" ht="29.25" customHeight="1" thickBot="1" x14ac:dyDescent="0.3">
      <c r="A47" s="90" t="s">
        <v>79</v>
      </c>
      <c r="B47" s="99"/>
      <c r="C47" s="99"/>
    </row>
    <row r="48" spans="1:3" ht="28.5" customHeight="1" x14ac:dyDescent="0.3">
      <c r="A48" s="92" t="s">
        <v>80</v>
      </c>
      <c r="B48" s="118">
        <f>Loop_gain!C161</f>
        <v>5.3972034628776795</v>
      </c>
      <c r="C48"/>
    </row>
    <row r="49" spans="1:3" ht="44.25" customHeight="1" thickBot="1" x14ac:dyDescent="0.35">
      <c r="A49" s="103" t="s">
        <v>81</v>
      </c>
      <c r="B49" s="136">
        <v>22</v>
      </c>
      <c r="C49"/>
    </row>
    <row r="50" spans="1:3" ht="18" customHeight="1" x14ac:dyDescent="0.25">
      <c r="A50" s="99"/>
      <c r="B50" s="99"/>
      <c r="C50" s="99"/>
    </row>
    <row r="51" spans="1:3" ht="18" customHeight="1" x14ac:dyDescent="0.3"/>
    <row r="52" spans="1:3" ht="15" customHeight="1" x14ac:dyDescent="0.3">
      <c r="A52" s="115"/>
      <c r="B52" s="7"/>
      <c r="C52" s="91"/>
    </row>
    <row r="53" spans="1:3" ht="29.25" customHeight="1" thickBot="1" x14ac:dyDescent="0.35">
      <c r="A53" s="90" t="s">
        <v>82</v>
      </c>
      <c r="B53" s="7"/>
      <c r="C53" s="91"/>
    </row>
    <row r="54" spans="1:3" ht="34.5" customHeight="1" x14ac:dyDescent="0.25">
      <c r="A54" s="119" t="s">
        <v>83</v>
      </c>
      <c r="B54" s="24">
        <v>13</v>
      </c>
      <c r="C54" s="91"/>
    </row>
    <row r="55" spans="1:3" ht="54" customHeight="1" x14ac:dyDescent="0.3">
      <c r="A55" s="111" t="s">
        <v>84</v>
      </c>
      <c r="B55" s="120">
        <f>D_limits!B9</f>
        <v>65</v>
      </c>
      <c r="C55" s="121" t="s">
        <v>85</v>
      </c>
    </row>
    <row r="56" spans="1:3" ht="48.75" customHeight="1" x14ac:dyDescent="0.3">
      <c r="A56" s="111" t="s">
        <v>86</v>
      </c>
      <c r="B56" s="122">
        <f>D_limits!B19</f>
        <v>14.876747572815535</v>
      </c>
      <c r="C56" s="121" t="s">
        <v>87</v>
      </c>
    </row>
    <row r="57" spans="1:3" ht="48" customHeight="1" thickBot="1" x14ac:dyDescent="0.35">
      <c r="A57" s="113" t="s">
        <v>88</v>
      </c>
      <c r="B57" s="123">
        <f>D_limits!B20</f>
        <v>12.547465000000001</v>
      </c>
      <c r="C57" s="121" t="s">
        <v>89</v>
      </c>
    </row>
    <row r="58" spans="1:3" ht="15.75" customHeight="1" x14ac:dyDescent="0.3">
      <c r="A58" s="91"/>
      <c r="C58" s="91"/>
    </row>
    <row r="59" spans="1:3" ht="15.75" customHeight="1" x14ac:dyDescent="0.25">
      <c r="A59" s="91"/>
      <c r="B59" s="99"/>
      <c r="C59" s="91"/>
    </row>
    <row r="60" spans="1:3" ht="18" customHeight="1" x14ac:dyDescent="0.25">
      <c r="A60" s="91"/>
      <c r="B60" s="99"/>
      <c r="C60" s="91"/>
    </row>
    <row r="61" spans="1:3" ht="34.5" customHeight="1" thickBot="1" x14ac:dyDescent="0.3">
      <c r="A61" s="90" t="s">
        <v>90</v>
      </c>
      <c r="B61" s="99"/>
      <c r="C61" s="99"/>
    </row>
    <row r="62" spans="1:3" ht="32.25" customHeight="1" x14ac:dyDescent="0.3">
      <c r="A62" s="119" t="s">
        <v>311</v>
      </c>
      <c r="B62" s="124" t="str">
        <f>Helper_clacs!B48</f>
        <v>GND</v>
      </c>
      <c r="C62" s="91"/>
    </row>
    <row r="63" spans="1:3" customFormat="1" ht="32.25" customHeight="1" x14ac:dyDescent="0.3">
      <c r="A63" s="111" t="s">
        <v>309</v>
      </c>
      <c r="B63" s="125" t="str">
        <f>Helper_clacs!B47</f>
        <v>FB Divder</v>
      </c>
    </row>
    <row r="64" spans="1:3" customFormat="1" ht="32.25" customHeight="1" thickBot="1" x14ac:dyDescent="0.35">
      <c r="A64" s="113" t="s">
        <v>310</v>
      </c>
      <c r="B64" s="126" t="str">
        <f>Helper_clacs!B49</f>
        <v>VOUT or GND</v>
      </c>
    </row>
    <row r="65" spans="1:3" ht="16.2" thickBot="1" x14ac:dyDescent="0.35">
      <c r="A65" s="115"/>
      <c r="B65"/>
      <c r="C65" s="91"/>
    </row>
    <row r="66" spans="1:3" ht="23.25" customHeight="1" x14ac:dyDescent="0.3">
      <c r="A66" s="119" t="s">
        <v>91</v>
      </c>
      <c r="B66" s="118">
        <v>1</v>
      </c>
      <c r="C66" s="91"/>
    </row>
    <row r="67" spans="1:3" ht="23.25" customHeight="1" x14ac:dyDescent="0.3">
      <c r="A67" s="111" t="s">
        <v>92</v>
      </c>
      <c r="B67" s="127">
        <v>0.1</v>
      </c>
      <c r="C67" s="91"/>
    </row>
    <row r="68" spans="1:3" ht="22.5" customHeight="1" x14ac:dyDescent="0.3">
      <c r="A68" s="111" t="s">
        <v>312</v>
      </c>
      <c r="B68" s="127">
        <v>4.7</v>
      </c>
      <c r="C68" s="91"/>
    </row>
    <row r="69" spans="1:3" ht="26.25" customHeight="1" thickBot="1" x14ac:dyDescent="0.35">
      <c r="A69" s="113" t="s">
        <v>313</v>
      </c>
      <c r="B69" s="128">
        <v>0.1</v>
      </c>
      <c r="C69" s="91"/>
    </row>
    <row r="70" spans="1:3" x14ac:dyDescent="0.3">
      <c r="A70" s="91"/>
      <c r="B70" s="91"/>
      <c r="C70" s="91"/>
    </row>
    <row r="71" spans="1:3" ht="21.75" customHeight="1" x14ac:dyDescent="0.3">
      <c r="A71" s="91"/>
      <c r="B71" s="91"/>
      <c r="C71" s="91"/>
    </row>
    <row r="72" spans="1:3" ht="24" customHeight="1" x14ac:dyDescent="0.3">
      <c r="A72" s="91"/>
      <c r="B72" s="91"/>
      <c r="C72" s="91"/>
    </row>
    <row r="73" spans="1:3" ht="29.25" customHeight="1" thickBot="1" x14ac:dyDescent="0.35">
      <c r="A73" s="90" t="s">
        <v>93</v>
      </c>
      <c r="B73" s="91"/>
      <c r="C73" s="91"/>
    </row>
    <row r="74" spans="1:3" ht="24.75" customHeight="1" x14ac:dyDescent="0.3">
      <c r="A74" s="92" t="s">
        <v>94</v>
      </c>
      <c r="B74" s="129">
        <f>Helper_clacs!B41</f>
        <v>3.1295767737135622</v>
      </c>
      <c r="C74" s="7"/>
    </row>
    <row r="75" spans="1:3" ht="27.75" customHeight="1" x14ac:dyDescent="0.3">
      <c r="A75" s="95" t="s">
        <v>95</v>
      </c>
      <c r="B75" s="122">
        <f>Helper_clacs!B42</f>
        <v>1.8704232262864378</v>
      </c>
      <c r="C75" s="7"/>
    </row>
    <row r="76" spans="1:3" ht="24.75" customHeight="1" thickBot="1" x14ac:dyDescent="0.35">
      <c r="A76" s="98" t="s">
        <v>96</v>
      </c>
      <c r="B76" s="123">
        <f>Helper_clacs!B40</f>
        <v>1.2591535474271247</v>
      </c>
      <c r="C76" s="7"/>
    </row>
    <row r="77" spans="1:3" ht="24.75" customHeight="1" x14ac:dyDescent="0.3">
      <c r="A77" s="115"/>
      <c r="B77" s="7"/>
      <c r="C77" s="91"/>
    </row>
    <row r="78" spans="1:3" ht="24.75" customHeight="1" thickBot="1" x14ac:dyDescent="0.35">
      <c r="A78" s="90" t="s">
        <v>97</v>
      </c>
      <c r="B78" s="91"/>
      <c r="C78" s="91"/>
    </row>
    <row r="79" spans="1:3" ht="49.5" customHeight="1" x14ac:dyDescent="0.3">
      <c r="A79" s="92" t="s">
        <v>98</v>
      </c>
      <c r="B79" s="117">
        <f>Current_limit!B18</f>
        <v>5.7128519636604409</v>
      </c>
      <c r="C79" s="121" t="s">
        <v>99</v>
      </c>
    </row>
    <row r="80" spans="1:3" ht="39" customHeight="1" x14ac:dyDescent="0.3">
      <c r="A80" s="95" t="s">
        <v>100</v>
      </c>
      <c r="B80" s="117">
        <f>Current_limit!B13</f>
        <v>5.7751291775280187</v>
      </c>
      <c r="C80" s="121" t="s">
        <v>101</v>
      </c>
    </row>
    <row r="81" spans="1:3" ht="51" customHeight="1" thickBot="1" x14ac:dyDescent="0.35">
      <c r="A81" s="98" t="s">
        <v>102</v>
      </c>
      <c r="B81" s="117">
        <f>Current_limit!B22</f>
        <v>5.7751291775280187</v>
      </c>
      <c r="C81" s="121" t="s">
        <v>103</v>
      </c>
    </row>
    <row r="82" spans="1:3" ht="24.75" customHeight="1" x14ac:dyDescent="0.3">
      <c r="A82" s="115"/>
      <c r="B82" s="7"/>
      <c r="C82" s="91"/>
    </row>
    <row r="83" spans="1:3" ht="24.75" customHeight="1" x14ac:dyDescent="0.3">
      <c r="A83" s="115"/>
      <c r="B83" s="7"/>
      <c r="C83" s="91"/>
    </row>
    <row r="84" spans="1:3" ht="28.5" customHeight="1" thickBot="1" x14ac:dyDescent="0.35">
      <c r="A84" s="90" t="s">
        <v>104</v>
      </c>
      <c r="B84" s="91"/>
      <c r="C84" s="91"/>
    </row>
    <row r="85" spans="1:3" ht="35.25" customHeight="1" x14ac:dyDescent="0.3">
      <c r="A85" s="92" t="s">
        <v>105</v>
      </c>
      <c r="B85" s="130">
        <f>Loop_gain!B143/1000</f>
        <v>147.51682967396201</v>
      </c>
      <c r="C85" s="91"/>
    </row>
    <row r="86" spans="1:3" ht="33" customHeight="1" x14ac:dyDescent="0.3">
      <c r="A86" s="95" t="s">
        <v>106</v>
      </c>
      <c r="B86" s="130">
        <f>Loop_gain!B144</f>
        <v>93.321638547170707</v>
      </c>
      <c r="C86" s="91"/>
    </row>
    <row r="87" spans="1:3" ht="30" customHeight="1" thickBot="1" x14ac:dyDescent="0.35">
      <c r="A87" s="98" t="s">
        <v>107</v>
      </c>
      <c r="B87" s="130">
        <f>Loop_gain!B155</f>
        <v>-7.315975076157903</v>
      </c>
    </row>
    <row r="88" spans="1:3" ht="27" customHeight="1" x14ac:dyDescent="0.3"/>
    <row r="99" spans="1:3" x14ac:dyDescent="0.3">
      <c r="A99" s="7"/>
      <c r="B99" s="7"/>
      <c r="C99" s="7"/>
    </row>
    <row r="100" spans="1:3" x14ac:dyDescent="0.3">
      <c r="A100" s="7"/>
      <c r="B100" s="7"/>
      <c r="C100" s="7"/>
    </row>
    <row r="101" spans="1:3" x14ac:dyDescent="0.3">
      <c r="A101" s="7"/>
      <c r="B101" s="7"/>
      <c r="C101" s="7"/>
    </row>
    <row r="102" spans="1:3" x14ac:dyDescent="0.3">
      <c r="A102" s="7"/>
      <c r="B102" s="7"/>
      <c r="C102" s="7"/>
    </row>
    <row r="103" spans="1:3" x14ac:dyDescent="0.3">
      <c r="A103" s="7"/>
      <c r="B103" s="7"/>
      <c r="C103" s="7"/>
    </row>
    <row r="104" spans="1:3" x14ac:dyDescent="0.3">
      <c r="A104" s="7"/>
      <c r="B104" s="7"/>
      <c r="C104" s="7"/>
    </row>
    <row r="119" spans="1:2" x14ac:dyDescent="0.3">
      <c r="A119" s="7"/>
      <c r="B119" s="7"/>
    </row>
    <row r="120" spans="1:2" x14ac:dyDescent="0.3">
      <c r="A120" s="7"/>
      <c r="B120" s="7"/>
    </row>
    <row r="121" spans="1:2" x14ac:dyDescent="0.3">
      <c r="A121" s="7"/>
      <c r="B121" s="7"/>
    </row>
    <row r="126" spans="1:2" x14ac:dyDescent="0.3">
      <c r="B126" s="131"/>
    </row>
    <row r="129" spans="2:2" x14ac:dyDescent="0.3">
      <c r="B129" s="132"/>
    </row>
    <row r="130" spans="2:2" x14ac:dyDescent="0.3">
      <c r="B130" s="133"/>
    </row>
    <row r="131" spans="2:2" x14ac:dyDescent="0.3">
      <c r="B131" s="133"/>
    </row>
    <row r="132" spans="2:2" x14ac:dyDescent="0.3">
      <c r="B132" s="132"/>
    </row>
  </sheetData>
  <sheetProtection algorithmName="SHA-512" hashValue="T3x+kR8ZLIFmtYn8lF46eRK9GQuOPPAN+OqFODdrH46hjRJ+h4YJPtu0B2d0eEFk96ts3CDjOo3JPIzGgriZuw==" saltValue="alQDVdVKyO6FQn7lpdhlHw==" spinCount="100000" sheet="1" objects="1" scenarios="1" selectLockedCells="1"/>
  <conditionalFormatting sqref="A43:A44">
    <cfRule type="expression" dxfId="5" priority="4">
      <formula>OR($B$19=5,$B$19=3.3)</formula>
    </cfRule>
  </conditionalFormatting>
  <conditionalFormatting sqref="B30">
    <cfRule type="expression" dxfId="4" priority="6">
      <formula>$B$30&lt;$B$29</formula>
    </cfRule>
    <cfRule type="cellIs" dxfId="3" priority="7" operator="lessThan">
      <formula>$B$29</formula>
    </cfRule>
  </conditionalFormatting>
  <conditionalFormatting sqref="B43">
    <cfRule type="expression" dxfId="2" priority="2">
      <formula>OR($B$19=5,$B$19=3.3,$B$19=0.8)</formula>
    </cfRule>
  </conditionalFormatting>
  <conditionalFormatting sqref="B44">
    <cfRule type="expression" dxfId="1" priority="3">
      <formula>OR($B$19=5,$B$19=3.3)</formula>
    </cfRule>
  </conditionalFormatting>
  <conditionalFormatting sqref="B48:B49">
    <cfRule type="expression" dxfId="0" priority="1">
      <formula>OR($B$19=0.8,$B$19=5,$B$19=3.3)</formula>
    </cfRule>
  </conditionalFormatting>
  <dataValidations count="1">
    <dataValidation allowBlank="1" showErrorMessage="1" promptTitle="Maximum Input Voltage" prompt="This is the maximum input voltage before the switching frequency will drop because of the minimum on-time limitation." sqref="A55" xr:uid="{8752292B-20EE-4D96-BE21-5E7A54C402EA}"/>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D476E2D-40E1-4072-8E91-E8EFA30039AF}">
          <x14:formula1>
            <xm:f>Helper_clacs!$A$4:$A$6</xm:f>
          </x14:formula1>
          <xm:sqref>B16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18C53-430D-42B6-985E-9BA2BF78E44C}">
  <dimension ref="A10:C22"/>
  <sheetViews>
    <sheetView zoomScale="115" zoomScaleNormal="115" workbookViewId="0">
      <selection activeCell="E14" sqref="E14"/>
    </sheetView>
  </sheetViews>
  <sheetFormatPr defaultRowHeight="14.4" x14ac:dyDescent="0.3"/>
  <cols>
    <col min="1" max="1" width="12.109375" customWidth="1"/>
    <col min="2" max="2" width="15" customWidth="1"/>
    <col min="3" max="3" width="32.44140625" customWidth="1"/>
  </cols>
  <sheetData>
    <row r="10" spans="1:3" x14ac:dyDescent="0.3">
      <c r="A10" t="s">
        <v>204</v>
      </c>
      <c r="B10">
        <f>(Main!B19+Helper_clacs!B18*(Helper_clacs!B24+Helper_clacs!H18))/(Main!B18-Helper_clacs!B18*(Helper_clacs!G18-Helper_clacs!H18))</f>
        <v>0.25708724452955767</v>
      </c>
      <c r="C10" s="60" t="s">
        <v>205</v>
      </c>
    </row>
    <row r="11" spans="1:3" x14ac:dyDescent="0.3">
      <c r="A11" t="s">
        <v>206</v>
      </c>
      <c r="B11">
        <f>Helper_clacs!E18-Helper_clacs!O18*Current_limit!B10*0.09724</f>
        <v>6.3502583550560381</v>
      </c>
      <c r="C11" s="60" t="s">
        <v>207</v>
      </c>
    </row>
    <row r="13" spans="1:3" x14ac:dyDescent="0.3">
      <c r="A13" t="s">
        <v>128</v>
      </c>
      <c r="B13" s="19">
        <f>(B11+Helper_clacs!F18)/2</f>
        <v>5.7751291775280187</v>
      </c>
      <c r="C13" s="60" t="s">
        <v>209</v>
      </c>
    </row>
    <row r="15" spans="1:3" x14ac:dyDescent="0.3">
      <c r="A15" t="s">
        <v>213</v>
      </c>
      <c r="B15">
        <f>(Main!B18-Main!B19)*Current_limit!B10/(2*Helper_clacs!B36*Helper_clacs!B21)</f>
        <v>0.63740639139559763</v>
      </c>
      <c r="C15" s="60" t="s">
        <v>214</v>
      </c>
    </row>
    <row r="16" spans="1:3" x14ac:dyDescent="0.3">
      <c r="A16" t="s">
        <v>26</v>
      </c>
      <c r="B16">
        <f>B11-B15</f>
        <v>5.7128519636604409</v>
      </c>
      <c r="C16" s="60" t="s">
        <v>210</v>
      </c>
    </row>
    <row r="18" spans="1:3" x14ac:dyDescent="0.3">
      <c r="A18" s="1" t="s">
        <v>211</v>
      </c>
      <c r="B18" s="19">
        <f>IF(B16&lt;B13,B16,B13)</f>
        <v>5.7128519636604409</v>
      </c>
      <c r="C18" s="60" t="s">
        <v>212</v>
      </c>
    </row>
    <row r="20" spans="1:3" x14ac:dyDescent="0.3">
      <c r="A20" t="s">
        <v>21</v>
      </c>
      <c r="B20">
        <f>Helper_clacs!F18+Current_limit!B15</f>
        <v>5.8374063913955982</v>
      </c>
      <c r="C20" s="60" t="s">
        <v>215</v>
      </c>
    </row>
    <row r="22" spans="1:3" x14ac:dyDescent="0.3">
      <c r="A22" s="1" t="s">
        <v>216</v>
      </c>
      <c r="B22" s="19">
        <f>IF(B20&lt;B13,B20,B13)</f>
        <v>5.7751291775280187</v>
      </c>
      <c r="C22" s="60" t="s">
        <v>217</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3F136-D298-42F1-8A8D-97F6C2D927E6}">
  <dimension ref="A5:C36"/>
  <sheetViews>
    <sheetView topLeftCell="A4" zoomScale="130" zoomScaleNormal="130" workbookViewId="0">
      <selection activeCell="B19" sqref="B19"/>
    </sheetView>
  </sheetViews>
  <sheetFormatPr defaultRowHeight="14.4" x14ac:dyDescent="0.3"/>
  <cols>
    <col min="1" max="1" width="13.6640625" customWidth="1"/>
    <col min="2" max="2" width="16.88671875" customWidth="1"/>
    <col min="3" max="3" width="11.88671875" bestFit="1" customWidth="1"/>
  </cols>
  <sheetData>
    <row r="5" spans="1:2" x14ac:dyDescent="0.3">
      <c r="A5" t="s">
        <v>20</v>
      </c>
      <c r="B5" s="11">
        <v>5</v>
      </c>
    </row>
    <row r="6" spans="1:2" x14ac:dyDescent="0.3">
      <c r="A6" t="s">
        <v>3</v>
      </c>
      <c r="B6" s="11">
        <v>12</v>
      </c>
    </row>
    <row r="7" spans="1:2" x14ac:dyDescent="0.3">
      <c r="A7" t="s">
        <v>32</v>
      </c>
      <c r="B7" s="11">
        <v>5.5</v>
      </c>
    </row>
    <row r="8" spans="1:2" x14ac:dyDescent="0.3">
      <c r="A8" t="s">
        <v>16</v>
      </c>
      <c r="B8" s="11">
        <v>4.4999999999999998E-2</v>
      </c>
    </row>
    <row r="9" spans="1:2" x14ac:dyDescent="0.3">
      <c r="A9" t="s">
        <v>17</v>
      </c>
      <c r="B9" s="11">
        <v>9.5000000000000001E-2</v>
      </c>
    </row>
    <row r="10" spans="1:2" x14ac:dyDescent="0.3">
      <c r="A10" t="s">
        <v>18</v>
      </c>
      <c r="B10" s="11">
        <v>0.02</v>
      </c>
    </row>
    <row r="11" spans="1:2" x14ac:dyDescent="0.3">
      <c r="A11" t="s">
        <v>36</v>
      </c>
      <c r="B11" s="18">
        <v>1485000</v>
      </c>
    </row>
    <row r="12" spans="1:2" x14ac:dyDescent="0.3">
      <c r="A12" t="s">
        <v>15</v>
      </c>
      <c r="B12" s="18">
        <v>4.2</v>
      </c>
    </row>
    <row r="13" spans="1:2" x14ac:dyDescent="0.3">
      <c r="A13" t="s">
        <v>2</v>
      </c>
      <c r="B13" s="18">
        <v>1.5E-5</v>
      </c>
    </row>
    <row r="15" spans="1:2" x14ac:dyDescent="0.3">
      <c r="B15" s="12"/>
    </row>
    <row r="17" spans="1:3" x14ac:dyDescent="0.3">
      <c r="A17" t="s">
        <v>22</v>
      </c>
    </row>
    <row r="18" spans="1:3" x14ac:dyDescent="0.3">
      <c r="A18" t="s">
        <v>24</v>
      </c>
      <c r="B18">
        <f>B5/B6</f>
        <v>0.41666666666666669</v>
      </c>
      <c r="C18">
        <f>B18/B19</f>
        <v>6.6609735269000849E-7</v>
      </c>
    </row>
    <row r="19" spans="1:3" x14ac:dyDescent="0.3">
      <c r="A19" t="s">
        <v>37</v>
      </c>
      <c r="B19" s="14">
        <f>((B18*(1-B18)*B6/B13)+(B11*B18))/(B7-B12)</f>
        <v>625534.18803418812</v>
      </c>
    </row>
    <row r="20" spans="1:3" x14ac:dyDescent="0.3">
      <c r="A20" t="s">
        <v>25</v>
      </c>
      <c r="B20" s="12">
        <f>B12+(B18*(1-B18)*B6/(2*B19*B13))</f>
        <v>4.355422715627669</v>
      </c>
      <c r="C20" s="12">
        <f>B7-(B11*B18/B19)-(B18*(1-B18)*B6)/(2*B13*B19)</f>
        <v>4.3554227156276681</v>
      </c>
    </row>
    <row r="21" spans="1:3" x14ac:dyDescent="0.3">
      <c r="B21" s="12"/>
    </row>
    <row r="22" spans="1:3" x14ac:dyDescent="0.3">
      <c r="A22" t="s">
        <v>24</v>
      </c>
      <c r="B22">
        <f>(B5+B20*(B8+B10))/(B6-B20*(B9-B8))</f>
        <v>0.44839584576056085</v>
      </c>
      <c r="C22">
        <f>B22/B23</f>
        <v>6.748747623019066E-7</v>
      </c>
    </row>
    <row r="23" spans="1:3" x14ac:dyDescent="0.3">
      <c r="A23" t="s">
        <v>37</v>
      </c>
      <c r="B23" s="13">
        <f>((B22*(1-B22)*B6/B13)+(B11*B22))/(B7-B12)</f>
        <v>664413.41535893746</v>
      </c>
    </row>
    <row r="24" spans="1:3" x14ac:dyDescent="0.3">
      <c r="A24" t="s">
        <v>25</v>
      </c>
      <c r="B24" s="12">
        <f>B12+(B22*(1-B22)*B6/(2*B23*B13))</f>
        <v>4.3489054889908347</v>
      </c>
      <c r="C24" s="12">
        <f>B7-(B11*B22/B23)-(B22*(1-B22)*B6)/(2*B13*B23)</f>
        <v>4.3489054889908338</v>
      </c>
    </row>
    <row r="25" spans="1:3" x14ac:dyDescent="0.3">
      <c r="B25" s="12"/>
    </row>
    <row r="26" spans="1:3" x14ac:dyDescent="0.3">
      <c r="A26" t="s">
        <v>27</v>
      </c>
      <c r="B26" s="12">
        <f>B7-B11*B22/B23</f>
        <v>4.4978109779816684</v>
      </c>
    </row>
    <row r="27" spans="1:3" x14ac:dyDescent="0.3">
      <c r="B27" s="12"/>
    </row>
    <row r="28" spans="1:3" x14ac:dyDescent="0.3">
      <c r="A28" t="s">
        <v>54</v>
      </c>
    </row>
    <row r="29" spans="1:3" x14ac:dyDescent="0.3">
      <c r="A29" t="s">
        <v>55</v>
      </c>
      <c r="B29" s="5">
        <f>B24</f>
        <v>4.3489054889908347</v>
      </c>
    </row>
    <row r="30" spans="1:3" x14ac:dyDescent="0.3">
      <c r="A30" s="12" t="s">
        <v>56</v>
      </c>
      <c r="B30" s="12"/>
      <c r="C30" s="12"/>
    </row>
    <row r="31" spans="1:3" x14ac:dyDescent="0.3">
      <c r="A31" s="12"/>
      <c r="B31" s="12"/>
      <c r="C31" s="12"/>
    </row>
    <row r="32" spans="1:3" x14ac:dyDescent="0.3">
      <c r="A32" s="12"/>
      <c r="B32" s="12"/>
      <c r="C32" s="12"/>
    </row>
    <row r="33" spans="1:3" x14ac:dyDescent="0.3">
      <c r="A33" s="12"/>
      <c r="B33" s="12"/>
      <c r="C33" s="12"/>
    </row>
    <row r="34" spans="1:3" x14ac:dyDescent="0.3">
      <c r="A34" s="12"/>
      <c r="B34" s="12"/>
      <c r="C34" s="12"/>
    </row>
    <row r="35" spans="1:3" x14ac:dyDescent="0.3">
      <c r="A35" s="12"/>
      <c r="B35" s="12"/>
      <c r="C35" s="12"/>
    </row>
    <row r="36" spans="1:3" x14ac:dyDescent="0.3">
      <c r="B36" s="12"/>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5F7C3-98C3-4137-8A36-F46977CDC579}">
  <dimension ref="A5:B39"/>
  <sheetViews>
    <sheetView topLeftCell="A4" zoomScale="130" zoomScaleNormal="130" workbookViewId="0">
      <selection activeCell="B21" sqref="B21"/>
    </sheetView>
  </sheetViews>
  <sheetFormatPr defaultRowHeight="14.4" x14ac:dyDescent="0.3"/>
  <cols>
    <col min="1" max="1" width="17.33203125" customWidth="1"/>
    <col min="3" max="3" width="11.88671875" bestFit="1" customWidth="1"/>
  </cols>
  <sheetData>
    <row r="5" spans="1:2" x14ac:dyDescent="0.3">
      <c r="A5" t="s">
        <v>20</v>
      </c>
      <c r="B5" s="11">
        <v>5</v>
      </c>
    </row>
    <row r="6" spans="1:2" x14ac:dyDescent="0.3">
      <c r="A6" t="s">
        <v>3</v>
      </c>
      <c r="B6" s="11">
        <v>12</v>
      </c>
    </row>
    <row r="7" spans="1:2" x14ac:dyDescent="0.3">
      <c r="A7" t="s">
        <v>32</v>
      </c>
      <c r="B7" s="11">
        <v>5.5</v>
      </c>
    </row>
    <row r="8" spans="1:2" x14ac:dyDescent="0.3">
      <c r="A8" t="s">
        <v>16</v>
      </c>
      <c r="B8" s="11">
        <v>4.4999999999999998E-2</v>
      </c>
    </row>
    <row r="9" spans="1:2" x14ac:dyDescent="0.3">
      <c r="A9" t="s">
        <v>17</v>
      </c>
      <c r="B9" s="11">
        <v>9.5000000000000001E-2</v>
      </c>
    </row>
    <row r="10" spans="1:2" x14ac:dyDescent="0.3">
      <c r="A10" t="s">
        <v>18</v>
      </c>
      <c r="B10" s="11">
        <v>0.02</v>
      </c>
    </row>
    <row r="11" spans="1:2" x14ac:dyDescent="0.3">
      <c r="A11" t="s">
        <v>33</v>
      </c>
      <c r="B11" s="11">
        <v>2.97</v>
      </c>
    </row>
    <row r="12" spans="1:2" x14ac:dyDescent="0.3">
      <c r="A12" t="s">
        <v>0</v>
      </c>
      <c r="B12" s="18">
        <v>500000</v>
      </c>
    </row>
    <row r="13" spans="1:2" x14ac:dyDescent="0.3">
      <c r="A13" t="s">
        <v>2</v>
      </c>
      <c r="B13" s="18">
        <v>3.3000000000000002E-6</v>
      </c>
    </row>
    <row r="15" spans="1:2" x14ac:dyDescent="0.3">
      <c r="B15" s="12"/>
    </row>
    <row r="17" spans="1:2" x14ac:dyDescent="0.3">
      <c r="A17" t="s">
        <v>22</v>
      </c>
    </row>
    <row r="18" spans="1:2" x14ac:dyDescent="0.3">
      <c r="A18" t="s">
        <v>23</v>
      </c>
      <c r="B18">
        <f>B5/B6</f>
        <v>0.41666666666666669</v>
      </c>
    </row>
    <row r="19" spans="1:2" x14ac:dyDescent="0.3">
      <c r="A19" t="s">
        <v>26</v>
      </c>
      <c r="B19" s="12">
        <f>B7-B18*B11-(B18*(1-B18)*B6)/(2*B12*B13)</f>
        <v>3.3786616161616165</v>
      </c>
    </row>
    <row r="21" spans="1:2" x14ac:dyDescent="0.3">
      <c r="A21" t="s">
        <v>24</v>
      </c>
      <c r="B21">
        <f>(B5+B19*(B10+B8))/(B6-B19*(B9-B8))</f>
        <v>0.44117855479149065</v>
      </c>
    </row>
    <row r="22" spans="1:2" x14ac:dyDescent="0.3">
      <c r="A22" t="s">
        <v>26</v>
      </c>
      <c r="B22" s="12">
        <f>B7-B21*B11-(B21*(1-B21)*B6)/(2*B12*B13)</f>
        <v>3.2931904646926089</v>
      </c>
    </row>
    <row r="23" spans="1:2" x14ac:dyDescent="0.3">
      <c r="B23" s="12"/>
    </row>
    <row r="24" spans="1:2" x14ac:dyDescent="0.3">
      <c r="A24" t="s">
        <v>51</v>
      </c>
      <c r="B24" s="12"/>
    </row>
    <row r="25" spans="1:2" x14ac:dyDescent="0.3">
      <c r="A25" t="s">
        <v>52</v>
      </c>
      <c r="B25" s="9">
        <f>B22</f>
        <v>3.2931904646926089</v>
      </c>
    </row>
    <row r="26" spans="1:2" x14ac:dyDescent="0.3">
      <c r="A26" t="s">
        <v>7</v>
      </c>
      <c r="B26" s="12"/>
    </row>
    <row r="28" spans="1:2" x14ac:dyDescent="0.3">
      <c r="A28" t="s">
        <v>28</v>
      </c>
      <c r="B28" s="12">
        <f>(B18*(1-B18)*B6)/(B12*B13)</f>
        <v>1.7676767676767671</v>
      </c>
    </row>
    <row r="29" spans="1:2" x14ac:dyDescent="0.3">
      <c r="A29" t="s">
        <v>34</v>
      </c>
      <c r="B29" s="12">
        <f>B7-B11*B21</f>
        <v>4.1896996922692722</v>
      </c>
    </row>
    <row r="30" spans="1:2" x14ac:dyDescent="0.3">
      <c r="A30" t="s">
        <v>35</v>
      </c>
      <c r="B30" s="12">
        <f>B29-B28</f>
        <v>2.4220229245925049</v>
      </c>
    </row>
    <row r="37" spans="2:2" x14ac:dyDescent="0.3">
      <c r="B37" s="13"/>
    </row>
    <row r="38" spans="2:2" x14ac:dyDescent="0.3">
      <c r="B38" s="12"/>
    </row>
    <row r="39" spans="2:2" x14ac:dyDescent="0.3">
      <c r="B39" s="12"/>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14385-B540-4C68-9D2F-0EF38378BCE9}">
  <dimension ref="A32:AK161"/>
  <sheetViews>
    <sheetView topLeftCell="A61" zoomScale="130" zoomScaleNormal="130" workbookViewId="0">
      <selection activeCell="B161" sqref="B161"/>
    </sheetView>
  </sheetViews>
  <sheetFormatPr defaultRowHeight="14.4" x14ac:dyDescent="0.3"/>
  <cols>
    <col min="1" max="1" width="10.109375" customWidth="1"/>
    <col min="2" max="2" width="12.88671875" bestFit="1" customWidth="1"/>
    <col min="3" max="3" width="16.44140625" customWidth="1"/>
    <col min="4" max="4" width="12.44140625" customWidth="1"/>
    <col min="5" max="5" width="18.44140625" customWidth="1"/>
    <col min="6" max="6" width="13.6640625" customWidth="1"/>
    <col min="7" max="7" width="14.109375" customWidth="1"/>
    <col min="8" max="8" width="15.6640625" customWidth="1"/>
    <col min="9" max="9" width="16.5546875" customWidth="1"/>
    <col min="10" max="10" width="12.109375" customWidth="1"/>
    <col min="11" max="11" width="12.6640625" customWidth="1"/>
    <col min="12" max="12" width="12.88671875" bestFit="1" customWidth="1"/>
    <col min="13" max="13" width="12.6640625" customWidth="1"/>
    <col min="14" max="14" width="10.6640625" customWidth="1"/>
    <col min="15" max="15" width="13.109375" customWidth="1"/>
    <col min="16" max="16" width="10.6640625" customWidth="1"/>
    <col min="17" max="17" width="14.33203125" customWidth="1"/>
    <col min="18" max="18" width="4" customWidth="1"/>
    <col min="19" max="19" width="13.44140625" customWidth="1"/>
    <col min="20" max="20" width="3.6640625" customWidth="1"/>
    <col min="21" max="21" width="16.5546875" customWidth="1"/>
    <col min="22" max="22" width="16.33203125" customWidth="1"/>
    <col min="23" max="23" width="18.6640625" customWidth="1"/>
    <col min="24" max="24" width="12.5546875" customWidth="1"/>
    <col min="25" max="25" width="12" customWidth="1"/>
    <col min="26" max="26" width="11.88671875" customWidth="1"/>
    <col min="27" max="27" width="13.109375" customWidth="1"/>
    <col min="28" max="28" width="13.88671875" customWidth="1"/>
    <col min="29" max="30" width="11.6640625" customWidth="1"/>
    <col min="31" max="31" width="11.88671875" bestFit="1" customWidth="1"/>
    <col min="32" max="32" width="4.44140625" customWidth="1"/>
    <col min="33" max="33" width="11.6640625" customWidth="1"/>
    <col min="34" max="34" width="9.88671875" customWidth="1"/>
    <col min="35" max="35" width="3.6640625" customWidth="1"/>
    <col min="36" max="36" width="12.109375" customWidth="1"/>
    <col min="37" max="37" width="10.44140625" customWidth="1"/>
  </cols>
  <sheetData>
    <row r="32" spans="1:3" x14ac:dyDescent="0.3">
      <c r="A32" s="1" t="s">
        <v>354</v>
      </c>
      <c r="B32" s="3" t="s">
        <v>362</v>
      </c>
      <c r="C32" t="s">
        <v>355</v>
      </c>
    </row>
    <row r="34" spans="1:3" x14ac:dyDescent="0.3">
      <c r="A34" t="s">
        <v>254</v>
      </c>
    </row>
    <row r="36" spans="1:3" x14ac:dyDescent="0.3">
      <c r="A36" t="s">
        <v>4</v>
      </c>
      <c r="B36">
        <f>Helper_clacs!B28</f>
        <v>0.25392929873113679</v>
      </c>
    </row>
    <row r="37" spans="1:3" x14ac:dyDescent="0.3">
      <c r="A37" t="s">
        <v>109</v>
      </c>
      <c r="B37">
        <f>Helper_clacs!C18</f>
        <v>9.99</v>
      </c>
      <c r="C37" s="60" t="s">
        <v>275</v>
      </c>
    </row>
    <row r="38" spans="1:3" x14ac:dyDescent="0.3">
      <c r="A38" t="s">
        <v>36</v>
      </c>
      <c r="B38">
        <f>Helper_clacs!B22</f>
        <v>3784000</v>
      </c>
      <c r="C38" s="60" t="s">
        <v>276</v>
      </c>
    </row>
    <row r="39" spans="1:3" x14ac:dyDescent="0.3">
      <c r="A39" t="s">
        <v>134</v>
      </c>
      <c r="B39">
        <f>Main!B19/Helper_clacs!B36</f>
        <v>3636363.6363636367</v>
      </c>
      <c r="C39" s="60" t="s">
        <v>277</v>
      </c>
    </row>
    <row r="40" spans="1:3" x14ac:dyDescent="0.3">
      <c r="A40" t="s">
        <v>0</v>
      </c>
      <c r="B40">
        <f>Helper_clacs!B21</f>
        <v>2200000</v>
      </c>
      <c r="C40" s="60"/>
    </row>
    <row r="41" spans="1:3" x14ac:dyDescent="0.3">
      <c r="A41" t="s">
        <v>264</v>
      </c>
      <c r="B41" s="27">
        <f>Main!B36*0.000001</f>
        <v>2.1999999999999999E-5</v>
      </c>
      <c r="C41" s="60" t="s">
        <v>278</v>
      </c>
    </row>
    <row r="42" spans="1:3" x14ac:dyDescent="0.3">
      <c r="A42" t="s">
        <v>139</v>
      </c>
      <c r="B42" s="27">
        <f>B41+B43</f>
        <v>2.1999999999999999E-5</v>
      </c>
      <c r="C42" s="60" t="s">
        <v>279</v>
      </c>
    </row>
    <row r="43" spans="1:3" x14ac:dyDescent="0.3">
      <c r="A43" t="s">
        <v>140</v>
      </c>
      <c r="B43" s="27">
        <f>Main!B38*0.000001</f>
        <v>0</v>
      </c>
      <c r="C43" s="60" t="s">
        <v>256</v>
      </c>
    </row>
    <row r="44" spans="1:3" x14ac:dyDescent="0.3">
      <c r="A44" t="s">
        <v>141</v>
      </c>
      <c r="B44">
        <f>Main!B39*0.001</f>
        <v>0</v>
      </c>
      <c r="C44" s="60" t="s">
        <v>257</v>
      </c>
    </row>
    <row r="45" spans="1:3" x14ac:dyDescent="0.3">
      <c r="A45" t="s">
        <v>135</v>
      </c>
      <c r="B45">
        <f>Main!B19/Main!B20</f>
        <v>4.8</v>
      </c>
      <c r="C45" s="60" t="s">
        <v>294</v>
      </c>
    </row>
    <row r="46" spans="1:3" x14ac:dyDescent="0.3">
      <c r="A46" t="s">
        <v>2</v>
      </c>
      <c r="B46" s="27">
        <f>Helper_clacs!B36</f>
        <v>3.2999999999999997E-6</v>
      </c>
      <c r="C46" s="60"/>
    </row>
    <row r="47" spans="1:3" x14ac:dyDescent="0.3">
      <c r="C47" s="60"/>
    </row>
    <row r="48" spans="1:3" x14ac:dyDescent="0.3">
      <c r="A48" t="s">
        <v>133</v>
      </c>
      <c r="B48">
        <f>(B46*B40)/(0.5-B36+B36*(B38/B39))</f>
        <v>14.226659664200463</v>
      </c>
      <c r="C48" s="60" t="s">
        <v>133</v>
      </c>
    </row>
    <row r="49" spans="1:5" x14ac:dyDescent="0.3">
      <c r="A49" t="s">
        <v>136</v>
      </c>
      <c r="B49">
        <f>(B48*B45)/(B48+B45)</f>
        <v>3.5890675291075489</v>
      </c>
      <c r="C49" s="60" t="s">
        <v>258</v>
      </c>
    </row>
    <row r="50" spans="1:5" x14ac:dyDescent="0.3">
      <c r="A50" t="s">
        <v>138</v>
      </c>
      <c r="B50">
        <f>IF(B32="N",1/(3.14*(0.5-B36+B36*(B38/B39))),IF(B32="Y",0.636,x))</f>
        <v>0.62407483919392814</v>
      </c>
      <c r="C50" s="60" t="s">
        <v>280</v>
      </c>
    </row>
    <row r="51" spans="1:5" x14ac:dyDescent="0.3">
      <c r="A51" t="s">
        <v>137</v>
      </c>
      <c r="B51">
        <f>3.14*B40</f>
        <v>6908000</v>
      </c>
      <c r="C51" s="60" t="s">
        <v>281</v>
      </c>
    </row>
    <row r="52" spans="1:5" x14ac:dyDescent="0.3">
      <c r="A52" t="s">
        <v>143</v>
      </c>
      <c r="B52">
        <f>B49*B37</f>
        <v>35.854784615784418</v>
      </c>
      <c r="C52" s="75">
        <f>20*LOG10(B52)</f>
        <v>31.090942359676351</v>
      </c>
      <c r="D52" s="60" t="s">
        <v>171</v>
      </c>
    </row>
    <row r="53" spans="1:5" x14ac:dyDescent="0.3">
      <c r="C53" s="69"/>
      <c r="D53" s="60"/>
    </row>
    <row r="54" spans="1:5" x14ac:dyDescent="0.3">
      <c r="A54" t="s">
        <v>255</v>
      </c>
    </row>
    <row r="56" spans="1:5" x14ac:dyDescent="0.3">
      <c r="A56" t="s">
        <v>260</v>
      </c>
      <c r="B56" s="70">
        <f>Eamp!B43</f>
        <v>1810.1000000000001</v>
      </c>
      <c r="C56" s="75">
        <f>20*LOG10(B56)</f>
        <v>65.154051367533143</v>
      </c>
      <c r="D56" s="60" t="s">
        <v>171</v>
      </c>
      <c r="E56" s="60" t="s">
        <v>282</v>
      </c>
    </row>
    <row r="57" spans="1:5" x14ac:dyDescent="0.3">
      <c r="A57" t="s">
        <v>150</v>
      </c>
      <c r="B57" s="39">
        <f>Eamp!B44</f>
        <v>1.85472E-3</v>
      </c>
      <c r="C57" s="76">
        <f>1/(6.28*B57)</f>
        <v>85.854290022110561</v>
      </c>
      <c r="D57" s="60" t="s">
        <v>164</v>
      </c>
      <c r="E57" s="60" t="s">
        <v>283</v>
      </c>
    </row>
    <row r="58" spans="1:5" x14ac:dyDescent="0.3">
      <c r="A58" t="s">
        <v>13</v>
      </c>
      <c r="B58" s="39">
        <f>Eamp!B45</f>
        <v>1.4720000000000001E-5</v>
      </c>
      <c r="C58" s="76">
        <f t="shared" ref="C58:C60" si="0">1/(6.28*B58)</f>
        <v>10817.640542785932</v>
      </c>
      <c r="D58" s="60" t="s">
        <v>164</v>
      </c>
      <c r="E58" s="60" t="s">
        <v>232</v>
      </c>
    </row>
    <row r="59" spans="1:5" x14ac:dyDescent="0.3">
      <c r="A59" t="s">
        <v>259</v>
      </c>
      <c r="B59" s="39">
        <f>Eamp!B46</f>
        <v>2.4299999999999999E-7</v>
      </c>
      <c r="C59" s="76">
        <f t="shared" si="0"/>
        <v>655290.81806505728</v>
      </c>
      <c r="D59" s="60" t="s">
        <v>164</v>
      </c>
      <c r="E59" s="60" t="s">
        <v>284</v>
      </c>
    </row>
    <row r="60" spans="1:5" x14ac:dyDescent="0.3">
      <c r="A60" t="s">
        <v>248</v>
      </c>
      <c r="B60" s="39">
        <f>Eamp!B47</f>
        <v>2.9439999999999999E-7</v>
      </c>
      <c r="C60" s="76">
        <f t="shared" si="0"/>
        <v>540882.02713929664</v>
      </c>
      <c r="D60" s="60" t="s">
        <v>164</v>
      </c>
      <c r="E60" s="60" t="s">
        <v>285</v>
      </c>
    </row>
    <row r="62" spans="1:5" x14ac:dyDescent="0.3">
      <c r="A62" t="s">
        <v>255</v>
      </c>
    </row>
    <row r="64" spans="1:5" x14ac:dyDescent="0.3">
      <c r="A64" t="s">
        <v>145</v>
      </c>
      <c r="B64">
        <f>FB_div_xfer!B48</f>
        <v>6.6666666666666666E-2</v>
      </c>
      <c r="C64" s="75">
        <f>20*LOG10(B64)</f>
        <v>-23.521825181113627</v>
      </c>
      <c r="D64" s="60" t="s">
        <v>171</v>
      </c>
      <c r="E64" s="60" t="s">
        <v>286</v>
      </c>
    </row>
    <row r="65" spans="1:5" x14ac:dyDescent="0.3">
      <c r="A65" t="s">
        <v>236</v>
      </c>
      <c r="B65" s="32">
        <f>FB_div_xfer!C48</f>
        <v>2.1999999999999997E-6</v>
      </c>
      <c r="C65" s="76">
        <f>1/(6.28*B65)</f>
        <v>72379.849449913148</v>
      </c>
      <c r="D65" s="60" t="s">
        <v>164</v>
      </c>
      <c r="E65" s="60" t="s">
        <v>287</v>
      </c>
    </row>
    <row r="66" spans="1:5" x14ac:dyDescent="0.3">
      <c r="A66" t="s">
        <v>5</v>
      </c>
      <c r="B66" s="32">
        <f>FB_div_xfer!D48</f>
        <v>0</v>
      </c>
      <c r="E66" s="60" t="s">
        <v>288</v>
      </c>
    </row>
    <row r="67" spans="1:5" x14ac:dyDescent="0.3">
      <c r="A67" t="s">
        <v>6</v>
      </c>
      <c r="B67" s="32">
        <f>FB_div_xfer!E48</f>
        <v>2.2541999999999998E-14</v>
      </c>
      <c r="E67" s="60" t="s">
        <v>288</v>
      </c>
    </row>
    <row r="68" spans="1:5" x14ac:dyDescent="0.3">
      <c r="A68" t="s">
        <v>237</v>
      </c>
      <c r="B68" s="32">
        <f>FB_div_xfer!F48</f>
        <v>3.2033333333333333E-7</v>
      </c>
      <c r="E68" s="60" t="s">
        <v>288</v>
      </c>
    </row>
    <row r="70" spans="1:5" x14ac:dyDescent="0.3">
      <c r="A70" t="s">
        <v>261</v>
      </c>
    </row>
    <row r="72" spans="1:5" x14ac:dyDescent="0.3">
      <c r="A72" t="s">
        <v>144</v>
      </c>
      <c r="B72" s="72">
        <f>B52*B56*B64</f>
        <v>4326.716375535425</v>
      </c>
      <c r="C72" s="69">
        <f>20*LOG10(B72)</f>
        <v>72.723168546095877</v>
      </c>
      <c r="D72" s="60" t="s">
        <v>171</v>
      </c>
      <c r="E72" s="60" t="s">
        <v>289</v>
      </c>
    </row>
    <row r="73" spans="1:5" x14ac:dyDescent="0.3">
      <c r="A73" t="s">
        <v>262</v>
      </c>
      <c r="B73" s="32">
        <f>B42*B49</f>
        <v>7.895948564036607E-5</v>
      </c>
      <c r="C73" s="71">
        <f>1/(6.28*B73)</f>
        <v>2016.6756089961614</v>
      </c>
      <c r="D73" s="60" t="s">
        <v>164</v>
      </c>
      <c r="E73" s="60" t="s">
        <v>290</v>
      </c>
    </row>
    <row r="74" spans="1:5" x14ac:dyDescent="0.3">
      <c r="A74" t="s">
        <v>263</v>
      </c>
      <c r="B74" s="32">
        <f>B44*(B41*B43)/(B41+B43)</f>
        <v>0</v>
      </c>
      <c r="C74" s="71" t="e">
        <f t="shared" ref="C74:C75" si="1">1/(6.28*B74)</f>
        <v>#DIV/0!</v>
      </c>
      <c r="D74" s="60" t="s">
        <v>164</v>
      </c>
      <c r="E74" s="60" t="s">
        <v>291</v>
      </c>
    </row>
    <row r="75" spans="1:5" x14ac:dyDescent="0.3">
      <c r="A75" t="s">
        <v>142</v>
      </c>
      <c r="B75" s="32">
        <f>B44*B43</f>
        <v>0</v>
      </c>
      <c r="C75" s="71" t="e">
        <f t="shared" si="1"/>
        <v>#DIV/0!</v>
      </c>
      <c r="D75" s="60" t="s">
        <v>164</v>
      </c>
      <c r="E75" s="60" t="s">
        <v>292</v>
      </c>
    </row>
    <row r="76" spans="1:5" x14ac:dyDescent="0.3">
      <c r="A76" t="s">
        <v>146</v>
      </c>
      <c r="B76" s="32">
        <f>1/B51^2</f>
        <v>2.0955370425568367E-14</v>
      </c>
      <c r="C76" s="60" t="s">
        <v>148</v>
      </c>
      <c r="E76" s="60" t="s">
        <v>293</v>
      </c>
    </row>
    <row r="77" spans="1:5" x14ac:dyDescent="0.3">
      <c r="A77" t="s">
        <v>147</v>
      </c>
      <c r="B77" s="32">
        <f>1/(B51*B50)</f>
        <v>2.3195887705840186E-7</v>
      </c>
      <c r="C77" s="60" t="s">
        <v>149</v>
      </c>
      <c r="E77" s="60" t="s">
        <v>293</v>
      </c>
    </row>
    <row r="80" spans="1:5" x14ac:dyDescent="0.3">
      <c r="A80" t="s">
        <v>265</v>
      </c>
    </row>
    <row r="83" spans="1:37" x14ac:dyDescent="0.3">
      <c r="AG83" s="74" t="s">
        <v>271</v>
      </c>
      <c r="AH83" s="35"/>
      <c r="AJ83" s="74" t="s">
        <v>274</v>
      </c>
      <c r="AK83" s="35"/>
    </row>
    <row r="84" spans="1:37" s="1" customFormat="1" x14ac:dyDescent="0.3">
      <c r="A84" s="1" t="s">
        <v>151</v>
      </c>
      <c r="B84" s="1" t="s">
        <v>152</v>
      </c>
      <c r="C84" s="1" t="s">
        <v>144</v>
      </c>
      <c r="D84" s="1" t="s">
        <v>266</v>
      </c>
      <c r="E84" s="1" t="s">
        <v>267</v>
      </c>
      <c r="F84" s="73" t="s">
        <v>157</v>
      </c>
      <c r="G84" t="s">
        <v>153</v>
      </c>
      <c r="H84" t="s">
        <v>154</v>
      </c>
      <c r="I84" s="1" t="s">
        <v>155</v>
      </c>
      <c r="J84" s="1" t="s">
        <v>156</v>
      </c>
      <c r="K84" s="73" t="s">
        <v>295</v>
      </c>
      <c r="L84" s="1" t="s">
        <v>296</v>
      </c>
      <c r="M84" s="1" t="s">
        <v>297</v>
      </c>
      <c r="N84" s="73" t="s">
        <v>298</v>
      </c>
      <c r="O84" t="s">
        <v>268</v>
      </c>
      <c r="P84" t="s">
        <v>269</v>
      </c>
      <c r="Q84" s="1" t="s">
        <v>270</v>
      </c>
      <c r="R84" s="1" t="s">
        <v>158</v>
      </c>
      <c r="S84" s="37" t="s">
        <v>159</v>
      </c>
      <c r="T84" s="1" t="s">
        <v>158</v>
      </c>
      <c r="U84" s="1" t="s">
        <v>299</v>
      </c>
      <c r="V84" s="1" t="s">
        <v>300</v>
      </c>
      <c r="W84" s="73" t="s">
        <v>301</v>
      </c>
      <c r="X84" s="1" t="s">
        <v>302</v>
      </c>
      <c r="Y84" s="1" t="s">
        <v>303</v>
      </c>
      <c r="Z84" s="73" t="s">
        <v>304</v>
      </c>
      <c r="AA84" s="1" t="s">
        <v>305</v>
      </c>
      <c r="AB84" s="1" t="s">
        <v>308</v>
      </c>
      <c r="AC84" s="73" t="s">
        <v>306</v>
      </c>
      <c r="AD84" s="1" t="s">
        <v>307</v>
      </c>
      <c r="AE84" s="38" t="s">
        <v>160</v>
      </c>
      <c r="AG84" s="74" t="s">
        <v>272</v>
      </c>
      <c r="AH84" s="74" t="s">
        <v>273</v>
      </c>
      <c r="AJ84" s="74" t="s">
        <v>272</v>
      </c>
      <c r="AK84" s="74" t="s">
        <v>273</v>
      </c>
    </row>
    <row r="85" spans="1:37" x14ac:dyDescent="0.3">
      <c r="A85" s="13">
        <v>10</v>
      </c>
      <c r="B85">
        <f>6.28*A85</f>
        <v>62.800000000000004</v>
      </c>
      <c r="C85" s="29">
        <f>$C$72</f>
        <v>72.723168546095877</v>
      </c>
      <c r="D85" s="40">
        <f>20*LOG10(1/SQRT(1+(B85*$B$73)^2))</f>
        <v>-1.0678417106883335E-4</v>
      </c>
      <c r="E85" s="40">
        <f>20*LOG10(1/(SQRT(1+(B85*$B$74)^2)))</f>
        <v>0</v>
      </c>
      <c r="F85" s="40">
        <f>20*LOG10(SQRT(1+(B85*$B$75)^2))</f>
        <v>0</v>
      </c>
      <c r="G85">
        <f>1-B85^2*$B$76</f>
        <v>0.99999999991735533</v>
      </c>
      <c r="H85">
        <f>B85*$B$77</f>
        <v>1.4567017479267638E-5</v>
      </c>
      <c r="I85">
        <f>20*LOG10(1/SQRT(G85^2+H85^2))</f>
        <v>-2.037218919315034E-10</v>
      </c>
      <c r="J85" s="40">
        <f>20*LOG10(1/SQRT(1+(B85*$B$57)^2))</f>
        <v>-5.85235745299056E-2</v>
      </c>
      <c r="K85" s="40">
        <f>20*LOG10(SQRT(1+(B85*$B$58)^2))</f>
        <v>3.7112399387501446E-6</v>
      </c>
      <c r="L85" s="40">
        <f>20*LOG10(1/SQRT(1+(B85*$B$59)^2))</f>
        <v>-1.0113827896701039E-9</v>
      </c>
      <c r="M85" s="40">
        <f>20*LOG10(1/SQRT(1+(B85*$B$60)^2))</f>
        <v>-1.4844972740685857E-9</v>
      </c>
      <c r="N85" s="27">
        <f>20*LOG10(SQRT(1+(B85*$B$65)^2))</f>
        <v>8.2898936789452481E-8</v>
      </c>
      <c r="O85">
        <f>1-$B$67*B85^2</f>
        <v>0.999999999911098</v>
      </c>
      <c r="P85" s="27">
        <f>B85*$B$68-$B$66*B85^3</f>
        <v>2.0116933333333334E-5</v>
      </c>
      <c r="Q85" s="27">
        <f>20*LOG10(SQRT(1/(O85^2+P85^2)))</f>
        <v>-9.8535751999977223E-10</v>
      </c>
      <c r="S85" s="29">
        <f>SUM(C85:F85)+I85+SUM(J85:N85)+Q85</f>
        <v>72.664541977848828</v>
      </c>
      <c r="U85" s="2">
        <f>-(180/3.14)*ATAN(B85*$B$73)</f>
        <v>-0.2842518185674533</v>
      </c>
      <c r="V85" s="2">
        <f>-(180/3.14)*ATAN(B85*$B$74)</f>
        <v>0</v>
      </c>
      <c r="W85" s="2">
        <f>(180/3.14)*ATAN(B85*$B$75)</f>
        <v>0</v>
      </c>
      <c r="X85" s="2">
        <f>-(180/3.14)*ATAN2(G85,H85)</f>
        <v>-8.3505195742019376E-4</v>
      </c>
      <c r="Y85" s="2">
        <f>-(180/3.14)*ATAN(B85*$B$57)</f>
        <v>-6.6470403929776456</v>
      </c>
      <c r="Z85" s="2">
        <f>(180/3.14)*ATAN(B85*$B$58)</f>
        <v>5.299198490532591E-2</v>
      </c>
      <c r="AA85" s="2">
        <f>-(180/3.14)*ATAN(B85*$B$59)</f>
        <v>-8.747999999320922E-4</v>
      </c>
      <c r="AB85" s="2">
        <f>-(180/3.14)*ATAN(B85*$B$60)</f>
        <v>-1.0598399998792425E-3</v>
      </c>
      <c r="AC85" s="2">
        <f>(180/3.14)*ATAN(B85*$B$65)</f>
        <v>7.9199999496071902E-3</v>
      </c>
      <c r="AD85" s="2">
        <f>-(180/3.14)*ATAN2(O85,P85)</f>
        <v>-1.1531999999469585E-3</v>
      </c>
      <c r="AE85" s="2">
        <f>SUM(U85:AD85)</f>
        <v>-6.8743031186473438</v>
      </c>
      <c r="AG85" s="29">
        <f>D85+E85+F85+I85+20*LOG10($B$52)</f>
        <v>31.090835575301561</v>
      </c>
      <c r="AH85" s="2">
        <f>U85+V85+W85+X85</f>
        <v>-0.28508687052487347</v>
      </c>
      <c r="AJ85" s="29">
        <f>J85+K85+L85+M85+N85+Q85+20*LOG10($B$64)+20*LOG10($B$56)</f>
        <v>41.573706402547245</v>
      </c>
      <c r="AK85" s="2">
        <f>Y85+Z85+AA85+AB85+AC85+AD85</f>
        <v>-6.5892162481224705</v>
      </c>
    </row>
    <row r="86" spans="1:37" x14ac:dyDescent="0.3">
      <c r="A86" s="13">
        <v>20</v>
      </c>
      <c r="B86">
        <f t="shared" ref="B86:B133" si="2">6.28*A86</f>
        <v>125.60000000000001</v>
      </c>
      <c r="C86" s="29">
        <f t="shared" ref="C86:C133" si="3">$C$72</f>
        <v>72.723168546095877</v>
      </c>
      <c r="D86" s="40">
        <f t="shared" ref="D86:D133" si="4">20*LOG10(1/SQRT(1+(B86*$B$73)^2))</f>
        <v>-4.2712093154613826E-4</v>
      </c>
      <c r="E86" s="40">
        <f t="shared" ref="E86:E133" si="5">20*LOG10(1/(SQRT(1+(B86*$B$74)^2)))</f>
        <v>0</v>
      </c>
      <c r="F86" s="40">
        <f t="shared" ref="F86:F133" si="6">20*LOG10(SQRT(1+(B86*$B$75)^2))</f>
        <v>0</v>
      </c>
      <c r="G86">
        <f t="shared" ref="G86:G133" si="7">1-B86^2*$B$76</f>
        <v>0.99999999966942144</v>
      </c>
      <c r="H86">
        <f t="shared" ref="H86:H133" si="8">B86*$B$77</f>
        <v>2.9134034958535276E-5</v>
      </c>
      <c r="I86">
        <f t="shared" ref="I86:I133" si="9">20*LOG10(1/SQRT(G86^2+H86^2))</f>
        <v>-8.1488756775468264E-10</v>
      </c>
      <c r="J86" s="40">
        <f t="shared" ref="J86:J133" si="10">20*LOG10(1/SQRT(1+(B86*$B$57)^2))</f>
        <v>-0.22950621755720532</v>
      </c>
      <c r="K86" s="40">
        <f t="shared" ref="K86:K133" si="11">20*LOG10(SQRT(1+(B86*$B$58)^2))</f>
        <v>1.4844940726711658E-5</v>
      </c>
      <c r="L86" s="40">
        <f t="shared" ref="L86:L133" si="12">20*LOG10(1/SQRT(1+(B86*$B$59)^2))</f>
        <v>-4.0455369453518082E-9</v>
      </c>
      <c r="M86" s="40">
        <f t="shared" ref="M86:M133" si="13">20*LOG10(1/SQRT(1+(B86*$B$60)^2))</f>
        <v>-5.937985240486759E-9</v>
      </c>
      <c r="N86" s="27">
        <f t="shared" ref="N86:N133" si="14">20*LOG10(SQRT(1+(B86*$B$65)^2))</f>
        <v>3.3159573469601975E-7</v>
      </c>
      <c r="O86">
        <f t="shared" ref="O86:O133" si="15">1-$B$67*B86^2</f>
        <v>0.99999999964439179</v>
      </c>
      <c r="P86" s="27">
        <f t="shared" ref="P86:P133" si="16">B86*$B$68-$B$66*B86^3</f>
        <v>4.0233866666666668E-5</v>
      </c>
      <c r="Q86" s="27">
        <f t="shared" ref="Q86:Q133" si="17">20*LOG10(SQRT(1/(O86^2+P86^2)))</f>
        <v>-3.9414291163423168E-9</v>
      </c>
      <c r="S86" s="29">
        <f t="shared" ref="S86:S133" si="18">SUM(C86:F86)+I86+SUM(J86:N86)+Q86</f>
        <v>72.493250369403754</v>
      </c>
      <c r="U86" s="2">
        <f t="shared" ref="U86:U133" si="19">-(180/3.14)*ATAN(B86*$B$73)</f>
        <v>-0.56848965953255182</v>
      </c>
      <c r="V86" s="2">
        <f t="shared" ref="V86:V133" si="20">-(180/3.14)*ATAN(B86*$B$74)</f>
        <v>0</v>
      </c>
      <c r="W86" s="2">
        <f t="shared" ref="W86:W133" si="21">(180/3.14)*ATAN(B86*$B$75)</f>
        <v>0</v>
      </c>
      <c r="X86" s="2">
        <f t="shared" ref="X86:X133" si="22">-(180/3.14)*ATAN2(G86,H86)</f>
        <v>-1.6701039149000702E-3</v>
      </c>
      <c r="Y86" s="2">
        <f t="shared" ref="Y86:Y133" si="23">-(180/3.14)*ATAN(B86*$B$57)</f>
        <v>-13.119996388574942</v>
      </c>
      <c r="Z86" s="2">
        <f t="shared" ref="Z86:Z133" si="24">(180/3.14)*ATAN(B86*$B$58)</f>
        <v>0.10598387924279297</v>
      </c>
      <c r="AA86" s="2">
        <f t="shared" ref="AA86:AA133" si="25">-(180/3.14)*ATAN(B86*$B$59)</f>
        <v>-1.749599999456738E-3</v>
      </c>
      <c r="AB86" s="2">
        <f t="shared" ref="AB86:AB133" si="26">-(180/3.14)*ATAN(B86*$B$60)</f>
        <v>-2.1196799990339404E-3</v>
      </c>
      <c r="AC86" s="2">
        <f t="shared" ref="AC86:AC133" si="27">(180/3.14)*ATAN(B86*$B$65)</f>
        <v>1.5839999596857536E-2</v>
      </c>
      <c r="AD86" s="2">
        <f t="shared" ref="AD86:AD133" si="28">-(180/3.14)*ATAN2(O86,P86)</f>
        <v>-2.306399999575669E-3</v>
      </c>
      <c r="AE86" s="2">
        <f t="shared" ref="AE86:AE133" si="29">SUM(U86:AD86)</f>
        <v>-13.574507953180808</v>
      </c>
      <c r="AG86" s="29">
        <f t="shared" ref="AG86:AG130" si="30">D86+E86+F86+I86+20*LOG10($B$52)</f>
        <v>31.090515237929917</v>
      </c>
      <c r="AH86" s="2">
        <f t="shared" ref="AH86:AH130" si="31">U86+V86+W86+X86</f>
        <v>-0.57015976344745189</v>
      </c>
      <c r="AJ86" s="29">
        <f t="shared" ref="AJ86:AJ130" si="32">J86+K86+L86+M86+N86+Q86+20*LOG10($B$64)+20*LOG10($B$56)</f>
        <v>41.402735131473818</v>
      </c>
      <c r="AK86" s="2">
        <f t="shared" ref="AK86:AK130" si="33">Y86+Z86+AA86+AB86+AC86+AD86</f>
        <v>-13.004348189733356</v>
      </c>
    </row>
    <row r="87" spans="1:37" x14ac:dyDescent="0.3">
      <c r="A87" s="13">
        <v>30</v>
      </c>
      <c r="B87">
        <f t="shared" si="2"/>
        <v>188.4</v>
      </c>
      <c r="C87" s="29">
        <f t="shared" si="3"/>
        <v>72.723168546095877</v>
      </c>
      <c r="D87" s="40">
        <f t="shared" si="4"/>
        <v>-9.6096303099060506E-4</v>
      </c>
      <c r="E87" s="40">
        <f t="shared" si="5"/>
        <v>0</v>
      </c>
      <c r="F87" s="40">
        <f t="shared" si="6"/>
        <v>0</v>
      </c>
      <c r="G87">
        <f t="shared" si="7"/>
        <v>0.99999999925619831</v>
      </c>
      <c r="H87">
        <f t="shared" si="8"/>
        <v>4.3701052437802914E-5</v>
      </c>
      <c r="I87">
        <f t="shared" si="9"/>
        <v>-1.8334989562104782E-9</v>
      </c>
      <c r="J87" s="40">
        <f t="shared" si="10"/>
        <v>-0.50031871749542123</v>
      </c>
      <c r="K87" s="40">
        <f t="shared" si="11"/>
        <v>3.3401045277292394E-5</v>
      </c>
      <c r="L87" s="40">
        <f t="shared" si="12"/>
        <v>-9.1024566832000918E-9</v>
      </c>
      <c r="M87" s="40">
        <f t="shared" si="13"/>
        <v>-1.336046968978617E-8</v>
      </c>
      <c r="N87" s="27">
        <f t="shared" si="14"/>
        <v>7.4609036597760819E-7</v>
      </c>
      <c r="O87">
        <f t="shared" si="15"/>
        <v>0.99999999919988158</v>
      </c>
      <c r="P87" s="27">
        <f t="shared" si="16"/>
        <v>6.0350799999999998E-5</v>
      </c>
      <c r="Q87" s="27">
        <f t="shared" si="17"/>
        <v>-8.8682157553671818E-9</v>
      </c>
      <c r="S87" s="29">
        <f t="shared" si="18"/>
        <v>72.221922979540466</v>
      </c>
      <c r="U87" s="2">
        <f t="shared" si="19"/>
        <v>-0.8526995494164511</v>
      </c>
      <c r="V87" s="2">
        <f t="shared" si="20"/>
        <v>0</v>
      </c>
      <c r="W87" s="2">
        <f t="shared" si="21"/>
        <v>0</v>
      </c>
      <c r="X87" s="2">
        <f t="shared" si="22"/>
        <v>-2.5051558724993122E-3</v>
      </c>
      <c r="Y87" s="2">
        <f t="shared" si="23"/>
        <v>-19.270677548018639</v>
      </c>
      <c r="Z87" s="2">
        <f t="shared" si="24"/>
        <v>0.15897559244547105</v>
      </c>
      <c r="AA87" s="2">
        <f t="shared" si="25"/>
        <v>-2.6243999981664904E-3</v>
      </c>
      <c r="AB87" s="2">
        <f t="shared" si="26"/>
        <v>-3.179519996739549E-3</v>
      </c>
      <c r="AC87" s="2">
        <f t="shared" si="27"/>
        <v>2.3759998639394264E-2</v>
      </c>
      <c r="AD87" s="2">
        <f t="shared" si="28"/>
        <v>-3.4595999985678823E-3</v>
      </c>
      <c r="AE87" s="2">
        <f t="shared" si="29"/>
        <v>-19.952410182216195</v>
      </c>
      <c r="AG87" s="29">
        <f t="shared" si="30"/>
        <v>31.089981394811861</v>
      </c>
      <c r="AH87" s="2">
        <f t="shared" si="31"/>
        <v>-0.85520470528895043</v>
      </c>
      <c r="AJ87" s="29">
        <f t="shared" si="32"/>
        <v>41.131941584728594</v>
      </c>
      <c r="AK87" s="2">
        <f t="shared" si="33"/>
        <v>-19.097205476927243</v>
      </c>
    </row>
    <row r="88" spans="1:37" x14ac:dyDescent="0.3">
      <c r="A88" s="13">
        <v>40</v>
      </c>
      <c r="B88">
        <f t="shared" si="2"/>
        <v>251.20000000000002</v>
      </c>
      <c r="C88" s="29">
        <f t="shared" si="3"/>
        <v>72.723168546095877</v>
      </c>
      <c r="D88" s="40">
        <f t="shared" si="4"/>
        <v>-1.7082317444788082E-3</v>
      </c>
      <c r="E88" s="40">
        <f t="shared" si="5"/>
        <v>0</v>
      </c>
      <c r="F88" s="40">
        <f t="shared" si="6"/>
        <v>0</v>
      </c>
      <c r="G88">
        <f t="shared" si="7"/>
        <v>0.99999999867768596</v>
      </c>
      <c r="H88">
        <f t="shared" si="8"/>
        <v>5.8268069917070551E-5</v>
      </c>
      <c r="I88">
        <f t="shared" si="9"/>
        <v>-3.2595522001323682E-9</v>
      </c>
      <c r="J88" s="40">
        <f t="shared" si="10"/>
        <v>-0.8531487511237984</v>
      </c>
      <c r="K88" s="40">
        <f t="shared" si="11"/>
        <v>5.9379458451992693E-5</v>
      </c>
      <c r="L88" s="40">
        <f t="shared" si="12"/>
        <v>-1.6182145864057786E-8</v>
      </c>
      <c r="M88" s="40">
        <f t="shared" si="13"/>
        <v>-2.3751944843613431E-8</v>
      </c>
      <c r="N88" s="27">
        <f t="shared" si="14"/>
        <v>1.3263827856831717E-6</v>
      </c>
      <c r="O88">
        <f t="shared" si="15"/>
        <v>0.99999999857756738</v>
      </c>
      <c r="P88" s="27">
        <f t="shared" si="16"/>
        <v>8.0467733333333335E-5</v>
      </c>
      <c r="Q88" s="27">
        <f t="shared" si="17"/>
        <v>-1.5765718404755309E-8</v>
      </c>
      <c r="S88" s="29">
        <f t="shared" si="18"/>
        <v>71.86837221010947</v>
      </c>
      <c r="U88" s="2">
        <f t="shared" si="19"/>
        <v>-1.1368675229842868</v>
      </c>
      <c r="V88" s="2">
        <f t="shared" si="20"/>
        <v>0</v>
      </c>
      <c r="W88" s="2">
        <f t="shared" si="21"/>
        <v>0</v>
      </c>
      <c r="X88" s="2">
        <f t="shared" si="22"/>
        <v>-3.3402078302776014E-3</v>
      </c>
      <c r="Y88" s="2">
        <f t="shared" si="23"/>
        <v>-24.993749043812166</v>
      </c>
      <c r="Z88" s="2">
        <f t="shared" si="24"/>
        <v>0.21196703394828745</v>
      </c>
      <c r="AA88" s="2">
        <f t="shared" si="25"/>
        <v>-3.4991999956539037E-3</v>
      </c>
      <c r="AB88" s="2">
        <f t="shared" si="26"/>
        <v>-4.2393599922715226E-3</v>
      </c>
      <c r="AC88" s="2">
        <f t="shared" si="27"/>
        <v>3.1679996774860747E-2</v>
      </c>
      <c r="AD88" s="2">
        <f t="shared" si="28"/>
        <v>-4.6127999966053511E-3</v>
      </c>
      <c r="AE88" s="2">
        <f t="shared" si="29"/>
        <v>-25.902661103888111</v>
      </c>
      <c r="AG88" s="29">
        <f t="shared" si="30"/>
        <v>31.08923412467232</v>
      </c>
      <c r="AH88" s="2">
        <f t="shared" si="31"/>
        <v>-1.1402077308145644</v>
      </c>
      <c r="AJ88" s="29">
        <f t="shared" si="32"/>
        <v>40.779138085437147</v>
      </c>
      <c r="AK88" s="2">
        <f t="shared" si="33"/>
        <v>-24.762453373073548</v>
      </c>
    </row>
    <row r="89" spans="1:37" x14ac:dyDescent="0.3">
      <c r="A89" s="13">
        <v>50</v>
      </c>
      <c r="B89">
        <f t="shared" si="2"/>
        <v>314</v>
      </c>
      <c r="C89" s="29">
        <f t="shared" si="3"/>
        <v>72.723168546095877</v>
      </c>
      <c r="D89" s="40">
        <f t="shared" si="4"/>
        <v>-2.6688169112933889E-3</v>
      </c>
      <c r="E89" s="40">
        <f t="shared" si="5"/>
        <v>0</v>
      </c>
      <c r="F89" s="40">
        <f t="shared" si="6"/>
        <v>0</v>
      </c>
      <c r="G89">
        <f t="shared" si="7"/>
        <v>0.99999999793388428</v>
      </c>
      <c r="H89">
        <f t="shared" si="8"/>
        <v>7.2835087396338189E-5</v>
      </c>
      <c r="I89">
        <f t="shared" si="9"/>
        <v>-5.0930511570309031E-9</v>
      </c>
      <c r="J89" s="40">
        <f t="shared" si="10"/>
        <v>-1.2683535080784494</v>
      </c>
      <c r="K89" s="40">
        <f t="shared" si="11"/>
        <v>9.278004705370703E-5</v>
      </c>
      <c r="L89" s="40">
        <f t="shared" si="12"/>
        <v>-2.5284602564216101E-8</v>
      </c>
      <c r="M89" s="40">
        <f t="shared" si="13"/>
        <v>-3.7112414569934385E-8</v>
      </c>
      <c r="N89" s="27">
        <f t="shared" si="14"/>
        <v>2.0724729239381061E-6</v>
      </c>
      <c r="O89">
        <f t="shared" si="15"/>
        <v>0.99999999777744897</v>
      </c>
      <c r="P89" s="27">
        <f t="shared" si="16"/>
        <v>1.0058466666666667E-4</v>
      </c>
      <c r="Q89" s="27">
        <f t="shared" si="17"/>
        <v>-2.4633935140546618E-8</v>
      </c>
      <c r="S89" s="29">
        <f t="shared" si="18"/>
        <v>71.452240981502101</v>
      </c>
      <c r="U89" s="2">
        <f t="shared" si="19"/>
        <v>-1.4209796273595672</v>
      </c>
      <c r="V89" s="2">
        <f t="shared" si="20"/>
        <v>0</v>
      </c>
      <c r="W89" s="2">
        <f t="shared" si="21"/>
        <v>0</v>
      </c>
      <c r="X89" s="2">
        <f t="shared" si="22"/>
        <v>-4.175259788294622E-3</v>
      </c>
      <c r="Y89" s="2">
        <f t="shared" si="23"/>
        <v>-30.231080894433312</v>
      </c>
      <c r="Z89" s="2">
        <f t="shared" si="24"/>
        <v>0.26495811318895557</v>
      </c>
      <c r="AA89" s="2">
        <f t="shared" si="25"/>
        <v>-4.3739999915115308E-3</v>
      </c>
      <c r="AB89" s="2">
        <f t="shared" si="26"/>
        <v>-5.2991999849053171E-3</v>
      </c>
      <c r="AC89" s="2">
        <f t="shared" si="27"/>
        <v>3.9599993700900546E-2</v>
      </c>
      <c r="AD89" s="2">
        <f t="shared" si="28"/>
        <v>-5.7659999933698265E-3</v>
      </c>
      <c r="AE89" s="2">
        <f t="shared" si="29"/>
        <v>-31.3671168746611</v>
      </c>
      <c r="AG89" s="29">
        <f t="shared" si="30"/>
        <v>31.088273537672006</v>
      </c>
      <c r="AH89" s="2">
        <f t="shared" si="31"/>
        <v>-1.4251548871478619</v>
      </c>
      <c r="AJ89" s="29">
        <f t="shared" si="32"/>
        <v>40.363967443830091</v>
      </c>
      <c r="AK89" s="2">
        <f t="shared" si="33"/>
        <v>-29.941961987513238</v>
      </c>
    </row>
    <row r="90" spans="1:37" x14ac:dyDescent="0.3">
      <c r="A90" s="13">
        <v>60</v>
      </c>
      <c r="B90">
        <f t="shared" si="2"/>
        <v>376.8</v>
      </c>
      <c r="C90" s="29">
        <f t="shared" si="3"/>
        <v>72.723168546095877</v>
      </c>
      <c r="D90" s="40">
        <f t="shared" si="4"/>
        <v>-3.8425769890193841E-3</v>
      </c>
      <c r="E90" s="40">
        <f t="shared" si="5"/>
        <v>0</v>
      </c>
      <c r="F90" s="40">
        <f t="shared" si="6"/>
        <v>0</v>
      </c>
      <c r="G90">
        <f t="shared" si="7"/>
        <v>0.99999999702479336</v>
      </c>
      <c r="H90">
        <f t="shared" si="8"/>
        <v>8.7402104875605827E-5</v>
      </c>
      <c r="I90">
        <f t="shared" si="9"/>
        <v>-7.333993898509171E-9</v>
      </c>
      <c r="J90" s="40">
        <f t="shared" si="10"/>
        <v>-1.7272059431463618</v>
      </c>
      <c r="K90" s="40">
        <f t="shared" si="11"/>
        <v>1.3360263983778995E-4</v>
      </c>
      <c r="L90" s="40">
        <f t="shared" si="12"/>
        <v>-3.6409828718689315E-8</v>
      </c>
      <c r="M90" s="40">
        <f t="shared" si="13"/>
        <v>-5.3441876953794651E-8</v>
      </c>
      <c r="N90" s="27">
        <f t="shared" si="14"/>
        <v>2.9843606975161901E-6</v>
      </c>
      <c r="O90">
        <f t="shared" si="15"/>
        <v>0.99999999679952656</v>
      </c>
      <c r="P90" s="27">
        <f t="shared" si="16"/>
        <v>1.207016E-4</v>
      </c>
      <c r="Q90" s="27">
        <f t="shared" si="17"/>
        <v>-3.5472866933104829E-8</v>
      </c>
      <c r="S90" s="29">
        <f t="shared" si="18"/>
        <v>70.992256480302473</v>
      </c>
      <c r="U90" s="2">
        <f t="shared" si="19"/>
        <v>-1.7050219261294599</v>
      </c>
      <c r="V90" s="2">
        <f t="shared" si="20"/>
        <v>0</v>
      </c>
      <c r="W90" s="2">
        <f t="shared" si="21"/>
        <v>0</v>
      </c>
      <c r="X90" s="2">
        <f t="shared" si="22"/>
        <v>-5.010311746610055E-3</v>
      </c>
      <c r="Y90" s="2">
        <f t="shared" si="23"/>
        <v>-34.965827965864676</v>
      </c>
      <c r="Z90" s="2">
        <f t="shared" si="24"/>
        <v>0.31794873960890346</v>
      </c>
      <c r="AA90" s="2">
        <f t="shared" si="25"/>
        <v>-5.2487999853319256E-3</v>
      </c>
      <c r="AB90" s="2">
        <f t="shared" si="26"/>
        <v>-6.3590399739163897E-3</v>
      </c>
      <c r="AC90" s="2">
        <f t="shared" si="27"/>
        <v>4.7519989115157521E-2</v>
      </c>
      <c r="AD90" s="2">
        <f t="shared" si="28"/>
        <v>-6.9191999885430591E-3</v>
      </c>
      <c r="AE90" s="2">
        <f t="shared" si="29"/>
        <v>-36.328918514964478</v>
      </c>
      <c r="AG90" s="29">
        <f t="shared" si="30"/>
        <v>31.087099775353337</v>
      </c>
      <c r="AH90" s="2">
        <f t="shared" si="31"/>
        <v>-1.7100322378760699</v>
      </c>
      <c r="AJ90" s="29">
        <f t="shared" si="32"/>
        <v>39.905156704949121</v>
      </c>
      <c r="AK90" s="2">
        <f t="shared" si="33"/>
        <v>-34.618886277088407</v>
      </c>
    </row>
    <row r="91" spans="1:37" x14ac:dyDescent="0.3">
      <c r="A91" s="13">
        <v>70</v>
      </c>
      <c r="B91">
        <f t="shared" si="2"/>
        <v>439.6</v>
      </c>
      <c r="C91" s="29">
        <f t="shared" si="3"/>
        <v>72.723168546095877</v>
      </c>
      <c r="D91" s="40">
        <f t="shared" si="4"/>
        <v>-5.2293391230184474E-3</v>
      </c>
      <c r="E91" s="40">
        <f t="shared" si="5"/>
        <v>0</v>
      </c>
      <c r="F91" s="40">
        <f t="shared" si="6"/>
        <v>0</v>
      </c>
      <c r="G91">
        <f t="shared" si="7"/>
        <v>0.99999999595041322</v>
      </c>
      <c r="H91">
        <f t="shared" si="8"/>
        <v>1.0196912235487347E-4</v>
      </c>
      <c r="I91">
        <f t="shared" si="9"/>
        <v>-9.9823804248825293E-9</v>
      </c>
      <c r="J91" s="40">
        <f t="shared" si="10"/>
        <v>-2.2135450682580089</v>
      </c>
      <c r="K91" s="40">
        <f t="shared" si="11"/>
        <v>1.8184702750809916E-4</v>
      </c>
      <c r="L91" s="40">
        <f t="shared" si="12"/>
        <v>-4.9557822406595014E-8</v>
      </c>
      <c r="M91" s="40">
        <f t="shared" si="13"/>
        <v>-7.2740332976266804E-8</v>
      </c>
      <c r="N91" s="27">
        <f t="shared" si="14"/>
        <v>4.0620460021249891E-6</v>
      </c>
      <c r="O91">
        <f t="shared" si="15"/>
        <v>0.99999999564379993</v>
      </c>
      <c r="P91" s="27">
        <f t="shared" si="16"/>
        <v>1.4081853333333333E-4</v>
      </c>
      <c r="Q91" s="27">
        <f t="shared" si="17"/>
        <v>-4.8282511861152625E-8</v>
      </c>
      <c r="S91" s="29">
        <f t="shared" si="18"/>
        <v>70.504579867225303</v>
      </c>
      <c r="U91" s="2">
        <f t="shared" si="19"/>
        <v>-1.9889805034379591</v>
      </c>
      <c r="V91" s="2">
        <f t="shared" si="20"/>
        <v>0</v>
      </c>
      <c r="W91" s="2">
        <f t="shared" si="21"/>
        <v>0</v>
      </c>
      <c r="X91" s="2">
        <f t="shared" si="22"/>
        <v>-5.8453637052835851E-3</v>
      </c>
      <c r="Y91" s="2">
        <f t="shared" si="23"/>
        <v>-39.211441043498013</v>
      </c>
      <c r="Z91" s="2">
        <f t="shared" si="24"/>
        <v>0.37093882265420236</v>
      </c>
      <c r="AA91" s="2">
        <f t="shared" si="25"/>
        <v>-6.1235999767076405E-3</v>
      </c>
      <c r="AB91" s="2">
        <f t="shared" si="26"/>
        <v>-7.4188799585801933E-3</v>
      </c>
      <c r="AC91" s="2">
        <f t="shared" si="27"/>
        <v>5.5439982715275872E-2</v>
      </c>
      <c r="AD91" s="2">
        <f t="shared" si="28"/>
        <v>-8.0723999818068017E-3</v>
      </c>
      <c r="AE91" s="2">
        <f t="shared" si="29"/>
        <v>-40.801502985188868</v>
      </c>
      <c r="AG91" s="29">
        <f t="shared" si="30"/>
        <v>31.085713010570952</v>
      </c>
      <c r="AH91" s="2">
        <f t="shared" si="31"/>
        <v>-1.9948258671432426</v>
      </c>
      <c r="AJ91" s="29">
        <f t="shared" si="32"/>
        <v>39.418866856654347</v>
      </c>
      <c r="AK91" s="2">
        <f t="shared" si="33"/>
        <v>-38.806677118045627</v>
      </c>
    </row>
    <row r="92" spans="1:37" x14ac:dyDescent="0.3">
      <c r="A92" s="13">
        <v>80</v>
      </c>
      <c r="B92">
        <f t="shared" si="2"/>
        <v>502.40000000000003</v>
      </c>
      <c r="C92" s="29">
        <f t="shared" si="3"/>
        <v>72.723168546095877</v>
      </c>
      <c r="D92" s="40">
        <f t="shared" si="4"/>
        <v>-6.8288992311902729E-3</v>
      </c>
      <c r="E92" s="40">
        <f t="shared" si="5"/>
        <v>0</v>
      </c>
      <c r="F92" s="40">
        <f t="shared" si="6"/>
        <v>0</v>
      </c>
      <c r="G92">
        <f t="shared" si="7"/>
        <v>0.99999999471074386</v>
      </c>
      <c r="H92">
        <f t="shared" si="8"/>
        <v>1.165361398341411E-4</v>
      </c>
      <c r="I92">
        <f t="shared" si="9"/>
        <v>-1.3038212665178615E-8</v>
      </c>
      <c r="J92" s="40">
        <f t="shared" si="10"/>
        <v>-2.7144018662106193</v>
      </c>
      <c r="K92" s="40">
        <f t="shared" si="11"/>
        <v>2.3751296272308842E-4</v>
      </c>
      <c r="L92" s="40">
        <f t="shared" si="12"/>
        <v>-6.4728585565773844E-8</v>
      </c>
      <c r="M92" s="40">
        <f t="shared" si="13"/>
        <v>-9.5007782657140538E-8</v>
      </c>
      <c r="N92" s="27">
        <f t="shared" si="14"/>
        <v>5.3055287124058823E-6</v>
      </c>
      <c r="O92">
        <f t="shared" si="15"/>
        <v>0.99999999431026931</v>
      </c>
      <c r="P92" s="27">
        <f t="shared" si="16"/>
        <v>1.6093546666666667E-4</v>
      </c>
      <c r="Q92" s="27">
        <f t="shared" si="17"/>
        <v>-6.3062871862063992E-8</v>
      </c>
      <c r="S92" s="29">
        <f t="shared" si="18"/>
        <v>70.002180363308042</v>
      </c>
      <c r="U92" s="2">
        <f t="shared" si="19"/>
        <v>-2.2728414680639295</v>
      </c>
      <c r="V92" s="2">
        <f t="shared" si="20"/>
        <v>0</v>
      </c>
      <c r="W92" s="2">
        <f t="shared" si="21"/>
        <v>0</v>
      </c>
      <c r="X92" s="2">
        <f t="shared" si="22"/>
        <v>-6.6804156643748922E-3</v>
      </c>
      <c r="Y92" s="2">
        <f t="shared" si="23"/>
        <v>-43.000224150021808</v>
      </c>
      <c r="Z92" s="2">
        <f t="shared" si="24"/>
        <v>0.423928271776495</v>
      </c>
      <c r="AA92" s="2">
        <f t="shared" si="25"/>
        <v>-6.9983999652312306E-3</v>
      </c>
      <c r="AB92" s="2">
        <f t="shared" si="26"/>
        <v>-8.4787199381721832E-3</v>
      </c>
      <c r="AC92" s="2">
        <f t="shared" si="27"/>
        <v>6.3359974198900187E-2</v>
      </c>
      <c r="AD92" s="2">
        <f t="shared" si="28"/>
        <v>-9.2255999728428108E-3</v>
      </c>
      <c r="AE92" s="2">
        <f t="shared" si="29"/>
        <v>-44.817160507650968</v>
      </c>
      <c r="AG92" s="29">
        <f t="shared" si="30"/>
        <v>31.084113447406949</v>
      </c>
      <c r="AH92" s="2">
        <f t="shared" si="31"/>
        <v>-2.2795218837283042</v>
      </c>
      <c r="AJ92" s="29">
        <f t="shared" si="32"/>
        <v>38.918066915901093</v>
      </c>
      <c r="AK92" s="2">
        <f t="shared" si="33"/>
        <v>-42.53763862392266</v>
      </c>
    </row>
    <row r="93" spans="1:37" x14ac:dyDescent="0.3">
      <c r="A93" s="13">
        <v>90</v>
      </c>
      <c r="B93">
        <f t="shared" si="2"/>
        <v>565.20000000000005</v>
      </c>
      <c r="C93" s="29">
        <f t="shared" si="3"/>
        <v>72.723168546095877</v>
      </c>
      <c r="D93" s="40">
        <f t="shared" si="4"/>
        <v>-8.6410221039316653E-3</v>
      </c>
      <c r="E93" s="40">
        <f t="shared" si="5"/>
        <v>0</v>
      </c>
      <c r="F93" s="40">
        <f t="shared" si="6"/>
        <v>0</v>
      </c>
      <c r="G93">
        <f t="shared" si="7"/>
        <v>0.99999999330578515</v>
      </c>
      <c r="H93">
        <f t="shared" si="8"/>
        <v>1.3110315731340875E-4</v>
      </c>
      <c r="I93">
        <f t="shared" si="9"/>
        <v>-1.6501488691172522E-8</v>
      </c>
      <c r="J93" s="40">
        <f t="shared" si="10"/>
        <v>-3.2199323613888757</v>
      </c>
      <c r="K93" s="40">
        <f t="shared" si="11"/>
        <v>3.0060016010423465E-4</v>
      </c>
      <c r="L93" s="40">
        <f t="shared" si="12"/>
        <v>-8.1922115313842281E-8</v>
      </c>
      <c r="M93" s="40">
        <f t="shared" si="13"/>
        <v>-1.2024422409059512E-7</v>
      </c>
      <c r="N93" s="27">
        <f t="shared" si="14"/>
        <v>6.7148086857913961E-6</v>
      </c>
      <c r="O93">
        <f t="shared" si="15"/>
        <v>0.9999999927989347</v>
      </c>
      <c r="P93" s="27">
        <f t="shared" si="16"/>
        <v>1.8105240000000002E-4</v>
      </c>
      <c r="Q93" s="27">
        <f t="shared" si="17"/>
        <v>-7.9813948874554265E-8</v>
      </c>
      <c r="S93" s="29">
        <f t="shared" si="18"/>
        <v>69.49490217909009</v>
      </c>
      <c r="U93" s="2">
        <f t="shared" si="19"/>
        <v>-2.5565909574810557</v>
      </c>
      <c r="V93" s="2">
        <f t="shared" si="20"/>
        <v>0</v>
      </c>
      <c r="W93" s="2">
        <f t="shared" si="21"/>
        <v>0</v>
      </c>
      <c r="X93" s="2">
        <f t="shared" si="22"/>
        <v>-7.515467623943662E-3</v>
      </c>
      <c r="Y93" s="2">
        <f t="shared" si="23"/>
        <v>-46.373989601676818</v>
      </c>
      <c r="Z93" s="2">
        <f t="shared" si="24"/>
        <v>0.47691699643392377</v>
      </c>
      <c r="AA93" s="2">
        <f t="shared" si="25"/>
        <v>-7.8731999504952511E-3</v>
      </c>
      <c r="AB93" s="2">
        <f t="shared" si="26"/>
        <v>-9.5385599119678158E-3</v>
      </c>
      <c r="AC93" s="2">
        <f t="shared" si="27"/>
        <v>7.1279963263675597E-2</v>
      </c>
      <c r="AD93" s="2">
        <f t="shared" si="28"/>
        <v>-1.0378799961332827E-2</v>
      </c>
      <c r="AE93" s="2">
        <f t="shared" si="29"/>
        <v>-48.417689626908015</v>
      </c>
      <c r="AG93" s="29">
        <f t="shared" si="30"/>
        <v>31.082301321070929</v>
      </c>
      <c r="AH93" s="2">
        <f t="shared" si="31"/>
        <v>-2.5641064251049994</v>
      </c>
      <c r="AJ93" s="29">
        <f t="shared" si="32"/>
        <v>38.412600858019147</v>
      </c>
      <c r="AK93" s="2">
        <f t="shared" si="33"/>
        <v>-45.853583201803012</v>
      </c>
    </row>
    <row r="94" spans="1:37" x14ac:dyDescent="0.3">
      <c r="A94" s="13">
        <v>100</v>
      </c>
      <c r="B94">
        <f t="shared" si="2"/>
        <v>628</v>
      </c>
      <c r="C94" s="29">
        <f t="shared" si="3"/>
        <v>72.723168546095877</v>
      </c>
      <c r="D94" s="40">
        <f t="shared" si="4"/>
        <v>-1.0665441519206502E-2</v>
      </c>
      <c r="E94" s="40">
        <f t="shared" si="5"/>
        <v>0</v>
      </c>
      <c r="F94" s="40">
        <f t="shared" si="6"/>
        <v>0</v>
      </c>
      <c r="G94">
        <f t="shared" si="7"/>
        <v>0.99999999173553722</v>
      </c>
      <c r="H94">
        <f t="shared" si="8"/>
        <v>1.4567017479267638E-4</v>
      </c>
      <c r="I94">
        <f t="shared" si="9"/>
        <v>-2.0372208503351631E-8</v>
      </c>
      <c r="J94" s="40">
        <f t="shared" si="10"/>
        <v>-3.7229979583370643</v>
      </c>
      <c r="K94" s="40">
        <f t="shared" si="11"/>
        <v>3.7110829622944309E-4</v>
      </c>
      <c r="L94" s="40">
        <f t="shared" si="12"/>
        <v>-1.0113841552012229E-7</v>
      </c>
      <c r="M94" s="40">
        <f t="shared" si="13"/>
        <v>-1.4844965826683683E-7</v>
      </c>
      <c r="N94" s="27">
        <f t="shared" si="14"/>
        <v>8.2898857644338948E-6</v>
      </c>
      <c r="O94">
        <f t="shared" si="15"/>
        <v>0.99999999110979587</v>
      </c>
      <c r="P94" s="27">
        <f t="shared" si="16"/>
        <v>2.0116933333333333E-4</v>
      </c>
      <c r="Q94" s="27">
        <f t="shared" si="17"/>
        <v>-9.8535738088387867E-8</v>
      </c>
      <c r="S94" s="29">
        <f t="shared" si="18"/>
        <v>68.989884175925582</v>
      </c>
      <c r="U94" s="2">
        <f t="shared" si="19"/>
        <v>-2.840215141896739</v>
      </c>
      <c r="V94" s="2">
        <f t="shared" si="20"/>
        <v>0</v>
      </c>
      <c r="W94" s="2">
        <f t="shared" si="21"/>
        <v>0</v>
      </c>
      <c r="X94" s="2">
        <f t="shared" si="22"/>
        <v>-8.350519584049575E-3</v>
      </c>
      <c r="Y94" s="2">
        <f t="shared" si="23"/>
        <v>-49.377527147489126</v>
      </c>
      <c r="Z94" s="2">
        <f t="shared" si="24"/>
        <v>0.52990490609205909</v>
      </c>
      <c r="AA94" s="2">
        <f t="shared" si="25"/>
        <v>-8.74799993209225E-3</v>
      </c>
      <c r="AB94" s="2">
        <f t="shared" si="26"/>
        <v>-1.0598399879242546E-2</v>
      </c>
      <c r="AC94" s="2">
        <f t="shared" si="27"/>
        <v>7.9199949607247702E-2</v>
      </c>
      <c r="AD94" s="2">
        <f t="shared" si="28"/>
        <v>-1.153199994695861E-2</v>
      </c>
      <c r="AE94" s="2">
        <f t="shared" si="29"/>
        <v>-51.647866353028903</v>
      </c>
      <c r="AG94" s="29">
        <f t="shared" si="30"/>
        <v>31.080276897784938</v>
      </c>
      <c r="AH94" s="2">
        <f t="shared" si="31"/>
        <v>-2.8485656614807886</v>
      </c>
      <c r="AJ94" s="29">
        <f t="shared" si="32"/>
        <v>37.909607278140633</v>
      </c>
      <c r="AK94" s="2">
        <f t="shared" si="33"/>
        <v>-48.799300691548112</v>
      </c>
    </row>
    <row r="95" spans="1:37" x14ac:dyDescent="0.3">
      <c r="A95" s="13">
        <v>200</v>
      </c>
      <c r="B95">
        <f t="shared" si="2"/>
        <v>1256</v>
      </c>
      <c r="C95" s="29">
        <f t="shared" si="3"/>
        <v>72.723168546095877</v>
      </c>
      <c r="D95" s="40">
        <f t="shared" si="4"/>
        <v>-4.2505507173288791E-2</v>
      </c>
      <c r="E95" s="40">
        <f t="shared" si="5"/>
        <v>0</v>
      </c>
      <c r="F95" s="40">
        <f t="shared" si="6"/>
        <v>0</v>
      </c>
      <c r="G95">
        <f t="shared" si="7"/>
        <v>0.99999996694214877</v>
      </c>
      <c r="H95">
        <f t="shared" si="8"/>
        <v>2.9134034958535276E-4</v>
      </c>
      <c r="I95">
        <f t="shared" si="9"/>
        <v>-8.1488835264424409E-8</v>
      </c>
      <c r="J95" s="40">
        <f t="shared" si="10"/>
        <v>-8.0798817564757712</v>
      </c>
      <c r="K95" s="40">
        <f t="shared" si="11"/>
        <v>1.4842429537435592E-3</v>
      </c>
      <c r="L95" s="40">
        <f t="shared" si="12"/>
        <v>-4.0455364407390245E-7</v>
      </c>
      <c r="M95" s="40">
        <f t="shared" si="13"/>
        <v>-5.9379860200245464E-7</v>
      </c>
      <c r="N95" s="27">
        <f t="shared" si="14"/>
        <v>3.3159448112563236E-5</v>
      </c>
      <c r="O95">
        <f t="shared" si="15"/>
        <v>0.99999996443918349</v>
      </c>
      <c r="P95" s="27">
        <f t="shared" si="16"/>
        <v>4.0233866666666666E-4</v>
      </c>
      <c r="Q95" s="27">
        <f t="shared" si="17"/>
        <v>-3.9414294363125262E-7</v>
      </c>
      <c r="S95" s="29">
        <f t="shared" si="18"/>
        <v>64.602297210864648</v>
      </c>
      <c r="U95" s="2">
        <f t="shared" si="19"/>
        <v>-5.6665540087208317</v>
      </c>
      <c r="V95" s="2">
        <f t="shared" si="20"/>
        <v>0</v>
      </c>
      <c r="W95" s="2">
        <f t="shared" si="21"/>
        <v>0</v>
      </c>
      <c r="X95" s="2">
        <f t="shared" si="22"/>
        <v>-1.6701039227781787E-2</v>
      </c>
      <c r="Y95" s="2">
        <f t="shared" si="23"/>
        <v>-66.801398957588731</v>
      </c>
      <c r="Z95" s="2">
        <f t="shared" si="24"/>
        <v>1.0597192673054856</v>
      </c>
      <c r="AA95" s="2">
        <f t="shared" si="25"/>
        <v>-1.7495999456738014E-2</v>
      </c>
      <c r="AB95" s="2">
        <f t="shared" si="26"/>
        <v>-2.119679903394044E-2</v>
      </c>
      <c r="AC95" s="2">
        <f t="shared" si="27"/>
        <v>0.15839959685936694</v>
      </c>
      <c r="AD95" s="2">
        <f t="shared" si="28"/>
        <v>-2.3063999575668903E-2</v>
      </c>
      <c r="AE95" s="2">
        <f t="shared" si="29"/>
        <v>-71.328291939438856</v>
      </c>
      <c r="AG95" s="29">
        <f t="shared" si="30"/>
        <v>31.048436771014227</v>
      </c>
      <c r="AH95" s="2">
        <f t="shared" si="31"/>
        <v>-5.6832550479486139</v>
      </c>
      <c r="AJ95" s="29">
        <f t="shared" si="32"/>
        <v>33.553860439850411</v>
      </c>
      <c r="AK95" s="2">
        <f t="shared" si="33"/>
        <v>-65.645036891490236</v>
      </c>
    </row>
    <row r="96" spans="1:37" x14ac:dyDescent="0.3">
      <c r="A96" s="13">
        <v>300</v>
      </c>
      <c r="B96">
        <f t="shared" si="2"/>
        <v>1884</v>
      </c>
      <c r="C96" s="29">
        <f t="shared" si="3"/>
        <v>72.723168546095877</v>
      </c>
      <c r="D96" s="40">
        <f t="shared" si="4"/>
        <v>-9.5058971567040101E-2</v>
      </c>
      <c r="E96" s="40">
        <f t="shared" si="5"/>
        <v>0</v>
      </c>
      <c r="F96" s="40">
        <f t="shared" si="6"/>
        <v>0</v>
      </c>
      <c r="G96">
        <f t="shared" si="7"/>
        <v>0.99999992561983475</v>
      </c>
      <c r="H96">
        <f t="shared" si="8"/>
        <v>4.3701052437802911E-4</v>
      </c>
      <c r="I96">
        <f t="shared" si="9"/>
        <v>-1.8334988982223702E-7</v>
      </c>
      <c r="J96" s="40">
        <f t="shared" si="10"/>
        <v>-11.209054455906895</v>
      </c>
      <c r="K96" s="40">
        <f t="shared" si="11"/>
        <v>3.3388336039501887E-3</v>
      </c>
      <c r="L96" s="40">
        <f t="shared" si="12"/>
        <v>-9.1024564514215931E-7</v>
      </c>
      <c r="M96" s="40">
        <f t="shared" si="13"/>
        <v>-1.3360467437981226E-6</v>
      </c>
      <c r="N96" s="27">
        <f t="shared" si="14"/>
        <v>7.4608402220779593E-5</v>
      </c>
      <c r="O96">
        <f t="shared" si="15"/>
        <v>0.99999991998816284</v>
      </c>
      <c r="P96" s="27">
        <f t="shared" si="16"/>
        <v>6.03508E-4</v>
      </c>
      <c r="Q96" s="27">
        <f t="shared" si="17"/>
        <v>-8.868215894973662E-7</v>
      </c>
      <c r="S96" s="29">
        <f t="shared" si="18"/>
        <v>61.42246524416425</v>
      </c>
      <c r="U96" s="2">
        <f t="shared" si="19"/>
        <v>-8.4655428361381571</v>
      </c>
      <c r="V96" s="2">
        <f t="shared" si="20"/>
        <v>0</v>
      </c>
      <c r="W96" s="2">
        <f t="shared" si="21"/>
        <v>0</v>
      </c>
      <c r="X96" s="2">
        <f t="shared" si="22"/>
        <v>-2.5051558990879255E-2</v>
      </c>
      <c r="Y96" s="2">
        <f t="shared" si="23"/>
        <v>-74.067435354342237</v>
      </c>
      <c r="Z96" s="2">
        <f t="shared" si="24"/>
        <v>1.5893526315557431</v>
      </c>
      <c r="AA96" s="2">
        <f t="shared" si="25"/>
        <v>-2.6243998166490923E-2</v>
      </c>
      <c r="AB96" s="2">
        <f t="shared" si="26"/>
        <v>-3.1795196739549315E-2</v>
      </c>
      <c r="AC96" s="2">
        <f t="shared" si="27"/>
        <v>0.23759863940815482</v>
      </c>
      <c r="AD96" s="2">
        <f t="shared" si="28"/>
        <v>-3.4595998567882626E-2</v>
      </c>
      <c r="AE96" s="2">
        <f t="shared" si="29"/>
        <v>-80.823713671981309</v>
      </c>
      <c r="AG96" s="29">
        <f t="shared" si="30"/>
        <v>30.995883204759423</v>
      </c>
      <c r="AH96" s="2">
        <f t="shared" si="31"/>
        <v>-8.4905943951290368</v>
      </c>
      <c r="AJ96" s="29">
        <f t="shared" si="32"/>
        <v>30.426582039404813</v>
      </c>
      <c r="AK96" s="2">
        <f t="shared" si="33"/>
        <v>-72.333119276852273</v>
      </c>
    </row>
    <row r="97" spans="1:37" x14ac:dyDescent="0.3">
      <c r="A97" s="13">
        <v>400</v>
      </c>
      <c r="B97">
        <f t="shared" si="2"/>
        <v>2512</v>
      </c>
      <c r="C97" s="29">
        <f t="shared" si="3"/>
        <v>72.723168546095877</v>
      </c>
      <c r="D97" s="40">
        <f t="shared" si="4"/>
        <v>-0.16758154195904557</v>
      </c>
      <c r="E97" s="40">
        <f t="shared" si="5"/>
        <v>0</v>
      </c>
      <c r="F97" s="40">
        <f t="shared" si="6"/>
        <v>0</v>
      </c>
      <c r="G97">
        <f t="shared" si="7"/>
        <v>0.99999986776859506</v>
      </c>
      <c r="H97">
        <f t="shared" si="8"/>
        <v>5.8268069917070551E-4</v>
      </c>
      <c r="I97">
        <f t="shared" si="9"/>
        <v>-3.259553890394821E-7</v>
      </c>
      <c r="J97" s="40">
        <f t="shared" si="10"/>
        <v>-13.561561025635809</v>
      </c>
      <c r="K97" s="40">
        <f t="shared" si="11"/>
        <v>5.9339307144384203E-3</v>
      </c>
      <c r="L97" s="40">
        <f t="shared" si="12"/>
        <v>-1.6182143489428078E-6</v>
      </c>
      <c r="M97" s="40">
        <f t="shared" si="13"/>
        <v>-2.3751939264006313E-6</v>
      </c>
      <c r="N97" s="27">
        <f t="shared" si="14"/>
        <v>1.3263627339190554E-4</v>
      </c>
      <c r="O97">
        <f t="shared" si="15"/>
        <v>0.99999985775673395</v>
      </c>
      <c r="P97" s="27">
        <f t="shared" si="16"/>
        <v>8.0467733333333333E-4</v>
      </c>
      <c r="Q97" s="27">
        <f t="shared" si="17"/>
        <v>-1.5765716282179046E-6</v>
      </c>
      <c r="S97" s="29">
        <f t="shared" si="18"/>
        <v>59.000086649553559</v>
      </c>
      <c r="U97" s="2">
        <f t="shared" si="19"/>
        <v>-11.224484131647767</v>
      </c>
      <c r="V97" s="2">
        <f t="shared" si="20"/>
        <v>0</v>
      </c>
      <c r="W97" s="2">
        <f t="shared" si="21"/>
        <v>0</v>
      </c>
      <c r="X97" s="2">
        <f t="shared" si="22"/>
        <v>-3.3402078933024583E-2</v>
      </c>
      <c r="Y97" s="2">
        <f t="shared" si="23"/>
        <v>-77.925575530147555</v>
      </c>
      <c r="Z97" s="2">
        <f t="shared" si="24"/>
        <v>2.1187147321088666</v>
      </c>
      <c r="AA97" s="2">
        <f t="shared" si="25"/>
        <v>-3.4991995653904838E-2</v>
      </c>
      <c r="AB97" s="2">
        <f t="shared" si="26"/>
        <v>-4.2393592271525428E-2</v>
      </c>
      <c r="AC97" s="2">
        <f t="shared" si="27"/>
        <v>0.31679677491925923</v>
      </c>
      <c r="AD97" s="2">
        <f t="shared" si="28"/>
        <v>-4.6127996605351648E-2</v>
      </c>
      <c r="AE97" s="2">
        <f t="shared" si="29"/>
        <v>-86.871463818231007</v>
      </c>
      <c r="AG97" s="29">
        <f t="shared" si="30"/>
        <v>30.923360491761915</v>
      </c>
      <c r="AH97" s="2">
        <f t="shared" si="31"/>
        <v>-11.257886210580791</v>
      </c>
      <c r="AJ97" s="29">
        <f t="shared" si="32"/>
        <v>28.076726157791633</v>
      </c>
      <c r="AK97" s="2">
        <f t="shared" si="33"/>
        <v>-75.613577607650214</v>
      </c>
    </row>
    <row r="98" spans="1:37" x14ac:dyDescent="0.3">
      <c r="A98" s="13">
        <v>500</v>
      </c>
      <c r="B98">
        <f t="shared" si="2"/>
        <v>3140</v>
      </c>
      <c r="C98" s="29">
        <f t="shared" si="3"/>
        <v>72.723168546095877</v>
      </c>
      <c r="D98" s="40">
        <f t="shared" si="4"/>
        <v>-0.25907996766143809</v>
      </c>
      <c r="E98" s="40">
        <f t="shared" si="5"/>
        <v>0</v>
      </c>
      <c r="F98" s="40">
        <f t="shared" si="6"/>
        <v>0</v>
      </c>
      <c r="G98">
        <f t="shared" si="7"/>
        <v>0.9999997933884297</v>
      </c>
      <c r="H98">
        <f t="shared" si="8"/>
        <v>7.2835087396338181E-4</v>
      </c>
      <c r="I98">
        <f t="shared" si="9"/>
        <v>-5.0930535131656244E-7</v>
      </c>
      <c r="J98" s="40">
        <f t="shared" si="10"/>
        <v>-15.430355386974895</v>
      </c>
      <c r="K98" s="40">
        <f t="shared" si="11"/>
        <v>9.2682072077791035E-3</v>
      </c>
      <c r="L98" s="40">
        <f t="shared" si="12"/>
        <v>-2.5284596554665024E-6</v>
      </c>
      <c r="M98" s="40">
        <f t="shared" si="13"/>
        <v>-3.7112399391057693E-6</v>
      </c>
      <c r="N98" s="27">
        <f t="shared" si="14"/>
        <v>2.0724239707809223E-4</v>
      </c>
      <c r="O98">
        <f t="shared" si="15"/>
        <v>0.99999977774489679</v>
      </c>
      <c r="P98" s="27">
        <f t="shared" si="16"/>
        <v>1.0058466666666667E-3</v>
      </c>
      <c r="Q98" s="27">
        <f t="shared" si="17"/>
        <v>-2.4633929948794114E-6</v>
      </c>
      <c r="S98" s="29">
        <f t="shared" si="18"/>
        <v>57.043199428666462</v>
      </c>
      <c r="U98" s="2">
        <f t="shared" si="19"/>
        <v>-13.931776695072216</v>
      </c>
      <c r="V98" s="2">
        <f t="shared" si="20"/>
        <v>0</v>
      </c>
      <c r="W98" s="2">
        <f t="shared" si="21"/>
        <v>0</v>
      </c>
      <c r="X98" s="2">
        <f t="shared" si="22"/>
        <v>-4.1752599113900286E-2</v>
      </c>
      <c r="Y98" s="2">
        <f t="shared" si="23"/>
        <v>-80.29754431355714</v>
      </c>
      <c r="Z98" s="2">
        <f t="shared" si="24"/>
        <v>2.6477155796638354</v>
      </c>
      <c r="AA98" s="2">
        <f t="shared" si="25"/>
        <v>-4.3739991511533953E-2</v>
      </c>
      <c r="AB98" s="2">
        <f t="shared" si="26"/>
        <v>-5.2991984905325897E-2</v>
      </c>
      <c r="AC98" s="2">
        <f t="shared" si="27"/>
        <v>0.39599370107910342</v>
      </c>
      <c r="AD98" s="2">
        <f t="shared" si="28"/>
        <v>-5.7659993369828057E-2</v>
      </c>
      <c r="AE98" s="2">
        <f t="shared" si="29"/>
        <v>-91.381756296787003</v>
      </c>
      <c r="AG98" s="29">
        <f t="shared" si="30"/>
        <v>30.831861882709561</v>
      </c>
      <c r="AH98" s="2">
        <f t="shared" si="31"/>
        <v>-13.973529294186116</v>
      </c>
      <c r="AJ98" s="29">
        <f t="shared" si="32"/>
        <v>26.211337545956887</v>
      </c>
      <c r="AK98" s="2">
        <f t="shared" si="33"/>
        <v>-77.408227002600881</v>
      </c>
    </row>
    <row r="99" spans="1:37" x14ac:dyDescent="0.3">
      <c r="A99" s="13">
        <v>600</v>
      </c>
      <c r="B99">
        <f t="shared" si="2"/>
        <v>3768</v>
      </c>
      <c r="C99" s="29">
        <f t="shared" si="3"/>
        <v>72.723168546095877</v>
      </c>
      <c r="D99" s="40">
        <f t="shared" si="4"/>
        <v>-0.36835518803018397</v>
      </c>
      <c r="E99" s="40">
        <f t="shared" si="5"/>
        <v>0</v>
      </c>
      <c r="F99" s="40">
        <f t="shared" si="6"/>
        <v>0</v>
      </c>
      <c r="G99">
        <f t="shared" si="7"/>
        <v>0.99999970247933889</v>
      </c>
      <c r="H99">
        <f t="shared" si="8"/>
        <v>8.7402104875605822E-4</v>
      </c>
      <c r="I99">
        <f t="shared" si="9"/>
        <v>-7.3339980430621201E-7</v>
      </c>
      <c r="J99" s="40">
        <f t="shared" si="10"/>
        <v>-16.975808198115288</v>
      </c>
      <c r="K99" s="40">
        <f t="shared" si="11"/>
        <v>1.3339960719730225E-2</v>
      </c>
      <c r="L99" s="40">
        <f t="shared" si="12"/>
        <v>-3.6409814354409239E-6</v>
      </c>
      <c r="M99" s="40">
        <f t="shared" si="13"/>
        <v>-5.3441845071505942E-6</v>
      </c>
      <c r="N99" s="27">
        <f t="shared" si="14"/>
        <v>2.9842591890245982E-4</v>
      </c>
      <c r="O99">
        <f t="shared" si="15"/>
        <v>0.99999967995265138</v>
      </c>
      <c r="P99" s="27">
        <f t="shared" si="16"/>
        <v>1.207016E-3</v>
      </c>
      <c r="Q99" s="27">
        <f t="shared" si="17"/>
        <v>-3.5472856071237679E-6</v>
      </c>
      <c r="S99" s="29">
        <f t="shared" si="18"/>
        <v>55.392630280737684</v>
      </c>
      <c r="U99" s="2">
        <f t="shared" si="19"/>
        <v>-16.577163653662101</v>
      </c>
      <c r="V99" s="2">
        <f t="shared" si="20"/>
        <v>0</v>
      </c>
      <c r="W99" s="2">
        <f t="shared" si="21"/>
        <v>0</v>
      </c>
      <c r="X99" s="2">
        <f t="shared" si="22"/>
        <v>-5.0103119593188847E-2</v>
      </c>
      <c r="Y99" s="2">
        <f t="shared" si="23"/>
        <v>-81.89831499144826</v>
      </c>
      <c r="Z99" s="2">
        <f t="shared" si="24"/>
        <v>3.1762655537266187</v>
      </c>
      <c r="AA99" s="2">
        <f t="shared" si="25"/>
        <v>-5.2487985331932926E-2</v>
      </c>
      <c r="AB99" s="2">
        <f t="shared" si="26"/>
        <v>-6.3590373916409024E-2</v>
      </c>
      <c r="AC99" s="2">
        <f t="shared" si="27"/>
        <v>0.47518911560180888</v>
      </c>
      <c r="AD99" s="2">
        <f t="shared" si="28"/>
        <v>-6.9191988543064173E-2</v>
      </c>
      <c r="AE99" s="2">
        <f t="shared" si="29"/>
        <v>-95.059397443166532</v>
      </c>
      <c r="AG99" s="29">
        <f t="shared" si="30"/>
        <v>30.722586438246363</v>
      </c>
      <c r="AH99" s="2">
        <f t="shared" si="31"/>
        <v>-16.62726677325529</v>
      </c>
      <c r="AJ99" s="29">
        <f t="shared" si="32"/>
        <v>24.67004384249131</v>
      </c>
      <c r="AK99" s="2">
        <f t="shared" si="33"/>
        <v>-78.432130669911245</v>
      </c>
    </row>
    <row r="100" spans="1:37" x14ac:dyDescent="0.3">
      <c r="A100" s="13">
        <v>700</v>
      </c>
      <c r="B100">
        <f t="shared" si="2"/>
        <v>4396</v>
      </c>
      <c r="C100" s="29">
        <f t="shared" si="3"/>
        <v>72.723168546095877</v>
      </c>
      <c r="D100" s="40">
        <f t="shared" si="4"/>
        <v>-0.49405079945980857</v>
      </c>
      <c r="E100" s="40">
        <f t="shared" si="5"/>
        <v>0</v>
      </c>
      <c r="F100" s="40">
        <f t="shared" si="6"/>
        <v>0</v>
      </c>
      <c r="G100">
        <f t="shared" si="7"/>
        <v>0.9999995950413223</v>
      </c>
      <c r="H100">
        <f t="shared" si="8"/>
        <v>1.0196912235487345E-3</v>
      </c>
      <c r="I100">
        <f t="shared" si="9"/>
        <v>-9.9823878105618814E-7</v>
      </c>
      <c r="J100" s="40">
        <f t="shared" si="10"/>
        <v>-18.291564214605909</v>
      </c>
      <c r="K100" s="40">
        <f t="shared" si="11"/>
        <v>1.814711648879757E-2</v>
      </c>
      <c r="L100" s="40">
        <f t="shared" si="12"/>
        <v>-4.9557795380453486E-6</v>
      </c>
      <c r="M100" s="40">
        <f t="shared" si="13"/>
        <v>-7.2740272955705789E-6</v>
      </c>
      <c r="N100" s="27">
        <f t="shared" si="14"/>
        <v>4.0618579469490839E-4</v>
      </c>
      <c r="O100">
        <f t="shared" si="15"/>
        <v>0.99999956437999771</v>
      </c>
      <c r="P100" s="27">
        <f t="shared" si="16"/>
        <v>1.4081853333333333E-3</v>
      </c>
      <c r="Q100" s="27">
        <f t="shared" si="17"/>
        <v>-4.8282493603265245E-6</v>
      </c>
      <c r="S100" s="29">
        <f t="shared" si="18"/>
        <v>53.956088778018682</v>
      </c>
      <c r="U100" s="2">
        <f t="shared" si="19"/>
        <v>-19.151898684066886</v>
      </c>
      <c r="V100" s="2">
        <f t="shared" si="20"/>
        <v>0</v>
      </c>
      <c r="W100" s="2">
        <f t="shared" si="21"/>
        <v>0</v>
      </c>
      <c r="X100" s="2">
        <f t="shared" si="22"/>
        <v>-5.8453640430572655E-2</v>
      </c>
      <c r="Y100" s="2">
        <f t="shared" si="23"/>
        <v>-83.049755326687063</v>
      </c>
      <c r="Z100" s="2">
        <f t="shared" si="24"/>
        <v>3.7042754930450408</v>
      </c>
      <c r="AA100" s="2">
        <f t="shared" si="25"/>
        <v>-6.1235976707656986E-2</v>
      </c>
      <c r="AB100" s="2">
        <f t="shared" si="26"/>
        <v>-7.4188758580234646E-2</v>
      </c>
      <c r="AC100" s="2">
        <f t="shared" si="27"/>
        <v>0.55438271623611701</v>
      </c>
      <c r="AD100" s="2">
        <f t="shared" si="28"/>
        <v>-8.0723981806812645E-2</v>
      </c>
      <c r="AE100" s="2">
        <f t="shared" si="29"/>
        <v>-98.217598158998058</v>
      </c>
      <c r="AG100" s="29">
        <f t="shared" si="30"/>
        <v>30.596890561977762</v>
      </c>
      <c r="AH100" s="2">
        <f t="shared" si="31"/>
        <v>-19.210352324497457</v>
      </c>
      <c r="AJ100" s="29">
        <f t="shared" si="32"/>
        <v>23.359198216040909</v>
      </c>
      <c r="AK100" s="2">
        <f t="shared" si="33"/>
        <v>-79.007245834500608</v>
      </c>
    </row>
    <row r="101" spans="1:37" x14ac:dyDescent="0.3">
      <c r="A101" s="13">
        <v>800</v>
      </c>
      <c r="B101">
        <f t="shared" si="2"/>
        <v>5024</v>
      </c>
      <c r="C101" s="29">
        <f t="shared" si="3"/>
        <v>72.723168546095877</v>
      </c>
      <c r="D101" s="40">
        <f t="shared" si="4"/>
        <v>-0.6347030885670828</v>
      </c>
      <c r="E101" s="40">
        <f t="shared" si="5"/>
        <v>0</v>
      </c>
      <c r="F101" s="40">
        <f t="shared" si="6"/>
        <v>0</v>
      </c>
      <c r="G101">
        <f t="shared" si="7"/>
        <v>0.99999947107438014</v>
      </c>
      <c r="H101">
        <f t="shared" si="8"/>
        <v>1.165361398341411E-3</v>
      </c>
      <c r="I101">
        <f t="shared" si="9"/>
        <v>-1.3038223190449464E-6</v>
      </c>
      <c r="J101" s="40">
        <f t="shared" si="10"/>
        <v>-19.436292108839048</v>
      </c>
      <c r="K101" s="40">
        <f t="shared" si="11"/>
        <v>2.3687230866858474E-2</v>
      </c>
      <c r="L101" s="40">
        <f t="shared" si="12"/>
        <v>-6.4728537754813451E-6</v>
      </c>
      <c r="M101" s="40">
        <f t="shared" si="13"/>
        <v>-9.5007679101637361E-6</v>
      </c>
      <c r="N101" s="27">
        <f t="shared" si="14"/>
        <v>5.3052079052666934E-4</v>
      </c>
      <c r="O101">
        <f t="shared" si="15"/>
        <v>0.99999943102693578</v>
      </c>
      <c r="P101" s="27">
        <f t="shared" si="16"/>
        <v>1.6093546666666667E-3</v>
      </c>
      <c r="Q101" s="27">
        <f t="shared" si="17"/>
        <v>-6.3062841353114733E-6</v>
      </c>
      <c r="S101" s="29">
        <f t="shared" si="18"/>
        <v>52.676367516618996</v>
      </c>
      <c r="U101" s="2">
        <f t="shared" si="19"/>
        <v>-21.648829182385793</v>
      </c>
      <c r="V101" s="2">
        <f t="shared" si="20"/>
        <v>0</v>
      </c>
      <c r="W101" s="2">
        <f t="shared" si="21"/>
        <v>0</v>
      </c>
      <c r="X101" s="2">
        <f t="shared" si="22"/>
        <v>-6.6804161685733957E-2</v>
      </c>
      <c r="Y101" s="2">
        <f t="shared" si="23"/>
        <v>-83.917125754382056</v>
      </c>
      <c r="Z101" s="2">
        <f t="shared" si="24"/>
        <v>4.2316567848780666</v>
      </c>
      <c r="AA101" s="2">
        <f t="shared" si="25"/>
        <v>-6.9983965231262033E-2</v>
      </c>
      <c r="AB101" s="2">
        <f t="shared" si="26"/>
        <v>-8.4787138172264326E-2</v>
      </c>
      <c r="AC101" s="2">
        <f t="shared" si="27"/>
        <v>0.63357420077230975</v>
      </c>
      <c r="AD101" s="2">
        <f t="shared" si="28"/>
        <v>-9.2255972842826522E-2</v>
      </c>
      <c r="AE101" s="2">
        <f t="shared" si="29"/>
        <v>-101.01455518904955</v>
      </c>
      <c r="AG101" s="29">
        <f t="shared" si="30"/>
        <v>30.456237967286949</v>
      </c>
      <c r="AH101" s="2">
        <f t="shared" si="31"/>
        <v>-21.715633344071527</v>
      </c>
      <c r="AJ101" s="29">
        <f t="shared" si="32"/>
        <v>22.220129549332029</v>
      </c>
      <c r="AK101" s="2">
        <f t="shared" si="33"/>
        <v>-79.298921844978011</v>
      </c>
    </row>
    <row r="102" spans="1:37" x14ac:dyDescent="0.3">
      <c r="A102" s="13">
        <v>900</v>
      </c>
      <c r="B102">
        <f t="shared" si="2"/>
        <v>5652</v>
      </c>
      <c r="C102" s="29">
        <f t="shared" si="3"/>
        <v>72.723168546095877</v>
      </c>
      <c r="D102" s="40">
        <f t="shared" si="4"/>
        <v>-0.78878928818516314</v>
      </c>
      <c r="E102" s="40">
        <f t="shared" si="5"/>
        <v>0</v>
      </c>
      <c r="F102" s="40">
        <f t="shared" si="6"/>
        <v>0</v>
      </c>
      <c r="G102">
        <f t="shared" si="7"/>
        <v>0.99999933057851242</v>
      </c>
      <c r="H102">
        <f t="shared" si="8"/>
        <v>1.3110315731340873E-3</v>
      </c>
      <c r="I102">
        <f t="shared" si="9"/>
        <v>-1.6501504659676073E-6</v>
      </c>
      <c r="J102" s="40">
        <f t="shared" si="10"/>
        <v>-20.448952010414779</v>
      </c>
      <c r="K102" s="40">
        <f t="shared" si="11"/>
        <v>2.9957495438471073E-2</v>
      </c>
      <c r="L102" s="40">
        <f t="shared" si="12"/>
        <v>-8.1922039403305931E-6</v>
      </c>
      <c r="M102" s="40">
        <f t="shared" si="13"/>
        <v>-1.2024405892668745E-5</v>
      </c>
      <c r="N102" s="27">
        <f t="shared" si="14"/>
        <v>6.7142948276287977E-4</v>
      </c>
      <c r="O102">
        <f t="shared" si="15"/>
        <v>0.9999992798934656</v>
      </c>
      <c r="P102" s="27">
        <f t="shared" si="16"/>
        <v>1.810524E-3</v>
      </c>
      <c r="Q102" s="27">
        <f t="shared" si="17"/>
        <v>-7.9813897916003069E-6</v>
      </c>
      <c r="S102" s="29">
        <f t="shared" si="18"/>
        <v>51.516026324267081</v>
      </c>
      <c r="U102" s="2">
        <f t="shared" si="19"/>
        <v>-24.062402591190384</v>
      </c>
      <c r="V102" s="2">
        <f t="shared" si="20"/>
        <v>0</v>
      </c>
      <c r="W102" s="2">
        <f t="shared" si="21"/>
        <v>0</v>
      </c>
      <c r="X102" s="2">
        <f t="shared" si="22"/>
        <v>-7.5154683418354962E-2</v>
      </c>
      <c r="Y102" s="2">
        <f t="shared" si="23"/>
        <v>-84.593720675346432</v>
      </c>
      <c r="Z102" s="2">
        <f t="shared" si="24"/>
        <v>4.7583214528786177</v>
      </c>
      <c r="AA102" s="2">
        <f t="shared" si="25"/>
        <v>-7.8731950495304764E-2</v>
      </c>
      <c r="AB102" s="2">
        <f t="shared" si="26"/>
        <v>-9.5385511967961745E-2</v>
      </c>
      <c r="AC102" s="2">
        <f t="shared" si="27"/>
        <v>0.71276326704912507</v>
      </c>
      <c r="AD102" s="2">
        <f t="shared" si="28"/>
        <v>-0.10378796133285929</v>
      </c>
      <c r="AE102" s="2">
        <f t="shared" si="29"/>
        <v>-103.53809865382355</v>
      </c>
      <c r="AG102" s="29">
        <f t="shared" si="30"/>
        <v>30.302151421340721</v>
      </c>
      <c r="AH102" s="2">
        <f t="shared" si="31"/>
        <v>-24.137557274608739</v>
      </c>
      <c r="AJ102" s="29">
        <f t="shared" si="32"/>
        <v>21.213874902926349</v>
      </c>
      <c r="AK102" s="2">
        <f t="shared" si="33"/>
        <v>-79.400541379214815</v>
      </c>
    </row>
    <row r="103" spans="1:37" x14ac:dyDescent="0.3">
      <c r="A103" s="13">
        <v>1000</v>
      </c>
      <c r="B103">
        <f t="shared" si="2"/>
        <v>6280</v>
      </c>
      <c r="C103" s="29">
        <f t="shared" si="3"/>
        <v>72.723168546095877</v>
      </c>
      <c r="D103" s="40">
        <f t="shared" si="4"/>
        <v>-0.95477142591247244</v>
      </c>
      <c r="E103" s="40">
        <f t="shared" si="5"/>
        <v>0</v>
      </c>
      <c r="F103" s="40">
        <f t="shared" si="6"/>
        <v>0</v>
      </c>
      <c r="G103">
        <f t="shared" si="7"/>
        <v>0.99999917355371903</v>
      </c>
      <c r="H103">
        <f t="shared" si="8"/>
        <v>1.4567017479267636E-3</v>
      </c>
      <c r="I103">
        <f t="shared" si="9"/>
        <v>-2.0372232710570138E-6</v>
      </c>
      <c r="J103" s="40">
        <f t="shared" si="10"/>
        <v>-21.35665424403108</v>
      </c>
      <c r="K103" s="40">
        <f t="shared" si="11"/>
        <v>3.6954741734306178E-2</v>
      </c>
      <c r="L103" s="40">
        <f t="shared" si="12"/>
        <v>-1.0113829786268246E-5</v>
      </c>
      <c r="M103" s="40">
        <f t="shared" si="13"/>
        <v>-1.4844940726550649E-5</v>
      </c>
      <c r="N103" s="27">
        <f t="shared" si="14"/>
        <v>8.2891025811389232E-4</v>
      </c>
      <c r="O103">
        <f t="shared" si="15"/>
        <v>0.99999911097958716</v>
      </c>
      <c r="P103" s="27">
        <f t="shared" si="16"/>
        <v>2.0116933333333333E-3</v>
      </c>
      <c r="Q103" s="27">
        <f t="shared" si="17"/>
        <v>-9.8535661722341975E-6</v>
      </c>
      <c r="S103" s="29">
        <f t="shared" si="18"/>
        <v>50.449489678584797</v>
      </c>
      <c r="U103" s="2">
        <f t="shared" si="19"/>
        <v>-26.388607528329182</v>
      </c>
      <c r="V103" s="2">
        <f t="shared" si="20"/>
        <v>0</v>
      </c>
      <c r="W103" s="2">
        <f t="shared" si="21"/>
        <v>0</v>
      </c>
      <c r="X103" s="2">
        <f t="shared" si="22"/>
        <v>-8.3505205688117659E-2</v>
      </c>
      <c r="Y103" s="2">
        <f t="shared" si="23"/>
        <v>-85.136104866871619</v>
      </c>
      <c r="Z103" s="2">
        <f t="shared" si="24"/>
        <v>5.2841822433755175</v>
      </c>
      <c r="AA103" s="2">
        <f t="shared" si="25"/>
        <v>-8.747993209234281E-2</v>
      </c>
      <c r="AB103" s="2">
        <f t="shared" si="26"/>
        <v>-0.10598387924279294</v>
      </c>
      <c r="AC103" s="2">
        <f t="shared" si="27"/>
        <v>0.7919496129606729</v>
      </c>
      <c r="AD103" s="2">
        <f t="shared" si="28"/>
        <v>-0.115319946958665</v>
      </c>
      <c r="AE103" s="2">
        <f t="shared" si="29"/>
        <v>-105.84086950284653</v>
      </c>
      <c r="AG103" s="29">
        <f t="shared" si="30"/>
        <v>30.136168896540607</v>
      </c>
      <c r="AH103" s="2">
        <f t="shared" si="31"/>
        <v>-26.472112734017298</v>
      </c>
      <c r="AJ103" s="29">
        <f t="shared" si="32"/>
        <v>20.313320782044173</v>
      </c>
      <c r="AK103" s="2">
        <f t="shared" si="33"/>
        <v>-79.368756768829229</v>
      </c>
    </row>
    <row r="104" spans="1:37" x14ac:dyDescent="0.3">
      <c r="A104" s="13">
        <v>2000</v>
      </c>
      <c r="B104">
        <f t="shared" si="2"/>
        <v>12560</v>
      </c>
      <c r="C104" s="29">
        <f t="shared" si="3"/>
        <v>72.723168546095877</v>
      </c>
      <c r="D104" s="40">
        <f t="shared" si="4"/>
        <v>-2.9743891641717974</v>
      </c>
      <c r="E104" s="40">
        <f t="shared" si="5"/>
        <v>0</v>
      </c>
      <c r="F104" s="40">
        <f t="shared" si="6"/>
        <v>0</v>
      </c>
      <c r="G104">
        <f t="shared" si="7"/>
        <v>0.99999669421487603</v>
      </c>
      <c r="H104">
        <f t="shared" si="8"/>
        <v>2.9134034958535272E-3</v>
      </c>
      <c r="I104">
        <f t="shared" si="9"/>
        <v>-8.1489229446203206E-6</v>
      </c>
      <c r="J104" s="40">
        <f t="shared" si="10"/>
        <v>-27.353355442978632</v>
      </c>
      <c r="K104" s="40">
        <f t="shared" si="11"/>
        <v>0.14596889602072249</v>
      </c>
      <c r="L104" s="40">
        <f t="shared" si="12"/>
        <v>-4.0455177827826877E-5</v>
      </c>
      <c r="M104" s="40">
        <f t="shared" si="13"/>
        <v>-5.9379458452004131E-5</v>
      </c>
      <c r="N104" s="27">
        <f t="shared" si="14"/>
        <v>3.3146922020220507E-3</v>
      </c>
      <c r="O104">
        <f t="shared" si="15"/>
        <v>0.99999644391834885</v>
      </c>
      <c r="P104" s="27">
        <f t="shared" si="16"/>
        <v>4.0233866666666666E-3</v>
      </c>
      <c r="Q104" s="27">
        <f t="shared" si="17"/>
        <v>-3.9414171742981286E-5</v>
      </c>
      <c r="S104" s="29">
        <f t="shared" si="18"/>
        <v>42.544560129437222</v>
      </c>
      <c r="U104" s="2">
        <f t="shared" si="19"/>
        <v>-44.784836518035419</v>
      </c>
      <c r="V104" s="2">
        <f t="shared" si="20"/>
        <v>0</v>
      </c>
      <c r="W104" s="2">
        <f t="shared" si="21"/>
        <v>0</v>
      </c>
      <c r="X104" s="2">
        <f t="shared" si="22"/>
        <v>-0.16701047105845232</v>
      </c>
      <c r="Y104" s="2">
        <f t="shared" si="23"/>
        <v>-87.586367418416884</v>
      </c>
      <c r="Z104" s="2">
        <f t="shared" si="24"/>
        <v>10.480060265129948</v>
      </c>
      <c r="AA104" s="2">
        <f t="shared" si="25"/>
        <v>-0.17495945674101984</v>
      </c>
      <c r="AB104" s="2">
        <f t="shared" si="26"/>
        <v>-0.21196703394828739</v>
      </c>
      <c r="AC104" s="2">
        <f t="shared" si="27"/>
        <v>1.5835970421056673</v>
      </c>
      <c r="AD104" s="2">
        <f t="shared" si="28"/>
        <v>-0.23063957567061541</v>
      </c>
      <c r="AE104" s="2">
        <f t="shared" si="29"/>
        <v>-121.09212316663508</v>
      </c>
      <c r="AG104" s="29">
        <f t="shared" si="30"/>
        <v>28.11654504658161</v>
      </c>
      <c r="AH104" s="2">
        <f t="shared" si="31"/>
        <v>-44.951846989093873</v>
      </c>
      <c r="AJ104" s="29">
        <f t="shared" si="32"/>
        <v>14.428015082855609</v>
      </c>
      <c r="AK104" s="2">
        <f t="shared" si="33"/>
        <v>-76.140276177541196</v>
      </c>
    </row>
    <row r="105" spans="1:37" x14ac:dyDescent="0.3">
      <c r="A105" s="13">
        <v>3000</v>
      </c>
      <c r="B105">
        <f t="shared" si="2"/>
        <v>18840</v>
      </c>
      <c r="C105" s="29">
        <f t="shared" si="3"/>
        <v>72.723168546095877</v>
      </c>
      <c r="D105" s="40">
        <f t="shared" si="4"/>
        <v>-5.0690315202900784</v>
      </c>
      <c r="E105" s="40">
        <f t="shared" si="5"/>
        <v>0</v>
      </c>
      <c r="F105" s="40">
        <f t="shared" si="6"/>
        <v>0</v>
      </c>
      <c r="G105">
        <f t="shared" si="7"/>
        <v>0.99999256198347108</v>
      </c>
      <c r="H105">
        <f t="shared" si="8"/>
        <v>4.3701052437802911E-3</v>
      </c>
      <c r="I105">
        <f t="shared" si="9"/>
        <v>-1.8335188604963098E-5</v>
      </c>
      <c r="J105" s="40">
        <f t="shared" si="10"/>
        <v>-30.870740467867801</v>
      </c>
      <c r="K105" s="40">
        <f t="shared" si="11"/>
        <v>0.32179024509557541</v>
      </c>
      <c r="L105" s="40">
        <f t="shared" si="12"/>
        <v>-9.1023620180679109E-5</v>
      </c>
      <c r="M105" s="40">
        <f t="shared" si="13"/>
        <v>-1.3360263983798433E-4</v>
      </c>
      <c r="N105" s="27">
        <f t="shared" si="14"/>
        <v>7.4545029577459433E-3</v>
      </c>
      <c r="O105">
        <f t="shared" si="15"/>
        <v>0.99999199881628476</v>
      </c>
      <c r="P105" s="27">
        <f t="shared" si="16"/>
        <v>6.03508E-3</v>
      </c>
      <c r="Q105" s="27">
        <f t="shared" si="17"/>
        <v>-8.8681537868521993E-5</v>
      </c>
      <c r="S105" s="29">
        <f t="shared" si="18"/>
        <v>37.112309663004829</v>
      </c>
      <c r="U105" s="2">
        <f t="shared" si="19"/>
        <v>-56.118460809115696</v>
      </c>
      <c r="V105" s="2">
        <f t="shared" si="20"/>
        <v>0</v>
      </c>
      <c r="W105" s="2">
        <f t="shared" si="21"/>
        <v>0</v>
      </c>
      <c r="X105" s="2">
        <f t="shared" si="22"/>
        <v>-0.25051585579151614</v>
      </c>
      <c r="Y105" s="2">
        <f t="shared" si="23"/>
        <v>-88.405569113561825</v>
      </c>
      <c r="Z105" s="2">
        <f t="shared" si="24"/>
        <v>15.507875448971939</v>
      </c>
      <c r="AA105" s="2">
        <f t="shared" si="25"/>
        <v>-0.26243816651375135</v>
      </c>
      <c r="AB105" s="2">
        <f t="shared" si="26"/>
        <v>-0.31794873960890341</v>
      </c>
      <c r="AC105" s="2">
        <f t="shared" si="27"/>
        <v>2.3746407948726289</v>
      </c>
      <c r="AD105" s="2">
        <f t="shared" si="28"/>
        <v>-0.34595856789561374</v>
      </c>
      <c r="AE105" s="2">
        <f t="shared" si="29"/>
        <v>-127.81837500864276</v>
      </c>
      <c r="AG105" s="29">
        <f t="shared" si="30"/>
        <v>26.021892504197666</v>
      </c>
      <c r="AH105" s="2">
        <f t="shared" si="31"/>
        <v>-56.368976664907215</v>
      </c>
      <c r="AJ105" s="29">
        <f t="shared" si="32"/>
        <v>11.090417158807149</v>
      </c>
      <c r="AK105" s="2">
        <f t="shared" si="33"/>
        <v>-71.44939834373551</v>
      </c>
    </row>
    <row r="106" spans="1:37" x14ac:dyDescent="0.3">
      <c r="A106" s="13">
        <v>4000</v>
      </c>
      <c r="B106">
        <f t="shared" si="2"/>
        <v>25120</v>
      </c>
      <c r="C106" s="29">
        <f t="shared" si="3"/>
        <v>72.723168546095877</v>
      </c>
      <c r="D106" s="40">
        <f t="shared" si="4"/>
        <v>-6.9320993754120046</v>
      </c>
      <c r="E106" s="40">
        <f t="shared" si="5"/>
        <v>0</v>
      </c>
      <c r="F106" s="40">
        <f t="shared" si="6"/>
        <v>0</v>
      </c>
      <c r="G106">
        <f t="shared" si="7"/>
        <v>0.9999867768595041</v>
      </c>
      <c r="H106">
        <f t="shared" si="8"/>
        <v>5.8268069917070545E-3</v>
      </c>
      <c r="I106">
        <f t="shared" si="9"/>
        <v>-3.2596169558920951E-5</v>
      </c>
      <c r="J106" s="40">
        <f t="shared" si="10"/>
        <v>-33.367960072266378</v>
      </c>
      <c r="K106" s="40">
        <f t="shared" si="11"/>
        <v>0.55656248463755287</v>
      </c>
      <c r="L106" s="40">
        <f t="shared" si="12"/>
        <v>-1.6181845028862368E-4</v>
      </c>
      <c r="M106" s="40">
        <f t="shared" si="13"/>
        <v>-2.3751296272302679E-4</v>
      </c>
      <c r="N106" s="27">
        <f t="shared" si="14"/>
        <v>1.3243616430882354E-2</v>
      </c>
      <c r="O106">
        <f t="shared" si="15"/>
        <v>0.99998577567339519</v>
      </c>
      <c r="P106" s="27">
        <f t="shared" si="16"/>
        <v>8.0467733333333333E-3</v>
      </c>
      <c r="Q106" s="27">
        <f t="shared" si="17"/>
        <v>-1.5765519982163819E-4</v>
      </c>
      <c r="S106" s="29">
        <f t="shared" si="18"/>
        <v>32.992325616703539</v>
      </c>
      <c r="U106" s="2">
        <f t="shared" si="19"/>
        <v>-63.276257611642862</v>
      </c>
      <c r="V106" s="2">
        <f t="shared" si="20"/>
        <v>0</v>
      </c>
      <c r="W106" s="2">
        <f t="shared" si="21"/>
        <v>0</v>
      </c>
      <c r="X106" s="2">
        <f t="shared" si="22"/>
        <v>-0.33402141956441184</v>
      </c>
      <c r="Y106" s="2">
        <f t="shared" si="23"/>
        <v>-88.81544232001113</v>
      </c>
      <c r="Z106" s="2">
        <f t="shared" si="24"/>
        <v>20.30299294509615</v>
      </c>
      <c r="AA106" s="2">
        <f t="shared" si="25"/>
        <v>-0.34991565400102892</v>
      </c>
      <c r="AB106" s="2">
        <f t="shared" si="26"/>
        <v>-0.42392827177649489</v>
      </c>
      <c r="AC106" s="2">
        <f t="shared" si="27"/>
        <v>3.1647807572574691</v>
      </c>
      <c r="AD106" s="2">
        <f t="shared" si="28"/>
        <v>-0.46127660540637677</v>
      </c>
      <c r="AE106" s="2">
        <f t="shared" si="29"/>
        <v>-130.1930681800487</v>
      </c>
      <c r="AG106" s="29">
        <f t="shared" si="30"/>
        <v>24.158810388094786</v>
      </c>
      <c r="AH106" s="2">
        <f t="shared" si="31"/>
        <v>-63.610279031207277</v>
      </c>
      <c r="AJ106" s="29">
        <f t="shared" si="32"/>
        <v>8.8335152286087464</v>
      </c>
      <c r="AK106" s="2">
        <f t="shared" si="33"/>
        <v>-66.5827891488414</v>
      </c>
    </row>
    <row r="107" spans="1:37" x14ac:dyDescent="0.3">
      <c r="A107" s="13">
        <v>5000</v>
      </c>
      <c r="B107">
        <f t="shared" si="2"/>
        <v>31400</v>
      </c>
      <c r="C107" s="29">
        <f t="shared" si="3"/>
        <v>72.723168546095877</v>
      </c>
      <c r="D107" s="40">
        <f t="shared" si="4"/>
        <v>-8.5412782808565506</v>
      </c>
      <c r="E107" s="40">
        <f t="shared" si="5"/>
        <v>0</v>
      </c>
      <c r="F107" s="40">
        <f t="shared" si="6"/>
        <v>0</v>
      </c>
      <c r="G107">
        <f t="shared" si="7"/>
        <v>0.99997933884297519</v>
      </c>
      <c r="H107">
        <f t="shared" si="8"/>
        <v>7.2835087396338188E-3</v>
      </c>
      <c r="I107">
        <f t="shared" si="9"/>
        <v>-5.0932074831122899E-5</v>
      </c>
      <c r="J107" s="40">
        <f t="shared" si="10"/>
        <v>-35.305440341864916</v>
      </c>
      <c r="K107" s="40">
        <f t="shared" si="11"/>
        <v>0.84088534604875875</v>
      </c>
      <c r="L107" s="40">
        <f t="shared" si="12"/>
        <v>-2.5283867902003738E-4</v>
      </c>
      <c r="M107" s="40">
        <f t="shared" si="13"/>
        <v>-3.7110829622922825E-4</v>
      </c>
      <c r="N107" s="27">
        <f t="shared" si="14"/>
        <v>2.0675441249067956E-2</v>
      </c>
      <c r="O107">
        <f t="shared" si="15"/>
        <v>0.99997777448967995</v>
      </c>
      <c r="P107" s="27">
        <f t="shared" si="16"/>
        <v>1.0058466666666667E-2</v>
      </c>
      <c r="Q107" s="27">
        <f t="shared" si="17"/>
        <v>-2.4633450700960315E-4</v>
      </c>
      <c r="S107" s="29">
        <f t="shared" si="18"/>
        <v>29.737089497115157</v>
      </c>
      <c r="U107" s="2">
        <f t="shared" si="19"/>
        <v>-68.06855667159995</v>
      </c>
      <c r="V107" s="2">
        <f t="shared" si="20"/>
        <v>0</v>
      </c>
      <c r="W107" s="2">
        <f t="shared" si="21"/>
        <v>0</v>
      </c>
      <c r="X107" s="2">
        <f t="shared" si="22"/>
        <v>-0.41752722204912768</v>
      </c>
      <c r="Y107" s="2">
        <f t="shared" si="23"/>
        <v>-89.061429326822491</v>
      </c>
      <c r="Z107" s="2">
        <f t="shared" si="24"/>
        <v>24.819339893114368</v>
      </c>
      <c r="AA107" s="2">
        <f t="shared" si="25"/>
        <v>-0.43739151182749919</v>
      </c>
      <c r="AB107" s="2">
        <f t="shared" si="26"/>
        <v>-0.52990490609205898</v>
      </c>
      <c r="AC107" s="2">
        <f t="shared" si="27"/>
        <v>3.9537188732645676</v>
      </c>
      <c r="AD107" s="2">
        <f t="shared" si="28"/>
        <v>-0.57659336999505129</v>
      </c>
      <c r="AE107" s="2">
        <f t="shared" si="29"/>
        <v>-130.31834424200721</v>
      </c>
      <c r="AG107" s="29">
        <f t="shared" si="30"/>
        <v>22.549613146744967</v>
      </c>
      <c r="AH107" s="2">
        <f t="shared" si="31"/>
        <v>-68.486083893649081</v>
      </c>
      <c r="AJ107" s="29">
        <f t="shared" si="32"/>
        <v>7.1874763503701686</v>
      </c>
      <c r="AK107" s="2">
        <f t="shared" si="33"/>
        <v>-61.832260348358155</v>
      </c>
    </row>
    <row r="108" spans="1:37" x14ac:dyDescent="0.3">
      <c r="A108" s="13">
        <v>6000</v>
      </c>
      <c r="B108">
        <f t="shared" si="2"/>
        <v>37680</v>
      </c>
      <c r="C108" s="29">
        <f t="shared" si="3"/>
        <v>72.723168546095877</v>
      </c>
      <c r="D108" s="40">
        <f t="shared" si="4"/>
        <v>-9.9351452342998297</v>
      </c>
      <c r="E108" s="40">
        <f t="shared" si="5"/>
        <v>0</v>
      </c>
      <c r="F108" s="40">
        <f t="shared" si="6"/>
        <v>0</v>
      </c>
      <c r="G108">
        <f t="shared" si="7"/>
        <v>0.99997024793388434</v>
      </c>
      <c r="H108">
        <f t="shared" si="8"/>
        <v>8.7402104875605822E-3</v>
      </c>
      <c r="I108">
        <f t="shared" si="9"/>
        <v>-7.3343173163486512E-5</v>
      </c>
      <c r="J108" s="40">
        <f t="shared" si="10"/>
        <v>-36.888674106796863</v>
      </c>
      <c r="K108" s="40">
        <f t="shared" si="11"/>
        <v>1.1648692783615766</v>
      </c>
      <c r="L108" s="40">
        <f t="shared" si="12"/>
        <v>-3.6408303471821915E-4</v>
      </c>
      <c r="M108" s="40">
        <f t="shared" si="13"/>
        <v>-5.3438590089807897E-4</v>
      </c>
      <c r="N108" s="27">
        <f t="shared" si="14"/>
        <v>2.9741545681178028E-2</v>
      </c>
      <c r="O108">
        <f t="shared" si="15"/>
        <v>0.99996799526513924</v>
      </c>
      <c r="P108" s="27">
        <f t="shared" si="16"/>
        <v>1.207016E-2</v>
      </c>
      <c r="Q108" s="27">
        <f t="shared" si="17"/>
        <v>-3.5471862299589897E-4</v>
      </c>
      <c r="S108" s="29">
        <f t="shared" si="18"/>
        <v>27.09263349831016</v>
      </c>
      <c r="U108" s="2">
        <f t="shared" si="19"/>
        <v>-71.458080769178707</v>
      </c>
      <c r="V108" s="2">
        <f t="shared" si="20"/>
        <v>0</v>
      </c>
      <c r="W108" s="2">
        <f t="shared" si="21"/>
        <v>0</v>
      </c>
      <c r="X108" s="2">
        <f t="shared" si="22"/>
        <v>-0.50103332291083269</v>
      </c>
      <c r="Y108" s="2">
        <f t="shared" si="23"/>
        <v>-89.225441365130521</v>
      </c>
      <c r="Z108" s="2">
        <f t="shared" si="24"/>
        <v>29.02964052336603</v>
      </c>
      <c r="AA108" s="2">
        <f t="shared" si="25"/>
        <v>-0.52486533266334501</v>
      </c>
      <c r="AB108" s="2">
        <f t="shared" si="26"/>
        <v>-0.63587791831543616</v>
      </c>
      <c r="AC108" s="2">
        <f t="shared" si="27"/>
        <v>4.7411598126792436</v>
      </c>
      <c r="AD108" s="2">
        <f t="shared" si="28"/>
        <v>-0.69190854347968922</v>
      </c>
      <c r="AE108" s="2">
        <f t="shared" si="29"/>
        <v>-129.26640691563324</v>
      </c>
      <c r="AG108" s="29">
        <f t="shared" si="30"/>
        <v>21.15572378220336</v>
      </c>
      <c r="AH108" s="2">
        <f t="shared" si="31"/>
        <v>-71.959114092089536</v>
      </c>
      <c r="AJ108" s="29">
        <f t="shared" si="32"/>
        <v>5.936909716106797</v>
      </c>
      <c r="AK108" s="2">
        <f t="shared" si="33"/>
        <v>-57.307292823543726</v>
      </c>
    </row>
    <row r="109" spans="1:37" x14ac:dyDescent="0.3">
      <c r="A109" s="13">
        <v>7000</v>
      </c>
      <c r="B109">
        <f t="shared" si="2"/>
        <v>43960</v>
      </c>
      <c r="C109" s="29">
        <f t="shared" si="3"/>
        <v>72.723168546095877</v>
      </c>
      <c r="D109" s="40">
        <f t="shared" si="4"/>
        <v>-11.155522857999802</v>
      </c>
      <c r="E109" s="40">
        <f t="shared" si="5"/>
        <v>0</v>
      </c>
      <c r="F109" s="40">
        <f t="shared" si="6"/>
        <v>0</v>
      </c>
      <c r="G109">
        <f t="shared" si="7"/>
        <v>0.99995950413223145</v>
      </c>
      <c r="H109">
        <f t="shared" si="8"/>
        <v>1.0196912235487346E-2</v>
      </c>
      <c r="I109">
        <f t="shared" si="9"/>
        <v>-9.9829793005476385E-5</v>
      </c>
      <c r="J109" s="40">
        <f t="shared" si="10"/>
        <v>-38.227374027638909</v>
      </c>
      <c r="K109" s="40">
        <f t="shared" si="11"/>
        <v>1.5189884039960173</v>
      </c>
      <c r="L109" s="40">
        <f t="shared" si="12"/>
        <v>-4.9554996324890617E-4</v>
      </c>
      <c r="M109" s="40">
        <f t="shared" si="13"/>
        <v>-7.2734242889504314E-4</v>
      </c>
      <c r="N109" s="27">
        <f t="shared" si="14"/>
        <v>4.0431689336251117E-2</v>
      </c>
      <c r="O109">
        <f t="shared" si="15"/>
        <v>0.99995643799977285</v>
      </c>
      <c r="P109" s="27">
        <f t="shared" si="16"/>
        <v>1.4081853333333333E-2</v>
      </c>
      <c r="Q109" s="27">
        <f t="shared" si="17"/>
        <v>-4.8280652552373554E-4</v>
      </c>
      <c r="S109" s="29">
        <f t="shared" si="18"/>
        <v>24.897886225078764</v>
      </c>
      <c r="U109" s="2">
        <f t="shared" si="19"/>
        <v>-73.965990810584998</v>
      </c>
      <c r="V109" s="2">
        <f t="shared" si="20"/>
        <v>0</v>
      </c>
      <c r="W109" s="2">
        <f t="shared" si="21"/>
        <v>0</v>
      </c>
      <c r="X109" s="2">
        <f t="shared" si="22"/>
        <v>-0.58453978180617239</v>
      </c>
      <c r="Y109" s="2">
        <f t="shared" si="23"/>
        <v>-89.342601200166143</v>
      </c>
      <c r="Z109" s="2">
        <f t="shared" si="24"/>
        <v>32.923241157388858</v>
      </c>
      <c r="AA109" s="2">
        <f t="shared" si="25"/>
        <v>-0.61233670923566363</v>
      </c>
      <c r="AB109" s="2">
        <f t="shared" si="26"/>
        <v>-0.7418465843549984</v>
      </c>
      <c r="AC109" s="2">
        <f t="shared" si="27"/>
        <v>5.5268116234627156</v>
      </c>
      <c r="AD109" s="2">
        <f t="shared" si="28"/>
        <v>-0.80722180771072172</v>
      </c>
      <c r="AE109" s="2">
        <f t="shared" si="29"/>
        <v>-127.6044841130071</v>
      </c>
      <c r="AG109" s="29">
        <f t="shared" si="30"/>
        <v>19.935319671883544</v>
      </c>
      <c r="AH109" s="2">
        <f t="shared" si="31"/>
        <v>-74.550530592391169</v>
      </c>
      <c r="AJ109" s="29">
        <f t="shared" si="32"/>
        <v>4.9625665531952095</v>
      </c>
      <c r="AK109" s="2">
        <f t="shared" si="33"/>
        <v>-53.053953520615956</v>
      </c>
    </row>
    <row r="110" spans="1:37" x14ac:dyDescent="0.3">
      <c r="A110" s="13">
        <v>8000</v>
      </c>
      <c r="B110">
        <f t="shared" si="2"/>
        <v>50240</v>
      </c>
      <c r="C110" s="29">
        <f t="shared" si="3"/>
        <v>72.723168546095877</v>
      </c>
      <c r="D110" s="40">
        <f t="shared" si="4"/>
        <v>-12.23664394128204</v>
      </c>
      <c r="E110" s="40">
        <f t="shared" si="5"/>
        <v>0</v>
      </c>
      <c r="F110" s="40">
        <f t="shared" si="6"/>
        <v>0</v>
      </c>
      <c r="G110">
        <f t="shared" si="7"/>
        <v>0.99994710743801651</v>
      </c>
      <c r="H110">
        <f t="shared" si="8"/>
        <v>1.1653613983414109E-2</v>
      </c>
      <c r="I110">
        <f t="shared" si="9"/>
        <v>-1.3039232252019892E-4</v>
      </c>
      <c r="J110" s="40">
        <f t="shared" si="10"/>
        <v>-39.387059870486006</v>
      </c>
      <c r="K110" s="40">
        <f t="shared" si="11"/>
        <v>1.8946469947270475</v>
      </c>
      <c r="L110" s="40">
        <f t="shared" si="12"/>
        <v>-6.472376280902951E-4</v>
      </c>
      <c r="M110" s="40">
        <f t="shared" si="13"/>
        <v>-9.4997392421830465E-4</v>
      </c>
      <c r="N110" s="27">
        <f t="shared" si="14"/>
        <v>5.2733861393445124E-2</v>
      </c>
      <c r="O110">
        <f t="shared" si="15"/>
        <v>0.99994310269358078</v>
      </c>
      <c r="P110" s="27">
        <f t="shared" si="16"/>
        <v>1.6093546666666667E-2</v>
      </c>
      <c r="Q110" s="27">
        <f t="shared" si="17"/>
        <v>-6.305970065616245E-4</v>
      </c>
      <c r="S110" s="29">
        <f t="shared" si="18"/>
        <v>23.044487389566932</v>
      </c>
      <c r="U110" s="2">
        <f t="shared" si="19"/>
        <v>-75.889879770813451</v>
      </c>
      <c r="V110" s="2">
        <f t="shared" si="20"/>
        <v>0</v>
      </c>
      <c r="W110" s="2">
        <f t="shared" si="21"/>
        <v>0</v>
      </c>
      <c r="X110" s="2">
        <f t="shared" si="22"/>
        <v>-0.66804665838156352</v>
      </c>
      <c r="Y110" s="2">
        <f t="shared" si="23"/>
        <v>-89.430474984727709</v>
      </c>
      <c r="Z110" s="2">
        <f t="shared" si="24"/>
        <v>36.502645702756141</v>
      </c>
      <c r="AA110" s="2">
        <f t="shared" si="25"/>
        <v>-0.6998052343398411</v>
      </c>
      <c r="AB110" s="2">
        <f t="shared" si="26"/>
        <v>-0.84781018029732225</v>
      </c>
      <c r="AC110" s="2">
        <f t="shared" si="27"/>
        <v>6.3103863652308574</v>
      </c>
      <c r="AD110" s="2">
        <f t="shared" si="28"/>
        <v>-0.9225328445774309</v>
      </c>
      <c r="AE110" s="2">
        <f t="shared" si="29"/>
        <v>-125.64551760515032</v>
      </c>
      <c r="AG110" s="29">
        <f t="shared" si="30"/>
        <v>18.85416802607179</v>
      </c>
      <c r="AH110" s="2">
        <f t="shared" si="31"/>
        <v>-76.557926429195021</v>
      </c>
      <c r="AJ110" s="29">
        <f t="shared" si="32"/>
        <v>4.1903193634951279</v>
      </c>
      <c r="AK110" s="2">
        <f t="shared" si="33"/>
        <v>-49.087591175955311</v>
      </c>
    </row>
    <row r="111" spans="1:37" x14ac:dyDescent="0.3">
      <c r="A111" s="13">
        <v>9000</v>
      </c>
      <c r="B111">
        <f t="shared" si="2"/>
        <v>56520</v>
      </c>
      <c r="C111" s="29">
        <f t="shared" si="3"/>
        <v>72.723168546095877</v>
      </c>
      <c r="D111" s="40">
        <f t="shared" si="4"/>
        <v>-13.204889262485409</v>
      </c>
      <c r="E111" s="40">
        <f t="shared" si="5"/>
        <v>0</v>
      </c>
      <c r="F111" s="40">
        <f t="shared" si="6"/>
        <v>0</v>
      </c>
      <c r="G111">
        <f t="shared" si="7"/>
        <v>0.99993305785123965</v>
      </c>
      <c r="H111">
        <f t="shared" si="8"/>
        <v>1.3110315731340872E-2</v>
      </c>
      <c r="I111">
        <f t="shared" si="9"/>
        <v>-1.6503120956679539E-4</v>
      </c>
      <c r="J111" s="40">
        <f t="shared" si="10"/>
        <v>-40.41000535371704</v>
      </c>
      <c r="K111" s="40">
        <f t="shared" si="11"/>
        <v>2.2844691767205458</v>
      </c>
      <c r="L111" s="40">
        <f t="shared" si="12"/>
        <v>-8.1914391039517574E-4</v>
      </c>
      <c r="M111" s="40">
        <f t="shared" si="13"/>
        <v>-1.2022758229888696E-3</v>
      </c>
      <c r="N111" s="27">
        <f t="shared" si="14"/>
        <v>6.6634325066020281E-2</v>
      </c>
      <c r="O111">
        <f t="shared" si="15"/>
        <v>0.99992798934656324</v>
      </c>
      <c r="P111" s="27">
        <f t="shared" si="16"/>
        <v>1.8105239999999998E-2</v>
      </c>
      <c r="Q111" s="27">
        <f t="shared" si="17"/>
        <v>-7.9808867234304904E-4</v>
      </c>
      <c r="S111" s="29">
        <f t="shared" si="18"/>
        <v>21.456392892064695</v>
      </c>
      <c r="U111" s="2">
        <f t="shared" si="19"/>
        <v>-77.409310846757691</v>
      </c>
      <c r="V111" s="2">
        <f t="shared" si="20"/>
        <v>0</v>
      </c>
      <c r="W111" s="2">
        <f t="shared" si="21"/>
        <v>0</v>
      </c>
      <c r="X111" s="2">
        <f t="shared" si="22"/>
        <v>-0.75155401227148999</v>
      </c>
      <c r="Y111" s="2">
        <f t="shared" si="23"/>
        <v>-89.498823281669615</v>
      </c>
      <c r="Z111" s="2">
        <f t="shared" si="24"/>
        <v>39.77975617299419</v>
      </c>
      <c r="AA111" s="2">
        <f t="shared" si="25"/>
        <v>-0.7872705008509211</v>
      </c>
      <c r="AB111" s="2">
        <f t="shared" si="26"/>
        <v>-0.95376798243684224</v>
      </c>
      <c r="AC111" s="2">
        <f t="shared" si="27"/>
        <v>7.091600720474224</v>
      </c>
      <c r="AD111" s="2">
        <f t="shared" si="28"/>
        <v>-1.037841336014419</v>
      </c>
      <c r="AE111" s="2">
        <f t="shared" si="29"/>
        <v>-123.56721106653256</v>
      </c>
      <c r="AG111" s="29">
        <f t="shared" si="30"/>
        <v>17.885888065981376</v>
      </c>
      <c r="AH111" s="2">
        <f t="shared" si="31"/>
        <v>-78.160864859029175</v>
      </c>
      <c r="AJ111" s="29">
        <f t="shared" si="32"/>
        <v>3.5705048260833152</v>
      </c>
      <c r="AK111" s="2">
        <f t="shared" si="33"/>
        <v>-45.406346207503383</v>
      </c>
    </row>
    <row r="112" spans="1:37" x14ac:dyDescent="0.3">
      <c r="A112" s="13">
        <v>10000</v>
      </c>
      <c r="B112">
        <f t="shared" si="2"/>
        <v>62800</v>
      </c>
      <c r="C112" s="29">
        <f t="shared" si="3"/>
        <v>72.723168546095877</v>
      </c>
      <c r="D112" s="40">
        <f t="shared" si="4"/>
        <v>-14.080408623887081</v>
      </c>
      <c r="E112" s="40">
        <f t="shared" si="5"/>
        <v>0</v>
      </c>
      <c r="F112" s="40">
        <f t="shared" si="6"/>
        <v>0</v>
      </c>
      <c r="G112">
        <f t="shared" si="7"/>
        <v>0.99991735537190085</v>
      </c>
      <c r="H112">
        <f t="shared" si="8"/>
        <v>1.4567017479267638E-2</v>
      </c>
      <c r="I112">
        <f t="shared" si="9"/>
        <v>-2.0374696170542166E-4</v>
      </c>
      <c r="J112" s="40">
        <f t="shared" si="10"/>
        <v>-41.325080082014537</v>
      </c>
      <c r="K112" s="40">
        <f t="shared" si="11"/>
        <v>2.6823736201951971</v>
      </c>
      <c r="L112" s="40">
        <f t="shared" si="12"/>
        <v>-1.0112664091110198E-3</v>
      </c>
      <c r="M112" s="40">
        <f t="shared" si="13"/>
        <v>-1.4842429537439538E-3</v>
      </c>
      <c r="N112" s="27">
        <f t="shared" si="14"/>
        <v>8.211766795785308E-2</v>
      </c>
      <c r="O112">
        <f t="shared" si="15"/>
        <v>0.99991109795872002</v>
      </c>
      <c r="P112" s="27">
        <f t="shared" si="16"/>
        <v>2.0116933333333333E-2</v>
      </c>
      <c r="Q112" s="27">
        <f t="shared" si="17"/>
        <v>-9.8527994340987511E-4</v>
      </c>
      <c r="S112" s="29">
        <f t="shared" si="18"/>
        <v>20.078486592079347</v>
      </c>
      <c r="U112" s="2">
        <f t="shared" si="19"/>
        <v>-78.63809379389987</v>
      </c>
      <c r="V112" s="2">
        <f t="shared" si="20"/>
        <v>0</v>
      </c>
      <c r="W112" s="2">
        <f t="shared" si="21"/>
        <v>0</v>
      </c>
      <c r="X112" s="2">
        <f t="shared" si="22"/>
        <v>-0.83506190309679829</v>
      </c>
      <c r="Y112" s="2">
        <f t="shared" si="23"/>
        <v>-89.553503047997424</v>
      </c>
      <c r="Z112" s="2">
        <f t="shared" si="24"/>
        <v>42.772471905341931</v>
      </c>
      <c r="AA112" s="2">
        <f t="shared" si="25"/>
        <v>-0.87473210173496896</v>
      </c>
      <c r="AB112" s="2">
        <f t="shared" si="26"/>
        <v>-1.0597192673054854</v>
      </c>
      <c r="AC112" s="2">
        <f t="shared" si="27"/>
        <v>7.8701765804048716</v>
      </c>
      <c r="AD112" s="2">
        <f t="shared" si="28"/>
        <v>-1.1531469640080776</v>
      </c>
      <c r="AE112" s="2">
        <f t="shared" si="29"/>
        <v>-121.47160859229582</v>
      </c>
      <c r="AG112" s="29">
        <f t="shared" si="30"/>
        <v>17.010329988827564</v>
      </c>
      <c r="AH112" s="2">
        <f t="shared" si="31"/>
        <v>-79.47315569699667</v>
      </c>
      <c r="AJ112" s="29">
        <f t="shared" si="32"/>
        <v>3.0681566032517722</v>
      </c>
      <c r="AK112" s="2">
        <f t="shared" si="33"/>
        <v>-41.998452895299152</v>
      </c>
    </row>
    <row r="113" spans="1:37" x14ac:dyDescent="0.3">
      <c r="A113" s="13">
        <v>20000</v>
      </c>
      <c r="B113">
        <f t="shared" si="2"/>
        <v>125600</v>
      </c>
      <c r="C113" s="29">
        <f t="shared" si="3"/>
        <v>72.723168546095877</v>
      </c>
      <c r="D113" s="40">
        <f t="shared" si="4"/>
        <v>-19.971812709123697</v>
      </c>
      <c r="E113" s="40">
        <f t="shared" si="5"/>
        <v>0</v>
      </c>
      <c r="F113" s="40">
        <f t="shared" si="6"/>
        <v>0</v>
      </c>
      <c r="G113">
        <f t="shared" si="7"/>
        <v>0.99966942148760329</v>
      </c>
      <c r="H113">
        <f t="shared" si="8"/>
        <v>2.9134034958535275E-2</v>
      </c>
      <c r="I113">
        <f t="shared" si="9"/>
        <v>-8.1528638897825534E-4</v>
      </c>
      <c r="J113" s="40">
        <f t="shared" si="10"/>
        <v>-47.345439918838807</v>
      </c>
      <c r="K113" s="40">
        <f t="shared" si="11"/>
        <v>6.4524338220591435</v>
      </c>
      <c r="L113" s="40">
        <f t="shared" si="12"/>
        <v>-4.0436535469621148E-3</v>
      </c>
      <c r="M113" s="40">
        <f t="shared" si="13"/>
        <v>-5.9339307144380942E-3</v>
      </c>
      <c r="N113" s="27">
        <f t="shared" si="14"/>
        <v>0.31954621676767647</v>
      </c>
      <c r="O113">
        <f t="shared" si="15"/>
        <v>0.99964439183487996</v>
      </c>
      <c r="P113" s="27">
        <f t="shared" si="16"/>
        <v>4.0233866666666666E-2</v>
      </c>
      <c r="Q113" s="27">
        <f t="shared" si="17"/>
        <v>-3.9401908296613705E-3</v>
      </c>
      <c r="S113" s="29">
        <f t="shared" si="18"/>
        <v>12.163162895480147</v>
      </c>
      <c r="U113" s="2">
        <f t="shared" si="19"/>
        <v>-84.284840490016109</v>
      </c>
      <c r="V113" s="2">
        <f t="shared" si="20"/>
        <v>0</v>
      </c>
      <c r="W113" s="2">
        <f t="shared" si="21"/>
        <v>0</v>
      </c>
      <c r="X113" s="2">
        <f t="shared" si="22"/>
        <v>-1.6701834462191136</v>
      </c>
      <c r="Y113" s="2">
        <f t="shared" si="23"/>
        <v>-89.79957164300744</v>
      </c>
      <c r="Z113" s="2">
        <f t="shared" si="24"/>
        <v>61.623081412701694</v>
      </c>
      <c r="AA113" s="2">
        <f t="shared" si="25"/>
        <v>-1.7490570414170505</v>
      </c>
      <c r="AB113" s="2">
        <f t="shared" si="26"/>
        <v>-2.1187147321088662</v>
      </c>
      <c r="AC113" s="2">
        <f t="shared" si="27"/>
        <v>15.454375209819171</v>
      </c>
      <c r="AD113" s="2">
        <f t="shared" si="28"/>
        <v>-2.3059758415274612</v>
      </c>
      <c r="AE113" s="2">
        <f t="shared" si="29"/>
        <v>-104.85088657177518</v>
      </c>
      <c r="AG113" s="29">
        <f t="shared" si="30"/>
        <v>11.118314364163677</v>
      </c>
      <c r="AH113" s="2">
        <f t="shared" si="31"/>
        <v>-85.955023936235222</v>
      </c>
      <c r="AJ113" s="29">
        <f t="shared" si="32"/>
        <v>1.044848531316461</v>
      </c>
      <c r="AK113" s="2">
        <f t="shared" si="33"/>
        <v>-18.895862635539956</v>
      </c>
    </row>
    <row r="114" spans="1:37" x14ac:dyDescent="0.3">
      <c r="A114" s="13">
        <v>30000</v>
      </c>
      <c r="B114">
        <f t="shared" si="2"/>
        <v>188400</v>
      </c>
      <c r="C114" s="29">
        <f t="shared" si="3"/>
        <v>72.723168546095877</v>
      </c>
      <c r="D114" s="40">
        <f t="shared" si="4"/>
        <v>-23.469285163101841</v>
      </c>
      <c r="E114" s="40">
        <f t="shared" si="5"/>
        <v>0</v>
      </c>
      <c r="F114" s="40">
        <f t="shared" si="6"/>
        <v>0</v>
      </c>
      <c r="G114">
        <f t="shared" si="7"/>
        <v>0.99925619834710744</v>
      </c>
      <c r="H114">
        <f t="shared" si="8"/>
        <v>4.3701052437802909E-2</v>
      </c>
      <c r="I114">
        <f t="shared" si="9"/>
        <v>-1.8355134609649884E-3</v>
      </c>
      <c r="J114" s="40">
        <f t="shared" si="10"/>
        <v>-50.867220639893162</v>
      </c>
      <c r="K114" s="40">
        <f t="shared" si="11"/>
        <v>9.3906497618101437</v>
      </c>
      <c r="L114" s="40">
        <f t="shared" si="12"/>
        <v>-9.0929317110762711E-3</v>
      </c>
      <c r="M114" s="40">
        <f t="shared" si="13"/>
        <v>-1.3339960719730645E-2</v>
      </c>
      <c r="N114" s="27">
        <f t="shared" si="14"/>
        <v>0.68851147778191246</v>
      </c>
      <c r="O114">
        <f t="shared" si="15"/>
        <v>0.99919988162847995</v>
      </c>
      <c r="P114" s="27">
        <f t="shared" si="16"/>
        <v>6.0350799999999996E-2</v>
      </c>
      <c r="Q114" s="27">
        <f t="shared" si="17"/>
        <v>-8.8619491037918822E-3</v>
      </c>
      <c r="S114" s="29">
        <f t="shared" si="18"/>
        <v>8.4326936276973647</v>
      </c>
      <c r="U114" s="2">
        <f t="shared" si="19"/>
        <v>-86.197917862965411</v>
      </c>
      <c r="V114" s="2">
        <f t="shared" si="20"/>
        <v>0</v>
      </c>
      <c r="W114" s="2">
        <f t="shared" si="21"/>
        <v>0</v>
      </c>
      <c r="X114" s="2">
        <f t="shared" si="22"/>
        <v>-2.5054240989435326</v>
      </c>
      <c r="Y114" s="2">
        <f t="shared" si="23"/>
        <v>-89.881596971091483</v>
      </c>
      <c r="Z114" s="2">
        <f t="shared" si="24"/>
        <v>70.206895578315965</v>
      </c>
      <c r="AA114" s="2">
        <f t="shared" si="25"/>
        <v>-2.622568792979532</v>
      </c>
      <c r="AB114" s="2">
        <f t="shared" si="26"/>
        <v>-3.1762655537266182</v>
      </c>
      <c r="AC114" s="2">
        <f t="shared" si="27"/>
        <v>22.524447841556572</v>
      </c>
      <c r="AD114" s="2">
        <f t="shared" si="28"/>
        <v>-3.4581691926344398</v>
      </c>
      <c r="AE114" s="2">
        <f t="shared" si="29"/>
        <v>-95.110599052468501</v>
      </c>
      <c r="AG114" s="29">
        <f t="shared" si="30"/>
        <v>7.6198216831135461</v>
      </c>
      <c r="AH114" s="2">
        <f t="shared" si="31"/>
        <v>-88.703341961908947</v>
      </c>
      <c r="AJ114" s="29">
        <f t="shared" si="32"/>
        <v>0.81287194458381862</v>
      </c>
      <c r="AK114" s="2">
        <f t="shared" si="33"/>
        <v>-6.4072570905595363</v>
      </c>
    </row>
    <row r="115" spans="1:37" x14ac:dyDescent="0.3">
      <c r="A115" s="13">
        <v>40000</v>
      </c>
      <c r="B115">
        <f t="shared" si="2"/>
        <v>251200</v>
      </c>
      <c r="C115" s="29">
        <f t="shared" si="3"/>
        <v>72.723168546095877</v>
      </c>
      <c r="D115" s="40">
        <f t="shared" si="4"/>
        <v>-25.959504076570447</v>
      </c>
      <c r="E115" s="40">
        <f t="shared" si="5"/>
        <v>0</v>
      </c>
      <c r="F115" s="40">
        <f t="shared" si="6"/>
        <v>0</v>
      </c>
      <c r="G115">
        <f t="shared" si="7"/>
        <v>0.99867768595041317</v>
      </c>
      <c r="H115">
        <f t="shared" si="8"/>
        <v>5.826806991707055E-2</v>
      </c>
      <c r="I115">
        <f t="shared" si="9"/>
        <v>-3.2659186509464448E-3</v>
      </c>
      <c r="J115" s="40">
        <f t="shared" si="10"/>
        <v>-53.365979810930881</v>
      </c>
      <c r="K115" s="40">
        <f t="shared" si="11"/>
        <v>11.665106020493692</v>
      </c>
      <c r="L115" s="40">
        <f t="shared" si="12"/>
        <v>-1.6152073219932134E-2</v>
      </c>
      <c r="M115" s="40">
        <f t="shared" si="13"/>
        <v>-2.3687230866858186E-2</v>
      </c>
      <c r="N115" s="27">
        <f t="shared" si="14"/>
        <v>1.1574725782888093</v>
      </c>
      <c r="O115">
        <f t="shared" si="15"/>
        <v>0.99857756733951997</v>
      </c>
      <c r="P115" s="27">
        <f t="shared" si="16"/>
        <v>8.0467733333333333E-2</v>
      </c>
      <c r="Q115" s="27">
        <f t="shared" si="17"/>
        <v>-1.5745926405777877E-2</v>
      </c>
      <c r="S115" s="29">
        <f t="shared" si="18"/>
        <v>6.1614121082335416</v>
      </c>
      <c r="U115" s="2">
        <f t="shared" si="19"/>
        <v>-87.157954154804429</v>
      </c>
      <c r="V115" s="2">
        <f t="shared" si="20"/>
        <v>0</v>
      </c>
      <c r="W115" s="2">
        <f t="shared" si="21"/>
        <v>0</v>
      </c>
      <c r="X115" s="2">
        <f t="shared" si="22"/>
        <v>-3.3408429900426566</v>
      </c>
      <c r="Y115" s="2">
        <f t="shared" si="23"/>
        <v>-89.922609908043597</v>
      </c>
      <c r="Z115" s="2">
        <f t="shared" si="24"/>
        <v>74.904849734400159</v>
      </c>
      <c r="AA115" s="2">
        <f t="shared" si="25"/>
        <v>-3.4948635944161706</v>
      </c>
      <c r="AB115" s="2">
        <f t="shared" si="26"/>
        <v>-4.2316567848780657</v>
      </c>
      <c r="AC115" s="2">
        <f t="shared" si="27"/>
        <v>28.941467535545197</v>
      </c>
      <c r="AD115" s="2">
        <f t="shared" si="28"/>
        <v>-4.6094108670468366</v>
      </c>
      <c r="AE115" s="2">
        <f t="shared" si="29"/>
        <v>-88.911021029286402</v>
      </c>
      <c r="AG115" s="29">
        <f t="shared" si="30"/>
        <v>5.1281723644549579</v>
      </c>
      <c r="AH115" s="2">
        <f t="shared" si="31"/>
        <v>-90.498797144847089</v>
      </c>
      <c r="AJ115" s="29">
        <f t="shared" si="32"/>
        <v>1.0332397437785659</v>
      </c>
      <c r="AK115" s="2">
        <f t="shared" si="33"/>
        <v>1.5877761155606862</v>
      </c>
    </row>
    <row r="116" spans="1:37" x14ac:dyDescent="0.3">
      <c r="A116" s="13">
        <v>50000</v>
      </c>
      <c r="B116">
        <f t="shared" si="2"/>
        <v>314000</v>
      </c>
      <c r="C116" s="29">
        <f t="shared" si="3"/>
        <v>72.723168546095877</v>
      </c>
      <c r="D116" s="40">
        <f t="shared" si="4"/>
        <v>-27.893738501367924</v>
      </c>
      <c r="E116" s="40">
        <f t="shared" si="5"/>
        <v>0</v>
      </c>
      <c r="F116" s="40">
        <f t="shared" si="6"/>
        <v>0</v>
      </c>
      <c r="G116">
        <f t="shared" si="7"/>
        <v>0.99793388429752061</v>
      </c>
      <c r="H116">
        <f t="shared" si="8"/>
        <v>7.2835087396338177E-2</v>
      </c>
      <c r="I116">
        <f t="shared" si="9"/>
        <v>-5.1085854855482697E-3</v>
      </c>
      <c r="J116" s="40">
        <f t="shared" si="10"/>
        <v>-55.304172868493765</v>
      </c>
      <c r="K116" s="40">
        <f t="shared" si="11"/>
        <v>13.495421726501636</v>
      </c>
      <c r="L116" s="40">
        <f t="shared" si="12"/>
        <v>-2.5211284923842489E-2</v>
      </c>
      <c r="M116" s="40">
        <f t="shared" si="13"/>
        <v>-3.6954741734306504E-2</v>
      </c>
      <c r="N116" s="27">
        <f t="shared" si="14"/>
        <v>1.6944066312951729</v>
      </c>
      <c r="O116">
        <f t="shared" si="15"/>
        <v>0.99777744896800002</v>
      </c>
      <c r="P116" s="27">
        <f t="shared" si="16"/>
        <v>0.10058466666666667</v>
      </c>
      <c r="Q116" s="27">
        <f t="shared" si="17"/>
        <v>-2.4585665830716329E-2</v>
      </c>
      <c r="S116" s="29">
        <f t="shared" si="18"/>
        <v>4.6232252560565827</v>
      </c>
      <c r="U116" s="2">
        <f t="shared" si="19"/>
        <v>-87.734789696522427</v>
      </c>
      <c r="V116" s="2">
        <f t="shared" si="20"/>
        <v>0</v>
      </c>
      <c r="W116" s="2">
        <f t="shared" si="21"/>
        <v>0</v>
      </c>
      <c r="X116" s="2">
        <f t="shared" si="22"/>
        <v>-4.1764987373194877</v>
      </c>
      <c r="Y116" s="2">
        <f t="shared" si="23"/>
        <v>-89.947217733362706</v>
      </c>
      <c r="Z116" s="2">
        <f t="shared" si="24"/>
        <v>77.831511981404901</v>
      </c>
      <c r="AA116" s="2">
        <f t="shared" si="25"/>
        <v>-4.3655410601343787</v>
      </c>
      <c r="AB116" s="2">
        <f t="shared" si="26"/>
        <v>-5.2841822433755166</v>
      </c>
      <c r="AC116" s="2">
        <f t="shared" si="27"/>
        <v>34.654284705285477</v>
      </c>
      <c r="AD116" s="2">
        <f t="shared" si="28"/>
        <v>-5.759386640259331</v>
      </c>
      <c r="AE116" s="2">
        <f t="shared" si="29"/>
        <v>-84.781819424283455</v>
      </c>
      <c r="AG116" s="29">
        <f t="shared" si="30"/>
        <v>3.1920952728228791</v>
      </c>
      <c r="AH116" s="2">
        <f t="shared" si="31"/>
        <v>-91.911288433841918</v>
      </c>
      <c r="AJ116" s="29">
        <f t="shared" si="32"/>
        <v>1.4311299832336957</v>
      </c>
      <c r="AK116" s="2">
        <f t="shared" si="33"/>
        <v>7.1294690095584468</v>
      </c>
    </row>
    <row r="117" spans="1:37" x14ac:dyDescent="0.3">
      <c r="A117" s="13">
        <v>60000</v>
      </c>
      <c r="B117">
        <f t="shared" si="2"/>
        <v>376800</v>
      </c>
      <c r="C117" s="29">
        <f t="shared" si="3"/>
        <v>72.723168546095877</v>
      </c>
      <c r="D117" s="40">
        <f t="shared" si="4"/>
        <v>-29.47520762250161</v>
      </c>
      <c r="E117" s="40">
        <f t="shared" si="5"/>
        <v>0</v>
      </c>
      <c r="F117" s="40">
        <f t="shared" si="6"/>
        <v>0</v>
      </c>
      <c r="G117">
        <f t="shared" si="7"/>
        <v>0.99702479338842975</v>
      </c>
      <c r="H117">
        <f t="shared" si="8"/>
        <v>8.7402104875605818E-2</v>
      </c>
      <c r="I117">
        <f t="shared" si="9"/>
        <v>-7.3661874018582842E-3</v>
      </c>
      <c r="J117" s="40">
        <f t="shared" si="10"/>
        <v>-56.887793876918742</v>
      </c>
      <c r="K117" s="40">
        <f t="shared" si="11"/>
        <v>15.01929962740382</v>
      </c>
      <c r="L117" s="40">
        <f t="shared" si="12"/>
        <v>-3.6258053278023561E-2</v>
      </c>
      <c r="M117" s="40">
        <f t="shared" si="13"/>
        <v>-5.3115737657804821E-2</v>
      </c>
      <c r="N117" s="27">
        <f t="shared" si="14"/>
        <v>2.2716004958828591</v>
      </c>
      <c r="O117">
        <f t="shared" si="15"/>
        <v>0.99679952651392001</v>
      </c>
      <c r="P117" s="27">
        <f t="shared" si="16"/>
        <v>0.12070159999999999</v>
      </c>
      <c r="Q117" s="27">
        <f t="shared" si="17"/>
        <v>-3.5372904519868992E-2</v>
      </c>
      <c r="S117" s="29">
        <f t="shared" si="18"/>
        <v>3.51895428710464</v>
      </c>
      <c r="U117" s="2">
        <f t="shared" si="19"/>
        <v>-88.119614243754754</v>
      </c>
      <c r="V117" s="2">
        <f t="shared" si="20"/>
        <v>0</v>
      </c>
      <c r="W117" s="2">
        <f t="shared" si="21"/>
        <v>0</v>
      </c>
      <c r="X117" s="2">
        <f t="shared" si="22"/>
        <v>-5.0124492777302594</v>
      </c>
      <c r="Y117" s="2">
        <f t="shared" si="23"/>
        <v>-89.963622970955569</v>
      </c>
      <c r="Z117" s="2">
        <f t="shared" si="24"/>
        <v>79.820175729703706</v>
      </c>
      <c r="AA117" s="2">
        <f t="shared" si="25"/>
        <v>-5.2342052699812873</v>
      </c>
      <c r="AB117" s="2">
        <f t="shared" si="26"/>
        <v>-6.3331472953919068</v>
      </c>
      <c r="AC117" s="2">
        <f t="shared" si="27"/>
        <v>39.677488002949879</v>
      </c>
      <c r="AD117" s="2">
        <f t="shared" si="28"/>
        <v>-6.9077848393553705</v>
      </c>
      <c r="AE117" s="2">
        <f t="shared" si="29"/>
        <v>-82.073160164515542</v>
      </c>
      <c r="AG117" s="29">
        <f t="shared" si="30"/>
        <v>1.6083685497728837</v>
      </c>
      <c r="AH117" s="2">
        <f t="shared" si="31"/>
        <v>-93.132063521485009</v>
      </c>
      <c r="AJ117" s="29">
        <f t="shared" si="32"/>
        <v>1.9105857373317505</v>
      </c>
      <c r="AK117" s="2">
        <f t="shared" si="33"/>
        <v>11.05890335696945</v>
      </c>
    </row>
    <row r="118" spans="1:37" x14ac:dyDescent="0.3">
      <c r="A118" s="13">
        <v>70000</v>
      </c>
      <c r="B118">
        <f t="shared" si="2"/>
        <v>439600</v>
      </c>
      <c r="C118" s="29">
        <f t="shared" si="3"/>
        <v>72.723168546095877</v>
      </c>
      <c r="D118" s="40">
        <f t="shared" si="4"/>
        <v>-30.812843018471312</v>
      </c>
      <c r="E118" s="40">
        <f t="shared" si="5"/>
        <v>0</v>
      </c>
      <c r="F118" s="40">
        <f t="shared" si="6"/>
        <v>0</v>
      </c>
      <c r="G118">
        <f t="shared" si="7"/>
        <v>0.99595041322314048</v>
      </c>
      <c r="H118">
        <f t="shared" si="8"/>
        <v>0.10196912235487346</v>
      </c>
      <c r="I118">
        <f t="shared" si="9"/>
        <v>-1.0041983696879662E-2</v>
      </c>
      <c r="J118" s="40">
        <f t="shared" si="10"/>
        <v>-58.226727310398616</v>
      </c>
      <c r="K118" s="40">
        <f t="shared" si="11"/>
        <v>16.321808563876566</v>
      </c>
      <c r="L118" s="40">
        <f t="shared" si="12"/>
        <v>-4.9277201544430674E-2</v>
      </c>
      <c r="M118" s="40">
        <f t="shared" si="13"/>
        <v>-7.2137884685540235E-2</v>
      </c>
      <c r="N118" s="27">
        <f t="shared" si="14"/>
        <v>2.8675303031473618</v>
      </c>
      <c r="O118">
        <f t="shared" si="15"/>
        <v>0.99564379997728003</v>
      </c>
      <c r="P118" s="27">
        <f t="shared" si="16"/>
        <v>0.14081853333333333</v>
      </c>
      <c r="Q118" s="27">
        <f t="shared" si="17"/>
        <v>-4.8097602412103119E-2</v>
      </c>
      <c r="S118" s="29">
        <f t="shared" si="18"/>
        <v>2.6933824119109278</v>
      </c>
      <c r="U118" s="2">
        <f t="shared" si="19"/>
        <v>-88.394597306534237</v>
      </c>
      <c r="V118" s="2">
        <f t="shared" si="20"/>
        <v>0</v>
      </c>
      <c r="W118" s="2">
        <f t="shared" si="21"/>
        <v>0</v>
      </c>
      <c r="X118" s="2">
        <f t="shared" si="22"/>
        <v>-5.8487516978997389</v>
      </c>
      <c r="Y118" s="2">
        <f t="shared" si="23"/>
        <v>-89.975341006190305</v>
      </c>
      <c r="Z118" s="2">
        <f t="shared" si="24"/>
        <v>81.256327482827146</v>
      </c>
      <c r="AA118" s="2">
        <f t="shared" si="25"/>
        <v>-6.1004658276361408</v>
      </c>
      <c r="AB118" s="2">
        <f t="shared" si="26"/>
        <v>-7.3778715234319607</v>
      </c>
      <c r="AC118" s="2">
        <f t="shared" si="27"/>
        <v>44.064741129145901</v>
      </c>
      <c r="AD118" s="2">
        <f t="shared" si="28"/>
        <v>-8.0542969552180512</v>
      </c>
      <c r="AE118" s="2">
        <f t="shared" si="29"/>
        <v>-80.430255704937409</v>
      </c>
      <c r="AG118" s="29">
        <f t="shared" si="30"/>
        <v>0.26805735750815884</v>
      </c>
      <c r="AH118" s="2">
        <f t="shared" si="31"/>
        <v>-94.243349004433981</v>
      </c>
      <c r="AJ118" s="29">
        <f t="shared" si="32"/>
        <v>2.4253250544027551</v>
      </c>
      <c r="AK118" s="2">
        <f t="shared" si="33"/>
        <v>13.813093299496588</v>
      </c>
    </row>
    <row r="119" spans="1:37" x14ac:dyDescent="0.3">
      <c r="A119" s="13">
        <v>80000</v>
      </c>
      <c r="B119">
        <f t="shared" si="2"/>
        <v>502400</v>
      </c>
      <c r="C119" s="29">
        <f t="shared" si="3"/>
        <v>72.723168546095877</v>
      </c>
      <c r="D119" s="40">
        <f t="shared" si="4"/>
        <v>-31.971837742169335</v>
      </c>
      <c r="E119" s="40">
        <f t="shared" si="5"/>
        <v>0</v>
      </c>
      <c r="F119" s="40">
        <f t="shared" si="6"/>
        <v>0</v>
      </c>
      <c r="G119">
        <f t="shared" si="7"/>
        <v>0.99471074380165292</v>
      </c>
      <c r="H119">
        <f t="shared" si="8"/>
        <v>0.1165361398341411</v>
      </c>
      <c r="I119">
        <f t="shared" si="9"/>
        <v>-1.3139814562203485E-2</v>
      </c>
      <c r="J119" s="40">
        <f t="shared" si="10"/>
        <v>-59.386564718784015</v>
      </c>
      <c r="K119" s="40">
        <f t="shared" si="11"/>
        <v>17.457840510341466</v>
      </c>
      <c r="L119" s="40">
        <f t="shared" si="12"/>
        <v>-6.4250958577544412E-2</v>
      </c>
      <c r="M119" s="40">
        <f t="shared" si="13"/>
        <v>-9.3983482955273798E-2</v>
      </c>
      <c r="N119" s="27">
        <f t="shared" si="14"/>
        <v>3.4667444432538885</v>
      </c>
      <c r="O119">
        <f t="shared" si="15"/>
        <v>0.99431026935807998</v>
      </c>
      <c r="P119" s="27">
        <f t="shared" si="16"/>
        <v>0.16093546666666667</v>
      </c>
      <c r="Q119" s="27">
        <f t="shared" si="17"/>
        <v>-6.2747976940353709E-2</v>
      </c>
      <c r="S119" s="29">
        <f t="shared" si="18"/>
        <v>2.0552288057025092</v>
      </c>
      <c r="U119" s="2">
        <f t="shared" si="19"/>
        <v>-88.600885185567421</v>
      </c>
      <c r="V119" s="2">
        <f t="shared" si="20"/>
        <v>0</v>
      </c>
      <c r="W119" s="2">
        <f t="shared" si="21"/>
        <v>0</v>
      </c>
      <c r="X119" s="2">
        <f t="shared" si="22"/>
        <v>-6.6854620651398031</v>
      </c>
      <c r="Y119" s="2">
        <f t="shared" si="23"/>
        <v>-89.984129536525842</v>
      </c>
      <c r="Z119" s="2">
        <f t="shared" si="24"/>
        <v>82.340887941271333</v>
      </c>
      <c r="AA119" s="2">
        <f t="shared" si="25"/>
        <v>-6.9639388814522265</v>
      </c>
      <c r="AB119" s="2">
        <f t="shared" si="26"/>
        <v>-8.4176912542605233</v>
      </c>
      <c r="AC119" s="2">
        <f t="shared" si="27"/>
        <v>47.887116311651319</v>
      </c>
      <c r="AD119" s="2">
        <f t="shared" si="28"/>
        <v>-9.1986182379990069</v>
      </c>
      <c r="AE119" s="2">
        <f t="shared" si="29"/>
        <v>-79.62272090802216</v>
      </c>
      <c r="AG119" s="29">
        <f t="shared" si="30"/>
        <v>-0.89403519705518875</v>
      </c>
      <c r="AH119" s="2">
        <f t="shared" si="31"/>
        <v>-95.286347250707223</v>
      </c>
      <c r="AJ119" s="29">
        <f t="shared" si="32"/>
        <v>2.9492640027576869</v>
      </c>
      <c r="AK119" s="2">
        <f t="shared" si="33"/>
        <v>15.663626342685056</v>
      </c>
    </row>
    <row r="120" spans="1:37" x14ac:dyDescent="0.3">
      <c r="A120" s="13">
        <v>90000</v>
      </c>
      <c r="B120">
        <f t="shared" si="2"/>
        <v>565200</v>
      </c>
      <c r="C120" s="29">
        <f t="shared" si="3"/>
        <v>72.723168546095877</v>
      </c>
      <c r="D120" s="40">
        <f t="shared" si="4"/>
        <v>-32.994309304667716</v>
      </c>
      <c r="E120" s="40">
        <f t="shared" si="5"/>
        <v>0</v>
      </c>
      <c r="F120" s="40">
        <f t="shared" si="6"/>
        <v>0</v>
      </c>
      <c r="G120">
        <f t="shared" si="7"/>
        <v>0.99330578512396694</v>
      </c>
      <c r="H120">
        <f t="shared" si="8"/>
        <v>0.13110315731340874</v>
      </c>
      <c r="I120">
        <f t="shared" si="9"/>
        <v>-1.6664095195443603E-2</v>
      </c>
      <c r="J120" s="40">
        <f t="shared" si="10"/>
        <v>-60.409614117967351</v>
      </c>
      <c r="K120" s="40">
        <f t="shared" si="11"/>
        <v>18.46449322701487</v>
      </c>
      <c r="L120" s="40">
        <f t="shared" si="12"/>
        <v>-8.1159038546518555E-2</v>
      </c>
      <c r="M120" s="40">
        <f t="shared" si="13"/>
        <v>-0.11860971061135064</v>
      </c>
      <c r="N120" s="27">
        <f t="shared" si="14"/>
        <v>4.0588279718030975</v>
      </c>
      <c r="O120">
        <f t="shared" si="15"/>
        <v>0.99279893465631996</v>
      </c>
      <c r="P120" s="27">
        <f t="shared" si="16"/>
        <v>0.1810524</v>
      </c>
      <c r="Q120" s="27">
        <f t="shared" si="17"/>
        <v>-7.9310543415659351E-2</v>
      </c>
      <c r="S120" s="29">
        <f t="shared" si="18"/>
        <v>1.5468229345098046</v>
      </c>
      <c r="U120" s="2">
        <f t="shared" si="19"/>
        <v>-88.761357466705135</v>
      </c>
      <c r="V120" s="2">
        <f t="shared" si="20"/>
        <v>0</v>
      </c>
      <c r="W120" s="2">
        <f t="shared" si="21"/>
        <v>0</v>
      </c>
      <c r="X120" s="2">
        <f t="shared" si="22"/>
        <v>-7.5226352590903725</v>
      </c>
      <c r="Y120" s="2">
        <f t="shared" si="23"/>
        <v>-89.990965062140688</v>
      </c>
      <c r="Z120" s="2">
        <f t="shared" si="24"/>
        <v>83.18832888428858</v>
      </c>
      <c r="AA120" s="2">
        <f t="shared" si="25"/>
        <v>-7.8242481013033922</v>
      </c>
      <c r="AB120" s="2">
        <f t="shared" si="26"/>
        <v>-9.4519619245805355</v>
      </c>
      <c r="AC120" s="2">
        <f t="shared" si="27"/>
        <v>51.219009855240991</v>
      </c>
      <c r="AD120" s="2">
        <f t="shared" si="28"/>
        <v>-10.340448272871027</v>
      </c>
      <c r="AE120" s="2">
        <f t="shared" si="29"/>
        <v>-79.484277347161608</v>
      </c>
      <c r="AG120" s="29">
        <f t="shared" si="30"/>
        <v>-1.9200310401868101</v>
      </c>
      <c r="AH120" s="2">
        <f t="shared" si="31"/>
        <v>-96.283992725795514</v>
      </c>
      <c r="AJ120" s="29">
        <f t="shared" si="32"/>
        <v>3.4668539746966047</v>
      </c>
      <c r="AK120" s="2">
        <f t="shared" si="33"/>
        <v>16.799715378633927</v>
      </c>
    </row>
    <row r="121" spans="1:37" x14ac:dyDescent="0.3">
      <c r="A121" s="13">
        <v>100000</v>
      </c>
      <c r="B121">
        <f t="shared" si="2"/>
        <v>628000</v>
      </c>
      <c r="C121" s="29">
        <f t="shared" si="3"/>
        <v>72.723168546095877</v>
      </c>
      <c r="D121" s="40">
        <f t="shared" si="4"/>
        <v>-33.909044994467727</v>
      </c>
      <c r="E121" s="40">
        <f t="shared" si="5"/>
        <v>0</v>
      </c>
      <c r="F121" s="40">
        <f t="shared" si="6"/>
        <v>0</v>
      </c>
      <c r="G121">
        <f t="shared" si="7"/>
        <v>0.99173553719008267</v>
      </c>
      <c r="H121">
        <f t="shared" si="8"/>
        <v>0.14567017479267635</v>
      </c>
      <c r="I121">
        <f t="shared" si="9"/>
        <v>-2.0619808978764774E-2</v>
      </c>
      <c r="J121" s="40">
        <f t="shared" si="10"/>
        <v>-61.324763178290468</v>
      </c>
      <c r="K121" s="40">
        <f t="shared" si="11"/>
        <v>19.367875738335812</v>
      </c>
      <c r="L121" s="40">
        <f t="shared" si="12"/>
        <v>-9.9978730853871198E-2</v>
      </c>
      <c r="M121" s="40">
        <f t="shared" si="13"/>
        <v>-0.14596889602072272</v>
      </c>
      <c r="N121" s="27">
        <f t="shared" si="14"/>
        <v>4.637166326089349</v>
      </c>
      <c r="O121">
        <f t="shared" si="15"/>
        <v>0.99110979587199999</v>
      </c>
      <c r="P121" s="27">
        <f t="shared" si="16"/>
        <v>0.20116933333333334</v>
      </c>
      <c r="Q121" s="27">
        <f t="shared" si="17"/>
        <v>-9.7770160802448325E-2</v>
      </c>
      <c r="S121" s="29">
        <f t="shared" si="18"/>
        <v>1.1300648411070346</v>
      </c>
      <c r="U121" s="2">
        <f t="shared" si="19"/>
        <v>-88.889749908810145</v>
      </c>
      <c r="V121" s="2">
        <f t="shared" si="20"/>
        <v>0</v>
      </c>
      <c r="W121" s="2">
        <f t="shared" si="21"/>
        <v>0</v>
      </c>
      <c r="X121" s="2">
        <f t="shared" si="22"/>
        <v>-8.36032480411167</v>
      </c>
      <c r="Y121" s="2">
        <f t="shared" si="23"/>
        <v>-89.99643348376155</v>
      </c>
      <c r="Z121" s="2">
        <f t="shared" si="24"/>
        <v>83.868474733533645</v>
      </c>
      <c r="AA121" s="2">
        <f t="shared" si="25"/>
        <v>-8.6810256055350781</v>
      </c>
      <c r="AB121" s="2">
        <f t="shared" si="26"/>
        <v>-10.480060265129946</v>
      </c>
      <c r="AC121" s="2">
        <f t="shared" si="27"/>
        <v>54.130479017748193</v>
      </c>
      <c r="AD121" s="2">
        <f t="shared" si="28"/>
        <v>-11.479491533284133</v>
      </c>
      <c r="AE121" s="2">
        <f t="shared" si="29"/>
        <v>-79.888131849350671</v>
      </c>
      <c r="AG121" s="29">
        <f t="shared" si="30"/>
        <v>-2.8387224437701413</v>
      </c>
      <c r="AH121" s="2">
        <f t="shared" si="31"/>
        <v>-97.250074712921815</v>
      </c>
      <c r="AJ121" s="29">
        <f t="shared" si="32"/>
        <v>3.9687872848771661</v>
      </c>
      <c r="AK121" s="2">
        <f t="shared" si="33"/>
        <v>17.36194286357113</v>
      </c>
    </row>
    <row r="122" spans="1:37" x14ac:dyDescent="0.3">
      <c r="A122" s="13">
        <v>200000</v>
      </c>
      <c r="B122">
        <f t="shared" si="2"/>
        <v>1256000</v>
      </c>
      <c r="C122" s="29">
        <f t="shared" si="3"/>
        <v>72.723168546095877</v>
      </c>
      <c r="D122" s="40">
        <f t="shared" si="4"/>
        <v>-39.92832054397644</v>
      </c>
      <c r="E122" s="40">
        <f t="shared" si="5"/>
        <v>0</v>
      </c>
      <c r="F122" s="40">
        <f t="shared" si="6"/>
        <v>0</v>
      </c>
      <c r="G122">
        <f t="shared" si="7"/>
        <v>0.96694214876033058</v>
      </c>
      <c r="H122">
        <f t="shared" si="8"/>
        <v>0.29134034958535271</v>
      </c>
      <c r="I122">
        <f t="shared" si="9"/>
        <v>-8.5389908354680924E-2</v>
      </c>
      <c r="J122" s="40">
        <f t="shared" si="10"/>
        <v>-67.34536069069604</v>
      </c>
      <c r="K122" s="40">
        <f t="shared" si="11"/>
        <v>25.350635870445061</v>
      </c>
      <c r="L122" s="40">
        <f t="shared" si="12"/>
        <v>-0.38680523203311828</v>
      </c>
      <c r="M122" s="40">
        <f t="shared" si="13"/>
        <v>-0.5565624846375532</v>
      </c>
      <c r="N122" s="27">
        <f t="shared" si="14"/>
        <v>9.3627613449496412</v>
      </c>
      <c r="O122">
        <f t="shared" si="15"/>
        <v>0.96443918348799995</v>
      </c>
      <c r="P122" s="27">
        <f t="shared" si="16"/>
        <v>0.40233866666666668</v>
      </c>
      <c r="Q122" s="27">
        <f t="shared" si="17"/>
        <v>-0.38230330460077355</v>
      </c>
      <c r="S122" s="29">
        <f t="shared" si="18"/>
        <v>-1.2481764028080262</v>
      </c>
      <c r="U122" s="2">
        <f t="shared" si="19"/>
        <v>-89.467640854963534</v>
      </c>
      <c r="V122" s="2">
        <f t="shared" si="20"/>
        <v>0</v>
      </c>
      <c r="W122" s="2">
        <f t="shared" si="21"/>
        <v>0</v>
      </c>
      <c r="X122" s="2">
        <f t="shared" si="22"/>
        <v>-16.776095890626994</v>
      </c>
      <c r="Y122" s="2">
        <f t="shared" si="23"/>
        <v>-90.02104139070309</v>
      </c>
      <c r="Z122" s="2">
        <f t="shared" si="24"/>
        <v>86.948070036764122</v>
      </c>
      <c r="AA122" s="2">
        <f t="shared" si="25"/>
        <v>-16.981217254599716</v>
      </c>
      <c r="AB122" s="2">
        <f t="shared" si="26"/>
        <v>-20.302992945096147</v>
      </c>
      <c r="AC122" s="2">
        <f t="shared" si="27"/>
        <v>70.140406237784646</v>
      </c>
      <c r="AD122" s="2">
        <f t="shared" si="28"/>
        <v>-22.65609977828057</v>
      </c>
      <c r="AE122" s="2">
        <f t="shared" si="29"/>
        <v>-99.116611839721287</v>
      </c>
      <c r="AG122" s="29">
        <f t="shared" si="30"/>
        <v>-8.922768092654767</v>
      </c>
      <c r="AH122" s="2">
        <f t="shared" si="31"/>
        <v>-106.24373674559052</v>
      </c>
      <c r="AJ122" s="29">
        <f t="shared" si="32"/>
        <v>7.6745916898467286</v>
      </c>
      <c r="AK122" s="2">
        <f t="shared" si="33"/>
        <v>7.1271249058692447</v>
      </c>
    </row>
    <row r="123" spans="1:37" x14ac:dyDescent="0.3">
      <c r="A123" s="13">
        <v>300000</v>
      </c>
      <c r="B123">
        <f t="shared" si="2"/>
        <v>1884000</v>
      </c>
      <c r="C123" s="29">
        <f t="shared" si="3"/>
        <v>72.723168546095877</v>
      </c>
      <c r="D123" s="40">
        <f t="shared" si="4"/>
        <v>-43.449900428214434</v>
      </c>
      <c r="E123" s="40">
        <f t="shared" si="5"/>
        <v>0</v>
      </c>
      <c r="F123" s="40">
        <f t="shared" si="6"/>
        <v>0</v>
      </c>
      <c r="G123">
        <f t="shared" si="7"/>
        <v>0.92561983471074383</v>
      </c>
      <c r="H123">
        <f t="shared" si="8"/>
        <v>0.43701052437802912</v>
      </c>
      <c r="I123">
        <f t="shared" si="9"/>
        <v>-0.20257784251258354</v>
      </c>
      <c r="J123" s="40">
        <f t="shared" si="10"/>
        <v>-70.867185427203225</v>
      </c>
      <c r="K123" s="40">
        <f t="shared" si="11"/>
        <v>28.86541735957708</v>
      </c>
      <c r="L123" s="40">
        <f t="shared" si="12"/>
        <v>-0.82638843838849363</v>
      </c>
      <c r="M123" s="40">
        <f t="shared" si="13"/>
        <v>-1.1648692783615768</v>
      </c>
      <c r="N123" s="27">
        <f t="shared" si="14"/>
        <v>12.595787581037305</v>
      </c>
      <c r="O123">
        <f t="shared" si="15"/>
        <v>0.919988162848</v>
      </c>
      <c r="P123" s="27">
        <f t="shared" si="16"/>
        <v>0.60350800000000004</v>
      </c>
      <c r="Q123" s="27">
        <f t="shared" si="17"/>
        <v>-0.83000714722363633</v>
      </c>
      <c r="S123" s="29">
        <f t="shared" si="18"/>
        <v>-3.1565550751936833</v>
      </c>
      <c r="U123" s="2">
        <f t="shared" si="19"/>
        <v>-89.66030308387522</v>
      </c>
      <c r="V123" s="2">
        <f t="shared" si="20"/>
        <v>0</v>
      </c>
      <c r="W123" s="2">
        <f t="shared" si="21"/>
        <v>0</v>
      </c>
      <c r="X123" s="2">
        <f t="shared" si="22"/>
        <v>-25.286100687172013</v>
      </c>
      <c r="Y123" s="2">
        <f t="shared" si="23"/>
        <v>-90.029244028813494</v>
      </c>
      <c r="Z123" s="2">
        <f t="shared" si="24"/>
        <v>87.979479428194821</v>
      </c>
      <c r="AA123" s="2">
        <f t="shared" si="25"/>
        <v>-24.611352120300783</v>
      </c>
      <c r="AB123" s="2">
        <f t="shared" si="26"/>
        <v>-29.029640523366023</v>
      </c>
      <c r="AC123" s="2">
        <f t="shared" si="27"/>
        <v>76.474460909752082</v>
      </c>
      <c r="AD123" s="2">
        <f t="shared" si="28"/>
        <v>-33.281562684604275</v>
      </c>
      <c r="AE123" s="2">
        <f t="shared" si="29"/>
        <v>-127.44426279018489</v>
      </c>
      <c r="AG123" s="29">
        <f t="shared" si="30"/>
        <v>-12.561535911050665</v>
      </c>
      <c r="AH123" s="2">
        <f t="shared" si="31"/>
        <v>-114.94640377104723</v>
      </c>
      <c r="AJ123" s="29">
        <f t="shared" si="32"/>
        <v>9.4049808358569678</v>
      </c>
      <c r="AK123" s="2">
        <f t="shared" si="33"/>
        <v>-12.497859019137671</v>
      </c>
    </row>
    <row r="124" spans="1:37" x14ac:dyDescent="0.3">
      <c r="A124" s="13">
        <v>400000</v>
      </c>
      <c r="B124">
        <f t="shared" si="2"/>
        <v>2512000</v>
      </c>
      <c r="C124" s="29">
        <f t="shared" si="3"/>
        <v>72.723168546095877</v>
      </c>
      <c r="D124" s="40">
        <f t="shared" si="4"/>
        <v>-45.948589303200663</v>
      </c>
      <c r="E124" s="40">
        <f t="shared" si="5"/>
        <v>0</v>
      </c>
      <c r="F124" s="40">
        <f t="shared" si="6"/>
        <v>0</v>
      </c>
      <c r="G124">
        <f t="shared" si="7"/>
        <v>0.86776859504132231</v>
      </c>
      <c r="H124">
        <f t="shared" si="8"/>
        <v>0.58268069917070542</v>
      </c>
      <c r="I124">
        <f t="shared" si="9"/>
        <v>-0.38437001146658034</v>
      </c>
      <c r="J124" s="40">
        <f t="shared" si="10"/>
        <v>-73.365960003756953</v>
      </c>
      <c r="K124" s="40">
        <f t="shared" si="11"/>
        <v>31.361724098157929</v>
      </c>
      <c r="L124" s="40">
        <f t="shared" si="12"/>
        <v>-1.3754642865228262</v>
      </c>
      <c r="M124" s="40">
        <f t="shared" si="13"/>
        <v>-1.8946469947270461</v>
      </c>
      <c r="N124" s="27">
        <f t="shared" si="14"/>
        <v>14.988767934757758</v>
      </c>
      <c r="O124">
        <f t="shared" si="15"/>
        <v>0.85775673395200003</v>
      </c>
      <c r="P124" s="27">
        <f t="shared" si="16"/>
        <v>0.80467733333333336</v>
      </c>
      <c r="Q124" s="27">
        <f t="shared" si="17"/>
        <v>-1.4090137759361263</v>
      </c>
      <c r="S124" s="29">
        <f t="shared" si="18"/>
        <v>-5.3043837965986302</v>
      </c>
      <c r="U124" s="2">
        <f t="shared" si="19"/>
        <v>-89.756637735058902</v>
      </c>
      <c r="V124" s="2">
        <f t="shared" si="20"/>
        <v>0</v>
      </c>
      <c r="W124" s="2">
        <f t="shared" si="21"/>
        <v>0</v>
      </c>
      <c r="X124" s="2">
        <f t="shared" si="22"/>
        <v>-33.897365885752464</v>
      </c>
      <c r="Y124" s="2">
        <f t="shared" si="23"/>
        <v>-90.033345348141623</v>
      </c>
      <c r="Z124" s="2">
        <f t="shared" si="24"/>
        <v>88.49572829131975</v>
      </c>
      <c r="AA124" s="2">
        <f t="shared" si="25"/>
        <v>-31.416485878329091</v>
      </c>
      <c r="AB124" s="2">
        <f t="shared" si="26"/>
        <v>-36.502645702756141</v>
      </c>
      <c r="AC124" s="2">
        <f t="shared" si="27"/>
        <v>79.783780109019574</v>
      </c>
      <c r="AD124" s="2">
        <f t="shared" si="28"/>
        <v>-43.193137146688741</v>
      </c>
      <c r="AE124" s="2">
        <f t="shared" si="29"/>
        <v>-156.52010929638766</v>
      </c>
      <c r="AG124" s="29">
        <f t="shared" si="30"/>
        <v>-15.242016954990891</v>
      </c>
      <c r="AH124" s="2">
        <f t="shared" si="31"/>
        <v>-123.65400362081137</v>
      </c>
      <c r="AJ124" s="29">
        <f t="shared" si="32"/>
        <v>9.937633158392245</v>
      </c>
      <c r="AK124" s="2">
        <f t="shared" si="33"/>
        <v>-32.866105675576279</v>
      </c>
    </row>
    <row r="125" spans="1:37" x14ac:dyDescent="0.3">
      <c r="A125" s="13">
        <v>500000</v>
      </c>
      <c r="B125">
        <f t="shared" si="2"/>
        <v>3140000</v>
      </c>
      <c r="C125" s="29">
        <f t="shared" si="3"/>
        <v>72.723168546095877</v>
      </c>
      <c r="D125" s="40">
        <f t="shared" si="4"/>
        <v>-47.886749823178235</v>
      </c>
      <c r="E125" s="40">
        <f t="shared" si="5"/>
        <v>0</v>
      </c>
      <c r="F125" s="40">
        <f t="shared" si="6"/>
        <v>0</v>
      </c>
      <c r="G125">
        <f t="shared" si="7"/>
        <v>0.79338842975206614</v>
      </c>
      <c r="H125">
        <f t="shared" si="8"/>
        <v>0.72835087396338183</v>
      </c>
      <c r="I125">
        <f t="shared" si="9"/>
        <v>-0.64443086705573949</v>
      </c>
      <c r="J125" s="40">
        <f t="shared" si="10"/>
        <v>-75.304160191891839</v>
      </c>
      <c r="K125" s="40">
        <f t="shared" si="11"/>
        <v>33.298781554873344</v>
      </c>
      <c r="L125" s="40">
        <f t="shared" si="12"/>
        <v>-1.992612485327441</v>
      </c>
      <c r="M125" s="40">
        <f t="shared" si="13"/>
        <v>-2.6823736201951967</v>
      </c>
      <c r="N125" s="27">
        <f t="shared" si="14"/>
        <v>16.877114157430459</v>
      </c>
      <c r="O125">
        <f t="shared" si="15"/>
        <v>0.77774489680000003</v>
      </c>
      <c r="P125" s="27">
        <f t="shared" si="16"/>
        <v>1.0058466666666666</v>
      </c>
      <c r="Q125" s="27">
        <f t="shared" si="17"/>
        <v>-2.0860650779522349</v>
      </c>
      <c r="S125" s="29">
        <f t="shared" si="18"/>
        <v>-7.6973278072010025</v>
      </c>
      <c r="U125" s="2">
        <f t="shared" si="19"/>
        <v>-89.814439344158885</v>
      </c>
      <c r="V125" s="2">
        <f t="shared" si="20"/>
        <v>0</v>
      </c>
      <c r="W125" s="2">
        <f t="shared" si="21"/>
        <v>0</v>
      </c>
      <c r="X125" s="2">
        <f t="shared" si="22"/>
        <v>-42.574310664301812</v>
      </c>
      <c r="Y125" s="2">
        <f t="shared" si="23"/>
        <v>-90.03580613980165</v>
      </c>
      <c r="Z125" s="2">
        <f t="shared" si="24"/>
        <v>88.805603721852862</v>
      </c>
      <c r="AA125" s="2">
        <f t="shared" si="25"/>
        <v>-37.363297429961655</v>
      </c>
      <c r="AB125" s="2">
        <f t="shared" si="26"/>
        <v>-42.772471905341931</v>
      </c>
      <c r="AC125" s="2">
        <f t="shared" si="27"/>
        <v>81.80456938400738</v>
      </c>
      <c r="AD125" s="2">
        <f t="shared" si="28"/>
        <v>-52.314461009444173</v>
      </c>
      <c r="AE125" s="2">
        <f t="shared" si="29"/>
        <v>-184.26461338714989</v>
      </c>
      <c r="AG125" s="29">
        <f t="shared" si="30"/>
        <v>-17.440238330557623</v>
      </c>
      <c r="AH125" s="2">
        <f t="shared" si="31"/>
        <v>-132.3887500084607</v>
      </c>
      <c r="AJ125" s="29">
        <f t="shared" si="32"/>
        <v>9.7429105233566133</v>
      </c>
      <c r="AK125" s="2">
        <f t="shared" si="33"/>
        <v>-51.875863378689175</v>
      </c>
    </row>
    <row r="126" spans="1:37" x14ac:dyDescent="0.3">
      <c r="A126" s="13">
        <v>600000</v>
      </c>
      <c r="B126">
        <f t="shared" si="2"/>
        <v>3768000</v>
      </c>
      <c r="C126" s="29">
        <f t="shared" si="3"/>
        <v>72.723168546095877</v>
      </c>
      <c r="D126" s="40">
        <f t="shared" si="4"/>
        <v>-49.470353156718112</v>
      </c>
      <c r="E126" s="40">
        <f t="shared" si="5"/>
        <v>0</v>
      </c>
      <c r="F126" s="40">
        <f t="shared" si="6"/>
        <v>0</v>
      </c>
      <c r="G126">
        <f t="shared" si="7"/>
        <v>0.7024793388429752</v>
      </c>
      <c r="H126">
        <f t="shared" si="8"/>
        <v>0.87402104875605824</v>
      </c>
      <c r="I126">
        <f t="shared" si="9"/>
        <v>-0.99470007331306509</v>
      </c>
      <c r="J126" s="40">
        <f t="shared" si="10"/>
        <v>-76.887785073718959</v>
      </c>
      <c r="K126" s="40">
        <f t="shared" si="11"/>
        <v>34.881785567640328</v>
      </c>
      <c r="L126" s="40">
        <f t="shared" si="12"/>
        <v>-2.6443228860495611</v>
      </c>
      <c r="M126" s="40">
        <f t="shared" si="13"/>
        <v>-3.4841093384775479</v>
      </c>
      <c r="N126" s="27">
        <f t="shared" si="14"/>
        <v>18.433416070078557</v>
      </c>
      <c r="O126">
        <f t="shared" si="15"/>
        <v>0.67995265139200001</v>
      </c>
      <c r="P126" s="27">
        <f t="shared" si="16"/>
        <v>1.2070160000000001</v>
      </c>
      <c r="Q126" s="27">
        <f t="shared" si="17"/>
        <v>-2.8312549217014777</v>
      </c>
      <c r="S126" s="29">
        <f t="shared" si="18"/>
        <v>-10.274155266163953</v>
      </c>
      <c r="U126" s="2">
        <f t="shared" si="19"/>
        <v>-89.852974018674985</v>
      </c>
      <c r="V126" s="2">
        <f t="shared" si="20"/>
        <v>0</v>
      </c>
      <c r="W126" s="2">
        <f t="shared" si="21"/>
        <v>0</v>
      </c>
      <c r="X126" s="2">
        <f t="shared" si="22"/>
        <v>-51.235994511447714</v>
      </c>
      <c r="Y126" s="2">
        <f t="shared" si="23"/>
        <v>-90.037446667595702</v>
      </c>
      <c r="Z126" s="2">
        <f t="shared" si="24"/>
        <v>89.012228735395752</v>
      </c>
      <c r="AA126" s="2">
        <f t="shared" si="25"/>
        <v>-42.499512946929329</v>
      </c>
      <c r="AB126" s="2">
        <f t="shared" si="26"/>
        <v>-47.990616233441663</v>
      </c>
      <c r="AC126" s="2">
        <f t="shared" si="27"/>
        <v>83.16363165198689</v>
      </c>
      <c r="AD126" s="2">
        <f t="shared" si="28"/>
        <v>-60.63671829899144</v>
      </c>
      <c r="AE126" s="2">
        <f t="shared" si="29"/>
        <v>-210.0774022896982</v>
      </c>
      <c r="AG126" s="29">
        <f t="shared" si="30"/>
        <v>-19.374110870354823</v>
      </c>
      <c r="AH126" s="2">
        <f t="shared" si="31"/>
        <v>-141.08896853012271</v>
      </c>
      <c r="AJ126" s="29">
        <f t="shared" si="32"/>
        <v>9.0999556041908605</v>
      </c>
      <c r="AK126" s="2">
        <f t="shared" si="33"/>
        <v>-68.988433759575486</v>
      </c>
    </row>
    <row r="127" spans="1:37" x14ac:dyDescent="0.3">
      <c r="A127" s="13">
        <v>700000</v>
      </c>
      <c r="B127">
        <f t="shared" si="2"/>
        <v>4396000</v>
      </c>
      <c r="C127" s="29">
        <f t="shared" si="3"/>
        <v>72.723168546095877</v>
      </c>
      <c r="D127" s="40">
        <f t="shared" si="4"/>
        <v>-50.809275932749571</v>
      </c>
      <c r="E127" s="40">
        <f t="shared" si="5"/>
        <v>0</v>
      </c>
      <c r="F127" s="40">
        <f t="shared" si="6"/>
        <v>0</v>
      </c>
      <c r="G127">
        <f t="shared" si="7"/>
        <v>0.5950413223140496</v>
      </c>
      <c r="H127">
        <f t="shared" si="8"/>
        <v>1.0196912235487345</v>
      </c>
      <c r="I127">
        <f t="shared" si="9"/>
        <v>-1.4421428417715043</v>
      </c>
      <c r="J127" s="40">
        <f t="shared" si="10"/>
        <v>-78.226720842739866</v>
      </c>
      <c r="K127" s="40">
        <f t="shared" si="11"/>
        <v>36.220346929295324</v>
      </c>
      <c r="L127" s="40">
        <f t="shared" si="12"/>
        <v>-3.306391948457077</v>
      </c>
      <c r="M127" s="40">
        <f t="shared" si="13"/>
        <v>-4.2730886333167071</v>
      </c>
      <c r="N127" s="27">
        <f t="shared" si="14"/>
        <v>19.75579349080909</v>
      </c>
      <c r="O127">
        <f t="shared" si="15"/>
        <v>0.56437999772800007</v>
      </c>
      <c r="P127" s="27">
        <f t="shared" si="16"/>
        <v>1.4081853333333334</v>
      </c>
      <c r="Q127" s="27">
        <f t="shared" si="17"/>
        <v>-3.6201300112425527</v>
      </c>
      <c r="S127" s="29">
        <f t="shared" si="18"/>
        <v>-12.978441244076988</v>
      </c>
      <c r="U127" s="2">
        <f t="shared" si="19"/>
        <v>-89.880498894828165</v>
      </c>
      <c r="V127" s="2">
        <f t="shared" si="20"/>
        <v>0</v>
      </c>
      <c r="W127" s="2">
        <f t="shared" si="21"/>
        <v>0</v>
      </c>
      <c r="X127" s="2">
        <f t="shared" si="22"/>
        <v>-59.764578153897411</v>
      </c>
      <c r="Y127" s="2">
        <f t="shared" si="23"/>
        <v>-90.038618473171269</v>
      </c>
      <c r="Z127" s="2">
        <f t="shared" si="24"/>
        <v>89.159834787890233</v>
      </c>
      <c r="AA127" s="2">
        <f t="shared" si="25"/>
        <v>-46.913206849635792</v>
      </c>
      <c r="AB127" s="2">
        <f t="shared" si="26"/>
        <v>-52.333677510757369</v>
      </c>
      <c r="AC127" s="2">
        <f t="shared" si="27"/>
        <v>84.139262828626755</v>
      </c>
      <c r="AD127" s="2">
        <f t="shared" si="28"/>
        <v>-68.19438383503784</v>
      </c>
      <c r="AE127" s="2">
        <f t="shared" si="29"/>
        <v>-233.8258661008108</v>
      </c>
      <c r="AG127" s="29">
        <f t="shared" si="30"/>
        <v>-21.160476414844727</v>
      </c>
      <c r="AH127" s="2">
        <f t="shared" si="31"/>
        <v>-149.64507704872557</v>
      </c>
      <c r="AJ127" s="29">
        <f t="shared" si="32"/>
        <v>8.1820351707677261</v>
      </c>
      <c r="AK127" s="2">
        <f t="shared" si="33"/>
        <v>-84.180789052085274</v>
      </c>
    </row>
    <row r="128" spans="1:37" x14ac:dyDescent="0.3">
      <c r="A128" s="13">
        <v>800000</v>
      </c>
      <c r="B128">
        <f t="shared" si="2"/>
        <v>5024000</v>
      </c>
      <c r="C128" s="29">
        <f t="shared" si="3"/>
        <v>72.723168546095877</v>
      </c>
      <c r="D128" s="40">
        <f t="shared" si="4"/>
        <v>-51.969106424020843</v>
      </c>
      <c r="E128" s="40">
        <f t="shared" si="5"/>
        <v>0</v>
      </c>
      <c r="F128" s="40">
        <f t="shared" si="6"/>
        <v>0</v>
      </c>
      <c r="G128">
        <f t="shared" si="7"/>
        <v>0.47107438016528924</v>
      </c>
      <c r="H128">
        <f t="shared" si="8"/>
        <v>1.1653613983414108</v>
      </c>
      <c r="I128">
        <f t="shared" si="9"/>
        <v>-1.9865111134898539</v>
      </c>
      <c r="J128" s="40">
        <f t="shared" si="10"/>
        <v>-79.38655976698189</v>
      </c>
      <c r="K128" s="40">
        <f t="shared" si="11"/>
        <v>37.379942831479966</v>
      </c>
      <c r="L128" s="40">
        <f t="shared" si="12"/>
        <v>-3.9627447393068809</v>
      </c>
      <c r="M128" s="40">
        <f t="shared" si="13"/>
        <v>-5.0346859339116783</v>
      </c>
      <c r="N128" s="27">
        <f t="shared" si="14"/>
        <v>20.904851526309205</v>
      </c>
      <c r="O128">
        <f t="shared" si="15"/>
        <v>0.43102693580800011</v>
      </c>
      <c r="P128" s="27">
        <f t="shared" si="16"/>
        <v>1.6093546666666667</v>
      </c>
      <c r="Q128" s="27">
        <f t="shared" si="17"/>
        <v>-4.4338921382623848</v>
      </c>
      <c r="S128" s="29">
        <f t="shared" si="18"/>
        <v>-15.765537212088484</v>
      </c>
      <c r="U128" s="2">
        <f t="shared" si="19"/>
        <v>-89.901142602611372</v>
      </c>
      <c r="V128" s="2">
        <f t="shared" si="20"/>
        <v>0</v>
      </c>
      <c r="W128" s="2">
        <f t="shared" si="21"/>
        <v>0</v>
      </c>
      <c r="X128" s="2">
        <f t="shared" si="22"/>
        <v>-68.024434752410897</v>
      </c>
      <c r="Y128" s="2">
        <f t="shared" si="23"/>
        <v>-90.03949732735687</v>
      </c>
      <c r="Z128" s="2">
        <f t="shared" si="24"/>
        <v>89.270547143865144</v>
      </c>
      <c r="AA128" s="2">
        <f t="shared" si="25"/>
        <v>-50.704335889331205</v>
      </c>
      <c r="AB128" s="2">
        <f t="shared" si="26"/>
        <v>-55.965646855066396</v>
      </c>
      <c r="AC128" s="2">
        <f t="shared" si="27"/>
        <v>84.873277597387073</v>
      </c>
      <c r="AD128" s="2">
        <f t="shared" si="28"/>
        <v>-75.044633111318788</v>
      </c>
      <c r="AE128" s="2">
        <f t="shared" si="29"/>
        <v>-255.53586579684327</v>
      </c>
      <c r="AG128" s="29">
        <f t="shared" si="30"/>
        <v>-22.864675177834346</v>
      </c>
      <c r="AH128" s="2">
        <f t="shared" si="31"/>
        <v>-157.92557735502226</v>
      </c>
      <c r="AJ128" s="29">
        <f t="shared" si="32"/>
        <v>7.0991379657458538</v>
      </c>
      <c r="AK128" s="2">
        <f t="shared" si="33"/>
        <v>-97.610288441821041</v>
      </c>
    </row>
    <row r="129" spans="1:37" x14ac:dyDescent="0.3">
      <c r="A129" s="13">
        <v>900000</v>
      </c>
      <c r="B129">
        <f t="shared" si="2"/>
        <v>5652000</v>
      </c>
      <c r="C129" s="29">
        <f t="shared" si="3"/>
        <v>72.723168546095877</v>
      </c>
      <c r="D129" s="40">
        <f t="shared" si="4"/>
        <v>-52.99215108084433</v>
      </c>
      <c r="E129" s="40">
        <f t="shared" si="5"/>
        <v>0</v>
      </c>
      <c r="F129" s="40">
        <f t="shared" si="6"/>
        <v>0</v>
      </c>
      <c r="G129">
        <f t="shared" si="7"/>
        <v>0.33057851239669422</v>
      </c>
      <c r="H129">
        <f t="shared" si="8"/>
        <v>1.3110315731340874</v>
      </c>
      <c r="I129">
        <f t="shared" si="9"/>
        <v>-2.619966081308859</v>
      </c>
      <c r="J129" s="40">
        <f t="shared" si="10"/>
        <v>-80.409610205431861</v>
      </c>
      <c r="K129" s="40">
        <f t="shared" si="11"/>
        <v>38.402826646948355</v>
      </c>
      <c r="L129" s="40">
        <f t="shared" si="12"/>
        <v>-4.6034544862873696</v>
      </c>
      <c r="M129" s="40">
        <f t="shared" si="13"/>
        <v>-5.7619451876404746</v>
      </c>
      <c r="N129" s="27">
        <f t="shared" si="14"/>
        <v>21.920495128646497</v>
      </c>
      <c r="O129">
        <f t="shared" si="15"/>
        <v>0.27989346563200013</v>
      </c>
      <c r="P129" s="27">
        <f t="shared" si="16"/>
        <v>1.810524</v>
      </c>
      <c r="Q129" s="27">
        <f t="shared" si="17"/>
        <v>-5.2586562614906445</v>
      </c>
      <c r="S129" s="29">
        <f t="shared" si="18"/>
        <v>-18.599292981312807</v>
      </c>
      <c r="U129" s="2">
        <f t="shared" si="19"/>
        <v>-89.917198845962972</v>
      </c>
      <c r="V129" s="2">
        <f t="shared" si="20"/>
        <v>0</v>
      </c>
      <c r="W129" s="2">
        <f t="shared" si="21"/>
        <v>0</v>
      </c>
      <c r="X129" s="2">
        <f t="shared" si="22"/>
        <v>-75.886268599228515</v>
      </c>
      <c r="Y129" s="2">
        <f t="shared" si="23"/>
        <v>-90.040180880614344</v>
      </c>
      <c r="Z129" s="2">
        <f t="shared" si="24"/>
        <v>89.356660794385888</v>
      </c>
      <c r="AA129" s="2">
        <f t="shared" si="25"/>
        <v>-53.968963078570411</v>
      </c>
      <c r="AB129" s="2">
        <f t="shared" si="26"/>
        <v>-59.024896490861892</v>
      </c>
      <c r="AC129" s="2">
        <f t="shared" si="27"/>
        <v>85.445368521385518</v>
      </c>
      <c r="AD129" s="2">
        <f t="shared" si="28"/>
        <v>-81.253259557241321</v>
      </c>
      <c r="AE129" s="2">
        <f t="shared" si="29"/>
        <v>-275.28873813670799</v>
      </c>
      <c r="AG129" s="29">
        <f t="shared" si="30"/>
        <v>-24.521174802476839</v>
      </c>
      <c r="AH129" s="2">
        <f t="shared" si="31"/>
        <v>-165.80346744519147</v>
      </c>
      <c r="AJ129" s="29">
        <f t="shared" si="32"/>
        <v>5.9218818211640212</v>
      </c>
      <c r="AK129" s="2">
        <f t="shared" si="33"/>
        <v>-109.48527069151656</v>
      </c>
    </row>
    <row r="130" spans="1:37" x14ac:dyDescent="0.3">
      <c r="A130" s="13">
        <v>1000000</v>
      </c>
      <c r="B130">
        <f t="shared" si="2"/>
        <v>6280000</v>
      </c>
      <c r="C130" s="29">
        <f t="shared" si="3"/>
        <v>72.723168546095877</v>
      </c>
      <c r="D130" s="40">
        <f t="shared" si="4"/>
        <v>-53.90729674898077</v>
      </c>
      <c r="E130" s="40">
        <f t="shared" si="5"/>
        <v>0</v>
      </c>
      <c r="F130" s="40">
        <f t="shared" si="6"/>
        <v>0</v>
      </c>
      <c r="G130">
        <f t="shared" si="7"/>
        <v>0.17355371900826455</v>
      </c>
      <c r="H130">
        <f t="shared" si="8"/>
        <v>1.4567017479267637</v>
      </c>
      <c r="I130">
        <f t="shared" si="9"/>
        <v>-3.328626242314034</v>
      </c>
      <c r="J130" s="40">
        <f t="shared" si="10"/>
        <v>-81.32476000913644</v>
      </c>
      <c r="K130" s="40">
        <f t="shared" si="11"/>
        <v>39.317857262292002</v>
      </c>
      <c r="L130" s="40">
        <f t="shared" si="12"/>
        <v>-5.2228745249927</v>
      </c>
      <c r="M130" s="40">
        <f t="shared" si="13"/>
        <v>-6.4524338220591417</v>
      </c>
      <c r="N130" s="27">
        <f t="shared" si="14"/>
        <v>22.83033910579038</v>
      </c>
      <c r="O130">
        <f t="shared" si="15"/>
        <v>0.11097958720000012</v>
      </c>
      <c r="P130" s="27">
        <f t="shared" si="16"/>
        <v>2.0116933333333331</v>
      </c>
      <c r="Q130" s="27">
        <f t="shared" si="17"/>
        <v>-6.0844328897577524</v>
      </c>
      <c r="S130" s="29">
        <f t="shared" si="18"/>
        <v>-21.449059323062578</v>
      </c>
      <c r="U130" s="2">
        <f t="shared" si="19"/>
        <v>-89.930043855276338</v>
      </c>
      <c r="V130" s="2">
        <f t="shared" si="20"/>
        <v>0</v>
      </c>
      <c r="W130" s="2">
        <f t="shared" si="21"/>
        <v>0</v>
      </c>
      <c r="X130" s="2">
        <f t="shared" si="22"/>
        <v>-83.247921416012247</v>
      </c>
      <c r="Y130" s="2">
        <f t="shared" si="23"/>
        <v>-90.040727723221465</v>
      </c>
      <c r="Z130" s="2">
        <f t="shared" si="24"/>
        <v>89.42555397252849</v>
      </c>
      <c r="AA130" s="2">
        <f t="shared" si="25"/>
        <v>-56.792333894658022</v>
      </c>
      <c r="AB130" s="2">
        <f t="shared" si="26"/>
        <v>-61.623081412701694</v>
      </c>
      <c r="AC130" s="2">
        <f t="shared" si="27"/>
        <v>85.903708876751239</v>
      </c>
      <c r="AD130" s="2">
        <f t="shared" si="28"/>
        <v>-86.886397922563035</v>
      </c>
      <c r="AE130" s="2">
        <f t="shared" si="29"/>
        <v>-293.19124337515314</v>
      </c>
      <c r="AG130" s="29">
        <f t="shared" si="30"/>
        <v>-26.144980631618456</v>
      </c>
      <c r="AH130" s="2">
        <f t="shared" si="31"/>
        <v>-173.1779652712886</v>
      </c>
      <c r="AJ130" s="29">
        <f t="shared" si="32"/>
        <v>4.6959213085558673</v>
      </c>
      <c r="AK130" s="2">
        <f t="shared" si="33"/>
        <v>-120.01327810386449</v>
      </c>
    </row>
    <row r="131" spans="1:37" x14ac:dyDescent="0.3">
      <c r="E131" s="40">
        <f t="shared" si="5"/>
        <v>0</v>
      </c>
      <c r="F131" s="40">
        <f t="shared" si="6"/>
        <v>0</v>
      </c>
      <c r="AG131" s="40"/>
    </row>
    <row r="132" spans="1:37" s="35" customFormat="1" x14ac:dyDescent="0.3">
      <c r="A132" s="34">
        <f>B143</f>
        <v>147516.829673962</v>
      </c>
      <c r="B132" s="35">
        <f t="shared" si="2"/>
        <v>926405.69035248144</v>
      </c>
      <c r="C132" s="29">
        <f t="shared" si="3"/>
        <v>72.723168546095877</v>
      </c>
      <c r="D132" s="40">
        <f t="shared" si="4"/>
        <v>-37.284922074139189</v>
      </c>
      <c r="E132" s="40">
        <f t="shared" si="5"/>
        <v>0</v>
      </c>
      <c r="F132" s="40">
        <f t="shared" si="6"/>
        <v>0</v>
      </c>
      <c r="G132">
        <f t="shared" si="7"/>
        <v>0.98201552476276299</v>
      </c>
      <c r="H132">
        <f t="shared" si="8"/>
        <v>0.21488802363467516</v>
      </c>
      <c r="I132">
        <f t="shared" si="9"/>
        <v>-4.549792838067912E-2</v>
      </c>
      <c r="J132" s="40">
        <f t="shared" si="10"/>
        <v>-64.701592853445376</v>
      </c>
      <c r="K132" s="40">
        <f t="shared" si="11"/>
        <v>22.717472178453129</v>
      </c>
      <c r="L132" s="40">
        <f t="shared" si="12"/>
        <v>-0.2146942205775017</v>
      </c>
      <c r="M132" s="40">
        <f t="shared" si="13"/>
        <v>-0.31159428960428825</v>
      </c>
      <c r="N132" s="27">
        <f t="shared" si="14"/>
        <v>7.1212934047057015</v>
      </c>
      <c r="O132">
        <f t="shared" si="15"/>
        <v>0.9806538356247263</v>
      </c>
      <c r="P132" s="27">
        <f t="shared" si="16"/>
        <v>0.29675862280957821</v>
      </c>
      <c r="Q132" s="27">
        <f t="shared" si="17"/>
        <v>-0.21084900964463182</v>
      </c>
      <c r="S132" s="29">
        <f t="shared" si="18"/>
        <v>-0.20721624653695025</v>
      </c>
      <c r="U132" s="2">
        <f t="shared" si="19"/>
        <v>-89.262020704268423</v>
      </c>
      <c r="V132" s="2">
        <f t="shared" si="20"/>
        <v>0</v>
      </c>
      <c r="W132" s="2">
        <f t="shared" si="21"/>
        <v>0</v>
      </c>
      <c r="X132" s="2">
        <f t="shared" si="22"/>
        <v>-12.349363931217647</v>
      </c>
      <c r="Y132" s="2">
        <f t="shared" si="23"/>
        <v>-90.012286449339157</v>
      </c>
      <c r="Z132" s="2">
        <f t="shared" si="24"/>
        <v>85.849439779082957</v>
      </c>
      <c r="AA132" s="2">
        <f t="shared" si="25"/>
        <v>-12.693176066871924</v>
      </c>
      <c r="AB132" s="2">
        <f t="shared" si="26"/>
        <v>-15.263206470886201</v>
      </c>
      <c r="AC132" s="2">
        <f t="shared" si="27"/>
        <v>63.897290811410571</v>
      </c>
      <c r="AD132" s="2">
        <f t="shared" si="28"/>
        <v>-16.845038420739485</v>
      </c>
      <c r="AE132" s="2">
        <f t="shared" si="29"/>
        <v>-86.678361452829293</v>
      </c>
      <c r="AG132" s="40"/>
    </row>
    <row r="133" spans="1:37" s="35" customFormat="1" x14ac:dyDescent="0.3">
      <c r="A133" s="34">
        <f>B154</f>
        <v>484628.97958745703</v>
      </c>
      <c r="B133" s="35">
        <f t="shared" si="2"/>
        <v>3043469.9918092303</v>
      </c>
      <c r="C133" s="29">
        <f t="shared" si="3"/>
        <v>72.723168546095877</v>
      </c>
      <c r="D133" s="40">
        <f t="shared" si="4"/>
        <v>-47.615541894917641</v>
      </c>
      <c r="E133" s="40">
        <f t="shared" si="5"/>
        <v>0</v>
      </c>
      <c r="F133" s="40">
        <f t="shared" si="6"/>
        <v>0</v>
      </c>
      <c r="G133">
        <f t="shared" si="7"/>
        <v>0.80589648937522329</v>
      </c>
      <c r="H133">
        <f t="shared" si="8"/>
        <v>0.70595988166101253</v>
      </c>
      <c r="I133">
        <f t="shared" si="9"/>
        <v>-0.59884573336002156</v>
      </c>
      <c r="J133" s="40">
        <f t="shared" si="10"/>
        <v>-75.032947719218015</v>
      </c>
      <c r="K133" s="40">
        <f t="shared" si="11"/>
        <v>33.027700009071488</v>
      </c>
      <c r="L133" s="40">
        <f t="shared" si="12"/>
        <v>-1.8947732639935309</v>
      </c>
      <c r="M133" s="40">
        <f t="shared" si="13"/>
        <v>-2.5595035287321548</v>
      </c>
      <c r="N133" s="27">
        <f t="shared" si="14"/>
        <v>16.611642079684366</v>
      </c>
      <c r="O133">
        <f t="shared" si="15"/>
        <v>0.79120000039870253</v>
      </c>
      <c r="P133" s="27">
        <f t="shared" si="16"/>
        <v>0.9749248873762234</v>
      </c>
      <c r="Q133" s="27">
        <f t="shared" si="17"/>
        <v>-1.976873570788269</v>
      </c>
      <c r="S133" s="29">
        <f t="shared" si="18"/>
        <v>-7.315975076157903</v>
      </c>
      <c r="U133" s="2">
        <f t="shared" si="19"/>
        <v>-89.807106120584194</v>
      </c>
      <c r="V133" s="2">
        <f t="shared" si="20"/>
        <v>0</v>
      </c>
      <c r="W133" s="2">
        <f t="shared" si="21"/>
        <v>0</v>
      </c>
      <c r="X133" s="2">
        <f t="shared" si="22"/>
        <v>-41.239047278967114</v>
      </c>
      <c r="Y133" s="2">
        <f t="shared" si="23"/>
        <v>-90.035493943208408</v>
      </c>
      <c r="Z133" s="2">
        <f t="shared" si="24"/>
        <v>88.766285943876738</v>
      </c>
      <c r="AA133" s="2">
        <f t="shared" si="25"/>
        <v>-36.50377253648616</v>
      </c>
      <c r="AB133" s="2">
        <f t="shared" si="26"/>
        <v>-41.881494616307258</v>
      </c>
      <c r="AC133" s="2">
        <f t="shared" si="27"/>
        <v>81.546942292248289</v>
      </c>
      <c r="AD133" s="2">
        <f t="shared" si="28"/>
        <v>-50.964790349805689</v>
      </c>
      <c r="AE133" s="2">
        <f t="shared" si="29"/>
        <v>-180.11847660923382</v>
      </c>
      <c r="AG133" s="40"/>
    </row>
    <row r="138" spans="1:37" x14ac:dyDescent="0.3">
      <c r="A138" t="s">
        <v>31</v>
      </c>
      <c r="B138">
        <f>INDEX(A85:A130,MATCH(0,S85:S130,-1))</f>
        <v>100000</v>
      </c>
    </row>
    <row r="139" spans="1:37" x14ac:dyDescent="0.3">
      <c r="A139" t="s">
        <v>37</v>
      </c>
      <c r="B139">
        <f>INDEX(A85:A130,MATCH(0,S85:S130,-1)+1)</f>
        <v>200000</v>
      </c>
    </row>
    <row r="140" spans="1:37" x14ac:dyDescent="0.3">
      <c r="A140" t="s">
        <v>161</v>
      </c>
      <c r="B140">
        <f>INDEX(S85:S130,MATCH(0,S85:S130,-1))</f>
        <v>1.1300648411070346</v>
      </c>
    </row>
    <row r="141" spans="1:37" x14ac:dyDescent="0.3">
      <c r="A141" t="s">
        <v>162</v>
      </c>
      <c r="B141">
        <f>INDEX(S85:S130,MATCH(0,S85:S130,-1)+1)</f>
        <v>-1.2481764028080262</v>
      </c>
    </row>
    <row r="143" spans="1:37" x14ac:dyDescent="0.3">
      <c r="A143" s="1" t="s">
        <v>163</v>
      </c>
      <c r="B143" s="33">
        <f>_xlfn.FORECAST.LINEAR(0,B138:B139,B140:B141)</f>
        <v>147516.829673962</v>
      </c>
      <c r="C143" s="4" t="s">
        <v>164</v>
      </c>
    </row>
    <row r="144" spans="1:37" x14ac:dyDescent="0.3">
      <c r="A144" s="1" t="s">
        <v>165</v>
      </c>
      <c r="B144" s="36">
        <f>180+AE132</f>
        <v>93.321638547170707</v>
      </c>
      <c r="C144" s="4" t="s">
        <v>166</v>
      </c>
    </row>
    <row r="146" spans="1:3" x14ac:dyDescent="0.3">
      <c r="A146" t="s">
        <v>172</v>
      </c>
    </row>
    <row r="149" spans="1:3" x14ac:dyDescent="0.3">
      <c r="A149" t="s">
        <v>31</v>
      </c>
      <c r="B149">
        <f>INDEX(A85:A130,MATCH(-180,AE85:AE130,-1))</f>
        <v>400000</v>
      </c>
    </row>
    <row r="150" spans="1:3" x14ac:dyDescent="0.3">
      <c r="A150" t="s">
        <v>37</v>
      </c>
      <c r="B150">
        <f>INDEX(A85:A130,MATCH(-180,AE85:AE130,-1)+1)</f>
        <v>500000</v>
      </c>
    </row>
    <row r="151" spans="1:3" x14ac:dyDescent="0.3">
      <c r="A151" t="s">
        <v>167</v>
      </c>
      <c r="B151">
        <f>INDEX(AE85:AE130,MATCH(-180,AE85:AE130,-1))</f>
        <v>-156.52010929638766</v>
      </c>
    </row>
    <row r="152" spans="1:3" x14ac:dyDescent="0.3">
      <c r="A152" t="s">
        <v>168</v>
      </c>
      <c r="B152">
        <f>INDEX(AE85:AE130,MATCH(-180,AE85:AE130,-1)+1)</f>
        <v>-184.26461338714989</v>
      </c>
    </row>
    <row r="154" spans="1:3" x14ac:dyDescent="0.3">
      <c r="A154" s="1" t="s">
        <v>170</v>
      </c>
      <c r="B154" s="13">
        <f>_xlfn.FORECAST.LINEAR(-180,B149:B150,B151:B152)</f>
        <v>484628.97958745703</v>
      </c>
    </row>
    <row r="155" spans="1:3" x14ac:dyDescent="0.3">
      <c r="A155" s="1" t="s">
        <v>169</v>
      </c>
      <c r="B155" s="36">
        <f>S133</f>
        <v>-7.315975076157903</v>
      </c>
      <c r="C155" s="4" t="s">
        <v>171</v>
      </c>
    </row>
    <row r="157" spans="1:3" x14ac:dyDescent="0.3">
      <c r="A157" t="s">
        <v>173</v>
      </c>
    </row>
    <row r="159" spans="1:3" x14ac:dyDescent="0.3">
      <c r="A159" t="s">
        <v>174</v>
      </c>
    </row>
    <row r="161" spans="1:4" x14ac:dyDescent="0.3">
      <c r="A161" t="s">
        <v>175</v>
      </c>
      <c r="B161">
        <f>1/(6.28*Helper_clacs!B60*2*Loop_gain!B143)</f>
        <v>5.3972034628776795E-12</v>
      </c>
      <c r="C161" s="19">
        <f>B161*1000000000000</f>
        <v>5.3972034628776795</v>
      </c>
      <c r="D161" t="s">
        <v>176</v>
      </c>
    </row>
  </sheetData>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7C277-3A96-4E45-B7AE-2D3491596B41}">
  <dimension ref="A7:C15"/>
  <sheetViews>
    <sheetView zoomScale="130" zoomScaleNormal="130" workbookViewId="0">
      <selection activeCell="B10" sqref="B10"/>
    </sheetView>
  </sheetViews>
  <sheetFormatPr defaultRowHeight="14.4" x14ac:dyDescent="0.3"/>
  <cols>
    <col min="1" max="1" width="14.5546875" customWidth="1"/>
    <col min="2" max="2" width="13.33203125" customWidth="1"/>
    <col min="3" max="3" width="12.88671875" customWidth="1"/>
  </cols>
  <sheetData>
    <row r="7" spans="1:3" x14ac:dyDescent="0.3">
      <c r="A7" t="s">
        <v>218</v>
      </c>
      <c r="B7">
        <f>Main!B43*1000</f>
        <v>100000</v>
      </c>
      <c r="C7" s="60" t="s">
        <v>219</v>
      </c>
    </row>
    <row r="8" spans="1:3" x14ac:dyDescent="0.3">
      <c r="A8" t="s">
        <v>325</v>
      </c>
      <c r="B8">
        <f>IF(Main!B19=0.8,0.8001,Main!B19)</f>
        <v>12</v>
      </c>
      <c r="C8" s="60"/>
    </row>
    <row r="9" spans="1:3" x14ac:dyDescent="0.3">
      <c r="A9" t="s">
        <v>116</v>
      </c>
      <c r="B9" s="9">
        <f>(B7*0.8)/(B8-0.8)</f>
        <v>7142.8571428571431</v>
      </c>
    </row>
    <row r="11" spans="1:3" x14ac:dyDescent="0.3">
      <c r="A11" t="s">
        <v>220</v>
      </c>
      <c r="B11" s="9">
        <f>1/((1/B7)+(1/B9))</f>
        <v>6666.666666666667</v>
      </c>
    </row>
    <row r="13" spans="1:3" x14ac:dyDescent="0.3">
      <c r="A13" t="s">
        <v>221</v>
      </c>
      <c r="B13" s="19" t="str">
        <f>IF(B11&gt;100000,"H",IF(B11&lt;4000,"L","Y"))</f>
        <v>Y</v>
      </c>
    </row>
    <row r="15" spans="1:3" x14ac:dyDescent="0.3">
      <c r="A15" t="s">
        <v>222</v>
      </c>
      <c r="B15" s="19">
        <f>IF(B13="Y",B9/1000,"XXX")</f>
        <v>7.1428571428571432</v>
      </c>
      <c r="C15" s="60" t="s">
        <v>223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1E6F7-1716-423E-BD0E-5963503AED08}">
  <dimension ref="A3:F18"/>
  <sheetViews>
    <sheetView topLeftCell="A4" zoomScale="130" zoomScaleNormal="130" workbookViewId="0">
      <selection activeCell="B15" sqref="B15"/>
    </sheetView>
  </sheetViews>
  <sheetFormatPr defaultRowHeight="14.4" x14ac:dyDescent="0.3"/>
  <cols>
    <col min="1" max="1" width="12.5546875" customWidth="1"/>
    <col min="2" max="2" width="12.88671875" customWidth="1"/>
  </cols>
  <sheetData>
    <row r="3" spans="1:6" x14ac:dyDescent="0.3">
      <c r="A3" s="6">
        <v>44900</v>
      </c>
    </row>
    <row r="13" spans="1:6" x14ac:dyDescent="0.3">
      <c r="A13" t="s">
        <v>1</v>
      </c>
      <c r="B13" s="16">
        <f>Main!B19</f>
        <v>12</v>
      </c>
      <c r="F13" s="15"/>
    </row>
    <row r="14" spans="1:6" x14ac:dyDescent="0.3">
      <c r="A14" t="s">
        <v>0</v>
      </c>
      <c r="B14" s="17">
        <f>Helper_clacs!B21</f>
        <v>2200000</v>
      </c>
    </row>
    <row r="15" spans="1:6" x14ac:dyDescent="0.3">
      <c r="A15" t="s">
        <v>33</v>
      </c>
      <c r="B15" s="16">
        <f>Helper_clacs!D18</f>
        <v>1.72</v>
      </c>
    </row>
    <row r="17" spans="1:2" x14ac:dyDescent="0.3">
      <c r="A17" t="s">
        <v>48</v>
      </c>
      <c r="B17" s="19">
        <f>B13/(2*B15*B14)</f>
        <v>1.5856236786469344E-6</v>
      </c>
    </row>
    <row r="18" spans="1:2" x14ac:dyDescent="0.3">
      <c r="A18" t="s">
        <v>49</v>
      </c>
      <c r="B18" s="5">
        <f>B17*1000000</f>
        <v>1.5856236786469344</v>
      </c>
    </row>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7D1C7-7FD3-48DA-BC5E-B959DBD8F41B}">
  <dimension ref="A7:J30"/>
  <sheetViews>
    <sheetView topLeftCell="A4" zoomScale="115" zoomScaleNormal="115" workbookViewId="0">
      <selection activeCell="M25" sqref="M25"/>
    </sheetView>
  </sheetViews>
  <sheetFormatPr defaultRowHeight="14.4" x14ac:dyDescent="0.3"/>
  <cols>
    <col min="1" max="1" width="11.6640625" customWidth="1"/>
    <col min="2" max="2" width="14" customWidth="1"/>
  </cols>
  <sheetData>
    <row r="7" spans="1:10" x14ac:dyDescent="0.3">
      <c r="A7" t="s">
        <v>318</v>
      </c>
      <c r="B7" s="19">
        <f>Helper_clacs!B18</f>
        <v>4.5</v>
      </c>
    </row>
    <row r="8" spans="1:10" x14ac:dyDescent="0.3">
      <c r="A8" t="s">
        <v>319</v>
      </c>
      <c r="B8" s="19">
        <f>Main!B19</f>
        <v>12</v>
      </c>
    </row>
    <row r="9" spans="1:10" x14ac:dyDescent="0.3">
      <c r="A9" t="s">
        <v>320</v>
      </c>
      <c r="B9" s="19">
        <f>Main!B21</f>
        <v>2200</v>
      </c>
    </row>
    <row r="10" spans="1:10" x14ac:dyDescent="0.3">
      <c r="A10" t="s">
        <v>321</v>
      </c>
      <c r="B10">
        <f>B7*B13</f>
        <v>9900</v>
      </c>
    </row>
    <row r="12" spans="1:10" x14ac:dyDescent="0.3">
      <c r="A12" t="s">
        <v>322</v>
      </c>
      <c r="B12">
        <f>B8</f>
        <v>12</v>
      </c>
    </row>
    <row r="13" spans="1:10" x14ac:dyDescent="0.3">
      <c r="A13" t="s">
        <v>323</v>
      </c>
      <c r="B13">
        <f>B9</f>
        <v>2200</v>
      </c>
    </row>
    <row r="15" spans="1:10" x14ac:dyDescent="0.3">
      <c r="B15" s="139" t="s">
        <v>356</v>
      </c>
      <c r="C15" s="139"/>
      <c r="D15" s="139"/>
      <c r="E15" s="139" t="s">
        <v>357</v>
      </c>
      <c r="F15" s="139"/>
      <c r="G15" s="139"/>
      <c r="H15" s="139" t="s">
        <v>358</v>
      </c>
      <c r="I15" s="139"/>
      <c r="J15" s="139"/>
    </row>
    <row r="16" spans="1:10" x14ac:dyDescent="0.3">
      <c r="B16" s="85" t="s">
        <v>359</v>
      </c>
      <c r="C16" s="85" t="s">
        <v>360</v>
      </c>
      <c r="D16" s="85" t="s">
        <v>361</v>
      </c>
      <c r="E16" s="85" t="s">
        <v>359</v>
      </c>
      <c r="F16" s="85" t="s">
        <v>360</v>
      </c>
      <c r="G16" s="85" t="s">
        <v>361</v>
      </c>
      <c r="H16" s="85" t="s">
        <v>359</v>
      </c>
      <c r="I16" s="85" t="s">
        <v>360</v>
      </c>
      <c r="J16" s="85" t="s">
        <v>361</v>
      </c>
    </row>
    <row r="17" spans="1:10" x14ac:dyDescent="0.3">
      <c r="B17">
        <v>1000</v>
      </c>
      <c r="C17">
        <v>2500</v>
      </c>
      <c r="D17">
        <v>5500</v>
      </c>
      <c r="E17">
        <v>1400</v>
      </c>
      <c r="F17">
        <v>3500</v>
      </c>
      <c r="G17">
        <v>7700</v>
      </c>
      <c r="H17">
        <v>1800</v>
      </c>
      <c r="I17">
        <v>4500</v>
      </c>
      <c r="J17">
        <v>9900</v>
      </c>
    </row>
    <row r="18" spans="1:10" x14ac:dyDescent="0.3">
      <c r="A18">
        <v>3.3</v>
      </c>
      <c r="B18">
        <v>75</v>
      </c>
      <c r="C18">
        <v>30</v>
      </c>
      <c r="D18">
        <v>20</v>
      </c>
      <c r="E18">
        <v>94</v>
      </c>
      <c r="F18">
        <v>40</v>
      </c>
      <c r="G18" s="15">
        <v>25</v>
      </c>
      <c r="H18" s="15">
        <v>110</v>
      </c>
      <c r="I18" s="15">
        <v>50</v>
      </c>
      <c r="J18">
        <v>30</v>
      </c>
    </row>
    <row r="19" spans="1:10" x14ac:dyDescent="0.3">
      <c r="A19">
        <v>5</v>
      </c>
      <c r="B19">
        <v>50</v>
      </c>
      <c r="C19">
        <v>20</v>
      </c>
      <c r="D19">
        <v>15</v>
      </c>
      <c r="E19">
        <v>55</v>
      </c>
      <c r="F19">
        <v>25</v>
      </c>
      <c r="G19">
        <v>20</v>
      </c>
      <c r="H19" s="15">
        <v>70</v>
      </c>
      <c r="I19" s="15">
        <v>35</v>
      </c>
      <c r="J19" s="15">
        <v>25</v>
      </c>
    </row>
    <row r="20" spans="1:10" x14ac:dyDescent="0.3">
      <c r="D20" s="15"/>
      <c r="G20" s="15"/>
      <c r="J20" s="15"/>
    </row>
    <row r="21" spans="1:10" x14ac:dyDescent="0.3">
      <c r="D21" s="79"/>
    </row>
    <row r="30" spans="1:10" x14ac:dyDescent="0.3">
      <c r="A30" t="s">
        <v>324</v>
      </c>
      <c r="B30" s="77" t="e">
        <f>INDEX(B18:J19,MATCH(B12,A18:A19,0),MATCH(B10,B17:J17,0))</f>
        <v>#N/A</v>
      </c>
    </row>
  </sheetData>
  <mergeCells count="3">
    <mergeCell ref="B15:D15"/>
    <mergeCell ref="E15:G15"/>
    <mergeCell ref="H15:J1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4819F-FA9B-43EF-B9F4-74000D9BE931}">
  <dimension ref="A7:J30"/>
  <sheetViews>
    <sheetView topLeftCell="A10" zoomScale="130" zoomScaleNormal="130" workbookViewId="0">
      <selection activeCell="L25" sqref="L25"/>
    </sheetView>
  </sheetViews>
  <sheetFormatPr defaultRowHeight="14.4" x14ac:dyDescent="0.3"/>
  <sheetData>
    <row r="7" spans="1:10" x14ac:dyDescent="0.3">
      <c r="A7" t="s">
        <v>318</v>
      </c>
      <c r="B7" s="19">
        <f>Helper_clacs!B18</f>
        <v>4.5</v>
      </c>
    </row>
    <row r="8" spans="1:10" x14ac:dyDescent="0.3">
      <c r="A8" t="s">
        <v>319</v>
      </c>
      <c r="B8" s="19">
        <f>Main!B19</f>
        <v>12</v>
      </c>
    </row>
    <row r="9" spans="1:10" x14ac:dyDescent="0.3">
      <c r="A9" t="s">
        <v>320</v>
      </c>
      <c r="B9" s="19">
        <f>Main!B21</f>
        <v>2200</v>
      </c>
    </row>
    <row r="10" spans="1:10" x14ac:dyDescent="0.3">
      <c r="A10" t="s">
        <v>321</v>
      </c>
      <c r="B10">
        <f>B7*B13</f>
        <v>9900</v>
      </c>
    </row>
    <row r="12" spans="1:10" x14ac:dyDescent="0.3">
      <c r="A12" t="s">
        <v>322</v>
      </c>
      <c r="B12">
        <f>IF(AND(B8&gt;=3.1,B8&lt;=3.5),3.3,IF(AND(B8&gt;=4.8,B8&lt;=5.3),5,B8))</f>
        <v>12</v>
      </c>
    </row>
    <row r="13" spans="1:10" x14ac:dyDescent="0.3">
      <c r="A13" t="s">
        <v>323</v>
      </c>
      <c r="B13">
        <f>B9</f>
        <v>2200</v>
      </c>
    </row>
    <row r="15" spans="1:10" x14ac:dyDescent="0.3">
      <c r="B15" s="139" t="s">
        <v>356</v>
      </c>
      <c r="C15" s="139"/>
      <c r="D15" s="139"/>
      <c r="E15" s="139" t="s">
        <v>357</v>
      </c>
      <c r="F15" s="139"/>
      <c r="G15" s="139"/>
      <c r="H15" s="139" t="s">
        <v>358</v>
      </c>
      <c r="I15" s="139"/>
      <c r="J15" s="139"/>
    </row>
    <row r="16" spans="1:10" x14ac:dyDescent="0.3">
      <c r="B16" s="85" t="s">
        <v>359</v>
      </c>
      <c r="C16" s="85" t="s">
        <v>360</v>
      </c>
      <c r="D16" s="85" t="s">
        <v>361</v>
      </c>
      <c r="E16" s="85" t="s">
        <v>359</v>
      </c>
      <c r="F16" s="85" t="s">
        <v>360</v>
      </c>
      <c r="G16" s="85" t="s">
        <v>361</v>
      </c>
      <c r="H16" s="85" t="s">
        <v>359</v>
      </c>
      <c r="I16" s="85" t="s">
        <v>360</v>
      </c>
      <c r="J16" s="85" t="s">
        <v>361</v>
      </c>
    </row>
    <row r="17" spans="1:10" x14ac:dyDescent="0.3">
      <c r="B17">
        <v>1000</v>
      </c>
      <c r="C17">
        <v>2500</v>
      </c>
      <c r="D17">
        <v>5500</v>
      </c>
      <c r="E17">
        <v>1400</v>
      </c>
      <c r="F17">
        <v>3500</v>
      </c>
      <c r="G17">
        <v>7700</v>
      </c>
      <c r="H17">
        <v>1800</v>
      </c>
      <c r="I17">
        <v>4500</v>
      </c>
      <c r="J17">
        <v>9900</v>
      </c>
    </row>
    <row r="18" spans="1:10" x14ac:dyDescent="0.3">
      <c r="A18">
        <v>0.8</v>
      </c>
      <c r="B18">
        <v>250</v>
      </c>
      <c r="C18">
        <v>150</v>
      </c>
      <c r="D18">
        <v>150</v>
      </c>
      <c r="E18">
        <v>350</v>
      </c>
      <c r="F18">
        <v>250</v>
      </c>
      <c r="G18" s="15">
        <v>200</v>
      </c>
      <c r="H18">
        <v>500</v>
      </c>
      <c r="I18">
        <v>350</v>
      </c>
      <c r="J18">
        <v>250</v>
      </c>
    </row>
    <row r="19" spans="1:10" x14ac:dyDescent="0.3">
      <c r="A19">
        <v>1</v>
      </c>
      <c r="B19">
        <v>200</v>
      </c>
      <c r="C19">
        <v>150</v>
      </c>
      <c r="D19">
        <v>150</v>
      </c>
      <c r="E19">
        <v>450</v>
      </c>
      <c r="F19">
        <v>300</v>
      </c>
      <c r="G19">
        <v>250</v>
      </c>
      <c r="H19">
        <v>550</v>
      </c>
      <c r="I19">
        <v>350</v>
      </c>
      <c r="J19">
        <v>250</v>
      </c>
    </row>
    <row r="20" spans="1:10" x14ac:dyDescent="0.3">
      <c r="A20">
        <v>3.3</v>
      </c>
      <c r="B20">
        <v>75</v>
      </c>
      <c r="C20">
        <v>30</v>
      </c>
      <c r="D20" s="15">
        <v>25</v>
      </c>
      <c r="E20">
        <v>70</v>
      </c>
      <c r="F20">
        <v>50</v>
      </c>
      <c r="G20" s="15">
        <v>30</v>
      </c>
      <c r="H20">
        <v>80</v>
      </c>
      <c r="I20">
        <v>60</v>
      </c>
      <c r="J20" s="15">
        <v>40</v>
      </c>
    </row>
    <row r="21" spans="1:10" x14ac:dyDescent="0.3">
      <c r="A21">
        <v>5</v>
      </c>
      <c r="B21">
        <v>50</v>
      </c>
      <c r="C21">
        <v>20</v>
      </c>
      <c r="D21" s="15">
        <v>15</v>
      </c>
      <c r="E21">
        <v>60</v>
      </c>
      <c r="F21">
        <v>30</v>
      </c>
      <c r="G21">
        <v>20</v>
      </c>
      <c r="H21">
        <v>70</v>
      </c>
      <c r="I21">
        <v>60</v>
      </c>
      <c r="J21">
        <v>30</v>
      </c>
    </row>
    <row r="22" spans="1:10" x14ac:dyDescent="0.3">
      <c r="A22">
        <v>9</v>
      </c>
      <c r="B22">
        <v>25</v>
      </c>
      <c r="C22">
        <v>15</v>
      </c>
      <c r="D22">
        <v>10</v>
      </c>
      <c r="E22">
        <v>50</v>
      </c>
      <c r="F22">
        <v>30</v>
      </c>
      <c r="G22">
        <v>15</v>
      </c>
      <c r="H22">
        <v>60</v>
      </c>
      <c r="I22">
        <v>30</v>
      </c>
      <c r="J22">
        <v>15</v>
      </c>
    </row>
    <row r="23" spans="1:10" x14ac:dyDescent="0.3">
      <c r="A23">
        <v>12</v>
      </c>
      <c r="B23">
        <v>20</v>
      </c>
      <c r="C23">
        <v>10</v>
      </c>
      <c r="D23">
        <v>10</v>
      </c>
      <c r="E23">
        <v>30</v>
      </c>
      <c r="F23">
        <v>15</v>
      </c>
      <c r="G23">
        <v>10</v>
      </c>
      <c r="H23">
        <v>50</v>
      </c>
      <c r="I23">
        <v>20</v>
      </c>
      <c r="J23">
        <v>10</v>
      </c>
    </row>
    <row r="24" spans="1:10" x14ac:dyDescent="0.3">
      <c r="A24">
        <v>16</v>
      </c>
      <c r="B24">
        <v>20</v>
      </c>
      <c r="C24">
        <v>10</v>
      </c>
      <c r="D24">
        <v>10</v>
      </c>
      <c r="E24">
        <v>40</v>
      </c>
      <c r="F24">
        <v>10</v>
      </c>
      <c r="G24">
        <v>10</v>
      </c>
      <c r="H24">
        <v>50</v>
      </c>
      <c r="I24">
        <v>15</v>
      </c>
      <c r="J24">
        <v>10</v>
      </c>
    </row>
    <row r="25" spans="1:10" x14ac:dyDescent="0.3">
      <c r="A25">
        <v>24</v>
      </c>
      <c r="B25">
        <v>15</v>
      </c>
      <c r="C25">
        <v>10</v>
      </c>
      <c r="D25">
        <v>10</v>
      </c>
      <c r="E25">
        <v>25</v>
      </c>
      <c r="F25">
        <v>10</v>
      </c>
      <c r="G25">
        <v>10</v>
      </c>
      <c r="H25">
        <v>30</v>
      </c>
      <c r="I25">
        <v>15</v>
      </c>
      <c r="J25">
        <v>10</v>
      </c>
    </row>
    <row r="30" spans="1:10" x14ac:dyDescent="0.3">
      <c r="A30" t="s">
        <v>324</v>
      </c>
      <c r="B30" s="77">
        <f>INDEX(B18:J25,MATCH(B12,A18:A25,0),MATCH(B10,B17:J17,0))</f>
        <v>10</v>
      </c>
    </row>
  </sheetData>
  <mergeCells count="3">
    <mergeCell ref="B15:D15"/>
    <mergeCell ref="E15:G15"/>
    <mergeCell ref="H15:J15"/>
  </mergeCells>
  <pageMargins left="0.7" right="0.7" top="0.75" bottom="0.75" header="0.3" footer="0.3"/>
  <pageSetup orientation="portrait" horizontalDpi="4294967293"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73A89-DE2C-4407-8702-E5E9C86A6272}">
  <dimension ref="A7:E51"/>
  <sheetViews>
    <sheetView topLeftCell="A19" zoomScale="115" zoomScaleNormal="115" workbookViewId="0">
      <selection activeCell="D45" sqref="D45:D46"/>
    </sheetView>
  </sheetViews>
  <sheetFormatPr defaultRowHeight="14.4" x14ac:dyDescent="0.3"/>
  <cols>
    <col min="1" max="1" width="15" customWidth="1"/>
    <col min="2" max="2" width="18.109375" customWidth="1"/>
    <col min="3" max="3" width="15.33203125" customWidth="1"/>
    <col min="4" max="4" width="11" customWidth="1"/>
    <col min="5" max="5" width="27.44140625" customWidth="1"/>
  </cols>
  <sheetData>
    <row r="7" spans="1:5" x14ac:dyDescent="0.3">
      <c r="A7" s="1" t="s">
        <v>3</v>
      </c>
      <c r="B7" s="19">
        <f>Main!B18</f>
        <v>48</v>
      </c>
    </row>
    <row r="8" spans="1:5" x14ac:dyDescent="0.3">
      <c r="A8" s="1" t="s">
        <v>1</v>
      </c>
      <c r="B8" s="19">
        <f>Main!B19</f>
        <v>12</v>
      </c>
    </row>
    <row r="9" spans="1:5" x14ac:dyDescent="0.3">
      <c r="A9" s="1" t="s">
        <v>329</v>
      </c>
      <c r="B9" s="19">
        <f>Main!B20</f>
        <v>2.5</v>
      </c>
    </row>
    <row r="11" spans="1:5" x14ac:dyDescent="0.3">
      <c r="A11" s="1" t="s">
        <v>0</v>
      </c>
      <c r="B11" s="82">
        <f>Helper_clacs!B21</f>
        <v>2200000</v>
      </c>
    </row>
    <row r="12" spans="1:5" x14ac:dyDescent="0.3">
      <c r="A12" s="1" t="s">
        <v>2</v>
      </c>
      <c r="B12" s="67">
        <f>Helper_clacs!B36</f>
        <v>3.2999999999999997E-6</v>
      </c>
    </row>
    <row r="13" spans="1:5" x14ac:dyDescent="0.3">
      <c r="A13" s="1" t="s">
        <v>330</v>
      </c>
      <c r="B13" s="3">
        <v>4</v>
      </c>
      <c r="C13">
        <f>B13*B8/100</f>
        <v>0.48</v>
      </c>
      <c r="D13" s="60" t="s">
        <v>319</v>
      </c>
      <c r="E13" s="60" t="s">
        <v>367</v>
      </c>
    </row>
    <row r="14" spans="1:5" x14ac:dyDescent="0.3">
      <c r="A14" s="1" t="s">
        <v>331</v>
      </c>
      <c r="B14" s="81">
        <v>0.1</v>
      </c>
      <c r="C14" s="14">
        <f>IF(B11*B14&gt;100000,100000,B11*B14)</f>
        <v>100000</v>
      </c>
      <c r="D14" s="60" t="s">
        <v>332</v>
      </c>
      <c r="E14" s="60"/>
    </row>
    <row r="15" spans="1:5" x14ac:dyDescent="0.3">
      <c r="A15" s="1" t="s">
        <v>333</v>
      </c>
      <c r="B15" s="3">
        <v>1</v>
      </c>
      <c r="C15">
        <f>B15*B8/100</f>
        <v>0.12</v>
      </c>
      <c r="D15" s="60" t="s">
        <v>319</v>
      </c>
      <c r="E15" s="60" t="s">
        <v>366</v>
      </c>
    </row>
    <row r="18" spans="1:5" x14ac:dyDescent="0.3">
      <c r="A18" s="1" t="s">
        <v>225</v>
      </c>
      <c r="B18" s="67">
        <f>Eamp!B34</f>
        <v>18400</v>
      </c>
    </row>
    <row r="19" spans="1:5" x14ac:dyDescent="0.3">
      <c r="A19" s="1" t="s">
        <v>334</v>
      </c>
      <c r="B19" s="67">
        <f>Eamp!B32</f>
        <v>2300000</v>
      </c>
    </row>
    <row r="20" spans="1:5" x14ac:dyDescent="0.3">
      <c r="A20" s="1" t="s">
        <v>260</v>
      </c>
      <c r="B20" s="67">
        <f>Eamp!B43</f>
        <v>1810.1000000000001</v>
      </c>
    </row>
    <row r="21" spans="1:5" x14ac:dyDescent="0.3">
      <c r="A21" s="1" t="s">
        <v>109</v>
      </c>
      <c r="B21" s="19">
        <f>Helper_clacs!C18</f>
        <v>9.99</v>
      </c>
    </row>
    <row r="22" spans="1:5" x14ac:dyDescent="0.3">
      <c r="A22" s="1" t="s">
        <v>33</v>
      </c>
      <c r="B22" s="19">
        <f>Helper_clacs!D18</f>
        <v>1.72</v>
      </c>
    </row>
    <row r="23" spans="1:5" x14ac:dyDescent="0.3">
      <c r="A23" s="1" t="s">
        <v>335</v>
      </c>
      <c r="B23" s="67">
        <v>0.8</v>
      </c>
    </row>
    <row r="24" spans="1:5" x14ac:dyDescent="0.3">
      <c r="A24" s="1" t="s">
        <v>336</v>
      </c>
      <c r="B24" s="82">
        <f>Eamp!C45</f>
        <v>10817.640542785932</v>
      </c>
    </row>
    <row r="25" spans="1:5" x14ac:dyDescent="0.3">
      <c r="A25" s="1" t="s">
        <v>5</v>
      </c>
      <c r="B25" s="9">
        <f>(B21*B20*B18)/(6.28*B19)</f>
        <v>23.035540127388536</v>
      </c>
    </row>
    <row r="26" spans="1:5" x14ac:dyDescent="0.3">
      <c r="A26" s="1" t="s">
        <v>337</v>
      </c>
      <c r="B26" s="67">
        <f>0.35/C14</f>
        <v>3.4999999999999999E-6</v>
      </c>
    </row>
    <row r="27" spans="1:5" x14ac:dyDescent="0.3">
      <c r="A27" s="1" t="s">
        <v>145</v>
      </c>
      <c r="B27" s="67">
        <f>B23/B8</f>
        <v>6.6666666666666666E-2</v>
      </c>
    </row>
    <row r="28" spans="1:5" x14ac:dyDescent="0.3">
      <c r="A28" s="1" t="s">
        <v>36</v>
      </c>
      <c r="B28" s="67">
        <f>B22*B11</f>
        <v>3784000</v>
      </c>
    </row>
    <row r="29" spans="1:5" x14ac:dyDescent="0.3">
      <c r="A29" s="1" t="s">
        <v>134</v>
      </c>
      <c r="B29" s="67">
        <f>B8/B12</f>
        <v>3636363.6363636367</v>
      </c>
    </row>
    <row r="30" spans="1:5" x14ac:dyDescent="0.3">
      <c r="A30" s="1" t="s">
        <v>338</v>
      </c>
      <c r="B30" s="82">
        <f>(B11/6.28)/(0.5-B32+B32*(B28/B29))</f>
        <v>686482.32311332098</v>
      </c>
      <c r="C30" s="60" t="s">
        <v>164</v>
      </c>
      <c r="D30" s="60" t="s">
        <v>373</v>
      </c>
      <c r="E30" s="60"/>
    </row>
    <row r="32" spans="1:5" x14ac:dyDescent="0.3">
      <c r="A32" s="1" t="s">
        <v>4</v>
      </c>
      <c r="B32" s="19">
        <f>Helper_clacs!B28</f>
        <v>0.25392929873113679</v>
      </c>
    </row>
    <row r="33" spans="1:5" x14ac:dyDescent="0.3">
      <c r="A33" s="1" t="s">
        <v>339</v>
      </c>
      <c r="B33" s="59">
        <f>(B7-B8)*B8/(B7*B11*B12)</f>
        <v>1.2396694214876034</v>
      </c>
    </row>
    <row r="34" spans="1:5" x14ac:dyDescent="0.3">
      <c r="A34" s="1"/>
    </row>
    <row r="35" spans="1:5" x14ac:dyDescent="0.3">
      <c r="A35" s="1" t="s">
        <v>340</v>
      </c>
      <c r="B35" s="12">
        <f>B33/(8*B11*C15)</f>
        <v>5.8696468820435768E-7</v>
      </c>
      <c r="C35" s="5">
        <f>B35*1000000</f>
        <v>0.58696468820435765</v>
      </c>
      <c r="D35" s="60" t="s">
        <v>341</v>
      </c>
      <c r="E35" s="60" t="s">
        <v>366</v>
      </c>
    </row>
    <row r="36" spans="1:5" x14ac:dyDescent="0.3">
      <c r="A36" s="1" t="s">
        <v>342</v>
      </c>
      <c r="B36">
        <f>(B9^2*B12)/(2*C13*(B7-B8))</f>
        <v>5.9678819444444443E-7</v>
      </c>
      <c r="C36" s="5">
        <f>B36*1000000</f>
        <v>0.59678819444444442</v>
      </c>
      <c r="D36" s="60" t="s">
        <v>341</v>
      </c>
      <c r="E36" s="60" t="s">
        <v>368</v>
      </c>
    </row>
    <row r="37" spans="1:5" x14ac:dyDescent="0.3">
      <c r="A37" s="1" t="s">
        <v>343</v>
      </c>
      <c r="B37">
        <f>(B9*B26)/(2*C13)</f>
        <v>9.1145833333333324E-6</v>
      </c>
      <c r="C37" s="5">
        <f>B37*1000000</f>
        <v>9.1145833333333321</v>
      </c>
      <c r="D37" s="60" t="s">
        <v>341</v>
      </c>
      <c r="E37" s="60" t="s">
        <v>369</v>
      </c>
    </row>
    <row r="38" spans="1:5" x14ac:dyDescent="0.3">
      <c r="A38" s="1" t="s">
        <v>344</v>
      </c>
      <c r="B38">
        <f>(B25*B27)/C14</f>
        <v>1.5357026751592358E-5</v>
      </c>
      <c r="C38" s="5">
        <f>B38*1000000</f>
        <v>15.357026751592358</v>
      </c>
      <c r="D38" s="60" t="s">
        <v>341</v>
      </c>
      <c r="E38" s="60" t="s">
        <v>370</v>
      </c>
    </row>
    <row r="40" spans="1:5" x14ac:dyDescent="0.3">
      <c r="A40" s="1" t="s">
        <v>345</v>
      </c>
      <c r="B40" s="84">
        <f>MAX(C35:C38)</f>
        <v>15.357026751592358</v>
      </c>
      <c r="C40" s="60" t="s">
        <v>341</v>
      </c>
    </row>
    <row r="43" spans="1:5" x14ac:dyDescent="0.3">
      <c r="A43" t="s">
        <v>346</v>
      </c>
    </row>
    <row r="45" spans="1:5" x14ac:dyDescent="0.3">
      <c r="A45" s="1" t="s">
        <v>347</v>
      </c>
      <c r="B45" s="83">
        <f>B33/(8*B11*B40*0.000001)</f>
        <v>4.586549448917219E-3</v>
      </c>
      <c r="C45" s="60" t="s">
        <v>319</v>
      </c>
      <c r="D45" s="60" t="s">
        <v>372</v>
      </c>
    </row>
    <row r="46" spans="1:5" x14ac:dyDescent="0.3">
      <c r="A46" s="1" t="s">
        <v>348</v>
      </c>
      <c r="B46" s="83">
        <f>(B9*B26)/(2*B40*0.000001)</f>
        <v>0.2848858747704115</v>
      </c>
      <c r="C46" s="60" t="s">
        <v>319</v>
      </c>
      <c r="D46" s="60" t="s">
        <v>371</v>
      </c>
    </row>
    <row r="48" spans="1:5" x14ac:dyDescent="0.3">
      <c r="A48" t="s">
        <v>349</v>
      </c>
    </row>
    <row r="51" spans="1:2" x14ac:dyDescent="0.3">
      <c r="A51" t="s">
        <v>350</v>
      </c>
      <c r="B51" s="14">
        <f>SQRT(B24*B30)</f>
        <v>86174.93261045542</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BD64E-F530-450D-9352-A7C591A4559A}">
  <dimension ref="A6:C9"/>
  <sheetViews>
    <sheetView zoomScale="115" zoomScaleNormal="115" workbookViewId="0">
      <selection activeCell="B8" sqref="B8"/>
    </sheetView>
  </sheetViews>
  <sheetFormatPr defaultRowHeight="14.4" x14ac:dyDescent="0.3"/>
  <cols>
    <col min="1" max="1" width="14.33203125" customWidth="1"/>
    <col min="2" max="2" width="11.6640625" customWidth="1"/>
    <col min="3" max="3" width="19" customWidth="1"/>
  </cols>
  <sheetData>
    <row r="6" spans="1:3" x14ac:dyDescent="0.3">
      <c r="B6" s="1"/>
    </row>
    <row r="8" spans="1:3" x14ac:dyDescent="0.3">
      <c r="A8" t="s">
        <v>351</v>
      </c>
      <c r="B8">
        <f>IF(AND(OR(Main!B19=3.3,Main!B19=5),OR(Main!B21=400,Main!B21=1000,Main!B21=2200)),Cout_fixed!B30,IF(AND(OR(Main!B19=0.8,Main!B19=1,Main!B19=9,Main!B19=12,Main!B19=16,Main!B19=24,Cout_adj!B12=3.3,Cout_adj!B12=5),OR(Main!B21=400,Main!B21=1000,Main!B21=2200)),Cout_adj!B30,Cout_other!B40))</f>
        <v>10</v>
      </c>
    </row>
    <row r="9" spans="1:3" x14ac:dyDescent="0.3">
      <c r="A9" t="s">
        <v>352</v>
      </c>
      <c r="B9" s="19">
        <f>IF(B8&lt;10,10,B8)</f>
        <v>10</v>
      </c>
      <c r="C9" s="60" t="s">
        <v>353</v>
      </c>
    </row>
  </sheetData>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F85C7-331A-4EE6-A036-6C7E5FEC62F0}">
  <dimension ref="A1"/>
  <sheetViews>
    <sheetView zoomScale="115" zoomScaleNormal="115" workbookViewId="0">
      <selection activeCell="M12" sqref="M12"/>
    </sheetView>
  </sheetViews>
  <sheetFormatPr defaultColWidth="9.109375" defaultRowHeight="15.6" x14ac:dyDescent="0.3"/>
  <cols>
    <col min="1" max="2" width="9.109375" style="7"/>
    <col min="3" max="3" width="16.88671875" style="7" customWidth="1"/>
    <col min="4" max="16384" width="9.109375" style="7"/>
  </cols>
  <sheetData/>
  <sheetProtection sheet="1" objects="1" scenarios="1" selectLockedCells="1" selectUnlockedCells="1"/>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E25DF-A893-433D-AF28-DA853BAE1ADA}">
  <dimension ref="A5:C39"/>
  <sheetViews>
    <sheetView topLeftCell="A4" zoomScale="130" zoomScaleNormal="130" workbookViewId="0">
      <selection activeCell="B19" sqref="B19"/>
    </sheetView>
  </sheetViews>
  <sheetFormatPr defaultRowHeight="14.4" x14ac:dyDescent="0.3"/>
  <cols>
    <col min="1" max="1" width="15.5546875" customWidth="1"/>
    <col min="3" max="3" width="11.88671875" bestFit="1" customWidth="1"/>
  </cols>
  <sheetData>
    <row r="5" spans="1:2" x14ac:dyDescent="0.3">
      <c r="A5" t="s">
        <v>20</v>
      </c>
      <c r="B5" s="11">
        <v>5</v>
      </c>
    </row>
    <row r="6" spans="1:2" x14ac:dyDescent="0.3">
      <c r="A6" t="s">
        <v>3</v>
      </c>
      <c r="B6" s="11">
        <v>12</v>
      </c>
    </row>
    <row r="7" spans="1:2" x14ac:dyDescent="0.3">
      <c r="A7" t="s">
        <v>15</v>
      </c>
      <c r="B7" s="11">
        <v>4.2</v>
      </c>
    </row>
    <row r="8" spans="1:2" x14ac:dyDescent="0.3">
      <c r="A8" t="s">
        <v>16</v>
      </c>
      <c r="B8" s="11">
        <v>4.4999999999999998E-2</v>
      </c>
    </row>
    <row r="9" spans="1:2" x14ac:dyDescent="0.3">
      <c r="A9" t="s">
        <v>17</v>
      </c>
      <c r="B9" s="11">
        <v>9.5000000000000001E-2</v>
      </c>
    </row>
    <row r="10" spans="1:2" x14ac:dyDescent="0.3">
      <c r="A10" t="s">
        <v>18</v>
      </c>
      <c r="B10" s="11">
        <v>0.02</v>
      </c>
    </row>
    <row r="11" spans="1:2" x14ac:dyDescent="0.3">
      <c r="A11" t="s">
        <v>0</v>
      </c>
      <c r="B11" s="18">
        <v>500000</v>
      </c>
    </row>
    <row r="12" spans="1:2" x14ac:dyDescent="0.3">
      <c r="A12" t="s">
        <v>2</v>
      </c>
      <c r="B12" s="18">
        <v>1.5E-5</v>
      </c>
    </row>
    <row r="15" spans="1:2" x14ac:dyDescent="0.3">
      <c r="A15" t="s">
        <v>19</v>
      </c>
      <c r="B15" s="12">
        <f>2*B11*B12</f>
        <v>15</v>
      </c>
    </row>
    <row r="17" spans="1:2" x14ac:dyDescent="0.3">
      <c r="A17" t="s">
        <v>22</v>
      </c>
    </row>
    <row r="18" spans="1:2" x14ac:dyDescent="0.3">
      <c r="A18" t="s">
        <v>23</v>
      </c>
      <c r="B18">
        <f>B5/B6</f>
        <v>0.41666666666666669</v>
      </c>
    </row>
    <row r="19" spans="1:2" x14ac:dyDescent="0.3">
      <c r="A19" t="s">
        <v>21</v>
      </c>
      <c r="B19">
        <f>B7+(B6-B5)*B18/B15</f>
        <v>4.3944444444444448</v>
      </c>
    </row>
    <row r="21" spans="1:2" x14ac:dyDescent="0.3">
      <c r="A21" t="s">
        <v>24</v>
      </c>
      <c r="B21">
        <f>(B5+B19*(B10+B8))/(B6-B19*(B9-B8))</f>
        <v>0.4486854205475253</v>
      </c>
    </row>
    <row r="22" spans="1:2" x14ac:dyDescent="0.3">
      <c r="A22" t="s">
        <v>25</v>
      </c>
      <c r="B22">
        <f>B7+(B6-B5)*B21/B15</f>
        <v>4.4093865295888452</v>
      </c>
    </row>
    <row r="24" spans="1:2" x14ac:dyDescent="0.3">
      <c r="A24" t="s">
        <v>28</v>
      </c>
      <c r="B24" s="12">
        <f>B6*B21*(1-B21)/(B11*B12)</f>
        <v>0.3957869022969851</v>
      </c>
    </row>
    <row r="25" spans="1:2" x14ac:dyDescent="0.3">
      <c r="A25" t="s">
        <v>27</v>
      </c>
      <c r="B25" s="12">
        <f>B7+B24</f>
        <v>4.5957869022969851</v>
      </c>
    </row>
    <row r="26" spans="1:2" x14ac:dyDescent="0.3">
      <c r="B26" s="12"/>
    </row>
    <row r="27" spans="1:2" x14ac:dyDescent="0.3">
      <c r="A27" t="s">
        <v>22</v>
      </c>
      <c r="B27" s="12"/>
    </row>
    <row r="28" spans="1:2" x14ac:dyDescent="0.3">
      <c r="A28" t="s">
        <v>50</v>
      </c>
      <c r="B28" s="5">
        <f>B22</f>
        <v>4.4093865295888452</v>
      </c>
    </row>
    <row r="29" spans="1:2" x14ac:dyDescent="0.3">
      <c r="A29" t="s">
        <v>53</v>
      </c>
      <c r="B29" s="12"/>
    </row>
    <row r="32" spans="1:2" x14ac:dyDescent="0.3">
      <c r="A32" t="s">
        <v>29</v>
      </c>
    </row>
    <row r="34" spans="1:3" x14ac:dyDescent="0.3">
      <c r="A34" t="s">
        <v>30</v>
      </c>
      <c r="B34">
        <v>1</v>
      </c>
    </row>
    <row r="35" spans="1:3" x14ac:dyDescent="0.3">
      <c r="A35" t="s">
        <v>21</v>
      </c>
      <c r="B35">
        <f>B5/B34</f>
        <v>5</v>
      </c>
    </row>
    <row r="36" spans="1:3" x14ac:dyDescent="0.3">
      <c r="A36" t="s">
        <v>23</v>
      </c>
      <c r="B36">
        <f>(B5+B35*(B10+B8))/(B6-B35*(B9-B8))</f>
        <v>0.45319148936170212</v>
      </c>
    </row>
    <row r="37" spans="1:3" x14ac:dyDescent="0.3">
      <c r="A37" t="s">
        <v>31</v>
      </c>
      <c r="B37" s="13">
        <f>(B6-B5)*B36/(2*B12*(B35-B7))</f>
        <v>132180.85106382982</v>
      </c>
      <c r="C37">
        <f>1/B37</f>
        <v>7.5653923541247464E-6</v>
      </c>
    </row>
    <row r="38" spans="1:3" x14ac:dyDescent="0.3">
      <c r="A38" t="s">
        <v>28</v>
      </c>
      <c r="B38" s="12">
        <f>B36*(1-B36)*B6/(B37*B12)</f>
        <v>1.4998176291793308</v>
      </c>
    </row>
    <row r="39" spans="1:3" x14ac:dyDescent="0.3">
      <c r="A39" t="s">
        <v>27</v>
      </c>
      <c r="B39" s="12">
        <f>B7+B38</f>
        <v>5.6998176291793312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020AB-4C82-40F2-9E70-EC6352E3DF29}">
  <dimension ref="B10:D19"/>
  <sheetViews>
    <sheetView topLeftCell="A10" zoomScale="115" zoomScaleNormal="115" workbookViewId="0">
      <selection activeCell="F11" sqref="F11"/>
    </sheetView>
  </sheetViews>
  <sheetFormatPr defaultColWidth="9.109375" defaultRowHeight="15.6" x14ac:dyDescent="0.3"/>
  <cols>
    <col min="1" max="1" width="9.109375" style="7"/>
    <col min="2" max="2" width="16" style="7" customWidth="1"/>
    <col min="3" max="3" width="24.88671875" style="7" customWidth="1"/>
    <col min="4" max="4" width="66" style="7" customWidth="1"/>
    <col min="5" max="16384" width="9.109375" style="7"/>
  </cols>
  <sheetData>
    <row r="10" spans="2:4" ht="16.2" thickBot="1" x14ac:dyDescent="0.35"/>
    <row r="11" spans="2:4" ht="22.8" x14ac:dyDescent="0.3">
      <c r="B11" s="41" t="s">
        <v>177</v>
      </c>
      <c r="C11" s="42" t="s">
        <v>178</v>
      </c>
      <c r="D11" s="43" t="s">
        <v>179</v>
      </c>
    </row>
    <row r="12" spans="2:4" ht="6.75" customHeight="1" thickBot="1" x14ac:dyDescent="0.35">
      <c r="B12" s="44"/>
      <c r="D12" s="45"/>
    </row>
    <row r="13" spans="2:4" ht="27.75" customHeight="1" x14ac:dyDescent="0.4">
      <c r="B13" s="46" t="s">
        <v>12</v>
      </c>
      <c r="C13" s="47" t="s">
        <v>374</v>
      </c>
      <c r="D13" s="48" t="s">
        <v>180</v>
      </c>
    </row>
    <row r="14" spans="2:4" ht="93.75" customHeight="1" x14ac:dyDescent="0.4">
      <c r="B14" s="49"/>
      <c r="C14" s="50"/>
      <c r="D14" s="51"/>
    </row>
    <row r="15" spans="2:4" ht="87.75" customHeight="1" x14ac:dyDescent="0.4">
      <c r="B15" s="49"/>
      <c r="C15" s="52"/>
      <c r="D15" s="51"/>
    </row>
    <row r="16" spans="2:4" ht="78.75" customHeight="1" x14ac:dyDescent="0.4">
      <c r="B16" s="49"/>
      <c r="C16" s="52"/>
      <c r="D16" s="51"/>
    </row>
    <row r="17" spans="2:4" ht="21" x14ac:dyDescent="0.4">
      <c r="B17" s="49"/>
      <c r="C17" s="52"/>
      <c r="D17" s="53"/>
    </row>
    <row r="18" spans="2:4" ht="21" x14ac:dyDescent="0.4">
      <c r="B18" s="49"/>
      <c r="C18" s="52"/>
      <c r="D18" s="53"/>
    </row>
    <row r="19" spans="2:4" ht="40.5" customHeight="1" x14ac:dyDescent="0.4">
      <c r="B19" s="49"/>
      <c r="C19" s="52"/>
      <c r="D19" s="53"/>
    </row>
  </sheetData>
  <sheetProtection sheet="1" objects="1" scenarios="1" selectLockedCells="1" selectUnlockedCell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56D6C-FDC3-4024-9984-1702A208C16A}">
  <dimension ref="A31:F48"/>
  <sheetViews>
    <sheetView topLeftCell="A28" zoomScale="115" zoomScaleNormal="115" workbookViewId="0">
      <selection activeCell="G35" sqref="G35"/>
    </sheetView>
  </sheetViews>
  <sheetFormatPr defaultRowHeight="14.4" x14ac:dyDescent="0.3"/>
  <cols>
    <col min="1" max="1" width="13.109375" customWidth="1"/>
    <col min="2" max="2" width="13.44140625" customWidth="1"/>
    <col min="3" max="3" width="14.6640625" customWidth="1"/>
    <col min="4" max="4" width="17.88671875" customWidth="1"/>
    <col min="5" max="6" width="15.33203125" customWidth="1"/>
  </cols>
  <sheetData>
    <row r="31" spans="1:2" x14ac:dyDescent="0.3">
      <c r="A31" t="s">
        <v>242</v>
      </c>
      <c r="B31" s="14">
        <f>IF(Main!B19=0.8,5000,1000*Main!B43)</f>
        <v>100000</v>
      </c>
    </row>
    <row r="32" spans="1:2" x14ac:dyDescent="0.3">
      <c r="A32" t="s">
        <v>243</v>
      </c>
      <c r="B32" s="14">
        <f>IF(Main!B19=0.8,10000000,1000*Main!B44)</f>
        <v>7142.8571428571431</v>
      </c>
    </row>
    <row r="33" spans="1:6" x14ac:dyDescent="0.3">
      <c r="A33" t="s">
        <v>244</v>
      </c>
      <c r="B33">
        <f>IF(Main!B19=0.8,0,0.000000000001*Main!B49)</f>
        <v>2.1999999999999998E-11</v>
      </c>
    </row>
    <row r="34" spans="1:6" x14ac:dyDescent="0.3">
      <c r="A34" t="s">
        <v>220</v>
      </c>
      <c r="B34" s="14">
        <f>(B31*B32)/(B31+B32)</f>
        <v>6666.6666666666661</v>
      </c>
    </row>
    <row r="35" spans="1:6" x14ac:dyDescent="0.3">
      <c r="A35" t="s">
        <v>245</v>
      </c>
      <c r="B35" s="14">
        <v>51000</v>
      </c>
    </row>
    <row r="36" spans="1:6" x14ac:dyDescent="0.3">
      <c r="A36" t="s">
        <v>246</v>
      </c>
      <c r="B36" s="12">
        <v>1E-13</v>
      </c>
    </row>
    <row r="37" spans="1:6" x14ac:dyDescent="0.3">
      <c r="A37" t="s">
        <v>247</v>
      </c>
      <c r="B37" s="12">
        <v>3.0000000000000001E-12</v>
      </c>
      <c r="C37" s="12">
        <v>8.9999999999999996E-12</v>
      </c>
    </row>
    <row r="39" spans="1:6" x14ac:dyDescent="0.3">
      <c r="A39" t="s">
        <v>251</v>
      </c>
      <c r="B39" s="19">
        <f>Helper_clacs!B46</f>
        <v>0</v>
      </c>
    </row>
    <row r="42" spans="1:6" x14ac:dyDescent="0.3">
      <c r="B42" s="1" t="s">
        <v>235</v>
      </c>
      <c r="C42" s="1" t="s">
        <v>236</v>
      </c>
      <c r="D42" s="1" t="s">
        <v>5</v>
      </c>
      <c r="E42" s="1" t="s">
        <v>6</v>
      </c>
      <c r="F42" s="1" t="s">
        <v>237</v>
      </c>
    </row>
    <row r="43" spans="1:6" x14ac:dyDescent="0.3">
      <c r="A43" s="1" t="s">
        <v>238</v>
      </c>
      <c r="B43" s="59">
        <f>B32/(B32+B31)</f>
        <v>6.6666666666666666E-2</v>
      </c>
      <c r="C43" s="10">
        <f>B31*B33</f>
        <v>2.1999999999999997E-6</v>
      </c>
      <c r="D43" s="10">
        <v>0</v>
      </c>
      <c r="E43" s="10">
        <f>B34*B35*B37*(B33+B36)</f>
        <v>2.2541999999999998E-14</v>
      </c>
      <c r="F43" s="10">
        <f>B34*(B33+B36+B37)+B35*B37</f>
        <v>3.2033333333333333E-7</v>
      </c>
    </row>
    <row r="44" spans="1:6" x14ac:dyDescent="0.3">
      <c r="A44" s="1" t="s">
        <v>239</v>
      </c>
      <c r="B44" s="59">
        <f>B32/(B32+B31)</f>
        <v>6.6666666666666666E-2</v>
      </c>
      <c r="C44" s="10">
        <f>B31*B33</f>
        <v>2.1999999999999997E-6</v>
      </c>
      <c r="D44" s="10">
        <v>0</v>
      </c>
      <c r="E44" s="10">
        <f>B34*B35*C37*(B33+B36)</f>
        <v>6.7625999999999986E-14</v>
      </c>
      <c r="F44" s="10">
        <f>B34*(B33+B36+C37)+B35*C37</f>
        <v>6.6633333333333328E-7</v>
      </c>
    </row>
    <row r="45" spans="1:6" x14ac:dyDescent="0.3">
      <c r="A45" s="1" t="s">
        <v>240</v>
      </c>
      <c r="B45" s="59">
        <v>0.16</v>
      </c>
      <c r="C45" s="10">
        <v>5.707E-7</v>
      </c>
      <c r="D45" s="10">
        <v>2.3087999999999999E-23</v>
      </c>
      <c r="E45" s="10">
        <v>4.9059999999999996E-15</v>
      </c>
      <c r="F45" s="10">
        <v>2.6049999999999998E-7</v>
      </c>
    </row>
    <row r="46" spans="1:6" x14ac:dyDescent="0.3">
      <c r="A46" s="1" t="s">
        <v>241</v>
      </c>
      <c r="B46" s="59">
        <v>0.2424</v>
      </c>
      <c r="C46" s="10">
        <v>5.7280000000000005E-7</v>
      </c>
      <c r="D46" s="10">
        <f>3.158E-23</f>
        <v>3.1579999999999998E-23</v>
      </c>
      <c r="E46" s="10">
        <v>6.6759999999999996E-15</v>
      </c>
      <c r="F46" s="10">
        <v>3.4900000000000001E-7</v>
      </c>
    </row>
    <row r="47" spans="1:6" x14ac:dyDescent="0.3">
      <c r="A47" s="1"/>
    </row>
    <row r="48" spans="1:6" x14ac:dyDescent="0.3">
      <c r="A48" s="1" t="s">
        <v>253</v>
      </c>
      <c r="B48" s="19">
        <f>IF($B$39=0,B43,IF($B$39=1,B44,IF($B$39=5,B45,IF($B$39=3,B46,x))))</f>
        <v>6.6666666666666666E-2</v>
      </c>
      <c r="C48" s="19">
        <f>IF($B$39=0,C43,IF($B$39=1,C44,IF($B$39=5,C45,IF($B$39=3,C46,x))))</f>
        <v>2.1999999999999997E-6</v>
      </c>
      <c r="D48" s="19">
        <f>IF($B$39=0,D43,IF($B$39=1,D44,IF($B$39=5,D45,IF($B$39=3,D46,x))))</f>
        <v>0</v>
      </c>
      <c r="E48" s="19">
        <f>IF($B$39=0,E43,IF($B$39=1,E44,IF($B$39=5,E45,IF($B$39=3,E46,x))))</f>
        <v>2.2541999999999998E-14</v>
      </c>
      <c r="F48" s="19">
        <f>IF($B$39=0,F43,IF($B$39=1,F44,IF($B$39=5,F45,IF($B$39=3,F46,x))))</f>
        <v>3.2033333333333333E-7</v>
      </c>
    </row>
  </sheetData>
  <pageMargins left="0.7" right="0.7" top="0.75" bottom="0.75" header="0.3" footer="0.3"/>
  <pageSetup orientation="portrait"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7E03F-D6FE-47D8-A52F-2F38D711E328}">
  <dimension ref="A31:E49"/>
  <sheetViews>
    <sheetView topLeftCell="A28" zoomScale="115" zoomScaleNormal="115" workbookViewId="0">
      <selection activeCell="B43" sqref="B43"/>
    </sheetView>
  </sheetViews>
  <sheetFormatPr defaultRowHeight="14.4" x14ac:dyDescent="0.3"/>
  <cols>
    <col min="1" max="1" width="13.109375" customWidth="1"/>
    <col min="2" max="2" width="14.109375" customWidth="1"/>
    <col min="3" max="3" width="13.109375" customWidth="1"/>
    <col min="4" max="4" width="5.5546875" customWidth="1"/>
    <col min="5" max="5" width="18.109375" customWidth="1"/>
  </cols>
  <sheetData>
    <row r="31" spans="1:2" x14ac:dyDescent="0.3">
      <c r="A31" t="s">
        <v>224</v>
      </c>
      <c r="B31" s="3">
        <v>1E-3</v>
      </c>
    </row>
    <row r="32" spans="1:2" x14ac:dyDescent="0.3">
      <c r="A32" t="s">
        <v>11</v>
      </c>
      <c r="B32" s="8">
        <v>2300000</v>
      </c>
    </row>
    <row r="33" spans="1:5" x14ac:dyDescent="0.3">
      <c r="A33" t="s">
        <v>227</v>
      </c>
      <c r="B33" s="8">
        <v>8.0000000000000003E-10</v>
      </c>
    </row>
    <row r="34" spans="1:5" x14ac:dyDescent="0.3">
      <c r="A34" t="s">
        <v>225</v>
      </c>
      <c r="B34" s="8">
        <v>18400</v>
      </c>
    </row>
    <row r="35" spans="1:5" x14ac:dyDescent="0.3">
      <c r="A35" t="s">
        <v>226</v>
      </c>
      <c r="B35" s="8">
        <v>1.6E-11</v>
      </c>
    </row>
    <row r="36" spans="1:5" x14ac:dyDescent="0.3">
      <c r="A36" t="s">
        <v>32</v>
      </c>
      <c r="B36" s="8">
        <v>6.7000000000000002E-5</v>
      </c>
    </row>
    <row r="37" spans="1:5" x14ac:dyDescent="0.3">
      <c r="A37" s="64" t="s">
        <v>228</v>
      </c>
      <c r="B37" s="3">
        <f>0.787</f>
        <v>0.78700000000000003</v>
      </c>
    </row>
    <row r="38" spans="1:5" x14ac:dyDescent="0.3">
      <c r="A38" s="64" t="s">
        <v>8</v>
      </c>
      <c r="B38" s="8">
        <v>13500</v>
      </c>
    </row>
    <row r="39" spans="1:5" x14ac:dyDescent="0.3">
      <c r="A39" s="64" t="s">
        <v>9</v>
      </c>
      <c r="B39" s="8">
        <v>1.7999999999999999E-11</v>
      </c>
    </row>
    <row r="43" spans="1:5" x14ac:dyDescent="0.3">
      <c r="A43" t="s">
        <v>229</v>
      </c>
      <c r="B43" s="9">
        <f>B31*B32*B37</f>
        <v>1810.1000000000001</v>
      </c>
      <c r="C43" s="66">
        <f>20*LOG(B43)</f>
        <v>65.154051367533143</v>
      </c>
      <c r="D43" s="60" t="s">
        <v>171</v>
      </c>
      <c r="E43" s="60" t="s">
        <v>230</v>
      </c>
    </row>
    <row r="44" spans="1:5" x14ac:dyDescent="0.3">
      <c r="A44" t="s">
        <v>150</v>
      </c>
      <c r="B44" s="67">
        <f>B33*(B32+B34)</f>
        <v>1.85472E-3</v>
      </c>
      <c r="C44" s="65">
        <f>1/(6.28*B44)</f>
        <v>85.854290022110561</v>
      </c>
      <c r="D44" s="60" t="s">
        <v>164</v>
      </c>
      <c r="E44" s="60" t="s">
        <v>231</v>
      </c>
    </row>
    <row r="45" spans="1:5" x14ac:dyDescent="0.3">
      <c r="A45" t="s">
        <v>13</v>
      </c>
      <c r="B45" s="67">
        <f>B33*B34</f>
        <v>1.4720000000000001E-5</v>
      </c>
      <c r="C45" s="63">
        <f>1/(6.28*B45)</f>
        <v>10817.640542785932</v>
      </c>
      <c r="D45" s="60" t="s">
        <v>164</v>
      </c>
      <c r="E45" s="60" t="s">
        <v>232</v>
      </c>
    </row>
    <row r="46" spans="1:5" x14ac:dyDescent="0.3">
      <c r="A46" t="s">
        <v>10</v>
      </c>
      <c r="B46" s="67">
        <f>B38*B39</f>
        <v>2.4299999999999999E-7</v>
      </c>
      <c r="C46" s="63">
        <f>1/(6.28*B46)</f>
        <v>655290.81806505728</v>
      </c>
      <c r="D46" s="60" t="s">
        <v>164</v>
      </c>
      <c r="E46" s="60" t="s">
        <v>233</v>
      </c>
    </row>
    <row r="47" spans="1:5" x14ac:dyDescent="0.3">
      <c r="A47" t="s">
        <v>248</v>
      </c>
      <c r="B47" s="67">
        <f>B34*B35</f>
        <v>2.9439999999999999E-7</v>
      </c>
      <c r="C47" s="63">
        <f>1/(6.28*B47)</f>
        <v>540882.02713929664</v>
      </c>
      <c r="D47" s="60" t="s">
        <v>164</v>
      </c>
      <c r="E47" s="60" t="s">
        <v>249</v>
      </c>
    </row>
    <row r="49" spans="1:5" ht="17.25" customHeight="1" x14ac:dyDescent="0.3">
      <c r="A49" t="s">
        <v>14</v>
      </c>
      <c r="B49" s="68">
        <f>B31/(6.28*B33)</f>
        <v>199044.58598726115</v>
      </c>
      <c r="D49" s="60" t="s">
        <v>164</v>
      </c>
      <c r="E49" s="60" t="s">
        <v>234</v>
      </c>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B131F-ABA7-4C4E-85D5-1CD3F209B4A7}">
  <dimension ref="A7:C11"/>
  <sheetViews>
    <sheetView zoomScale="115" zoomScaleNormal="115" workbookViewId="0">
      <selection activeCell="B10" sqref="B10"/>
    </sheetView>
  </sheetViews>
  <sheetFormatPr defaultRowHeight="14.4" x14ac:dyDescent="0.3"/>
  <cols>
    <col min="1" max="1" width="19.6640625" customWidth="1"/>
    <col min="2" max="2" width="16.109375" customWidth="1"/>
  </cols>
  <sheetData>
    <row r="7" spans="1:3" x14ac:dyDescent="0.3">
      <c r="A7" t="s">
        <v>129</v>
      </c>
    </row>
    <row r="8" spans="1:3" x14ac:dyDescent="0.3">
      <c r="A8" t="s">
        <v>203</v>
      </c>
      <c r="B8">
        <f>Helper_clacs!B21/1000000</f>
        <v>2.2000000000000002</v>
      </c>
    </row>
    <row r="9" spans="1:3" x14ac:dyDescent="0.3">
      <c r="A9" t="s">
        <v>130</v>
      </c>
      <c r="B9" s="19">
        <f>(16.4/B8)-0.633</f>
        <v>6.8215454545454532</v>
      </c>
      <c r="C9" t="s">
        <v>132</v>
      </c>
    </row>
    <row r="11" spans="1:3" x14ac:dyDescent="0.3">
      <c r="A11" t="s">
        <v>131</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FDE60-5071-4666-AF42-4B5D661CD767}">
  <dimension ref="A4:O63"/>
  <sheetViews>
    <sheetView topLeftCell="A13" zoomScale="115" zoomScaleNormal="115" workbookViewId="0">
      <selection activeCell="G33" sqref="G33"/>
    </sheetView>
  </sheetViews>
  <sheetFormatPr defaultRowHeight="14.4" x14ac:dyDescent="0.3"/>
  <cols>
    <col min="1" max="1" width="21.109375" customWidth="1"/>
    <col min="2" max="2" width="16.6640625" customWidth="1"/>
    <col min="3" max="3" width="13.88671875" customWidth="1"/>
    <col min="4" max="4" width="13.6640625" customWidth="1"/>
    <col min="5" max="5" width="13.109375" customWidth="1"/>
    <col min="6" max="6" width="11.88671875" customWidth="1"/>
    <col min="7" max="7" width="11.109375" customWidth="1"/>
    <col min="8" max="8" width="17.109375" customWidth="1"/>
    <col min="9" max="9" width="11.5546875" customWidth="1"/>
    <col min="10" max="10" width="12.109375" customWidth="1"/>
    <col min="11" max="11" width="15.109375" customWidth="1"/>
    <col min="12" max="12" width="17.88671875" customWidth="1"/>
    <col min="13" max="13" width="14" customWidth="1"/>
    <col min="14" max="14" width="14.33203125" customWidth="1"/>
    <col min="15" max="15" width="13.6640625" customWidth="1"/>
  </cols>
  <sheetData>
    <row r="4" spans="1:15" x14ac:dyDescent="0.3">
      <c r="A4" s="25" t="s">
        <v>181</v>
      </c>
      <c r="B4" s="30"/>
    </row>
    <row r="5" spans="1:15" x14ac:dyDescent="0.3">
      <c r="A5" s="26" t="s">
        <v>182</v>
      </c>
      <c r="B5" s="31"/>
    </row>
    <row r="6" spans="1:15" x14ac:dyDescent="0.3">
      <c r="A6" s="26" t="s">
        <v>183</v>
      </c>
      <c r="B6" s="137" t="s">
        <v>108</v>
      </c>
    </row>
    <row r="7" spans="1:15" x14ac:dyDescent="0.3">
      <c r="A7" s="26"/>
      <c r="B7" s="137"/>
    </row>
    <row r="8" spans="1:15" x14ac:dyDescent="0.3">
      <c r="A8" s="26"/>
      <c r="B8" s="137"/>
    </row>
    <row r="9" spans="1:15" x14ac:dyDescent="0.3">
      <c r="A9" s="26"/>
      <c r="B9" s="137"/>
    </row>
    <row r="10" spans="1:15" x14ac:dyDescent="0.3">
      <c r="A10" s="26"/>
      <c r="B10" s="137"/>
    </row>
    <row r="11" spans="1:15" x14ac:dyDescent="0.3">
      <c r="A11" s="54"/>
      <c r="B11" s="138"/>
    </row>
    <row r="13" spans="1:15" x14ac:dyDescent="0.3">
      <c r="A13" s="25"/>
      <c r="B13" s="55" t="s">
        <v>184</v>
      </c>
      <c r="C13" s="55" t="s">
        <v>109</v>
      </c>
      <c r="D13" s="55" t="s">
        <v>33</v>
      </c>
      <c r="E13" s="55" t="s">
        <v>185</v>
      </c>
      <c r="F13" s="55" t="s">
        <v>186</v>
      </c>
      <c r="G13" s="55" t="s">
        <v>187</v>
      </c>
      <c r="H13" s="55" t="s">
        <v>188</v>
      </c>
      <c r="I13" s="55" t="s">
        <v>110</v>
      </c>
      <c r="J13" s="55" t="s">
        <v>111</v>
      </c>
      <c r="K13" s="55" t="s">
        <v>123</v>
      </c>
      <c r="L13" s="55" t="s">
        <v>189</v>
      </c>
      <c r="M13" s="55" t="s">
        <v>190</v>
      </c>
      <c r="N13" s="62" t="s">
        <v>191</v>
      </c>
      <c r="O13" s="62" t="s">
        <v>208</v>
      </c>
    </row>
    <row r="14" spans="1:15" x14ac:dyDescent="0.3">
      <c r="A14" s="56" t="s">
        <v>181</v>
      </c>
      <c r="B14" s="3">
        <v>2.5</v>
      </c>
      <c r="C14" s="3">
        <v>6.2</v>
      </c>
      <c r="D14" s="3">
        <v>1.07</v>
      </c>
      <c r="E14" s="3">
        <v>4.0999999999999996</v>
      </c>
      <c r="F14" s="3">
        <v>3.3</v>
      </c>
      <c r="G14" s="3">
        <v>9.9000000000000005E-2</v>
      </c>
      <c r="H14" s="3">
        <v>0.05</v>
      </c>
      <c r="I14" s="8">
        <v>2.9999999999999997E-8</v>
      </c>
      <c r="J14" s="8">
        <v>8.0000000000000002E-8</v>
      </c>
      <c r="K14" s="67">
        <f>IF(Main!$B$21&gt;=700,8/(1000*Main!$B$21),4/(1000*Main!$B$21))</f>
        <v>3.6363636363636362E-6</v>
      </c>
      <c r="L14" s="3">
        <v>65</v>
      </c>
      <c r="M14" s="3">
        <v>70</v>
      </c>
      <c r="N14" s="61">
        <v>3</v>
      </c>
      <c r="O14" s="3">
        <v>6.2</v>
      </c>
    </row>
    <row r="15" spans="1:15" x14ac:dyDescent="0.3">
      <c r="A15" s="56" t="s">
        <v>182</v>
      </c>
      <c r="B15" s="3">
        <v>3.5</v>
      </c>
      <c r="C15" s="3">
        <v>8.23</v>
      </c>
      <c r="D15" s="3">
        <v>1.42</v>
      </c>
      <c r="E15" s="3">
        <v>5.45</v>
      </c>
      <c r="F15" s="3">
        <v>4.4000000000000004</v>
      </c>
      <c r="G15" s="3">
        <v>9.9000000000000005E-2</v>
      </c>
      <c r="H15" s="3">
        <v>0.05</v>
      </c>
      <c r="I15" s="8">
        <v>2.9999999999999997E-8</v>
      </c>
      <c r="J15" s="8">
        <v>8.0000000000000002E-8</v>
      </c>
      <c r="K15" s="67">
        <f>IF(Main!$B$21&gt;=700,8/(1000*Main!$B$21),4/(1000*Main!$B$21))</f>
        <v>3.6363636363636362E-6</v>
      </c>
      <c r="L15" s="3">
        <v>65</v>
      </c>
      <c r="M15" s="3">
        <v>70</v>
      </c>
      <c r="N15" s="3">
        <v>3</v>
      </c>
      <c r="O15" s="3">
        <v>8.2200000000000006</v>
      </c>
    </row>
    <row r="16" spans="1:15" x14ac:dyDescent="0.3">
      <c r="A16" s="57" t="s">
        <v>183</v>
      </c>
      <c r="B16" s="3">
        <v>4.5</v>
      </c>
      <c r="C16" s="3">
        <v>9.99</v>
      </c>
      <c r="D16" s="3">
        <v>1.72</v>
      </c>
      <c r="E16" s="3">
        <v>6.6</v>
      </c>
      <c r="F16" s="3">
        <v>5.2</v>
      </c>
      <c r="G16" s="3">
        <v>9.9000000000000005E-2</v>
      </c>
      <c r="H16" s="3">
        <v>0.05</v>
      </c>
      <c r="I16" s="8">
        <v>2.9999999999999997E-8</v>
      </c>
      <c r="J16" s="8">
        <v>8.0000000000000002E-8</v>
      </c>
      <c r="K16" s="67">
        <f>IF(Main!$B$21&gt;=700,8/(1000*Main!$B$21),4/(1000*Main!$B$21))</f>
        <v>3.6363636363636362E-6</v>
      </c>
      <c r="L16" s="3">
        <v>65</v>
      </c>
      <c r="M16" s="3">
        <v>70</v>
      </c>
      <c r="N16" s="3">
        <v>3</v>
      </c>
      <c r="O16" s="3">
        <v>9.99</v>
      </c>
    </row>
    <row r="18" spans="1:15" x14ac:dyDescent="0.3">
      <c r="A18" s="58" t="str">
        <f>Main!B16</f>
        <v>LM65645</v>
      </c>
      <c r="B18" s="19">
        <f>IF(Main!$B$16="LM65625",2.5,IF(Main!$B$16="LM65635",3.5,IF(Main!$B$16="LM65645",4.5,xx)))</f>
        <v>4.5</v>
      </c>
      <c r="C18" s="19">
        <f>IF(Main!$B$16="LM65625",C14,IF(Main!$B$16="LM65635",C15,IF(Main!$B$16="LM65645",C16,xx)))</f>
        <v>9.99</v>
      </c>
      <c r="D18" s="19">
        <f>IF(Main!$B$16="LM65625",D14,IF(Main!$B$16="LM65635",D15,IF(Main!$B$16="LM65645",D16,xx)))</f>
        <v>1.72</v>
      </c>
      <c r="E18" s="19">
        <f>IF(Main!$B$16="LM65625",E14,IF(Main!$B$16="LM65635",E15,IF(Main!$B$16="LM65645",E16,xx)))</f>
        <v>6.6</v>
      </c>
      <c r="F18" s="19">
        <f>IF(Main!$B$16="LM65625",F14,IF(Main!$B$16="LM65635",F15,IF(Main!$B$16="LM65645",F16,xx)))</f>
        <v>5.2</v>
      </c>
      <c r="G18" s="19">
        <f>IF(Main!$B$16="LM65625",G14,IF(Main!$B$16="LM65635",G15,IF(Main!$B$16="LM65645",G16,xx)))</f>
        <v>9.9000000000000005E-2</v>
      </c>
      <c r="H18" s="19">
        <f>IF(Main!$B$16="LM65625",H14,IF(Main!$B$16="LM65635",H15,IF(Main!$B$16="LM65645",H16,xx)))</f>
        <v>0.05</v>
      </c>
      <c r="I18" s="19">
        <f>IF(Main!$B$16="LM65625",I14,IF(Main!$B$16="LM65635",I15,IF(Main!$B$16="LM65645",I16,xx)))</f>
        <v>2.9999999999999997E-8</v>
      </c>
      <c r="J18" s="28">
        <f>IF(Main!$B$16="LM65625",J14,IF(Main!$B$16="LM65635",J15,IF(Main!$B$16="LM65645",J16,xx)))</f>
        <v>8.0000000000000002E-8</v>
      </c>
      <c r="K18" s="28">
        <f>IF(Main!$B$16="LM65625",K14,IF(Main!$B$16="LM65635",K15,IF(Main!$B$16="LM65645",K16,xx)))</f>
        <v>3.6363636363636362E-6</v>
      </c>
      <c r="L18" s="19">
        <f>IF(Main!$B$16="LM65625",L14,IF(Main!$B$16="LM65635",L15,IF(Main!$B$16="LM65645",L16,xx)))</f>
        <v>65</v>
      </c>
      <c r="M18" s="19">
        <f>IF(Main!$B$16="LM65625",M14,IF(Main!$B$16="LM65635",M15,IF(Main!$B$16="LM65645",M16,xx)))</f>
        <v>70</v>
      </c>
      <c r="N18" s="19">
        <f>IF(Main!$B$16="LM65625",N14,IF(Main!$B$16="LM65635",N15,IF(Main!$B$16="LM65645",N16,xx)))</f>
        <v>3</v>
      </c>
      <c r="O18" s="19">
        <f>IF(Main!$B$16="LM65625",O14,IF(Main!$B$16="LM65635",O15,IF(Main!$B$16="LM65645",O16,xx)))</f>
        <v>9.99</v>
      </c>
    </row>
    <row r="19" spans="1:15" x14ac:dyDescent="0.3">
      <c r="A19" s="1"/>
    </row>
    <row r="20" spans="1:15" x14ac:dyDescent="0.3">
      <c r="A20" s="1"/>
    </row>
    <row r="21" spans="1:15" x14ac:dyDescent="0.3">
      <c r="A21" t="s">
        <v>0</v>
      </c>
      <c r="B21" s="19">
        <f>1000*Main!B21</f>
        <v>2200000</v>
      </c>
    </row>
    <row r="22" spans="1:15" x14ac:dyDescent="0.3">
      <c r="A22" t="s">
        <v>36</v>
      </c>
      <c r="B22" s="19">
        <f>D18*B21</f>
        <v>3784000</v>
      </c>
      <c r="C22" s="60" t="s">
        <v>363</v>
      </c>
    </row>
    <row r="23" spans="1:15" x14ac:dyDescent="0.3">
      <c r="A23" t="s">
        <v>192</v>
      </c>
      <c r="B23" s="5">
        <f>1/(2*D18)</f>
        <v>0.29069767441860467</v>
      </c>
      <c r="C23" s="60" t="s">
        <v>364</v>
      </c>
    </row>
    <row r="24" spans="1:15" x14ac:dyDescent="0.3">
      <c r="A24" t="s">
        <v>18</v>
      </c>
      <c r="B24" s="19">
        <f>Main!B54/1000</f>
        <v>1.2999999999999999E-2</v>
      </c>
      <c r="C24" s="60" t="s">
        <v>365</v>
      </c>
    </row>
    <row r="26" spans="1:15" x14ac:dyDescent="0.3">
      <c r="A26" t="s">
        <v>127</v>
      </c>
    </row>
    <row r="28" spans="1:15" x14ac:dyDescent="0.3">
      <c r="A28" t="s">
        <v>4</v>
      </c>
      <c r="B28" s="59">
        <f>(Main!B19+Main!B20*(Main!B54/1000+Helper_clacs!H18))/(Main!B18-Main!B20*(Helper_clacs!G18-Helper_clacs!H18))</f>
        <v>0.25392929873113679</v>
      </c>
    </row>
    <row r="29" spans="1:15" x14ac:dyDescent="0.3">
      <c r="A29" t="s">
        <v>193</v>
      </c>
      <c r="B29" s="59">
        <f>1-B28</f>
        <v>0.74607070126886321</v>
      </c>
    </row>
    <row r="31" spans="1:15" x14ac:dyDescent="0.3">
      <c r="A31" t="s">
        <v>127</v>
      </c>
    </row>
    <row r="33" spans="1:8" x14ac:dyDescent="0.3">
      <c r="A33" t="s">
        <v>112</v>
      </c>
      <c r="B33">
        <f>(Main!B18-Main!B19)*Helper_clacs!B28/(B18*Main!B23*Helper_clacs!B21)</f>
        <v>3.0779308937107495E-6</v>
      </c>
    </row>
    <row r="34" spans="1:8" x14ac:dyDescent="0.3">
      <c r="A34" t="s">
        <v>113</v>
      </c>
      <c r="B34" s="19">
        <f>IF(B33&lt;Min_L!B17,Min_L!B17,Helper_clacs!B33)</f>
        <v>3.0779308937107495E-6</v>
      </c>
      <c r="C34" s="36">
        <f>B34*1000000</f>
        <v>3.0779308937107497</v>
      </c>
      <c r="D34" s="60" t="s">
        <v>194</v>
      </c>
    </row>
    <row r="36" spans="1:8" x14ac:dyDescent="0.3">
      <c r="A36" t="s">
        <v>114</v>
      </c>
      <c r="B36" s="10">
        <f>C36*0.000001</f>
        <v>3.2999999999999997E-6</v>
      </c>
      <c r="C36" s="36">
        <f>Main!B30</f>
        <v>3.3</v>
      </c>
      <c r="D36" s="60" t="s">
        <v>194</v>
      </c>
    </row>
    <row r="38" spans="1:8" ht="15.6" x14ac:dyDescent="0.3">
      <c r="A38" t="s">
        <v>127</v>
      </c>
      <c r="H38" s="78" t="s">
        <v>317</v>
      </c>
    </row>
    <row r="40" spans="1:8" x14ac:dyDescent="0.3">
      <c r="A40" t="s">
        <v>124</v>
      </c>
      <c r="B40" s="19">
        <f>(Main!B18-Main!B19)*Helper_clacs!B28/(Helper_clacs!B21*Helper_clacs!B36)</f>
        <v>1.2591535474271247</v>
      </c>
    </row>
    <row r="41" spans="1:8" x14ac:dyDescent="0.3">
      <c r="A41" t="s">
        <v>125</v>
      </c>
      <c r="B41" s="19">
        <f>Main!B20+Helper_clacs!B40/2</f>
        <v>3.1295767737135622</v>
      </c>
    </row>
    <row r="42" spans="1:8" x14ac:dyDescent="0.3">
      <c r="A42" t="s">
        <v>126</v>
      </c>
      <c r="B42" s="19">
        <f>Main!B20-Helper_clacs!B40/2</f>
        <v>1.8704232262864378</v>
      </c>
    </row>
    <row r="44" spans="1:8" x14ac:dyDescent="0.3">
      <c r="A44" t="s">
        <v>250</v>
      </c>
    </row>
    <row r="46" spans="1:8" x14ac:dyDescent="0.3">
      <c r="A46" t="s">
        <v>251</v>
      </c>
      <c r="B46" s="19">
        <f>IF(Main!B19=3.3,3,IF(Main!B19=5,5,IF(Main!B19=1,1,0)))</f>
        <v>0</v>
      </c>
      <c r="C46" s="60" t="s">
        <v>252</v>
      </c>
    </row>
    <row r="47" spans="1:8" x14ac:dyDescent="0.3">
      <c r="A47" t="s">
        <v>316</v>
      </c>
      <c r="B47" s="19" t="str">
        <f>IF(OR(B46=0,B46=1),"FB Divder",IF(B46=3,"GND","VCC"))</f>
        <v>FB Divder</v>
      </c>
      <c r="C47" s="60"/>
    </row>
    <row r="48" spans="1:8" x14ac:dyDescent="0.3">
      <c r="A48" t="s">
        <v>314</v>
      </c>
      <c r="B48" s="36" t="str">
        <f>IF(Main!B21=400,"VCC",IF(Main!B21=2200,"GND",FIXED(RT!B9,1)&amp;" kΩ"))</f>
        <v>GND</v>
      </c>
    </row>
    <row r="49" spans="1:3" x14ac:dyDescent="0.3">
      <c r="A49" t="s">
        <v>315</v>
      </c>
      <c r="B49" s="19" t="str">
        <f>IF(OR(B46=3,B46=5),"VOUT",IF(AND(Main!B19&gt;=3.3,Main!B19&lt;30),"VOUT or GND","GND"))</f>
        <v>VOUT or GND</v>
      </c>
    </row>
    <row r="58" spans="1:3" x14ac:dyDescent="0.3">
      <c r="A58" t="s">
        <v>118</v>
      </c>
    </row>
    <row r="60" spans="1:3" x14ac:dyDescent="0.3">
      <c r="A60" t="s">
        <v>115</v>
      </c>
      <c r="B60" s="19">
        <f>Main!B43*1000</f>
        <v>100000</v>
      </c>
    </row>
    <row r="61" spans="1:3" x14ac:dyDescent="0.3">
      <c r="A61" t="s">
        <v>116</v>
      </c>
      <c r="B61" s="19">
        <f>B60/(Main!B19-1)</f>
        <v>9090.9090909090901</v>
      </c>
      <c r="C61" s="19">
        <f>B61/1000</f>
        <v>9.0909090909090899</v>
      </c>
    </row>
    <row r="63" spans="1:3" x14ac:dyDescent="0.3">
      <c r="A63" t="s">
        <v>117</v>
      </c>
    </row>
  </sheetData>
  <dataConsolidate/>
  <mergeCells count="1">
    <mergeCell ref="B6:B11"/>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14A26-659D-448A-AE2A-7E3B3A2A4440}">
  <dimension ref="A5:C20"/>
  <sheetViews>
    <sheetView zoomScale="115" zoomScaleNormal="115" workbookViewId="0">
      <selection activeCell="E25" sqref="E25"/>
    </sheetView>
  </sheetViews>
  <sheetFormatPr defaultRowHeight="14.4" x14ac:dyDescent="0.3"/>
  <cols>
    <col min="1" max="1" width="22.88671875" customWidth="1"/>
    <col min="2" max="2" width="19.88671875" customWidth="1"/>
    <col min="3" max="3" width="15" customWidth="1"/>
  </cols>
  <sheetData>
    <row r="5" spans="1:3" x14ac:dyDescent="0.3">
      <c r="A5" t="s">
        <v>195</v>
      </c>
    </row>
    <row r="7" spans="1:3" x14ac:dyDescent="0.3">
      <c r="A7" t="s">
        <v>196</v>
      </c>
      <c r="B7" s="19">
        <f>Helper_clacs!B21*Helper_clacs!I18</f>
        <v>6.5999999999999989E-2</v>
      </c>
    </row>
    <row r="8" spans="1:3" x14ac:dyDescent="0.3">
      <c r="A8" t="s">
        <v>119</v>
      </c>
      <c r="B8" s="19">
        <f>(Main!B19/D_limits!B7)+Main!B20*(((Helper_clacs!B24+Helper_clacs!H18)/D_limits!B7)+Helper_clacs!G18-Helper_clacs!H18)</f>
        <v>184.32704545454547</v>
      </c>
    </row>
    <row r="9" spans="1:3" x14ac:dyDescent="0.3">
      <c r="A9" t="s">
        <v>197</v>
      </c>
      <c r="B9" s="19">
        <f>IF(B8&lt;Helper_clacs!L18,D_limits!B8,Helper_clacs!L18)</f>
        <v>65</v>
      </c>
    </row>
    <row r="11" spans="1:3" x14ac:dyDescent="0.3">
      <c r="A11" t="s">
        <v>120</v>
      </c>
    </row>
    <row r="13" spans="1:3" x14ac:dyDescent="0.3">
      <c r="A13" t="s">
        <v>198</v>
      </c>
      <c r="B13" s="19">
        <f>1-Helper_clacs!B21*Helper_clacs!J18</f>
        <v>0.82399999999999995</v>
      </c>
    </row>
    <row r="14" spans="1:3" x14ac:dyDescent="0.3">
      <c r="A14" t="s">
        <v>199</v>
      </c>
      <c r="B14" s="19">
        <f>Helper_clacs!K18/(Helper_clacs!K18+Helper_clacs!J18)</f>
        <v>0.97847358121330719</v>
      </c>
    </row>
    <row r="15" spans="1:3" x14ac:dyDescent="0.3">
      <c r="A15" t="s">
        <v>200</v>
      </c>
      <c r="B15" s="19">
        <f>(Main!B19/B13)+Main!B20*(((Helper_clacs!B24+Helper_clacs!H18)/B13)+Helper_clacs!G18-Helper_clacs!H18)</f>
        <v>14.876747572815535</v>
      </c>
      <c r="C15" s="29"/>
    </row>
    <row r="16" spans="1:3" x14ac:dyDescent="0.3">
      <c r="A16" t="s">
        <v>121</v>
      </c>
      <c r="B16" s="19">
        <f>(Main!B19/B14)+Main!B20*(((Helper_clacs!B24+Helper_clacs!H18)/B14)+Helper_clacs!G18-Helper_clacs!H18)</f>
        <v>12.547465000000001</v>
      </c>
    </row>
    <row r="17" spans="1:2" x14ac:dyDescent="0.3">
      <c r="A17" t="s">
        <v>122</v>
      </c>
      <c r="B17" s="33">
        <f>1/(Helper_clacs!K18+Helper_clacs!J18)</f>
        <v>269080.23483365949</v>
      </c>
    </row>
    <row r="19" spans="1:2" x14ac:dyDescent="0.3">
      <c r="A19" t="s">
        <v>201</v>
      </c>
      <c r="B19" s="19">
        <f>IF(B15&gt;Helper_clacs!N18,D_limits!B15,Helper_clacs!N18)</f>
        <v>14.876747572815535</v>
      </c>
    </row>
    <row r="20" spans="1:2" x14ac:dyDescent="0.3">
      <c r="A20" t="s">
        <v>202</v>
      </c>
      <c r="B20" s="19">
        <f>IF(B16&gt;Helper_clacs!N18,D_limits!B16,Helper_clacs!N18)</f>
        <v>12.547465000000001</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62C96-0FFD-4C72-945E-1417B1F42F20}">
  <dimension ref="A5:C36"/>
  <sheetViews>
    <sheetView topLeftCell="A13" zoomScale="130" zoomScaleNormal="130" workbookViewId="0">
      <selection activeCell="B32" sqref="B32"/>
    </sheetView>
  </sheetViews>
  <sheetFormatPr defaultRowHeight="14.4" x14ac:dyDescent="0.3"/>
  <cols>
    <col min="1" max="1" width="13.88671875" customWidth="1"/>
    <col min="2" max="2" width="16.88671875" customWidth="1"/>
    <col min="3" max="3" width="11.88671875" bestFit="1" customWidth="1"/>
  </cols>
  <sheetData>
    <row r="5" spans="1:2" x14ac:dyDescent="0.3">
      <c r="A5" t="s">
        <v>20</v>
      </c>
      <c r="B5" s="11">
        <v>5</v>
      </c>
    </row>
    <row r="6" spans="1:2" x14ac:dyDescent="0.3">
      <c r="A6" t="s">
        <v>3</v>
      </c>
      <c r="B6" s="11">
        <v>12</v>
      </c>
    </row>
    <row r="7" spans="1:2" x14ac:dyDescent="0.3">
      <c r="A7" t="s">
        <v>32</v>
      </c>
      <c r="B7" s="11">
        <v>5.5</v>
      </c>
    </row>
    <row r="8" spans="1:2" x14ac:dyDescent="0.3">
      <c r="A8" t="s">
        <v>16</v>
      </c>
      <c r="B8" s="11">
        <v>4.4999999999999998E-2</v>
      </c>
    </row>
    <row r="9" spans="1:2" x14ac:dyDescent="0.3">
      <c r="A9" t="s">
        <v>17</v>
      </c>
      <c r="B9" s="11">
        <v>9.5000000000000001E-2</v>
      </c>
    </row>
    <row r="10" spans="1:2" x14ac:dyDescent="0.3">
      <c r="A10" t="s">
        <v>18</v>
      </c>
      <c r="B10" s="11">
        <v>0.02</v>
      </c>
    </row>
    <row r="11" spans="1:2" x14ac:dyDescent="0.3">
      <c r="A11" t="s">
        <v>36</v>
      </c>
      <c r="B11" s="18">
        <v>1485000</v>
      </c>
    </row>
    <row r="12" spans="1:2" x14ac:dyDescent="0.3">
      <c r="A12" t="s">
        <v>15</v>
      </c>
      <c r="B12" s="18">
        <v>4.2</v>
      </c>
    </row>
    <row r="13" spans="1:2" x14ac:dyDescent="0.3">
      <c r="A13" t="s">
        <v>2</v>
      </c>
      <c r="B13" s="18">
        <v>1.0000000000000001E-5</v>
      </c>
    </row>
    <row r="15" spans="1:2" x14ac:dyDescent="0.3">
      <c r="B15" s="12"/>
    </row>
    <row r="17" spans="1:3" x14ac:dyDescent="0.3">
      <c r="A17" t="s">
        <v>22</v>
      </c>
    </row>
    <row r="19" spans="1:3" x14ac:dyDescent="0.3">
      <c r="A19" t="s">
        <v>38</v>
      </c>
      <c r="B19">
        <f>(B7+B12)/2</f>
        <v>4.8499999999999996</v>
      </c>
    </row>
    <row r="20" spans="1:3" x14ac:dyDescent="0.3">
      <c r="A20" t="s">
        <v>39</v>
      </c>
      <c r="B20" s="12">
        <f>(B19*(B10+B8))/(B6-B19*(B9-B8))</f>
        <v>2.6812672762066763E-2</v>
      </c>
      <c r="C20" s="12"/>
    </row>
    <row r="21" spans="1:3" x14ac:dyDescent="0.3">
      <c r="A21" t="s">
        <v>40</v>
      </c>
      <c r="B21" s="12">
        <f>((B20*(1-B20)*B6/B13)+(B11*B20))/(B7-B12)</f>
        <v>54714.863893364971</v>
      </c>
    </row>
    <row r="23" spans="1:3" x14ac:dyDescent="0.3">
      <c r="A23" t="s">
        <v>41</v>
      </c>
      <c r="B23" s="13">
        <f>B12+(B20*(1-B20)*B6)/(2*B13*B21)</f>
        <v>4.4861425742621872</v>
      </c>
    </row>
    <row r="24" spans="1:3" x14ac:dyDescent="0.3">
      <c r="A24" t="s">
        <v>42</v>
      </c>
      <c r="B24" s="12">
        <f>(B23*(B10+B8))/(B6-B23*(B9-B8))</f>
        <v>2.4762811879890267E-2</v>
      </c>
      <c r="C24" s="12"/>
    </row>
    <row r="25" spans="1:3" x14ac:dyDescent="0.3">
      <c r="A25" t="s">
        <v>43</v>
      </c>
      <c r="B25" s="12">
        <f>((B24*(1-B24)*B6/B13)+(B11*B24))/(B7-B12)</f>
        <v>50578.70282682059</v>
      </c>
      <c r="C25" s="12">
        <f>1/B25</f>
        <v>1.9771167390827698E-5</v>
      </c>
    </row>
    <row r="26" spans="1:3" x14ac:dyDescent="0.3">
      <c r="B26" s="12"/>
    </row>
    <row r="27" spans="1:3" x14ac:dyDescent="0.3">
      <c r="A27" t="s">
        <v>44</v>
      </c>
      <c r="B27" s="12">
        <f>B12+(B24*(1-B24)*B6)/(2*B13*B25)</f>
        <v>4.4864796486819216</v>
      </c>
    </row>
    <row r="28" spans="1:3" x14ac:dyDescent="0.3">
      <c r="A28" t="s">
        <v>45</v>
      </c>
      <c r="B28" s="12">
        <f>(B27*(B10+B8))/(B6-B27*(B9-B8))</f>
        <v>2.4764707922442026E-2</v>
      </c>
    </row>
    <row r="29" spans="1:3" x14ac:dyDescent="0.3">
      <c r="A29" t="s">
        <v>46</v>
      </c>
      <c r="B29" s="12">
        <f>((B28*(1-B28)*B6/B13)+(B11*B28))/(B7-B12)</f>
        <v>50582.532201212467</v>
      </c>
      <c r="C29" s="12">
        <f>1/B29</f>
        <v>1.9769670605300972E-5</v>
      </c>
    </row>
    <row r="30" spans="1:3" x14ac:dyDescent="0.3">
      <c r="A30" s="12"/>
      <c r="B30" s="12"/>
      <c r="C30" s="12"/>
    </row>
    <row r="31" spans="1:3" x14ac:dyDescent="0.3">
      <c r="A31" s="12" t="s">
        <v>47</v>
      </c>
      <c r="B31" s="12">
        <f>B12+(B28*(1-B28)*B6)/(2*B13*B29)</f>
        <v>4.486479337189599</v>
      </c>
      <c r="C31" s="12"/>
    </row>
    <row r="32" spans="1:3" x14ac:dyDescent="0.3">
      <c r="A32" s="12" t="s">
        <v>27</v>
      </c>
      <c r="B32" s="12">
        <f>B12+(B28*(1-B28)*B6)/(B13*B29)</f>
        <v>4.7729586743791987</v>
      </c>
      <c r="C32" s="12"/>
    </row>
    <row r="33" spans="1:3" x14ac:dyDescent="0.3">
      <c r="A33" s="12"/>
      <c r="B33" s="12"/>
      <c r="C33" s="12"/>
    </row>
    <row r="34" spans="1:3" x14ac:dyDescent="0.3">
      <c r="A34" s="12" t="s">
        <v>57</v>
      </c>
      <c r="B34" s="12"/>
      <c r="C34" s="12"/>
    </row>
    <row r="35" spans="1:3" x14ac:dyDescent="0.3">
      <c r="A35" s="12" t="s">
        <v>58</v>
      </c>
      <c r="B35" s="5">
        <f>B31</f>
        <v>4.486479337189599</v>
      </c>
      <c r="C35" s="12"/>
    </row>
    <row r="36" spans="1:3" x14ac:dyDescent="0.3">
      <c r="A36" s="12" t="s">
        <v>57</v>
      </c>
      <c r="B36" s="12"/>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Main</vt:lpstr>
      <vt:lpstr>Insructions</vt:lpstr>
      <vt:lpstr>Revision_history</vt:lpstr>
      <vt:lpstr>FB_div_xfer</vt:lpstr>
      <vt:lpstr>Eamp</vt:lpstr>
      <vt:lpstr>RT</vt:lpstr>
      <vt:lpstr>Helper_clacs</vt:lpstr>
      <vt:lpstr>D_limits</vt:lpstr>
      <vt:lpstr>short_circuit</vt:lpstr>
      <vt:lpstr>Current_limit</vt:lpstr>
      <vt:lpstr>Ilimit_2</vt:lpstr>
      <vt:lpstr>Ilimit_3</vt:lpstr>
      <vt:lpstr>Loop_gain</vt:lpstr>
      <vt:lpstr>FB_div_selector</vt:lpstr>
      <vt:lpstr>Min_L</vt:lpstr>
      <vt:lpstr>Cout_fixed</vt:lpstr>
      <vt:lpstr>Cout_adj</vt:lpstr>
      <vt:lpstr>Cout_other</vt:lpstr>
      <vt:lpstr>Cout_select</vt:lpstr>
      <vt:lpstr>Ilimit_1</vt:lpstr>
    </vt:vector>
  </TitlesOfParts>
  <Company>Texas Instruments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Stasi, Frank</dc:creator>
  <cp:lastModifiedBy>Torkom Pailevanian</cp:lastModifiedBy>
  <dcterms:created xsi:type="dcterms:W3CDTF">2022-12-01T19:13:12Z</dcterms:created>
  <dcterms:modified xsi:type="dcterms:W3CDTF">2025-12-29T06:15:11Z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2025-12-29T06:14:42Z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2203dce3-282e-4506-88ef-08c7e46d6d68</vt:lpwstr>
  </property>
  <property fmtid="{D5CDD505-2E9C-101B-9397-08002B2CF9AE}" pid="7" name="MSIP_Label_defa4170-0d19-0005-0004-bc88714345d2_ActionId">
    <vt:lpwstr>f3a05af8-c843-46fe-8e90-7e5e76ac2ce3</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